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\PS1\Bloomberg Session and Data\IT sector\"/>
    </mc:Choice>
  </mc:AlternateContent>
  <xr:revisionPtr revIDLastSave="0" documentId="13_ncr:1_{BC02633A-2545-4893-A0B0-AF1EC8AF761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0" i="3" l="1"/>
  <c r="C458" i="3"/>
  <c r="C456" i="3"/>
  <c r="AC472" i="3" l="1"/>
  <c r="AB472" i="3"/>
  <c r="AA472" i="3"/>
  <c r="Z472" i="3"/>
  <c r="Y472" i="3"/>
  <c r="X472" i="3"/>
  <c r="W472" i="3"/>
  <c r="V472" i="3"/>
  <c r="U472" i="3"/>
  <c r="T472" i="3"/>
  <c r="S472" i="3"/>
  <c r="R472" i="3"/>
  <c r="E472" i="3"/>
  <c r="D472" i="3"/>
  <c r="C472" i="3"/>
  <c r="B472" i="3"/>
  <c r="A472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A471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A470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A469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A468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A467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A466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A465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A464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A463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A462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A461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A460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A459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A458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A457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A456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E454" i="3"/>
  <c r="D454" i="3"/>
  <c r="C454" i="3"/>
  <c r="B454" i="3"/>
  <c r="A454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E453" i="3"/>
  <c r="D453" i="3"/>
  <c r="C453" i="3"/>
  <c r="B453" i="3"/>
  <c r="A453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E452" i="3"/>
  <c r="D452" i="3"/>
  <c r="C452" i="3"/>
  <c r="A452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E451" i="3"/>
  <c r="D451" i="3"/>
  <c r="C451" i="3"/>
  <c r="B451" i="3"/>
  <c r="A451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A450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E449" i="3"/>
  <c r="D449" i="3"/>
  <c r="C449" i="3"/>
  <c r="B449" i="3"/>
  <c r="A449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E448" i="3"/>
  <c r="D448" i="3"/>
  <c r="C448" i="3"/>
  <c r="B448" i="3"/>
  <c r="A448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E447" i="3"/>
  <c r="D447" i="3"/>
  <c r="C447" i="3"/>
  <c r="B447" i="3"/>
  <c r="A447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E446" i="3"/>
  <c r="D446" i="3"/>
  <c r="C446" i="3"/>
  <c r="B446" i="3"/>
  <c r="A446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E445" i="3"/>
  <c r="D445" i="3"/>
  <c r="C445" i="3"/>
  <c r="B445" i="3"/>
  <c r="A445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E444" i="3"/>
  <c r="D444" i="3"/>
  <c r="C444" i="3"/>
  <c r="B444" i="3"/>
  <c r="A444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A238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B237" i="3"/>
  <c r="A237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A236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B235" i="3"/>
  <c r="A235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C234" i="3"/>
  <c r="B234" i="3"/>
  <c r="A234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B233" i="3"/>
  <c r="A233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A231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E222" i="3"/>
  <c r="E222" i="2" s="1"/>
  <c r="B222" i="3"/>
  <c r="B222" i="2" s="1"/>
  <c r="A222" i="3"/>
  <c r="A222" i="2" s="1"/>
  <c r="AC221" i="3"/>
  <c r="AB221" i="3"/>
  <c r="AA221" i="3"/>
  <c r="Z221" i="3"/>
  <c r="Y221" i="3"/>
  <c r="X221" i="3"/>
  <c r="W221" i="3"/>
  <c r="V221" i="3"/>
  <c r="U221" i="3"/>
  <c r="T221" i="3"/>
  <c r="S221" i="3"/>
  <c r="R221" i="3"/>
  <c r="E221" i="3"/>
  <c r="E443" i="3" s="1"/>
  <c r="D221" i="3"/>
  <c r="D443" i="3" s="1"/>
  <c r="C221" i="3"/>
  <c r="C443" i="3" s="1"/>
  <c r="B221" i="3"/>
  <c r="B443" i="3" s="1"/>
  <c r="A221" i="3"/>
  <c r="A443" i="3" s="1"/>
  <c r="AC220" i="3"/>
  <c r="AB220" i="3"/>
  <c r="AA220" i="3"/>
  <c r="Z220" i="3"/>
  <c r="Y220" i="3"/>
  <c r="X220" i="3"/>
  <c r="W220" i="3"/>
  <c r="V220" i="3"/>
  <c r="U220" i="3"/>
  <c r="T220" i="3"/>
  <c r="S220" i="3"/>
  <c r="R220" i="3"/>
  <c r="E220" i="3"/>
  <c r="E442" i="3" s="1"/>
  <c r="D220" i="3"/>
  <c r="D442" i="3" s="1"/>
  <c r="C220" i="3"/>
  <c r="C442" i="3" s="1"/>
  <c r="B220" i="3"/>
  <c r="B442" i="3" s="1"/>
  <c r="A220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E219" i="3"/>
  <c r="D219" i="3"/>
  <c r="C219" i="3"/>
  <c r="C441" i="3" s="1"/>
  <c r="B219" i="3"/>
  <c r="B441" i="3" s="1"/>
  <c r="A219" i="3"/>
  <c r="A441" i="3" s="1"/>
  <c r="AC218" i="3"/>
  <c r="AB218" i="3"/>
  <c r="AA218" i="3"/>
  <c r="Z218" i="3"/>
  <c r="Y218" i="3"/>
  <c r="X218" i="3"/>
  <c r="W218" i="3"/>
  <c r="V218" i="3"/>
  <c r="U218" i="3"/>
  <c r="T218" i="3"/>
  <c r="S218" i="3"/>
  <c r="R218" i="3"/>
  <c r="E218" i="3"/>
  <c r="E440" i="3" s="1"/>
  <c r="D218" i="3"/>
  <c r="D440" i="3" s="1"/>
  <c r="C218" i="3"/>
  <c r="C440" i="3" s="1"/>
  <c r="B218" i="3"/>
  <c r="B440" i="3" s="1"/>
  <c r="A218" i="3"/>
  <c r="A440" i="3" s="1"/>
  <c r="AC217" i="3"/>
  <c r="AB217" i="3"/>
  <c r="AA217" i="3"/>
  <c r="Z217" i="3"/>
  <c r="Y217" i="3"/>
  <c r="X217" i="3"/>
  <c r="W217" i="3"/>
  <c r="V217" i="3"/>
  <c r="U217" i="3"/>
  <c r="T217" i="3"/>
  <c r="S217" i="3"/>
  <c r="R217" i="3"/>
  <c r="E217" i="3"/>
  <c r="E439" i="3" s="1"/>
  <c r="D217" i="3"/>
  <c r="C217" i="3"/>
  <c r="B217" i="3"/>
  <c r="A217" i="3"/>
  <c r="A439" i="3" s="1"/>
  <c r="AC216" i="3"/>
  <c r="AB216" i="3"/>
  <c r="AA216" i="3"/>
  <c r="Z216" i="3"/>
  <c r="Y216" i="3"/>
  <c r="X216" i="3"/>
  <c r="W216" i="3"/>
  <c r="V216" i="3"/>
  <c r="U216" i="3"/>
  <c r="T216" i="3"/>
  <c r="S216" i="3"/>
  <c r="R216" i="3"/>
  <c r="E216" i="3"/>
  <c r="E438" i="3" s="1"/>
  <c r="D216" i="3"/>
  <c r="D438" i="3" s="1"/>
  <c r="C216" i="3"/>
  <c r="C438" i="3" s="1"/>
  <c r="B216" i="3"/>
  <c r="B438" i="3" s="1"/>
  <c r="A216" i="3"/>
  <c r="A438" i="3" s="1"/>
  <c r="AC215" i="3"/>
  <c r="AB215" i="3"/>
  <c r="AA215" i="3"/>
  <c r="Z215" i="3"/>
  <c r="Y215" i="3"/>
  <c r="X215" i="3"/>
  <c r="W215" i="3"/>
  <c r="V215" i="3"/>
  <c r="U215" i="3"/>
  <c r="T215" i="3"/>
  <c r="S215" i="3"/>
  <c r="R215" i="3"/>
  <c r="E215" i="3"/>
  <c r="E437" i="3" s="1"/>
  <c r="D215" i="3"/>
  <c r="D437" i="3" s="1"/>
  <c r="C215" i="3"/>
  <c r="C437" i="3" s="1"/>
  <c r="B215" i="3"/>
  <c r="A215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E214" i="3"/>
  <c r="D214" i="3"/>
  <c r="D436" i="3" s="1"/>
  <c r="C214" i="3"/>
  <c r="C436" i="3" s="1"/>
  <c r="B214" i="3"/>
  <c r="B436" i="3" s="1"/>
  <c r="A214" i="3"/>
  <c r="A436" i="3" s="1"/>
  <c r="AC213" i="3"/>
  <c r="AB213" i="3"/>
  <c r="AA213" i="3"/>
  <c r="Z213" i="3"/>
  <c r="Y213" i="3"/>
  <c r="X213" i="3"/>
  <c r="W213" i="3"/>
  <c r="V213" i="3"/>
  <c r="U213" i="3"/>
  <c r="T213" i="3"/>
  <c r="S213" i="3"/>
  <c r="R213" i="3"/>
  <c r="E213" i="3"/>
  <c r="E435" i="3" s="1"/>
  <c r="D213" i="3"/>
  <c r="D435" i="3" s="1"/>
  <c r="C213" i="3"/>
  <c r="C435" i="3" s="1"/>
  <c r="B213" i="3"/>
  <c r="B435" i="3" s="1"/>
  <c r="A213" i="3"/>
  <c r="A435" i="3" s="1"/>
  <c r="AC212" i="3"/>
  <c r="AB212" i="3"/>
  <c r="AA212" i="3"/>
  <c r="Z212" i="3"/>
  <c r="Y212" i="3"/>
  <c r="X212" i="3"/>
  <c r="W212" i="3"/>
  <c r="V212" i="3"/>
  <c r="U212" i="3"/>
  <c r="T212" i="3"/>
  <c r="S212" i="3"/>
  <c r="R212" i="3"/>
  <c r="E212" i="3"/>
  <c r="D212" i="3"/>
  <c r="C212" i="3"/>
  <c r="B212" i="3"/>
  <c r="B434" i="3" s="1"/>
  <c r="A212" i="3"/>
  <c r="A434" i="3" s="1"/>
  <c r="AC211" i="3"/>
  <c r="AB211" i="3"/>
  <c r="AA211" i="3"/>
  <c r="Z211" i="3"/>
  <c r="Y211" i="3"/>
  <c r="X211" i="3"/>
  <c r="W211" i="3"/>
  <c r="V211" i="3"/>
  <c r="U211" i="3"/>
  <c r="T211" i="3"/>
  <c r="S211" i="3"/>
  <c r="R211" i="3"/>
  <c r="E211" i="3"/>
  <c r="E433" i="3" s="1"/>
  <c r="D211" i="3"/>
  <c r="D433" i="3" s="1"/>
  <c r="C211" i="3"/>
  <c r="C433" i="3" s="1"/>
  <c r="B211" i="3"/>
  <c r="B433" i="3" s="1"/>
  <c r="A211" i="3"/>
  <c r="A433" i="3" s="1"/>
  <c r="AC210" i="3"/>
  <c r="AB210" i="3"/>
  <c r="AA210" i="3"/>
  <c r="Z210" i="3"/>
  <c r="Y210" i="3"/>
  <c r="X210" i="3"/>
  <c r="W210" i="3"/>
  <c r="V210" i="3"/>
  <c r="U210" i="3"/>
  <c r="T210" i="3"/>
  <c r="S210" i="3"/>
  <c r="R210" i="3"/>
  <c r="E210" i="3"/>
  <c r="E432" i="3" s="1"/>
  <c r="D210" i="3"/>
  <c r="D432" i="3" s="1"/>
  <c r="C210" i="3"/>
  <c r="B210" i="3"/>
  <c r="A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E209" i="3"/>
  <c r="E431" i="3" s="1"/>
  <c r="D209" i="3"/>
  <c r="D431" i="3" s="1"/>
  <c r="C209" i="3"/>
  <c r="C431" i="3" s="1"/>
  <c r="B209" i="3"/>
  <c r="B431" i="3" s="1"/>
  <c r="A209" i="3"/>
  <c r="A431" i="3" s="1"/>
  <c r="AC208" i="3"/>
  <c r="AB208" i="3"/>
  <c r="AA208" i="3"/>
  <c r="Z208" i="3"/>
  <c r="Y208" i="3"/>
  <c r="X208" i="3"/>
  <c r="W208" i="3"/>
  <c r="V208" i="3"/>
  <c r="U208" i="3"/>
  <c r="T208" i="3"/>
  <c r="S208" i="3"/>
  <c r="R208" i="3"/>
  <c r="E208" i="3"/>
  <c r="E430" i="3" s="1"/>
  <c r="D208" i="3"/>
  <c r="D430" i="3" s="1"/>
  <c r="C208" i="3"/>
  <c r="C430" i="3" s="1"/>
  <c r="B208" i="3"/>
  <c r="B430" i="3" s="1"/>
  <c r="A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E207" i="3"/>
  <c r="D207" i="3"/>
  <c r="C207" i="3"/>
  <c r="C429" i="3" s="1"/>
  <c r="B207" i="3"/>
  <c r="B429" i="3" s="1"/>
  <c r="A207" i="3"/>
  <c r="A429" i="3" s="1"/>
  <c r="AC206" i="3"/>
  <c r="AB206" i="3"/>
  <c r="AA206" i="3"/>
  <c r="Z206" i="3"/>
  <c r="Y206" i="3"/>
  <c r="X206" i="3"/>
  <c r="W206" i="3"/>
  <c r="V206" i="3"/>
  <c r="U206" i="3"/>
  <c r="T206" i="3"/>
  <c r="S206" i="3"/>
  <c r="R206" i="3"/>
  <c r="E206" i="3"/>
  <c r="E428" i="3" s="1"/>
  <c r="D206" i="3"/>
  <c r="D428" i="3" s="1"/>
  <c r="C206" i="3"/>
  <c r="C428" i="3" s="1"/>
  <c r="B206" i="3"/>
  <c r="B428" i="3" s="1"/>
  <c r="A206" i="3"/>
  <c r="A428" i="3" s="1"/>
  <c r="AC205" i="3"/>
  <c r="AB205" i="3"/>
  <c r="AA205" i="3"/>
  <c r="Z205" i="3"/>
  <c r="Y205" i="3"/>
  <c r="X205" i="3"/>
  <c r="W205" i="3"/>
  <c r="V205" i="3"/>
  <c r="U205" i="3"/>
  <c r="T205" i="3"/>
  <c r="S205" i="3"/>
  <c r="R205" i="3"/>
  <c r="E205" i="3"/>
  <c r="E427" i="3" s="1"/>
  <c r="D205" i="3"/>
  <c r="C205" i="3"/>
  <c r="B205" i="3"/>
  <c r="A205" i="3"/>
  <c r="A427" i="3" s="1"/>
  <c r="AC204" i="3"/>
  <c r="AB204" i="3"/>
  <c r="AA204" i="3"/>
  <c r="Z204" i="3"/>
  <c r="Y204" i="3"/>
  <c r="X204" i="3"/>
  <c r="W204" i="3"/>
  <c r="V204" i="3"/>
  <c r="U204" i="3"/>
  <c r="T204" i="3"/>
  <c r="S204" i="3"/>
  <c r="R204" i="3"/>
  <c r="E204" i="3"/>
  <c r="B204" i="3"/>
  <c r="A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E203" i="3"/>
  <c r="E426" i="3" s="1"/>
  <c r="D203" i="3"/>
  <c r="D426" i="3" s="1"/>
  <c r="C203" i="3"/>
  <c r="C426" i="3" s="1"/>
  <c r="B203" i="3"/>
  <c r="B426" i="3" s="1"/>
  <c r="A203" i="3"/>
  <c r="A426" i="3" s="1"/>
  <c r="AC202" i="3"/>
  <c r="AB202" i="3"/>
  <c r="AA202" i="3"/>
  <c r="Z202" i="3"/>
  <c r="Y202" i="3"/>
  <c r="X202" i="3"/>
  <c r="W202" i="3"/>
  <c r="V202" i="3"/>
  <c r="U202" i="3"/>
  <c r="T202" i="3"/>
  <c r="S202" i="3"/>
  <c r="R202" i="3"/>
  <c r="E202" i="3"/>
  <c r="D202" i="3"/>
  <c r="C202" i="3"/>
  <c r="B202" i="3"/>
  <c r="B425" i="3" s="1"/>
  <c r="A202" i="3"/>
  <c r="A425" i="3" s="1"/>
  <c r="AC201" i="3"/>
  <c r="AB201" i="3"/>
  <c r="AA201" i="3"/>
  <c r="Z201" i="3"/>
  <c r="Y201" i="3"/>
  <c r="X201" i="3"/>
  <c r="W201" i="3"/>
  <c r="V201" i="3"/>
  <c r="U201" i="3"/>
  <c r="T201" i="3"/>
  <c r="S201" i="3"/>
  <c r="R201" i="3"/>
  <c r="E201" i="3"/>
  <c r="E424" i="3" s="1"/>
  <c r="D201" i="3"/>
  <c r="D424" i="3" s="1"/>
  <c r="C201" i="3"/>
  <c r="C424" i="3" s="1"/>
  <c r="B201" i="3"/>
  <c r="B424" i="3" s="1"/>
  <c r="A201" i="3"/>
  <c r="A424" i="3" s="1"/>
  <c r="AC200" i="3"/>
  <c r="AB200" i="3"/>
  <c r="AA200" i="3"/>
  <c r="Z200" i="3"/>
  <c r="Y200" i="3"/>
  <c r="X200" i="3"/>
  <c r="W200" i="3"/>
  <c r="V200" i="3"/>
  <c r="U200" i="3"/>
  <c r="T200" i="3"/>
  <c r="S200" i="3"/>
  <c r="R200" i="3"/>
  <c r="E200" i="3"/>
  <c r="E423" i="3" s="1"/>
  <c r="D200" i="3"/>
  <c r="D423" i="3" s="1"/>
  <c r="C200" i="3"/>
  <c r="B200" i="3"/>
  <c r="A200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E199" i="3"/>
  <c r="E422" i="3" s="1"/>
  <c r="D199" i="3"/>
  <c r="D422" i="3" s="1"/>
  <c r="C199" i="3"/>
  <c r="C422" i="3" s="1"/>
  <c r="B199" i="3"/>
  <c r="B422" i="3" s="1"/>
  <c r="A199" i="3"/>
  <c r="A422" i="3" s="1"/>
  <c r="AC198" i="3"/>
  <c r="AB198" i="3"/>
  <c r="AA198" i="3"/>
  <c r="Z198" i="3"/>
  <c r="Y198" i="3"/>
  <c r="X198" i="3"/>
  <c r="W198" i="3"/>
  <c r="V198" i="3"/>
  <c r="U198" i="3"/>
  <c r="T198" i="3"/>
  <c r="S198" i="3"/>
  <c r="R198" i="3"/>
  <c r="E198" i="3"/>
  <c r="E421" i="3" s="1"/>
  <c r="D198" i="3"/>
  <c r="D421" i="3" s="1"/>
  <c r="C198" i="3"/>
  <c r="C421" i="3" s="1"/>
  <c r="B198" i="3"/>
  <c r="B421" i="3" s="1"/>
  <c r="A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E197" i="3"/>
  <c r="D197" i="3"/>
  <c r="C197" i="3"/>
  <c r="C420" i="3" s="1"/>
  <c r="B197" i="3"/>
  <c r="B420" i="3" s="1"/>
  <c r="A197" i="3"/>
  <c r="A420" i="3" s="1"/>
  <c r="AC196" i="3"/>
  <c r="AB196" i="3"/>
  <c r="AA196" i="3"/>
  <c r="Z196" i="3"/>
  <c r="Y196" i="3"/>
  <c r="X196" i="3"/>
  <c r="W196" i="3"/>
  <c r="V196" i="3"/>
  <c r="U196" i="3"/>
  <c r="T196" i="3"/>
  <c r="S196" i="3"/>
  <c r="R196" i="3"/>
  <c r="E196" i="3"/>
  <c r="E419" i="3" s="1"/>
  <c r="D196" i="3"/>
  <c r="D419" i="3" s="1"/>
  <c r="C196" i="3"/>
  <c r="C419" i="3" s="1"/>
  <c r="B196" i="3"/>
  <c r="B419" i="3" s="1"/>
  <c r="A196" i="3"/>
  <c r="A419" i="3" s="1"/>
  <c r="AC195" i="3"/>
  <c r="AB195" i="3"/>
  <c r="AA195" i="3"/>
  <c r="Z195" i="3"/>
  <c r="Y195" i="3"/>
  <c r="X195" i="3"/>
  <c r="W195" i="3"/>
  <c r="V195" i="3"/>
  <c r="U195" i="3"/>
  <c r="T195" i="3"/>
  <c r="S195" i="3"/>
  <c r="R195" i="3"/>
  <c r="E195" i="3"/>
  <c r="E418" i="3" s="1"/>
  <c r="D195" i="3"/>
  <c r="C195" i="3"/>
  <c r="B195" i="3"/>
  <c r="A195" i="3"/>
  <c r="A418" i="3" s="1"/>
  <c r="AC194" i="3"/>
  <c r="AB194" i="3"/>
  <c r="AA194" i="3"/>
  <c r="Z194" i="3"/>
  <c r="Y194" i="3"/>
  <c r="X194" i="3"/>
  <c r="W194" i="3"/>
  <c r="V194" i="3"/>
  <c r="U194" i="3"/>
  <c r="T194" i="3"/>
  <c r="S194" i="3"/>
  <c r="R194" i="3"/>
  <c r="E194" i="3"/>
  <c r="E417" i="3" s="1"/>
  <c r="D194" i="3"/>
  <c r="D417" i="3" s="1"/>
  <c r="C194" i="3"/>
  <c r="C417" i="3" s="1"/>
  <c r="B194" i="3"/>
  <c r="B417" i="3" s="1"/>
  <c r="A194" i="3"/>
  <c r="A417" i="3" s="1"/>
  <c r="AC193" i="3"/>
  <c r="AB193" i="3"/>
  <c r="AA193" i="3"/>
  <c r="Z193" i="3"/>
  <c r="Y193" i="3"/>
  <c r="X193" i="3"/>
  <c r="W193" i="3"/>
  <c r="V193" i="3"/>
  <c r="U193" i="3"/>
  <c r="T193" i="3"/>
  <c r="S193" i="3"/>
  <c r="R193" i="3"/>
  <c r="E193" i="3"/>
  <c r="E416" i="3" s="1"/>
  <c r="D193" i="3"/>
  <c r="D416" i="3" s="1"/>
  <c r="C193" i="3"/>
  <c r="C416" i="3" s="1"/>
  <c r="B193" i="3"/>
  <c r="A193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E192" i="3"/>
  <c r="D192" i="3"/>
  <c r="D415" i="3" s="1"/>
  <c r="C192" i="3"/>
  <c r="C415" i="3" s="1"/>
  <c r="B192" i="3"/>
  <c r="B415" i="3" s="1"/>
  <c r="A192" i="3"/>
  <c r="A415" i="3" s="1"/>
  <c r="AC191" i="3"/>
  <c r="AB191" i="3"/>
  <c r="AA191" i="3"/>
  <c r="Z191" i="3"/>
  <c r="Y191" i="3"/>
  <c r="X191" i="3"/>
  <c r="W191" i="3"/>
  <c r="V191" i="3"/>
  <c r="U191" i="3"/>
  <c r="T191" i="3"/>
  <c r="S191" i="3"/>
  <c r="R191" i="3"/>
  <c r="E191" i="3"/>
  <c r="E414" i="3" s="1"/>
  <c r="D191" i="3"/>
  <c r="D414" i="3" s="1"/>
  <c r="C191" i="3"/>
  <c r="C414" i="3" s="1"/>
  <c r="B191" i="3"/>
  <c r="B414" i="3" s="1"/>
  <c r="A191" i="3"/>
  <c r="A414" i="3" s="1"/>
  <c r="AC190" i="3"/>
  <c r="AB190" i="3"/>
  <c r="AA190" i="3"/>
  <c r="Z190" i="3"/>
  <c r="Y190" i="3"/>
  <c r="X190" i="3"/>
  <c r="W190" i="3"/>
  <c r="V190" i="3"/>
  <c r="U190" i="3"/>
  <c r="T190" i="3"/>
  <c r="S190" i="3"/>
  <c r="R190" i="3"/>
  <c r="E190" i="3"/>
  <c r="D190" i="3"/>
  <c r="C190" i="3"/>
  <c r="B190" i="3"/>
  <c r="B413" i="3" s="1"/>
  <c r="A190" i="3"/>
  <c r="A413" i="3" s="1"/>
  <c r="AC189" i="3"/>
  <c r="AB189" i="3"/>
  <c r="AA189" i="3"/>
  <c r="Z189" i="3"/>
  <c r="Y189" i="3"/>
  <c r="X189" i="3"/>
  <c r="W189" i="3"/>
  <c r="V189" i="3"/>
  <c r="U189" i="3"/>
  <c r="T189" i="3"/>
  <c r="S189" i="3"/>
  <c r="R189" i="3"/>
  <c r="E189" i="3"/>
  <c r="E412" i="3" s="1"/>
  <c r="D189" i="3"/>
  <c r="D412" i="3" s="1"/>
  <c r="C189" i="3"/>
  <c r="C412" i="3" s="1"/>
  <c r="B189" i="3"/>
  <c r="B412" i="3" s="1"/>
  <c r="A189" i="3"/>
  <c r="A412" i="3" s="1"/>
  <c r="AC188" i="3"/>
  <c r="AB188" i="3"/>
  <c r="AA188" i="3"/>
  <c r="Z188" i="3"/>
  <c r="Y188" i="3"/>
  <c r="X188" i="3"/>
  <c r="W188" i="3"/>
  <c r="V188" i="3"/>
  <c r="U188" i="3"/>
  <c r="T188" i="3"/>
  <c r="S188" i="3"/>
  <c r="R188" i="3"/>
  <c r="E188" i="3"/>
  <c r="E411" i="3" s="1"/>
  <c r="D188" i="3"/>
  <c r="D411" i="3" s="1"/>
  <c r="C188" i="3"/>
  <c r="B188" i="3"/>
  <c r="A188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E187" i="3"/>
  <c r="E410" i="3" s="1"/>
  <c r="D187" i="3"/>
  <c r="D410" i="3" s="1"/>
  <c r="C187" i="3"/>
  <c r="C410" i="3" s="1"/>
  <c r="B187" i="3"/>
  <c r="B410" i="3" s="1"/>
  <c r="A187" i="3"/>
  <c r="A410" i="3" s="1"/>
  <c r="AC186" i="3"/>
  <c r="AB186" i="3"/>
  <c r="AA186" i="3"/>
  <c r="Z186" i="3"/>
  <c r="Y186" i="3"/>
  <c r="X186" i="3"/>
  <c r="W186" i="3"/>
  <c r="V186" i="3"/>
  <c r="U186" i="3"/>
  <c r="T186" i="3"/>
  <c r="S186" i="3"/>
  <c r="R186" i="3"/>
  <c r="E186" i="3"/>
  <c r="B186" i="3"/>
  <c r="A186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E185" i="3"/>
  <c r="E409" i="3" s="1"/>
  <c r="D185" i="3"/>
  <c r="C185" i="3"/>
  <c r="C409" i="3" s="1"/>
  <c r="B185" i="3"/>
  <c r="B409" i="3" s="1"/>
  <c r="A185" i="3"/>
  <c r="A409" i="3" s="1"/>
  <c r="AC184" i="3"/>
  <c r="AB184" i="3"/>
  <c r="AA184" i="3"/>
  <c r="Z184" i="3"/>
  <c r="Y184" i="3"/>
  <c r="X184" i="3"/>
  <c r="W184" i="3"/>
  <c r="V184" i="3"/>
  <c r="U184" i="3"/>
  <c r="T184" i="3"/>
  <c r="S184" i="3"/>
  <c r="R184" i="3"/>
  <c r="E184" i="3"/>
  <c r="E408" i="3" s="1"/>
  <c r="D184" i="3"/>
  <c r="D408" i="3" s="1"/>
  <c r="C184" i="3"/>
  <c r="C408" i="3" s="1"/>
  <c r="B184" i="3"/>
  <c r="B408" i="3" s="1"/>
  <c r="A184" i="3"/>
  <c r="A408" i="3" s="1"/>
  <c r="AC183" i="3"/>
  <c r="AB183" i="3"/>
  <c r="AA183" i="3"/>
  <c r="Z183" i="3"/>
  <c r="Y183" i="3"/>
  <c r="X183" i="3"/>
  <c r="W183" i="3"/>
  <c r="V183" i="3"/>
  <c r="U183" i="3"/>
  <c r="T183" i="3"/>
  <c r="S183" i="3"/>
  <c r="R183" i="3"/>
  <c r="E183" i="3"/>
  <c r="E407" i="3" s="1"/>
  <c r="D183" i="3"/>
  <c r="D407" i="3" s="1"/>
  <c r="C183" i="3"/>
  <c r="C407" i="3" s="1"/>
  <c r="B183" i="3"/>
  <c r="A183" i="3"/>
  <c r="A407" i="3" s="1"/>
  <c r="AC182" i="3"/>
  <c r="AB182" i="3"/>
  <c r="AA182" i="3"/>
  <c r="Z182" i="3"/>
  <c r="Y182" i="3"/>
  <c r="X182" i="3"/>
  <c r="W182" i="3"/>
  <c r="V182" i="3"/>
  <c r="U182" i="3"/>
  <c r="T182" i="3"/>
  <c r="S182" i="3"/>
  <c r="R182" i="3"/>
  <c r="E182" i="3"/>
  <c r="E406" i="3" s="1"/>
  <c r="D182" i="3"/>
  <c r="D406" i="3" s="1"/>
  <c r="C182" i="3"/>
  <c r="C406" i="3" s="1"/>
  <c r="B182" i="3"/>
  <c r="B406" i="3" s="1"/>
  <c r="A182" i="3"/>
  <c r="A406" i="3" s="1"/>
  <c r="AC181" i="3"/>
  <c r="AB181" i="3"/>
  <c r="AA181" i="3"/>
  <c r="Z181" i="3"/>
  <c r="Y181" i="3"/>
  <c r="X181" i="3"/>
  <c r="W181" i="3"/>
  <c r="V181" i="3"/>
  <c r="U181" i="3"/>
  <c r="T181" i="3"/>
  <c r="S181" i="3"/>
  <c r="R181" i="3"/>
  <c r="E181" i="3"/>
  <c r="E405" i="3" s="1"/>
  <c r="D181" i="3"/>
  <c r="D405" i="3" s="1"/>
  <c r="C181" i="3"/>
  <c r="C405" i="3" s="1"/>
  <c r="B181" i="3"/>
  <c r="B405" i="3" s="1"/>
  <c r="A181" i="3"/>
  <c r="A405" i="3" s="1"/>
  <c r="AC180" i="3"/>
  <c r="AB180" i="3"/>
  <c r="AA180" i="3"/>
  <c r="Z180" i="3"/>
  <c r="Y180" i="3"/>
  <c r="X180" i="3"/>
  <c r="W180" i="3"/>
  <c r="V180" i="3"/>
  <c r="U180" i="3"/>
  <c r="T180" i="3"/>
  <c r="S180" i="3"/>
  <c r="R180" i="3"/>
  <c r="E180" i="3"/>
  <c r="D180" i="3"/>
  <c r="D404" i="3" s="1"/>
  <c r="C180" i="3"/>
  <c r="C404" i="3" s="1"/>
  <c r="B180" i="3"/>
  <c r="B404" i="3" s="1"/>
  <c r="A180" i="3"/>
  <c r="A404" i="3" s="1"/>
  <c r="AC179" i="3"/>
  <c r="AB179" i="3"/>
  <c r="AA179" i="3"/>
  <c r="Z179" i="3"/>
  <c r="Y179" i="3"/>
  <c r="X179" i="3"/>
  <c r="W179" i="3"/>
  <c r="V179" i="3"/>
  <c r="U179" i="3"/>
  <c r="T179" i="3"/>
  <c r="S179" i="3"/>
  <c r="R179" i="3"/>
  <c r="E179" i="3"/>
  <c r="E403" i="3" s="1"/>
  <c r="D179" i="3"/>
  <c r="D403" i="3" s="1"/>
  <c r="C179" i="3"/>
  <c r="C403" i="3" s="1"/>
  <c r="B179" i="3"/>
  <c r="B403" i="3" s="1"/>
  <c r="A179" i="3"/>
  <c r="A403" i="3" s="1"/>
  <c r="AC178" i="3"/>
  <c r="AB178" i="3"/>
  <c r="AA178" i="3"/>
  <c r="Z178" i="3"/>
  <c r="Y178" i="3"/>
  <c r="X178" i="3"/>
  <c r="W178" i="3"/>
  <c r="V178" i="3"/>
  <c r="U178" i="3"/>
  <c r="T178" i="3"/>
  <c r="S178" i="3"/>
  <c r="R178" i="3"/>
  <c r="E178" i="3"/>
  <c r="E402" i="3" s="1"/>
  <c r="D178" i="3"/>
  <c r="D402" i="3" s="1"/>
  <c r="C178" i="3"/>
  <c r="B178" i="3"/>
  <c r="B402" i="3" s="1"/>
  <c r="A178" i="3"/>
  <c r="A402" i="3" s="1"/>
  <c r="AC177" i="3"/>
  <c r="AB177" i="3"/>
  <c r="AA177" i="3"/>
  <c r="Z177" i="3"/>
  <c r="Y177" i="3"/>
  <c r="X177" i="3"/>
  <c r="W177" i="3"/>
  <c r="V177" i="3"/>
  <c r="U177" i="3"/>
  <c r="T177" i="3"/>
  <c r="S177" i="3"/>
  <c r="R177" i="3"/>
  <c r="E177" i="3"/>
  <c r="E401" i="3" s="1"/>
  <c r="D177" i="3"/>
  <c r="D401" i="3" s="1"/>
  <c r="C177" i="3"/>
  <c r="C401" i="3" s="1"/>
  <c r="B177" i="3"/>
  <c r="B401" i="3" s="1"/>
  <c r="A177" i="3"/>
  <c r="A401" i="3" s="1"/>
  <c r="AC176" i="3"/>
  <c r="AB176" i="3"/>
  <c r="AA176" i="3"/>
  <c r="Z176" i="3"/>
  <c r="Y176" i="3"/>
  <c r="X176" i="3"/>
  <c r="W176" i="3"/>
  <c r="V176" i="3"/>
  <c r="U176" i="3"/>
  <c r="T176" i="3"/>
  <c r="S176" i="3"/>
  <c r="R176" i="3"/>
  <c r="E176" i="3"/>
  <c r="E400" i="3" s="1"/>
  <c r="D176" i="3"/>
  <c r="D400" i="3" s="1"/>
  <c r="C176" i="3"/>
  <c r="C400" i="3" s="1"/>
  <c r="B176" i="3"/>
  <c r="B400" i="3" s="1"/>
  <c r="A176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E175" i="3"/>
  <c r="E399" i="3" s="1"/>
  <c r="D175" i="3"/>
  <c r="D399" i="3" s="1"/>
  <c r="C175" i="3"/>
  <c r="C399" i="3" s="1"/>
  <c r="B175" i="3"/>
  <c r="B399" i="3" s="1"/>
  <c r="A175" i="3"/>
  <c r="A399" i="3" s="1"/>
  <c r="AC174" i="3"/>
  <c r="AB174" i="3"/>
  <c r="AA174" i="3"/>
  <c r="Z174" i="3"/>
  <c r="Y174" i="3"/>
  <c r="X174" i="3"/>
  <c r="W174" i="3"/>
  <c r="V174" i="3"/>
  <c r="U174" i="3"/>
  <c r="T174" i="3"/>
  <c r="S174" i="3"/>
  <c r="R174" i="3"/>
  <c r="E174" i="3"/>
  <c r="E398" i="3" s="1"/>
  <c r="D174" i="3"/>
  <c r="D398" i="3" s="1"/>
  <c r="C174" i="3"/>
  <c r="C398" i="3" s="1"/>
  <c r="B174" i="3"/>
  <c r="B398" i="3" s="1"/>
  <c r="A174" i="3"/>
  <c r="A398" i="3" s="1"/>
  <c r="AC173" i="3"/>
  <c r="AB173" i="3"/>
  <c r="AA173" i="3"/>
  <c r="Z173" i="3"/>
  <c r="Y173" i="3"/>
  <c r="X173" i="3"/>
  <c r="W173" i="3"/>
  <c r="V173" i="3"/>
  <c r="U173" i="3"/>
  <c r="T173" i="3"/>
  <c r="S173" i="3"/>
  <c r="R173" i="3"/>
  <c r="E173" i="3"/>
  <c r="E397" i="3" s="1"/>
  <c r="D173" i="3"/>
  <c r="D397" i="3" s="1"/>
  <c r="C173" i="3"/>
  <c r="C397" i="3" s="1"/>
  <c r="B173" i="3"/>
  <c r="B397" i="3" s="1"/>
  <c r="A173" i="3"/>
  <c r="A397" i="3" s="1"/>
  <c r="AC172" i="3"/>
  <c r="AB172" i="3"/>
  <c r="AA172" i="3"/>
  <c r="Z172" i="3"/>
  <c r="Y172" i="3"/>
  <c r="X172" i="3"/>
  <c r="W172" i="3"/>
  <c r="V172" i="3"/>
  <c r="U172" i="3"/>
  <c r="T172" i="3"/>
  <c r="S172" i="3"/>
  <c r="R172" i="3"/>
  <c r="E172" i="3"/>
  <c r="E396" i="3" s="1"/>
  <c r="D172" i="3"/>
  <c r="D396" i="3" s="1"/>
  <c r="C172" i="3"/>
  <c r="C396" i="3" s="1"/>
  <c r="B172" i="3"/>
  <c r="B396" i="3" s="1"/>
  <c r="A172" i="3"/>
  <c r="A396" i="3" s="1"/>
  <c r="AC171" i="3"/>
  <c r="AB171" i="3"/>
  <c r="AA171" i="3"/>
  <c r="Z171" i="3"/>
  <c r="Y171" i="3"/>
  <c r="X171" i="3"/>
  <c r="W171" i="3"/>
  <c r="V171" i="3"/>
  <c r="U171" i="3"/>
  <c r="T171" i="3"/>
  <c r="S171" i="3"/>
  <c r="R171" i="3"/>
  <c r="E171" i="3"/>
  <c r="E395" i="3" s="1"/>
  <c r="D171" i="3"/>
  <c r="D395" i="3" s="1"/>
  <c r="C171" i="3"/>
  <c r="C395" i="3" s="1"/>
  <c r="B171" i="3"/>
  <c r="B395" i="3" s="1"/>
  <c r="A171" i="3"/>
  <c r="A395" i="3" s="1"/>
  <c r="AC170" i="3"/>
  <c r="AB170" i="3"/>
  <c r="AA170" i="3"/>
  <c r="Z170" i="3"/>
  <c r="Y170" i="3"/>
  <c r="X170" i="3"/>
  <c r="W170" i="3"/>
  <c r="V170" i="3"/>
  <c r="U170" i="3"/>
  <c r="T170" i="3"/>
  <c r="S170" i="3"/>
  <c r="R170" i="3"/>
  <c r="E170" i="3"/>
  <c r="E394" i="3" s="1"/>
  <c r="D170" i="3"/>
  <c r="D394" i="3" s="1"/>
  <c r="C170" i="3"/>
  <c r="C394" i="3" s="1"/>
  <c r="B170" i="3"/>
  <c r="B394" i="3" s="1"/>
  <c r="A170" i="3"/>
  <c r="A394" i="3" s="1"/>
  <c r="AC169" i="3"/>
  <c r="AB169" i="3"/>
  <c r="AA169" i="3"/>
  <c r="Z169" i="3"/>
  <c r="Y169" i="3"/>
  <c r="X169" i="3"/>
  <c r="W169" i="3"/>
  <c r="V169" i="3"/>
  <c r="U169" i="3"/>
  <c r="T169" i="3"/>
  <c r="S169" i="3"/>
  <c r="R169" i="3"/>
  <c r="E169" i="3"/>
  <c r="E393" i="3" s="1"/>
  <c r="D169" i="3"/>
  <c r="D393" i="3" s="1"/>
  <c r="C169" i="3"/>
  <c r="C393" i="3" s="1"/>
  <c r="B169" i="3"/>
  <c r="B393" i="3" s="1"/>
  <c r="A169" i="3"/>
  <c r="A393" i="3" s="1"/>
  <c r="AC168" i="3"/>
  <c r="AB168" i="3"/>
  <c r="AA168" i="3"/>
  <c r="Z168" i="3"/>
  <c r="Y168" i="3"/>
  <c r="X168" i="3"/>
  <c r="W168" i="3"/>
  <c r="V168" i="3"/>
  <c r="U168" i="3"/>
  <c r="T168" i="3"/>
  <c r="S168" i="3"/>
  <c r="R168" i="3"/>
  <c r="E168" i="3"/>
  <c r="E168" i="2" s="1"/>
  <c r="B168" i="3"/>
  <c r="A168" i="3"/>
  <c r="A168" i="2" s="1"/>
  <c r="AC167" i="3"/>
  <c r="AB167" i="3"/>
  <c r="AA167" i="3"/>
  <c r="Z167" i="3"/>
  <c r="Y167" i="3"/>
  <c r="X167" i="3"/>
  <c r="W167" i="3"/>
  <c r="V167" i="3"/>
  <c r="U167" i="3"/>
  <c r="T167" i="3"/>
  <c r="S167" i="3"/>
  <c r="R167" i="3"/>
  <c r="E167" i="3"/>
  <c r="B167" i="3"/>
  <c r="A167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E166" i="3"/>
  <c r="E392" i="3" s="1"/>
  <c r="D166" i="3"/>
  <c r="D392" i="3" s="1"/>
  <c r="C166" i="3"/>
  <c r="C392" i="3" s="1"/>
  <c r="B166" i="3"/>
  <c r="B392" i="3" s="1"/>
  <c r="A166" i="3"/>
  <c r="A392" i="3" s="1"/>
  <c r="AC165" i="3"/>
  <c r="AB165" i="3"/>
  <c r="AA165" i="3"/>
  <c r="Z165" i="3"/>
  <c r="Y165" i="3"/>
  <c r="X165" i="3"/>
  <c r="W165" i="3"/>
  <c r="V165" i="3"/>
  <c r="U165" i="3"/>
  <c r="T165" i="3"/>
  <c r="S165" i="3"/>
  <c r="R165" i="3"/>
  <c r="E165" i="3"/>
  <c r="E391" i="3" s="1"/>
  <c r="D165" i="3"/>
  <c r="C165" i="3"/>
  <c r="B165" i="3"/>
  <c r="A165" i="3"/>
  <c r="A391" i="3" s="1"/>
  <c r="AC164" i="3"/>
  <c r="AB164" i="3"/>
  <c r="AA164" i="3"/>
  <c r="Z164" i="3"/>
  <c r="Y164" i="3"/>
  <c r="X164" i="3"/>
  <c r="W164" i="3"/>
  <c r="V164" i="3"/>
  <c r="U164" i="3"/>
  <c r="T164" i="3"/>
  <c r="S164" i="3"/>
  <c r="R164" i="3"/>
  <c r="E164" i="3"/>
  <c r="E390" i="3" s="1"/>
  <c r="D164" i="3"/>
  <c r="D390" i="3" s="1"/>
  <c r="C164" i="3"/>
  <c r="C390" i="3" s="1"/>
  <c r="B164" i="3"/>
  <c r="B390" i="3" s="1"/>
  <c r="A164" i="3"/>
  <c r="A390" i="3" s="1"/>
  <c r="AC163" i="3"/>
  <c r="AB163" i="3"/>
  <c r="AA163" i="3"/>
  <c r="Z163" i="3"/>
  <c r="Y163" i="3"/>
  <c r="X163" i="3"/>
  <c r="W163" i="3"/>
  <c r="V163" i="3"/>
  <c r="U163" i="3"/>
  <c r="T163" i="3"/>
  <c r="S163" i="3"/>
  <c r="R163" i="3"/>
  <c r="E163" i="3"/>
  <c r="E389" i="3" s="1"/>
  <c r="D163" i="3"/>
  <c r="D389" i="3" s="1"/>
  <c r="C163" i="3"/>
  <c r="C389" i="3" s="1"/>
  <c r="B163" i="3"/>
  <c r="A163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E162" i="3"/>
  <c r="D162" i="3"/>
  <c r="D388" i="3" s="1"/>
  <c r="C162" i="3"/>
  <c r="C388" i="3" s="1"/>
  <c r="B162" i="3"/>
  <c r="B388" i="3" s="1"/>
  <c r="A162" i="3"/>
  <c r="A388" i="3" s="1"/>
  <c r="AC161" i="3"/>
  <c r="AB161" i="3"/>
  <c r="AA161" i="3"/>
  <c r="Z161" i="3"/>
  <c r="Y161" i="3"/>
  <c r="X161" i="3"/>
  <c r="W161" i="3"/>
  <c r="V161" i="3"/>
  <c r="U161" i="3"/>
  <c r="T161" i="3"/>
  <c r="S161" i="3"/>
  <c r="R161" i="3"/>
  <c r="E161" i="3"/>
  <c r="E387" i="3" s="1"/>
  <c r="D161" i="3"/>
  <c r="D387" i="3" s="1"/>
  <c r="C161" i="3"/>
  <c r="C387" i="3" s="1"/>
  <c r="B161" i="3"/>
  <c r="B387" i="3" s="1"/>
  <c r="A161" i="3"/>
  <c r="A387" i="3" s="1"/>
  <c r="AC160" i="3"/>
  <c r="AB160" i="3"/>
  <c r="AA160" i="3"/>
  <c r="Z160" i="3"/>
  <c r="Y160" i="3"/>
  <c r="X160" i="3"/>
  <c r="W160" i="3"/>
  <c r="V160" i="3"/>
  <c r="U160" i="3"/>
  <c r="T160" i="3"/>
  <c r="S160" i="3"/>
  <c r="R160" i="3"/>
  <c r="E160" i="3"/>
  <c r="D160" i="3"/>
  <c r="C160" i="3"/>
  <c r="B160" i="3"/>
  <c r="B386" i="3" s="1"/>
  <c r="A160" i="3"/>
  <c r="A386" i="3" s="1"/>
  <c r="AC159" i="3"/>
  <c r="AB159" i="3"/>
  <c r="AA159" i="3"/>
  <c r="Z159" i="3"/>
  <c r="Y159" i="3"/>
  <c r="X159" i="3"/>
  <c r="W159" i="3"/>
  <c r="V159" i="3"/>
  <c r="U159" i="3"/>
  <c r="T159" i="3"/>
  <c r="S159" i="3"/>
  <c r="R159" i="3"/>
  <c r="E159" i="3"/>
  <c r="E385" i="3" s="1"/>
  <c r="D159" i="3"/>
  <c r="D385" i="3" s="1"/>
  <c r="C159" i="3"/>
  <c r="C385" i="3" s="1"/>
  <c r="B159" i="3"/>
  <c r="B385" i="3" s="1"/>
  <c r="A159" i="3"/>
  <c r="A385" i="3" s="1"/>
  <c r="AC158" i="3"/>
  <c r="AB158" i="3"/>
  <c r="AA158" i="3"/>
  <c r="Z158" i="3"/>
  <c r="Y158" i="3"/>
  <c r="X158" i="3"/>
  <c r="W158" i="3"/>
  <c r="V158" i="3"/>
  <c r="U158" i="3"/>
  <c r="T158" i="3"/>
  <c r="S158" i="3"/>
  <c r="R158" i="3"/>
  <c r="E158" i="3"/>
  <c r="E384" i="3" s="1"/>
  <c r="D158" i="3"/>
  <c r="D384" i="3" s="1"/>
  <c r="C158" i="3"/>
  <c r="B158" i="3"/>
  <c r="A158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E157" i="3"/>
  <c r="E383" i="3" s="1"/>
  <c r="D157" i="3"/>
  <c r="D383" i="3" s="1"/>
  <c r="C157" i="3"/>
  <c r="C383" i="3" s="1"/>
  <c r="B157" i="3"/>
  <c r="B383" i="3" s="1"/>
  <c r="A157" i="3"/>
  <c r="A383" i="3" s="1"/>
  <c r="AC156" i="3"/>
  <c r="AB156" i="3"/>
  <c r="AA156" i="3"/>
  <c r="Z156" i="3"/>
  <c r="Y156" i="3"/>
  <c r="X156" i="3"/>
  <c r="W156" i="3"/>
  <c r="V156" i="3"/>
  <c r="U156" i="3"/>
  <c r="T156" i="3"/>
  <c r="S156" i="3"/>
  <c r="R156" i="3"/>
  <c r="E156" i="3"/>
  <c r="E382" i="3" s="1"/>
  <c r="D156" i="3"/>
  <c r="D382" i="3" s="1"/>
  <c r="C156" i="3"/>
  <c r="C382" i="3" s="1"/>
  <c r="B156" i="3"/>
  <c r="B382" i="3" s="1"/>
  <c r="A156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E155" i="3"/>
  <c r="D155" i="3"/>
  <c r="C155" i="3"/>
  <c r="C381" i="3" s="1"/>
  <c r="B155" i="3"/>
  <c r="B381" i="3" s="1"/>
  <c r="A155" i="3"/>
  <c r="A381" i="3" s="1"/>
  <c r="AC154" i="3"/>
  <c r="AB154" i="3"/>
  <c r="AA154" i="3"/>
  <c r="Z154" i="3"/>
  <c r="Y154" i="3"/>
  <c r="X154" i="3"/>
  <c r="W154" i="3"/>
  <c r="V154" i="3"/>
  <c r="U154" i="3"/>
  <c r="T154" i="3"/>
  <c r="S154" i="3"/>
  <c r="R154" i="3"/>
  <c r="E154" i="3"/>
  <c r="E380" i="3" s="1"/>
  <c r="D154" i="3"/>
  <c r="D380" i="3" s="1"/>
  <c r="C154" i="3"/>
  <c r="C380" i="3" s="1"/>
  <c r="B154" i="3"/>
  <c r="B380" i="3" s="1"/>
  <c r="A154" i="3"/>
  <c r="A380" i="3" s="1"/>
  <c r="AC153" i="3"/>
  <c r="AB153" i="3"/>
  <c r="AA153" i="3"/>
  <c r="Z153" i="3"/>
  <c r="Y153" i="3"/>
  <c r="X153" i="3"/>
  <c r="W153" i="3"/>
  <c r="V153" i="3"/>
  <c r="U153" i="3"/>
  <c r="T153" i="3"/>
  <c r="S153" i="3"/>
  <c r="R153" i="3"/>
  <c r="E153" i="3"/>
  <c r="E379" i="3" s="1"/>
  <c r="D153" i="3"/>
  <c r="C153" i="3"/>
  <c r="B153" i="3"/>
  <c r="A153" i="3"/>
  <c r="A379" i="3" s="1"/>
  <c r="AC152" i="3"/>
  <c r="AB152" i="3"/>
  <c r="AA152" i="3"/>
  <c r="Z152" i="3"/>
  <c r="Y152" i="3"/>
  <c r="X152" i="3"/>
  <c r="W152" i="3"/>
  <c r="V152" i="3"/>
  <c r="U152" i="3"/>
  <c r="T152" i="3"/>
  <c r="S152" i="3"/>
  <c r="R152" i="3"/>
  <c r="E152" i="3"/>
  <c r="E378" i="3" s="1"/>
  <c r="D152" i="3"/>
  <c r="D378" i="3" s="1"/>
  <c r="C152" i="3"/>
  <c r="C378" i="3" s="1"/>
  <c r="B152" i="3"/>
  <c r="B378" i="3" s="1"/>
  <c r="A152" i="3"/>
  <c r="A378" i="3" s="1"/>
  <c r="AC151" i="3"/>
  <c r="AB151" i="3"/>
  <c r="AA151" i="3"/>
  <c r="Z151" i="3"/>
  <c r="Y151" i="3"/>
  <c r="X151" i="3"/>
  <c r="W151" i="3"/>
  <c r="V151" i="3"/>
  <c r="U151" i="3"/>
  <c r="T151" i="3"/>
  <c r="S151" i="3"/>
  <c r="R151" i="3"/>
  <c r="E151" i="3"/>
  <c r="E377" i="3" s="1"/>
  <c r="D151" i="3"/>
  <c r="D377" i="3" s="1"/>
  <c r="C151" i="3"/>
  <c r="C377" i="3" s="1"/>
  <c r="B151" i="3"/>
  <c r="A151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E150" i="3"/>
  <c r="D150" i="3"/>
  <c r="D376" i="3" s="1"/>
  <c r="C150" i="3"/>
  <c r="C376" i="3" s="1"/>
  <c r="B150" i="3"/>
  <c r="B376" i="3" s="1"/>
  <c r="A150" i="3"/>
  <c r="A376" i="3" s="1"/>
  <c r="AC149" i="3"/>
  <c r="AB149" i="3"/>
  <c r="AA149" i="3"/>
  <c r="Z149" i="3"/>
  <c r="Y149" i="3"/>
  <c r="X149" i="3"/>
  <c r="W149" i="3"/>
  <c r="V149" i="3"/>
  <c r="U149" i="3"/>
  <c r="T149" i="3"/>
  <c r="S149" i="3"/>
  <c r="R149" i="3"/>
  <c r="E149" i="3"/>
  <c r="B149" i="3"/>
  <c r="A149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E148" i="3"/>
  <c r="E375" i="3" s="1"/>
  <c r="D148" i="3"/>
  <c r="D375" i="3" s="1"/>
  <c r="C148" i="3"/>
  <c r="B148" i="3"/>
  <c r="A148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E147" i="3"/>
  <c r="E374" i="3" s="1"/>
  <c r="D147" i="3"/>
  <c r="D374" i="3" s="1"/>
  <c r="C147" i="3"/>
  <c r="C374" i="3" s="1"/>
  <c r="B147" i="3"/>
  <c r="B374" i="3" s="1"/>
  <c r="A147" i="3"/>
  <c r="A374" i="3" s="1"/>
  <c r="AC146" i="3"/>
  <c r="AB146" i="3"/>
  <c r="AA146" i="3"/>
  <c r="Z146" i="3"/>
  <c r="Y146" i="3"/>
  <c r="X146" i="3"/>
  <c r="W146" i="3"/>
  <c r="V146" i="3"/>
  <c r="U146" i="3"/>
  <c r="T146" i="3"/>
  <c r="S146" i="3"/>
  <c r="R146" i="3"/>
  <c r="E146" i="3"/>
  <c r="E373" i="3" s="1"/>
  <c r="D146" i="3"/>
  <c r="D373" i="3" s="1"/>
  <c r="C146" i="3"/>
  <c r="C373" i="3" s="1"/>
  <c r="B146" i="3"/>
  <c r="B373" i="3" s="1"/>
  <c r="A146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E145" i="3"/>
  <c r="D145" i="3"/>
  <c r="C145" i="3"/>
  <c r="C372" i="3" s="1"/>
  <c r="B145" i="3"/>
  <c r="B372" i="3" s="1"/>
  <c r="A145" i="3"/>
  <c r="A372" i="3" s="1"/>
  <c r="AC144" i="3"/>
  <c r="AB144" i="3"/>
  <c r="AA144" i="3"/>
  <c r="Z144" i="3"/>
  <c r="Y144" i="3"/>
  <c r="X144" i="3"/>
  <c r="W144" i="3"/>
  <c r="V144" i="3"/>
  <c r="U144" i="3"/>
  <c r="T144" i="3"/>
  <c r="S144" i="3"/>
  <c r="R144" i="3"/>
  <c r="E144" i="3"/>
  <c r="E371" i="3" s="1"/>
  <c r="D144" i="3"/>
  <c r="D371" i="3" s="1"/>
  <c r="C144" i="3"/>
  <c r="C371" i="3" s="1"/>
  <c r="B144" i="3"/>
  <c r="B371" i="3" s="1"/>
  <c r="A144" i="3"/>
  <c r="A371" i="3" s="1"/>
  <c r="AC143" i="3"/>
  <c r="AB143" i="3"/>
  <c r="AA143" i="3"/>
  <c r="Z143" i="3"/>
  <c r="Y143" i="3"/>
  <c r="X143" i="3"/>
  <c r="W143" i="3"/>
  <c r="V143" i="3"/>
  <c r="U143" i="3"/>
  <c r="T143" i="3"/>
  <c r="S143" i="3"/>
  <c r="R143" i="3"/>
  <c r="E143" i="3"/>
  <c r="E370" i="3" s="1"/>
  <c r="D143" i="3"/>
  <c r="C143" i="3"/>
  <c r="B143" i="3"/>
  <c r="A143" i="3"/>
  <c r="A370" i="3" s="1"/>
  <c r="AC142" i="3"/>
  <c r="AB142" i="3"/>
  <c r="AA142" i="3"/>
  <c r="Z142" i="3"/>
  <c r="Y142" i="3"/>
  <c r="X142" i="3"/>
  <c r="W142" i="3"/>
  <c r="V142" i="3"/>
  <c r="U142" i="3"/>
  <c r="T142" i="3"/>
  <c r="S142" i="3"/>
  <c r="R142" i="3"/>
  <c r="E142" i="3"/>
  <c r="E369" i="3" s="1"/>
  <c r="D142" i="3"/>
  <c r="D369" i="3" s="1"/>
  <c r="C142" i="3"/>
  <c r="C369" i="3" s="1"/>
  <c r="B142" i="3"/>
  <c r="B369" i="3" s="1"/>
  <c r="A142" i="3"/>
  <c r="A369" i="3" s="1"/>
  <c r="AC141" i="3"/>
  <c r="AB141" i="3"/>
  <c r="AA141" i="3"/>
  <c r="Z141" i="3"/>
  <c r="Y141" i="3"/>
  <c r="X141" i="3"/>
  <c r="W141" i="3"/>
  <c r="V141" i="3"/>
  <c r="U141" i="3"/>
  <c r="T141" i="3"/>
  <c r="S141" i="3"/>
  <c r="R141" i="3"/>
  <c r="E141" i="3"/>
  <c r="E368" i="3" s="1"/>
  <c r="D141" i="3"/>
  <c r="D368" i="3" s="1"/>
  <c r="C141" i="3"/>
  <c r="C368" i="3" s="1"/>
  <c r="B141" i="3"/>
  <c r="A141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E140" i="3"/>
  <c r="D140" i="3"/>
  <c r="D367" i="3" s="1"/>
  <c r="C140" i="3"/>
  <c r="C367" i="3" s="1"/>
  <c r="B140" i="3"/>
  <c r="B367" i="3" s="1"/>
  <c r="A140" i="3"/>
  <c r="A367" i="3" s="1"/>
  <c r="AC139" i="3"/>
  <c r="AB139" i="3"/>
  <c r="AA139" i="3"/>
  <c r="Z139" i="3"/>
  <c r="Y139" i="3"/>
  <c r="X139" i="3"/>
  <c r="W139" i="3"/>
  <c r="V139" i="3"/>
  <c r="U139" i="3"/>
  <c r="T139" i="3"/>
  <c r="S139" i="3"/>
  <c r="R139" i="3"/>
  <c r="E139" i="3"/>
  <c r="E366" i="3" s="1"/>
  <c r="D139" i="3"/>
  <c r="D366" i="3" s="1"/>
  <c r="C139" i="3"/>
  <c r="C366" i="3" s="1"/>
  <c r="B139" i="3"/>
  <c r="B366" i="3" s="1"/>
  <c r="A139" i="3"/>
  <c r="A366" i="3" s="1"/>
  <c r="AC138" i="3"/>
  <c r="AB138" i="3"/>
  <c r="AA138" i="3"/>
  <c r="Z138" i="3"/>
  <c r="Y138" i="3"/>
  <c r="X138" i="3"/>
  <c r="W138" i="3"/>
  <c r="V138" i="3"/>
  <c r="U138" i="3"/>
  <c r="T138" i="3"/>
  <c r="S138" i="3"/>
  <c r="R138" i="3"/>
  <c r="E138" i="3"/>
  <c r="D138" i="3"/>
  <c r="C138" i="3"/>
  <c r="B138" i="3"/>
  <c r="B365" i="3" s="1"/>
  <c r="A138" i="3"/>
  <c r="A365" i="3" s="1"/>
  <c r="AC137" i="3"/>
  <c r="AB137" i="3"/>
  <c r="AA137" i="3"/>
  <c r="Z137" i="3"/>
  <c r="Y137" i="3"/>
  <c r="X137" i="3"/>
  <c r="W137" i="3"/>
  <c r="V137" i="3"/>
  <c r="U137" i="3"/>
  <c r="T137" i="3"/>
  <c r="S137" i="3"/>
  <c r="R137" i="3"/>
  <c r="E137" i="3"/>
  <c r="E364" i="3" s="1"/>
  <c r="D137" i="3"/>
  <c r="D364" i="3" s="1"/>
  <c r="C137" i="3"/>
  <c r="C364" i="3" s="1"/>
  <c r="B137" i="3"/>
  <c r="B364" i="3" s="1"/>
  <c r="A137" i="3"/>
  <c r="A364" i="3" s="1"/>
  <c r="AC136" i="3"/>
  <c r="AB136" i="3"/>
  <c r="AA136" i="3"/>
  <c r="Z136" i="3"/>
  <c r="Y136" i="3"/>
  <c r="X136" i="3"/>
  <c r="W136" i="3"/>
  <c r="V136" i="3"/>
  <c r="U136" i="3"/>
  <c r="T136" i="3"/>
  <c r="S136" i="3"/>
  <c r="R136" i="3"/>
  <c r="E136" i="3"/>
  <c r="E363" i="3" s="1"/>
  <c r="D136" i="3"/>
  <c r="D363" i="3" s="1"/>
  <c r="C136" i="3"/>
  <c r="B136" i="3"/>
  <c r="A136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E135" i="3"/>
  <c r="E362" i="3" s="1"/>
  <c r="D135" i="3"/>
  <c r="D362" i="3" s="1"/>
  <c r="C135" i="3"/>
  <c r="C362" i="3" s="1"/>
  <c r="B135" i="3"/>
  <c r="B362" i="3" s="1"/>
  <c r="A135" i="3"/>
  <c r="A362" i="3" s="1"/>
  <c r="AC134" i="3"/>
  <c r="AB134" i="3"/>
  <c r="AA134" i="3"/>
  <c r="Z134" i="3"/>
  <c r="Y134" i="3"/>
  <c r="X134" i="3"/>
  <c r="W134" i="3"/>
  <c r="V134" i="3"/>
  <c r="U134" i="3"/>
  <c r="T134" i="3"/>
  <c r="S134" i="3"/>
  <c r="R134" i="3"/>
  <c r="E134" i="3"/>
  <c r="E361" i="3" s="1"/>
  <c r="D134" i="3"/>
  <c r="D361" i="3" s="1"/>
  <c r="C134" i="3"/>
  <c r="C361" i="3" s="1"/>
  <c r="B134" i="3"/>
  <c r="B361" i="3" s="1"/>
  <c r="A134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E133" i="3"/>
  <c r="D133" i="3"/>
  <c r="C133" i="3"/>
  <c r="C360" i="3" s="1"/>
  <c r="B133" i="3"/>
  <c r="B360" i="3" s="1"/>
  <c r="A133" i="3"/>
  <c r="A360" i="3" s="1"/>
  <c r="AC132" i="3"/>
  <c r="AB132" i="3"/>
  <c r="AA132" i="3"/>
  <c r="Z132" i="3"/>
  <c r="Y132" i="3"/>
  <c r="X132" i="3"/>
  <c r="W132" i="3"/>
  <c r="V132" i="3"/>
  <c r="U132" i="3"/>
  <c r="T132" i="3"/>
  <c r="S132" i="3"/>
  <c r="R132" i="3"/>
  <c r="E132" i="3"/>
  <c r="E359" i="3" s="1"/>
  <c r="D132" i="3"/>
  <c r="D359" i="3" s="1"/>
  <c r="C132" i="3"/>
  <c r="C359" i="3" s="1"/>
  <c r="B132" i="3"/>
  <c r="B359" i="3" s="1"/>
  <c r="A132" i="3"/>
  <c r="A359" i="3" s="1"/>
  <c r="AC131" i="3"/>
  <c r="AB131" i="3"/>
  <c r="AA131" i="3"/>
  <c r="Z131" i="3"/>
  <c r="Y131" i="3"/>
  <c r="X131" i="3"/>
  <c r="W131" i="3"/>
  <c r="V131" i="3"/>
  <c r="U131" i="3"/>
  <c r="T131" i="3"/>
  <c r="S131" i="3"/>
  <c r="R131" i="3"/>
  <c r="E131" i="3"/>
  <c r="B131" i="3"/>
  <c r="B131" i="2" s="1"/>
  <c r="A131" i="3"/>
  <c r="A131" i="2" s="1"/>
  <c r="AC130" i="3"/>
  <c r="AB130" i="3"/>
  <c r="AA130" i="3"/>
  <c r="Z130" i="3"/>
  <c r="Y130" i="3"/>
  <c r="X130" i="3"/>
  <c r="W130" i="3"/>
  <c r="V130" i="3"/>
  <c r="U130" i="3"/>
  <c r="T130" i="3"/>
  <c r="S130" i="3"/>
  <c r="R130" i="3"/>
  <c r="E130" i="3"/>
  <c r="D130" i="3"/>
  <c r="D358" i="3" s="1"/>
  <c r="C130" i="3"/>
  <c r="C358" i="3" s="1"/>
  <c r="B130" i="3"/>
  <c r="B358" i="3" s="1"/>
  <c r="A130" i="3"/>
  <c r="A358" i="3" s="1"/>
  <c r="AC129" i="3"/>
  <c r="AB129" i="3"/>
  <c r="AA129" i="3"/>
  <c r="Z129" i="3"/>
  <c r="Y129" i="3"/>
  <c r="X129" i="3"/>
  <c r="W129" i="3"/>
  <c r="V129" i="3"/>
  <c r="U129" i="3"/>
  <c r="T129" i="3"/>
  <c r="S129" i="3"/>
  <c r="R129" i="3"/>
  <c r="E129" i="3"/>
  <c r="E357" i="3" s="1"/>
  <c r="D129" i="3"/>
  <c r="D357" i="3" s="1"/>
  <c r="C129" i="3"/>
  <c r="C357" i="3" s="1"/>
  <c r="B129" i="3"/>
  <c r="B357" i="3" s="1"/>
  <c r="A129" i="3"/>
  <c r="A357" i="3" s="1"/>
  <c r="AC128" i="3"/>
  <c r="AB128" i="3"/>
  <c r="AA128" i="3"/>
  <c r="Z128" i="3"/>
  <c r="Y128" i="3"/>
  <c r="X128" i="3"/>
  <c r="W128" i="3"/>
  <c r="V128" i="3"/>
  <c r="U128" i="3"/>
  <c r="T128" i="3"/>
  <c r="S128" i="3"/>
  <c r="R128" i="3"/>
  <c r="E128" i="3"/>
  <c r="D128" i="3"/>
  <c r="C128" i="3"/>
  <c r="B128" i="3"/>
  <c r="B356" i="3" s="1"/>
  <c r="A128" i="3"/>
  <c r="A356" i="3" s="1"/>
  <c r="AC127" i="3"/>
  <c r="AB127" i="3"/>
  <c r="AA127" i="3"/>
  <c r="Z127" i="3"/>
  <c r="Y127" i="3"/>
  <c r="X127" i="3"/>
  <c r="W127" i="3"/>
  <c r="V127" i="3"/>
  <c r="U127" i="3"/>
  <c r="T127" i="3"/>
  <c r="S127" i="3"/>
  <c r="R127" i="3"/>
  <c r="E127" i="3"/>
  <c r="E355" i="3" s="1"/>
  <c r="D127" i="3"/>
  <c r="D355" i="3" s="1"/>
  <c r="C127" i="3"/>
  <c r="C355" i="3" s="1"/>
  <c r="B127" i="3"/>
  <c r="B355" i="3" s="1"/>
  <c r="A127" i="3"/>
  <c r="A355" i="3" s="1"/>
  <c r="AC126" i="3"/>
  <c r="AB126" i="3"/>
  <c r="AA126" i="3"/>
  <c r="Z126" i="3"/>
  <c r="Y126" i="3"/>
  <c r="X126" i="3"/>
  <c r="W126" i="3"/>
  <c r="V126" i="3"/>
  <c r="U126" i="3"/>
  <c r="T126" i="3"/>
  <c r="S126" i="3"/>
  <c r="R126" i="3"/>
  <c r="E126" i="3"/>
  <c r="E354" i="3" s="1"/>
  <c r="D126" i="3"/>
  <c r="D354" i="3" s="1"/>
  <c r="C126" i="3"/>
  <c r="B126" i="3"/>
  <c r="A126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E125" i="3"/>
  <c r="E353" i="3" s="1"/>
  <c r="D125" i="3"/>
  <c r="D353" i="3" s="1"/>
  <c r="C125" i="3"/>
  <c r="C353" i="3" s="1"/>
  <c r="B125" i="3"/>
  <c r="B353" i="3" s="1"/>
  <c r="A125" i="3"/>
  <c r="A353" i="3" s="1"/>
  <c r="AC124" i="3"/>
  <c r="AB124" i="3"/>
  <c r="AA124" i="3"/>
  <c r="Z124" i="3"/>
  <c r="Y124" i="3"/>
  <c r="X124" i="3"/>
  <c r="W124" i="3"/>
  <c r="V124" i="3"/>
  <c r="U124" i="3"/>
  <c r="T124" i="3"/>
  <c r="S124" i="3"/>
  <c r="R124" i="3"/>
  <c r="E124" i="3"/>
  <c r="E352" i="3" s="1"/>
  <c r="D124" i="3"/>
  <c r="D352" i="3" s="1"/>
  <c r="C124" i="3"/>
  <c r="C352" i="3" s="1"/>
  <c r="B124" i="3"/>
  <c r="B352" i="3" s="1"/>
  <c r="A124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E123" i="3"/>
  <c r="D123" i="3"/>
  <c r="C123" i="3"/>
  <c r="C351" i="3" s="1"/>
  <c r="B123" i="3"/>
  <c r="B351" i="3" s="1"/>
  <c r="A123" i="3"/>
  <c r="A351" i="3" s="1"/>
  <c r="AC122" i="3"/>
  <c r="AB122" i="3"/>
  <c r="AA122" i="3"/>
  <c r="Z122" i="3"/>
  <c r="Y122" i="3"/>
  <c r="X122" i="3"/>
  <c r="W122" i="3"/>
  <c r="V122" i="3"/>
  <c r="U122" i="3"/>
  <c r="T122" i="3"/>
  <c r="S122" i="3"/>
  <c r="R122" i="3"/>
  <c r="E122" i="3"/>
  <c r="E350" i="3" s="1"/>
  <c r="D122" i="3"/>
  <c r="D350" i="3" s="1"/>
  <c r="C122" i="3"/>
  <c r="C350" i="3" s="1"/>
  <c r="B122" i="3"/>
  <c r="B350" i="3" s="1"/>
  <c r="A122" i="3"/>
  <c r="A350" i="3" s="1"/>
  <c r="AC121" i="3"/>
  <c r="AB121" i="3"/>
  <c r="AA121" i="3"/>
  <c r="Z121" i="3"/>
  <c r="Y121" i="3"/>
  <c r="X121" i="3"/>
  <c r="W121" i="3"/>
  <c r="V121" i="3"/>
  <c r="U121" i="3"/>
  <c r="T121" i="3"/>
  <c r="S121" i="3"/>
  <c r="R121" i="3"/>
  <c r="E121" i="3"/>
  <c r="E349" i="3" s="1"/>
  <c r="D121" i="3"/>
  <c r="C121" i="3"/>
  <c r="B121" i="3"/>
  <c r="A121" i="3"/>
  <c r="A349" i="3" s="1"/>
  <c r="AC120" i="3"/>
  <c r="AB120" i="3"/>
  <c r="AA120" i="3"/>
  <c r="Z120" i="3"/>
  <c r="Y120" i="3"/>
  <c r="X120" i="3"/>
  <c r="W120" i="3"/>
  <c r="V120" i="3"/>
  <c r="U120" i="3"/>
  <c r="T120" i="3"/>
  <c r="S120" i="3"/>
  <c r="R120" i="3"/>
  <c r="E120" i="3"/>
  <c r="E348" i="3" s="1"/>
  <c r="D120" i="3"/>
  <c r="D348" i="3" s="1"/>
  <c r="C120" i="3"/>
  <c r="C348" i="3" s="1"/>
  <c r="B120" i="3"/>
  <c r="B348" i="3" s="1"/>
  <c r="A120" i="3"/>
  <c r="A348" i="3" s="1"/>
  <c r="AC119" i="3"/>
  <c r="AB119" i="3"/>
  <c r="AA119" i="3"/>
  <c r="Z119" i="3"/>
  <c r="Y119" i="3"/>
  <c r="X119" i="3"/>
  <c r="W119" i="3"/>
  <c r="V119" i="3"/>
  <c r="U119" i="3"/>
  <c r="T119" i="3"/>
  <c r="S119" i="3"/>
  <c r="R119" i="3"/>
  <c r="E119" i="3"/>
  <c r="E347" i="3" s="1"/>
  <c r="D119" i="3"/>
  <c r="D347" i="3" s="1"/>
  <c r="C119" i="3"/>
  <c r="C347" i="3" s="1"/>
  <c r="B119" i="3"/>
  <c r="A119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E118" i="3"/>
  <c r="D118" i="3"/>
  <c r="D346" i="3" s="1"/>
  <c r="C118" i="3"/>
  <c r="C346" i="3" s="1"/>
  <c r="B118" i="3"/>
  <c r="B346" i="3" s="1"/>
  <c r="A118" i="3"/>
  <c r="A346" i="3" s="1"/>
  <c r="AC117" i="3"/>
  <c r="AB117" i="3"/>
  <c r="AA117" i="3"/>
  <c r="Z117" i="3"/>
  <c r="Y117" i="3"/>
  <c r="X117" i="3"/>
  <c r="W117" i="3"/>
  <c r="V117" i="3"/>
  <c r="U117" i="3"/>
  <c r="T117" i="3"/>
  <c r="S117" i="3"/>
  <c r="R117" i="3"/>
  <c r="E117" i="3"/>
  <c r="E345" i="3" s="1"/>
  <c r="D117" i="3"/>
  <c r="D345" i="3" s="1"/>
  <c r="C117" i="3"/>
  <c r="C345" i="3" s="1"/>
  <c r="B117" i="3"/>
  <c r="B345" i="3" s="1"/>
  <c r="A117" i="3"/>
  <c r="A345" i="3" s="1"/>
  <c r="AC116" i="3"/>
  <c r="AB116" i="3"/>
  <c r="AA116" i="3"/>
  <c r="Z116" i="3"/>
  <c r="Y116" i="3"/>
  <c r="X116" i="3"/>
  <c r="W116" i="3"/>
  <c r="V116" i="3"/>
  <c r="U116" i="3"/>
  <c r="T116" i="3"/>
  <c r="S116" i="3"/>
  <c r="R116" i="3"/>
  <c r="E116" i="3"/>
  <c r="D116" i="3"/>
  <c r="C116" i="3"/>
  <c r="B116" i="3"/>
  <c r="B344" i="3" s="1"/>
  <c r="A116" i="3"/>
  <c r="A344" i="3" s="1"/>
  <c r="AC115" i="3"/>
  <c r="AB115" i="3"/>
  <c r="AA115" i="3"/>
  <c r="Z115" i="3"/>
  <c r="Y115" i="3"/>
  <c r="X115" i="3"/>
  <c r="W115" i="3"/>
  <c r="V115" i="3"/>
  <c r="U115" i="3"/>
  <c r="T115" i="3"/>
  <c r="S115" i="3"/>
  <c r="R115" i="3"/>
  <c r="E115" i="3"/>
  <c r="E343" i="3" s="1"/>
  <c r="D115" i="3"/>
  <c r="D343" i="3" s="1"/>
  <c r="C115" i="3"/>
  <c r="C343" i="3" s="1"/>
  <c r="B115" i="3"/>
  <c r="B343" i="3" s="1"/>
  <c r="A115" i="3"/>
  <c r="A343" i="3" s="1"/>
  <c r="AC114" i="3"/>
  <c r="AB114" i="3"/>
  <c r="AA114" i="3"/>
  <c r="Z114" i="3"/>
  <c r="Y114" i="3"/>
  <c r="X114" i="3"/>
  <c r="W114" i="3"/>
  <c r="V114" i="3"/>
  <c r="U114" i="3"/>
  <c r="T114" i="3"/>
  <c r="S114" i="3"/>
  <c r="R114" i="3"/>
  <c r="E114" i="3"/>
  <c r="E342" i="3" s="1"/>
  <c r="D114" i="3"/>
  <c r="D342" i="3" s="1"/>
  <c r="C114" i="3"/>
  <c r="B114" i="3"/>
  <c r="A114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E113" i="3"/>
  <c r="B113" i="3"/>
  <c r="A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E112" i="3"/>
  <c r="E341" i="3" s="1"/>
  <c r="D112" i="3"/>
  <c r="D341" i="3" s="1"/>
  <c r="C112" i="3"/>
  <c r="C341" i="3" s="1"/>
  <c r="B112" i="3"/>
  <c r="B341" i="3" s="1"/>
  <c r="A112" i="3"/>
  <c r="A341" i="3" s="1"/>
  <c r="AC111" i="3"/>
  <c r="AB111" i="3"/>
  <c r="AA111" i="3"/>
  <c r="Z111" i="3"/>
  <c r="Y111" i="3"/>
  <c r="X111" i="3"/>
  <c r="W111" i="3"/>
  <c r="V111" i="3"/>
  <c r="U111" i="3"/>
  <c r="T111" i="3"/>
  <c r="S111" i="3"/>
  <c r="R111" i="3"/>
  <c r="E111" i="3"/>
  <c r="E340" i="3" s="1"/>
  <c r="D111" i="3"/>
  <c r="C111" i="3"/>
  <c r="B111" i="3"/>
  <c r="B340" i="3" s="1"/>
  <c r="A111" i="3"/>
  <c r="A340" i="3" s="1"/>
  <c r="AC110" i="3"/>
  <c r="AB110" i="3"/>
  <c r="AA110" i="3"/>
  <c r="Z110" i="3"/>
  <c r="Y110" i="3"/>
  <c r="X110" i="3"/>
  <c r="W110" i="3"/>
  <c r="V110" i="3"/>
  <c r="U110" i="3"/>
  <c r="T110" i="3"/>
  <c r="S110" i="3"/>
  <c r="R110" i="3"/>
  <c r="E110" i="3"/>
  <c r="E339" i="3" s="1"/>
  <c r="D110" i="3"/>
  <c r="D339" i="3" s="1"/>
  <c r="C110" i="3"/>
  <c r="C339" i="3" s="1"/>
  <c r="B110" i="3"/>
  <c r="B339" i="3" s="1"/>
  <c r="A110" i="3"/>
  <c r="A339" i="3" s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E109" i="3"/>
  <c r="E338" i="3" s="1"/>
  <c r="D109" i="3"/>
  <c r="D338" i="3" s="1"/>
  <c r="C109" i="3"/>
  <c r="C338" i="3" s="1"/>
  <c r="B109" i="3"/>
  <c r="A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E108" i="3"/>
  <c r="D108" i="3"/>
  <c r="D337" i="3" s="1"/>
  <c r="C108" i="3"/>
  <c r="C337" i="3" s="1"/>
  <c r="B108" i="3"/>
  <c r="B337" i="3" s="1"/>
  <c r="A108" i="3"/>
  <c r="A337" i="3" s="1"/>
  <c r="AC107" i="3"/>
  <c r="AB107" i="3"/>
  <c r="AA107" i="3"/>
  <c r="Z107" i="3"/>
  <c r="Y107" i="3"/>
  <c r="X107" i="3"/>
  <c r="W107" i="3"/>
  <c r="V107" i="3"/>
  <c r="U107" i="3"/>
  <c r="T107" i="3"/>
  <c r="S107" i="3"/>
  <c r="R107" i="3"/>
  <c r="E107" i="3"/>
  <c r="E336" i="3" s="1"/>
  <c r="D107" i="3"/>
  <c r="D336" i="3" s="1"/>
  <c r="C107" i="3"/>
  <c r="C336" i="3" s="1"/>
  <c r="B107" i="3"/>
  <c r="B336" i="3" s="1"/>
  <c r="A107" i="3"/>
  <c r="A336" i="3" s="1"/>
  <c r="AC106" i="3"/>
  <c r="AB106" i="3"/>
  <c r="AA106" i="3"/>
  <c r="Z106" i="3"/>
  <c r="Y106" i="3"/>
  <c r="X106" i="3"/>
  <c r="W106" i="3"/>
  <c r="V106" i="3"/>
  <c r="U106" i="3"/>
  <c r="T106" i="3"/>
  <c r="S106" i="3"/>
  <c r="R106" i="3"/>
  <c r="E106" i="3"/>
  <c r="D106" i="3"/>
  <c r="C106" i="3"/>
  <c r="B106" i="3"/>
  <c r="B335" i="3" s="1"/>
  <c r="A106" i="3"/>
  <c r="A335" i="3" s="1"/>
  <c r="AC105" i="3"/>
  <c r="AB105" i="3"/>
  <c r="AA105" i="3"/>
  <c r="Z105" i="3"/>
  <c r="Y105" i="3"/>
  <c r="X105" i="3"/>
  <c r="W105" i="3"/>
  <c r="V105" i="3"/>
  <c r="U105" i="3"/>
  <c r="T105" i="3"/>
  <c r="S105" i="3"/>
  <c r="R105" i="3"/>
  <c r="E105" i="3"/>
  <c r="E334" i="3" s="1"/>
  <c r="D105" i="3"/>
  <c r="D334" i="3" s="1"/>
  <c r="C105" i="3"/>
  <c r="C334" i="3" s="1"/>
  <c r="B105" i="3"/>
  <c r="B334" i="3" s="1"/>
  <c r="A105" i="3"/>
  <c r="A334" i="3" s="1"/>
  <c r="AC104" i="3"/>
  <c r="AB104" i="3"/>
  <c r="AA104" i="3"/>
  <c r="Z104" i="3"/>
  <c r="Y104" i="3"/>
  <c r="X104" i="3"/>
  <c r="W104" i="3"/>
  <c r="V104" i="3"/>
  <c r="U104" i="3"/>
  <c r="T104" i="3"/>
  <c r="S104" i="3"/>
  <c r="R104" i="3"/>
  <c r="E104" i="3"/>
  <c r="E333" i="3" s="1"/>
  <c r="D104" i="3"/>
  <c r="D333" i="3" s="1"/>
  <c r="C104" i="3"/>
  <c r="B104" i="3"/>
  <c r="A104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E103" i="3"/>
  <c r="E332" i="3" s="1"/>
  <c r="D103" i="3"/>
  <c r="D332" i="3" s="1"/>
  <c r="C103" i="3"/>
  <c r="C332" i="3" s="1"/>
  <c r="B103" i="3"/>
  <c r="B332" i="3" s="1"/>
  <c r="A103" i="3"/>
  <c r="A332" i="3" s="1"/>
  <c r="AC102" i="3"/>
  <c r="AB102" i="3"/>
  <c r="AA102" i="3"/>
  <c r="Z102" i="3"/>
  <c r="Y102" i="3"/>
  <c r="X102" i="3"/>
  <c r="W102" i="3"/>
  <c r="V102" i="3"/>
  <c r="U102" i="3"/>
  <c r="T102" i="3"/>
  <c r="S102" i="3"/>
  <c r="R102" i="3"/>
  <c r="E102" i="3"/>
  <c r="E331" i="3" s="1"/>
  <c r="D102" i="3"/>
  <c r="D331" i="3" s="1"/>
  <c r="C102" i="3"/>
  <c r="C331" i="3" s="1"/>
  <c r="B102" i="3"/>
  <c r="B331" i="3" s="1"/>
  <c r="A102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E101" i="3"/>
  <c r="D101" i="3"/>
  <c r="C101" i="3"/>
  <c r="C330" i="3" s="1"/>
  <c r="B101" i="3"/>
  <c r="B330" i="3" s="1"/>
  <c r="A101" i="3"/>
  <c r="A330" i="3" s="1"/>
  <c r="AC100" i="3"/>
  <c r="AB100" i="3"/>
  <c r="AA100" i="3"/>
  <c r="Z100" i="3"/>
  <c r="Y100" i="3"/>
  <c r="X100" i="3"/>
  <c r="W100" i="3"/>
  <c r="V100" i="3"/>
  <c r="U100" i="3"/>
  <c r="T100" i="3"/>
  <c r="S100" i="3"/>
  <c r="R100" i="3"/>
  <c r="E100" i="3"/>
  <c r="E329" i="3" s="1"/>
  <c r="D100" i="3"/>
  <c r="D329" i="3" s="1"/>
  <c r="C100" i="3"/>
  <c r="C329" i="3" s="1"/>
  <c r="B100" i="3"/>
  <c r="B329" i="3" s="1"/>
  <c r="A100" i="3"/>
  <c r="A329" i="3" s="1"/>
  <c r="AC99" i="3"/>
  <c r="AB99" i="3"/>
  <c r="AA99" i="3"/>
  <c r="Z99" i="3"/>
  <c r="Y99" i="3"/>
  <c r="X99" i="3"/>
  <c r="W99" i="3"/>
  <c r="V99" i="3"/>
  <c r="U99" i="3"/>
  <c r="T99" i="3"/>
  <c r="S99" i="3"/>
  <c r="R99" i="3"/>
  <c r="E99" i="3"/>
  <c r="E328" i="3" s="1"/>
  <c r="D99" i="3"/>
  <c r="C99" i="3"/>
  <c r="B99" i="3"/>
  <c r="A99" i="3"/>
  <c r="A328" i="3" s="1"/>
  <c r="AC98" i="3"/>
  <c r="AB98" i="3"/>
  <c r="AA98" i="3"/>
  <c r="Z98" i="3"/>
  <c r="Y98" i="3"/>
  <c r="X98" i="3"/>
  <c r="W98" i="3"/>
  <c r="V98" i="3"/>
  <c r="U98" i="3"/>
  <c r="T98" i="3"/>
  <c r="S98" i="3"/>
  <c r="R98" i="3"/>
  <c r="E98" i="3"/>
  <c r="E327" i="3" s="1"/>
  <c r="D98" i="3"/>
  <c r="D327" i="3" s="1"/>
  <c r="C98" i="3"/>
  <c r="B98" i="3"/>
  <c r="B327" i="3" s="1"/>
  <c r="A98" i="3"/>
  <c r="A327" i="3" s="1"/>
  <c r="AC97" i="3"/>
  <c r="AB97" i="3"/>
  <c r="AA97" i="3"/>
  <c r="Z97" i="3"/>
  <c r="Y97" i="3"/>
  <c r="X97" i="3"/>
  <c r="W97" i="3"/>
  <c r="V97" i="3"/>
  <c r="U97" i="3"/>
  <c r="T97" i="3"/>
  <c r="S97" i="3"/>
  <c r="R97" i="3"/>
  <c r="E97" i="3"/>
  <c r="E326" i="3" s="1"/>
  <c r="D97" i="3"/>
  <c r="D326" i="3" s="1"/>
  <c r="C97" i="3"/>
  <c r="C326" i="3" s="1"/>
  <c r="B97" i="3"/>
  <c r="A97" i="3"/>
  <c r="AC96" i="3"/>
  <c r="AB96" i="3"/>
  <c r="AA96" i="3"/>
  <c r="Z96" i="3"/>
  <c r="Y96" i="3"/>
  <c r="X96" i="3"/>
  <c r="W96" i="3"/>
  <c r="V96" i="3"/>
  <c r="U96" i="3"/>
  <c r="T96" i="3"/>
  <c r="S96" i="3"/>
  <c r="R96" i="3"/>
  <c r="E96" i="3"/>
  <c r="D96" i="3"/>
  <c r="D325" i="3" s="1"/>
  <c r="C96" i="3"/>
  <c r="C325" i="3" s="1"/>
  <c r="B96" i="3"/>
  <c r="B325" i="3" s="1"/>
  <c r="A96" i="3"/>
  <c r="A325" i="3" s="1"/>
  <c r="AC95" i="3"/>
  <c r="AB95" i="3"/>
  <c r="AA95" i="3"/>
  <c r="Z95" i="3"/>
  <c r="Y95" i="3"/>
  <c r="X95" i="3"/>
  <c r="W95" i="3"/>
  <c r="V95" i="3"/>
  <c r="U95" i="3"/>
  <c r="T95" i="3"/>
  <c r="S95" i="3"/>
  <c r="R95" i="3"/>
  <c r="E95" i="3"/>
  <c r="B95" i="3"/>
  <c r="A95" i="3"/>
  <c r="AC94" i="3"/>
  <c r="AB94" i="3"/>
  <c r="AA94" i="3"/>
  <c r="Z94" i="3"/>
  <c r="Y94" i="3"/>
  <c r="X94" i="3"/>
  <c r="W94" i="3"/>
  <c r="V94" i="3"/>
  <c r="U94" i="3"/>
  <c r="T94" i="3"/>
  <c r="S94" i="3"/>
  <c r="R94" i="3"/>
  <c r="E94" i="3"/>
  <c r="B94" i="3"/>
  <c r="A94" i="3"/>
  <c r="A94" i="2" s="1"/>
  <c r="AC93" i="3"/>
  <c r="AB93" i="3"/>
  <c r="AA93" i="3"/>
  <c r="Z93" i="3"/>
  <c r="Y93" i="3"/>
  <c r="X93" i="3"/>
  <c r="W93" i="3"/>
  <c r="V93" i="3"/>
  <c r="U93" i="3"/>
  <c r="T93" i="3"/>
  <c r="S93" i="3"/>
  <c r="R93" i="3"/>
  <c r="E93" i="3"/>
  <c r="D93" i="3"/>
  <c r="D324" i="3" s="1"/>
  <c r="C93" i="3"/>
  <c r="C324" i="3" s="1"/>
  <c r="B93" i="3"/>
  <c r="B324" i="3" s="1"/>
  <c r="A93" i="3"/>
  <c r="A324" i="3" s="1"/>
  <c r="AC92" i="3"/>
  <c r="AB92" i="3"/>
  <c r="AA92" i="3"/>
  <c r="Z92" i="3"/>
  <c r="Y92" i="3"/>
  <c r="X92" i="3"/>
  <c r="W92" i="3"/>
  <c r="V92" i="3"/>
  <c r="U92" i="3"/>
  <c r="T92" i="3"/>
  <c r="S92" i="3"/>
  <c r="R92" i="3"/>
  <c r="E92" i="3"/>
  <c r="E323" i="3" s="1"/>
  <c r="D92" i="3"/>
  <c r="D323" i="3" s="1"/>
  <c r="C92" i="3"/>
  <c r="C323" i="3" s="1"/>
  <c r="B92" i="3"/>
  <c r="B323" i="3" s="1"/>
  <c r="A92" i="3"/>
  <c r="A323" i="3" s="1"/>
  <c r="AC91" i="3"/>
  <c r="AB91" i="3"/>
  <c r="AA91" i="3"/>
  <c r="Z91" i="3"/>
  <c r="Y91" i="3"/>
  <c r="X91" i="3"/>
  <c r="W91" i="3"/>
  <c r="V91" i="3"/>
  <c r="U91" i="3"/>
  <c r="T91" i="3"/>
  <c r="S91" i="3"/>
  <c r="R91" i="3"/>
  <c r="E91" i="3"/>
  <c r="E322" i="3" s="1"/>
  <c r="D91" i="3"/>
  <c r="C91" i="3"/>
  <c r="B91" i="3"/>
  <c r="B322" i="3" s="1"/>
  <c r="A91" i="3"/>
  <c r="A322" i="3" s="1"/>
  <c r="AC90" i="3"/>
  <c r="AB90" i="3"/>
  <c r="AA90" i="3"/>
  <c r="Z90" i="3"/>
  <c r="Y90" i="3"/>
  <c r="X90" i="3"/>
  <c r="W90" i="3"/>
  <c r="V90" i="3"/>
  <c r="U90" i="3"/>
  <c r="T90" i="3"/>
  <c r="S90" i="3"/>
  <c r="R90" i="3"/>
  <c r="E90" i="3"/>
  <c r="E321" i="3" s="1"/>
  <c r="D90" i="3"/>
  <c r="D321" i="3" s="1"/>
  <c r="C90" i="3"/>
  <c r="C321" i="3" s="1"/>
  <c r="B90" i="3"/>
  <c r="B321" i="3" s="1"/>
  <c r="A90" i="3"/>
  <c r="A321" i="3" s="1"/>
  <c r="AC89" i="3"/>
  <c r="AB89" i="3"/>
  <c r="AA89" i="3"/>
  <c r="Z89" i="3"/>
  <c r="Y89" i="3"/>
  <c r="X89" i="3"/>
  <c r="W89" i="3"/>
  <c r="V89" i="3"/>
  <c r="U89" i="3"/>
  <c r="T89" i="3"/>
  <c r="S89" i="3"/>
  <c r="R89" i="3"/>
  <c r="E89" i="3"/>
  <c r="E320" i="3" s="1"/>
  <c r="D89" i="3"/>
  <c r="C89" i="3"/>
  <c r="C320" i="3" s="1"/>
  <c r="B89" i="3"/>
  <c r="A89" i="3"/>
  <c r="AC88" i="3"/>
  <c r="AB88" i="3"/>
  <c r="AA88" i="3"/>
  <c r="Z88" i="3"/>
  <c r="Y88" i="3"/>
  <c r="X88" i="3"/>
  <c r="W88" i="3"/>
  <c r="V88" i="3"/>
  <c r="U88" i="3"/>
  <c r="T88" i="3"/>
  <c r="S88" i="3"/>
  <c r="R88" i="3"/>
  <c r="E88" i="3"/>
  <c r="D88" i="3"/>
  <c r="D319" i="3" s="1"/>
  <c r="C88" i="3"/>
  <c r="C319" i="3" s="1"/>
  <c r="B88" i="3"/>
  <c r="B319" i="3" s="1"/>
  <c r="A88" i="3"/>
  <c r="A319" i="3" s="1"/>
  <c r="AC87" i="3"/>
  <c r="AB87" i="3"/>
  <c r="AA87" i="3"/>
  <c r="Z87" i="3"/>
  <c r="Y87" i="3"/>
  <c r="X87" i="3"/>
  <c r="W87" i="3"/>
  <c r="V87" i="3"/>
  <c r="U87" i="3"/>
  <c r="T87" i="3"/>
  <c r="S87" i="3"/>
  <c r="R87" i="3"/>
  <c r="E87" i="3"/>
  <c r="E318" i="3" s="1"/>
  <c r="D87" i="3"/>
  <c r="D318" i="3" s="1"/>
  <c r="C87" i="3"/>
  <c r="C318" i="3" s="1"/>
  <c r="B87" i="3"/>
  <c r="B318" i="3" s="1"/>
  <c r="A87" i="3"/>
  <c r="A318" i="3" s="1"/>
  <c r="AC86" i="3"/>
  <c r="AB86" i="3"/>
  <c r="AA86" i="3"/>
  <c r="Z86" i="3"/>
  <c r="Y86" i="3"/>
  <c r="X86" i="3"/>
  <c r="W86" i="3"/>
  <c r="V86" i="3"/>
  <c r="U86" i="3"/>
  <c r="T86" i="3"/>
  <c r="S86" i="3"/>
  <c r="R86" i="3"/>
  <c r="E86" i="3"/>
  <c r="D86" i="3"/>
  <c r="C86" i="3"/>
  <c r="B86" i="3"/>
  <c r="B317" i="3" s="1"/>
  <c r="A86" i="3"/>
  <c r="A317" i="3" s="1"/>
  <c r="AC85" i="3"/>
  <c r="AB85" i="3"/>
  <c r="AA85" i="3"/>
  <c r="Z85" i="3"/>
  <c r="Y85" i="3"/>
  <c r="X85" i="3"/>
  <c r="W85" i="3"/>
  <c r="V85" i="3"/>
  <c r="U85" i="3"/>
  <c r="T85" i="3"/>
  <c r="S85" i="3"/>
  <c r="R85" i="3"/>
  <c r="E85" i="3"/>
  <c r="E316" i="3" s="1"/>
  <c r="D85" i="3"/>
  <c r="D316" i="3" s="1"/>
  <c r="C85" i="3"/>
  <c r="C316" i="3" s="1"/>
  <c r="B85" i="3"/>
  <c r="B316" i="3" s="1"/>
  <c r="A85" i="3"/>
  <c r="A316" i="3" s="1"/>
  <c r="AC84" i="3"/>
  <c r="AB84" i="3"/>
  <c r="AA84" i="3"/>
  <c r="Z84" i="3"/>
  <c r="Y84" i="3"/>
  <c r="X84" i="3"/>
  <c r="W84" i="3"/>
  <c r="V84" i="3"/>
  <c r="U84" i="3"/>
  <c r="T84" i="3"/>
  <c r="S84" i="3"/>
  <c r="R84" i="3"/>
  <c r="E84" i="3"/>
  <c r="E315" i="3" s="1"/>
  <c r="D84" i="3"/>
  <c r="D315" i="3" s="1"/>
  <c r="C84" i="3"/>
  <c r="B84" i="3"/>
  <c r="A84" i="3"/>
  <c r="AC83" i="3"/>
  <c r="AB83" i="3"/>
  <c r="AA83" i="3"/>
  <c r="Z83" i="3"/>
  <c r="Y83" i="3"/>
  <c r="X83" i="3"/>
  <c r="W83" i="3"/>
  <c r="V83" i="3"/>
  <c r="U83" i="3"/>
  <c r="T83" i="3"/>
  <c r="S83" i="3"/>
  <c r="R83" i="3"/>
  <c r="E83" i="3"/>
  <c r="E314" i="3" s="1"/>
  <c r="D83" i="3"/>
  <c r="D314" i="3" s="1"/>
  <c r="C83" i="3"/>
  <c r="C314" i="3" s="1"/>
  <c r="B83" i="3"/>
  <c r="B314" i="3" s="1"/>
  <c r="A83" i="3"/>
  <c r="A314" i="3" s="1"/>
  <c r="AC82" i="3"/>
  <c r="AB82" i="3"/>
  <c r="AA82" i="3"/>
  <c r="Z82" i="3"/>
  <c r="Y82" i="3"/>
  <c r="X82" i="3"/>
  <c r="W82" i="3"/>
  <c r="V82" i="3"/>
  <c r="U82" i="3"/>
  <c r="T82" i="3"/>
  <c r="S82" i="3"/>
  <c r="R82" i="3"/>
  <c r="E82" i="3"/>
  <c r="E313" i="3" s="1"/>
  <c r="D82" i="3"/>
  <c r="D313" i="3" s="1"/>
  <c r="C82" i="3"/>
  <c r="C313" i="3" s="1"/>
  <c r="B82" i="3"/>
  <c r="B313" i="3" s="1"/>
  <c r="A82" i="3"/>
  <c r="AC81" i="3"/>
  <c r="AB81" i="3"/>
  <c r="AA81" i="3"/>
  <c r="Z81" i="3"/>
  <c r="Y81" i="3"/>
  <c r="X81" i="3"/>
  <c r="W81" i="3"/>
  <c r="V81" i="3"/>
  <c r="U81" i="3"/>
  <c r="T81" i="3"/>
  <c r="S81" i="3"/>
  <c r="R81" i="3"/>
  <c r="E81" i="3"/>
  <c r="D81" i="3"/>
  <c r="C81" i="3"/>
  <c r="C312" i="3" s="1"/>
  <c r="B81" i="3"/>
  <c r="B312" i="3" s="1"/>
  <c r="A81" i="3"/>
  <c r="A312" i="3" s="1"/>
  <c r="AC80" i="3"/>
  <c r="AB80" i="3"/>
  <c r="AA80" i="3"/>
  <c r="Z80" i="3"/>
  <c r="Y80" i="3"/>
  <c r="X80" i="3"/>
  <c r="W80" i="3"/>
  <c r="V80" i="3"/>
  <c r="U80" i="3"/>
  <c r="T80" i="3"/>
  <c r="S80" i="3"/>
  <c r="R80" i="3"/>
  <c r="E80" i="3"/>
  <c r="E311" i="3" s="1"/>
  <c r="D80" i="3"/>
  <c r="D311" i="3" s="1"/>
  <c r="C80" i="3"/>
  <c r="C311" i="3" s="1"/>
  <c r="B80" i="3"/>
  <c r="B311" i="3" s="1"/>
  <c r="A80" i="3"/>
  <c r="A311" i="3" s="1"/>
  <c r="AC79" i="3"/>
  <c r="AB79" i="3"/>
  <c r="AA79" i="3"/>
  <c r="Z79" i="3"/>
  <c r="Y79" i="3"/>
  <c r="X79" i="3"/>
  <c r="W79" i="3"/>
  <c r="V79" i="3"/>
  <c r="U79" i="3"/>
  <c r="T79" i="3"/>
  <c r="S79" i="3"/>
  <c r="R79" i="3"/>
  <c r="E79" i="3"/>
  <c r="E310" i="3" s="1"/>
  <c r="D79" i="3"/>
  <c r="C79" i="3"/>
  <c r="B79" i="3"/>
  <c r="A79" i="3"/>
  <c r="A310" i="3" s="1"/>
  <c r="AC78" i="3"/>
  <c r="AB78" i="3"/>
  <c r="AA78" i="3"/>
  <c r="Z78" i="3"/>
  <c r="Y78" i="3"/>
  <c r="X78" i="3"/>
  <c r="W78" i="3"/>
  <c r="V78" i="3"/>
  <c r="U78" i="3"/>
  <c r="T78" i="3"/>
  <c r="S78" i="3"/>
  <c r="R78" i="3"/>
  <c r="E78" i="3"/>
  <c r="E309" i="3" s="1"/>
  <c r="D78" i="3"/>
  <c r="D309" i="3" s="1"/>
  <c r="C78" i="3"/>
  <c r="C309" i="3" s="1"/>
  <c r="B78" i="3"/>
  <c r="B309" i="3" s="1"/>
  <c r="A78" i="3"/>
  <c r="A309" i="3" s="1"/>
  <c r="AC77" i="3"/>
  <c r="AB77" i="3"/>
  <c r="AA77" i="3"/>
  <c r="Z77" i="3"/>
  <c r="Y77" i="3"/>
  <c r="X77" i="3"/>
  <c r="W77" i="3"/>
  <c r="V77" i="3"/>
  <c r="U77" i="3"/>
  <c r="T77" i="3"/>
  <c r="S77" i="3"/>
  <c r="R77" i="3"/>
  <c r="E77" i="3"/>
  <c r="E308" i="3" s="1"/>
  <c r="D77" i="3"/>
  <c r="D308" i="3" s="1"/>
  <c r="C77" i="3"/>
  <c r="C308" i="3" s="1"/>
  <c r="B77" i="3"/>
  <c r="A77" i="3"/>
  <c r="AC76" i="3"/>
  <c r="AB76" i="3"/>
  <c r="AA76" i="3"/>
  <c r="Z76" i="3"/>
  <c r="Y76" i="3"/>
  <c r="X76" i="3"/>
  <c r="W76" i="3"/>
  <c r="V76" i="3"/>
  <c r="U76" i="3"/>
  <c r="T76" i="3"/>
  <c r="S76" i="3"/>
  <c r="R76" i="3"/>
  <c r="E76" i="3"/>
  <c r="E76" i="2" s="1"/>
  <c r="B76" i="3"/>
  <c r="A76" i="3"/>
  <c r="AC75" i="3"/>
  <c r="AB75" i="3"/>
  <c r="AA75" i="3"/>
  <c r="Z75" i="3"/>
  <c r="Y75" i="3"/>
  <c r="X75" i="3"/>
  <c r="W75" i="3"/>
  <c r="V75" i="3"/>
  <c r="U75" i="3"/>
  <c r="T75" i="3"/>
  <c r="S75" i="3"/>
  <c r="R75" i="3"/>
  <c r="E75" i="3"/>
  <c r="E307" i="3" s="1"/>
  <c r="D75" i="3"/>
  <c r="D307" i="3" s="1"/>
  <c r="C75" i="3"/>
  <c r="C307" i="3" s="1"/>
  <c r="B75" i="3"/>
  <c r="B307" i="3" s="1"/>
  <c r="A75" i="3"/>
  <c r="A307" i="3" s="1"/>
  <c r="AC74" i="3"/>
  <c r="AB74" i="3"/>
  <c r="AA74" i="3"/>
  <c r="Z74" i="3"/>
  <c r="Y74" i="3"/>
  <c r="X74" i="3"/>
  <c r="W74" i="3"/>
  <c r="V74" i="3"/>
  <c r="U74" i="3"/>
  <c r="T74" i="3"/>
  <c r="S74" i="3"/>
  <c r="R74" i="3"/>
  <c r="E74" i="3"/>
  <c r="E306" i="3" s="1"/>
  <c r="D74" i="3"/>
  <c r="D306" i="3" s="1"/>
  <c r="C74" i="3"/>
  <c r="B74" i="3"/>
  <c r="A74" i="3"/>
  <c r="AC73" i="3"/>
  <c r="AB73" i="3"/>
  <c r="AA73" i="3"/>
  <c r="Z73" i="3"/>
  <c r="Y73" i="3"/>
  <c r="X73" i="3"/>
  <c r="W73" i="3"/>
  <c r="V73" i="3"/>
  <c r="U73" i="3"/>
  <c r="T73" i="3"/>
  <c r="S73" i="3"/>
  <c r="R73" i="3"/>
  <c r="E73" i="3"/>
  <c r="E305" i="3" s="1"/>
  <c r="D73" i="3"/>
  <c r="D305" i="3" s="1"/>
  <c r="C73" i="3"/>
  <c r="C305" i="3" s="1"/>
  <c r="B73" i="3"/>
  <c r="B305" i="3" s="1"/>
  <c r="A73" i="3"/>
  <c r="A305" i="3" s="1"/>
  <c r="AC72" i="3"/>
  <c r="AB72" i="3"/>
  <c r="AA72" i="3"/>
  <c r="Z72" i="3"/>
  <c r="Y72" i="3"/>
  <c r="X72" i="3"/>
  <c r="W72" i="3"/>
  <c r="V72" i="3"/>
  <c r="U72" i="3"/>
  <c r="T72" i="3"/>
  <c r="S72" i="3"/>
  <c r="R72" i="3"/>
  <c r="E72" i="3"/>
  <c r="E304" i="3" s="1"/>
  <c r="D72" i="3"/>
  <c r="D304" i="3" s="1"/>
  <c r="C72" i="3"/>
  <c r="C304" i="3" s="1"/>
  <c r="B72" i="3"/>
  <c r="B304" i="3" s="1"/>
  <c r="A72" i="3"/>
  <c r="AC71" i="3"/>
  <c r="AB71" i="3"/>
  <c r="AA71" i="3"/>
  <c r="Z71" i="3"/>
  <c r="Y71" i="3"/>
  <c r="X71" i="3"/>
  <c r="W71" i="3"/>
  <c r="V71" i="3"/>
  <c r="U71" i="3"/>
  <c r="T71" i="3"/>
  <c r="S71" i="3"/>
  <c r="R71" i="3"/>
  <c r="E71" i="3"/>
  <c r="D71" i="3"/>
  <c r="C71" i="3"/>
  <c r="C303" i="3" s="1"/>
  <c r="B71" i="3"/>
  <c r="B303" i="3" s="1"/>
  <c r="A71" i="3"/>
  <c r="A303" i="3" s="1"/>
  <c r="AC70" i="3"/>
  <c r="AB70" i="3"/>
  <c r="AA70" i="3"/>
  <c r="Z70" i="3"/>
  <c r="Y70" i="3"/>
  <c r="X70" i="3"/>
  <c r="W70" i="3"/>
  <c r="V70" i="3"/>
  <c r="U70" i="3"/>
  <c r="T70" i="3"/>
  <c r="S70" i="3"/>
  <c r="R70" i="3"/>
  <c r="E70" i="3"/>
  <c r="E302" i="3" s="1"/>
  <c r="D70" i="3"/>
  <c r="D302" i="3" s="1"/>
  <c r="C70" i="3"/>
  <c r="C302" i="3" s="1"/>
  <c r="B70" i="3"/>
  <c r="B302" i="3" s="1"/>
  <c r="A70" i="3"/>
  <c r="A302" i="3" s="1"/>
  <c r="AC69" i="3"/>
  <c r="AB69" i="3"/>
  <c r="AA69" i="3"/>
  <c r="Z69" i="3"/>
  <c r="Y69" i="3"/>
  <c r="X69" i="3"/>
  <c r="W69" i="3"/>
  <c r="V69" i="3"/>
  <c r="U69" i="3"/>
  <c r="T69" i="3"/>
  <c r="S69" i="3"/>
  <c r="R69" i="3"/>
  <c r="E69" i="3"/>
  <c r="E301" i="3" s="1"/>
  <c r="D69" i="3"/>
  <c r="C69" i="3"/>
  <c r="B69" i="3"/>
  <c r="B301" i="3" s="1"/>
  <c r="A69" i="3"/>
  <c r="A301" i="3" s="1"/>
  <c r="AC68" i="3"/>
  <c r="AB68" i="3"/>
  <c r="AA68" i="3"/>
  <c r="Z68" i="3"/>
  <c r="Y68" i="3"/>
  <c r="X68" i="3"/>
  <c r="W68" i="3"/>
  <c r="V68" i="3"/>
  <c r="U68" i="3"/>
  <c r="T68" i="3"/>
  <c r="S68" i="3"/>
  <c r="R68" i="3"/>
  <c r="E68" i="3"/>
  <c r="E300" i="3" s="1"/>
  <c r="D68" i="3"/>
  <c r="D300" i="3" s="1"/>
  <c r="C68" i="3"/>
  <c r="C300" i="3" s="1"/>
  <c r="B68" i="3"/>
  <c r="B300" i="3" s="1"/>
  <c r="A68" i="3"/>
  <c r="A300" i="3" s="1"/>
  <c r="AC67" i="3"/>
  <c r="AB67" i="3"/>
  <c r="AA67" i="3"/>
  <c r="Z67" i="3"/>
  <c r="Y67" i="3"/>
  <c r="X67" i="3"/>
  <c r="W67" i="3"/>
  <c r="V67" i="3"/>
  <c r="U67" i="3"/>
  <c r="T67" i="3"/>
  <c r="S67" i="3"/>
  <c r="R67" i="3"/>
  <c r="E67" i="3"/>
  <c r="E299" i="3" s="1"/>
  <c r="D67" i="3"/>
  <c r="D299" i="3" s="1"/>
  <c r="C67" i="3"/>
  <c r="C299" i="3" s="1"/>
  <c r="B67" i="3"/>
  <c r="A67" i="3"/>
  <c r="AC66" i="3"/>
  <c r="AB66" i="3"/>
  <c r="AA66" i="3"/>
  <c r="Z66" i="3"/>
  <c r="Y66" i="3"/>
  <c r="X66" i="3"/>
  <c r="W66" i="3"/>
  <c r="V66" i="3"/>
  <c r="U66" i="3"/>
  <c r="T66" i="3"/>
  <c r="S66" i="3"/>
  <c r="R66" i="3"/>
  <c r="E66" i="3"/>
  <c r="D66" i="3"/>
  <c r="D298" i="3" s="1"/>
  <c r="C66" i="3"/>
  <c r="C298" i="3" s="1"/>
  <c r="B66" i="3"/>
  <c r="B298" i="3" s="1"/>
  <c r="A66" i="3"/>
  <c r="A298" i="3" s="1"/>
  <c r="AC65" i="3"/>
  <c r="AB65" i="3"/>
  <c r="AA65" i="3"/>
  <c r="Z65" i="3"/>
  <c r="Y65" i="3"/>
  <c r="X65" i="3"/>
  <c r="W65" i="3"/>
  <c r="V65" i="3"/>
  <c r="U65" i="3"/>
  <c r="T65" i="3"/>
  <c r="S65" i="3"/>
  <c r="R65" i="3"/>
  <c r="E65" i="3"/>
  <c r="E297" i="3" s="1"/>
  <c r="D65" i="3"/>
  <c r="D297" i="3" s="1"/>
  <c r="C65" i="3"/>
  <c r="C297" i="3" s="1"/>
  <c r="B65" i="3"/>
  <c r="B297" i="3" s="1"/>
  <c r="A65" i="3"/>
  <c r="A297" i="3" s="1"/>
  <c r="AC64" i="3"/>
  <c r="AB64" i="3"/>
  <c r="AA64" i="3"/>
  <c r="Z64" i="3"/>
  <c r="Y64" i="3"/>
  <c r="X64" i="3"/>
  <c r="W64" i="3"/>
  <c r="V64" i="3"/>
  <c r="U64" i="3"/>
  <c r="T64" i="3"/>
  <c r="S64" i="3"/>
  <c r="R64" i="3"/>
  <c r="E64" i="3"/>
  <c r="D64" i="3"/>
  <c r="C64" i="3"/>
  <c r="B64" i="3"/>
  <c r="B296" i="3" s="1"/>
  <c r="A64" i="3"/>
  <c r="A296" i="3" s="1"/>
  <c r="AC63" i="3"/>
  <c r="AB63" i="3"/>
  <c r="AA63" i="3"/>
  <c r="Z63" i="3"/>
  <c r="Y63" i="3"/>
  <c r="X63" i="3"/>
  <c r="W63" i="3"/>
  <c r="V63" i="3"/>
  <c r="U63" i="3"/>
  <c r="T63" i="3"/>
  <c r="S63" i="3"/>
  <c r="R63" i="3"/>
  <c r="E63" i="3"/>
  <c r="E295" i="3" s="1"/>
  <c r="D63" i="3"/>
  <c r="D295" i="3" s="1"/>
  <c r="C63" i="3"/>
  <c r="C295" i="3" s="1"/>
  <c r="B63" i="3"/>
  <c r="B295" i="3" s="1"/>
  <c r="A63" i="3"/>
  <c r="A295" i="3" s="1"/>
  <c r="AC62" i="3"/>
  <c r="AB62" i="3"/>
  <c r="AA62" i="3"/>
  <c r="Z62" i="3"/>
  <c r="Y62" i="3"/>
  <c r="X62" i="3"/>
  <c r="W62" i="3"/>
  <c r="V62" i="3"/>
  <c r="U62" i="3"/>
  <c r="T62" i="3"/>
  <c r="S62" i="3"/>
  <c r="R62" i="3"/>
  <c r="E62" i="3"/>
  <c r="E294" i="3" s="1"/>
  <c r="D62" i="3"/>
  <c r="D294" i="3" s="1"/>
  <c r="C62" i="3"/>
  <c r="B62" i="3"/>
  <c r="A62" i="3"/>
  <c r="AC61" i="3"/>
  <c r="AB61" i="3"/>
  <c r="AA61" i="3"/>
  <c r="Z61" i="3"/>
  <c r="Y61" i="3"/>
  <c r="X61" i="3"/>
  <c r="W61" i="3"/>
  <c r="V61" i="3"/>
  <c r="U61" i="3"/>
  <c r="T61" i="3"/>
  <c r="S61" i="3"/>
  <c r="R61" i="3"/>
  <c r="E61" i="3"/>
  <c r="E293" i="3" s="1"/>
  <c r="D61" i="3"/>
  <c r="D293" i="3" s="1"/>
  <c r="C61" i="3"/>
  <c r="C293" i="3" s="1"/>
  <c r="B61" i="3"/>
  <c r="B293" i="3" s="1"/>
  <c r="A61" i="3"/>
  <c r="A293" i="3" s="1"/>
  <c r="AC60" i="3"/>
  <c r="AB60" i="3"/>
  <c r="AA60" i="3"/>
  <c r="Z60" i="3"/>
  <c r="Y60" i="3"/>
  <c r="X60" i="3"/>
  <c r="W60" i="3"/>
  <c r="V60" i="3"/>
  <c r="U60" i="3"/>
  <c r="T60" i="3"/>
  <c r="S60" i="3"/>
  <c r="R60" i="3"/>
  <c r="E60" i="3"/>
  <c r="E292" i="3" s="1"/>
  <c r="D60" i="3"/>
  <c r="D292" i="3" s="1"/>
  <c r="C60" i="3"/>
  <c r="C292" i="3" s="1"/>
  <c r="B60" i="3"/>
  <c r="B292" i="3" s="1"/>
  <c r="A60" i="3"/>
  <c r="AC59" i="3"/>
  <c r="AB59" i="3"/>
  <c r="AA59" i="3"/>
  <c r="Z59" i="3"/>
  <c r="Y59" i="3"/>
  <c r="X59" i="3"/>
  <c r="W59" i="3"/>
  <c r="V59" i="3"/>
  <c r="U59" i="3"/>
  <c r="T59" i="3"/>
  <c r="S59" i="3"/>
  <c r="R59" i="3"/>
  <c r="E59" i="3"/>
  <c r="D59" i="3"/>
  <c r="C59" i="3"/>
  <c r="C291" i="3" s="1"/>
  <c r="B59" i="3"/>
  <c r="B291" i="3" s="1"/>
  <c r="A59" i="3"/>
  <c r="A291" i="3" s="1"/>
  <c r="AC58" i="3"/>
  <c r="AB58" i="3"/>
  <c r="AA58" i="3"/>
  <c r="Z58" i="3"/>
  <c r="Y58" i="3"/>
  <c r="X58" i="3"/>
  <c r="W58" i="3"/>
  <c r="V58" i="3"/>
  <c r="U58" i="3"/>
  <c r="T58" i="3"/>
  <c r="S58" i="3"/>
  <c r="R58" i="3"/>
  <c r="E58" i="3"/>
  <c r="B58" i="3"/>
  <c r="A58" i="3"/>
  <c r="AC57" i="3"/>
  <c r="AB57" i="3"/>
  <c r="AA57" i="3"/>
  <c r="Z57" i="3"/>
  <c r="Y57" i="3"/>
  <c r="X57" i="3"/>
  <c r="W57" i="3"/>
  <c r="V57" i="3"/>
  <c r="U57" i="3"/>
  <c r="T57" i="3"/>
  <c r="S57" i="3"/>
  <c r="R57" i="3"/>
  <c r="E57" i="3"/>
  <c r="E290" i="3" s="1"/>
  <c r="D57" i="3"/>
  <c r="D290" i="3" s="1"/>
  <c r="C57" i="3"/>
  <c r="C290" i="3" s="1"/>
  <c r="B57" i="3"/>
  <c r="A57" i="3"/>
  <c r="AC56" i="3"/>
  <c r="AB56" i="3"/>
  <c r="AA56" i="3"/>
  <c r="Z56" i="3"/>
  <c r="Y56" i="3"/>
  <c r="X56" i="3"/>
  <c r="W56" i="3"/>
  <c r="V56" i="3"/>
  <c r="U56" i="3"/>
  <c r="T56" i="3"/>
  <c r="S56" i="3"/>
  <c r="R56" i="3"/>
  <c r="E56" i="3"/>
  <c r="E289" i="3" s="1"/>
  <c r="D56" i="3"/>
  <c r="D289" i="3" s="1"/>
  <c r="C56" i="3"/>
  <c r="C289" i="3" s="1"/>
  <c r="B56" i="3"/>
  <c r="B289" i="3" s="1"/>
  <c r="A56" i="3"/>
  <c r="A289" i="3" s="1"/>
  <c r="AC55" i="3"/>
  <c r="AB55" i="3"/>
  <c r="AA55" i="3"/>
  <c r="Z55" i="3"/>
  <c r="Y55" i="3"/>
  <c r="X55" i="3"/>
  <c r="W55" i="3"/>
  <c r="V55" i="3"/>
  <c r="U55" i="3"/>
  <c r="T55" i="3"/>
  <c r="S55" i="3"/>
  <c r="R55" i="3"/>
  <c r="E55" i="3"/>
  <c r="E288" i="3" s="1"/>
  <c r="D55" i="3"/>
  <c r="D288" i="3" s="1"/>
  <c r="C55" i="3"/>
  <c r="C288" i="3" s="1"/>
  <c r="B55" i="3"/>
  <c r="B288" i="3" s="1"/>
  <c r="A55" i="3"/>
  <c r="A288" i="3" s="1"/>
  <c r="AC54" i="3"/>
  <c r="AB54" i="3"/>
  <c r="AA54" i="3"/>
  <c r="Z54" i="3"/>
  <c r="Y54" i="3"/>
  <c r="X54" i="3"/>
  <c r="W54" i="3"/>
  <c r="V54" i="3"/>
  <c r="U54" i="3"/>
  <c r="T54" i="3"/>
  <c r="S54" i="3"/>
  <c r="R54" i="3"/>
  <c r="E54" i="3"/>
  <c r="D54" i="3"/>
  <c r="C54" i="3"/>
  <c r="C287" i="3" s="1"/>
  <c r="B54" i="3"/>
  <c r="B287" i="3" s="1"/>
  <c r="A54" i="3"/>
  <c r="A287" i="3" s="1"/>
  <c r="AC53" i="3"/>
  <c r="AB53" i="3"/>
  <c r="AA53" i="3"/>
  <c r="Z53" i="3"/>
  <c r="Y53" i="3"/>
  <c r="X53" i="3"/>
  <c r="W53" i="3"/>
  <c r="V53" i="3"/>
  <c r="U53" i="3"/>
  <c r="T53" i="3"/>
  <c r="S53" i="3"/>
  <c r="R53" i="3"/>
  <c r="E53" i="3"/>
  <c r="E286" i="3" s="1"/>
  <c r="D53" i="3"/>
  <c r="D286" i="3" s="1"/>
  <c r="C53" i="3"/>
  <c r="C286" i="3" s="1"/>
  <c r="B53" i="3"/>
  <c r="B286" i="3" s="1"/>
  <c r="A53" i="3"/>
  <c r="A286" i="3" s="1"/>
  <c r="AC52" i="3"/>
  <c r="AB52" i="3"/>
  <c r="AA52" i="3"/>
  <c r="Z52" i="3"/>
  <c r="Y52" i="3"/>
  <c r="X52" i="3"/>
  <c r="W52" i="3"/>
  <c r="V52" i="3"/>
  <c r="U52" i="3"/>
  <c r="T52" i="3"/>
  <c r="S52" i="3"/>
  <c r="R52" i="3"/>
  <c r="E52" i="3"/>
  <c r="E285" i="3" s="1"/>
  <c r="D52" i="3"/>
  <c r="D285" i="3" s="1"/>
  <c r="C52" i="3"/>
  <c r="B52" i="3"/>
  <c r="A52" i="3"/>
  <c r="A285" i="3" s="1"/>
  <c r="AC51" i="3"/>
  <c r="AB51" i="3"/>
  <c r="AA51" i="3"/>
  <c r="Z51" i="3"/>
  <c r="Y51" i="3"/>
  <c r="X51" i="3"/>
  <c r="W51" i="3"/>
  <c r="V51" i="3"/>
  <c r="U51" i="3"/>
  <c r="T51" i="3"/>
  <c r="S51" i="3"/>
  <c r="R51" i="3"/>
  <c r="E51" i="3"/>
  <c r="E284" i="3" s="1"/>
  <c r="D51" i="3"/>
  <c r="D284" i="3" s="1"/>
  <c r="C51" i="3"/>
  <c r="C284" i="3" s="1"/>
  <c r="B51" i="3"/>
  <c r="B284" i="3" s="1"/>
  <c r="A51" i="3"/>
  <c r="A284" i="3" s="1"/>
  <c r="AC50" i="3"/>
  <c r="AB50" i="3"/>
  <c r="AA50" i="3"/>
  <c r="Z50" i="3"/>
  <c r="Y50" i="3"/>
  <c r="X50" i="3"/>
  <c r="W50" i="3"/>
  <c r="V50" i="3"/>
  <c r="U50" i="3"/>
  <c r="T50" i="3"/>
  <c r="S50" i="3"/>
  <c r="R50" i="3"/>
  <c r="E50" i="3"/>
  <c r="E283" i="3" s="1"/>
  <c r="D50" i="3"/>
  <c r="D283" i="3" s="1"/>
  <c r="C50" i="3"/>
  <c r="C283" i="3" s="1"/>
  <c r="B50" i="3"/>
  <c r="B283" i="3" s="1"/>
  <c r="A50" i="3"/>
  <c r="AC49" i="3"/>
  <c r="AB49" i="3"/>
  <c r="AA49" i="3"/>
  <c r="Z49" i="3"/>
  <c r="Y49" i="3"/>
  <c r="X49" i="3"/>
  <c r="W49" i="3"/>
  <c r="V49" i="3"/>
  <c r="U49" i="3"/>
  <c r="T49" i="3"/>
  <c r="S49" i="3"/>
  <c r="R49" i="3"/>
  <c r="E49" i="3"/>
  <c r="D49" i="3"/>
  <c r="C49" i="3"/>
  <c r="C282" i="3" s="1"/>
  <c r="B49" i="3"/>
  <c r="B282" i="3" s="1"/>
  <c r="A49" i="3"/>
  <c r="A282" i="3" s="1"/>
  <c r="AC48" i="3"/>
  <c r="AB48" i="3"/>
  <c r="AA48" i="3"/>
  <c r="Z48" i="3"/>
  <c r="Y48" i="3"/>
  <c r="X48" i="3"/>
  <c r="W48" i="3"/>
  <c r="V48" i="3"/>
  <c r="U48" i="3"/>
  <c r="T48" i="3"/>
  <c r="S48" i="3"/>
  <c r="R48" i="3"/>
  <c r="E48" i="3"/>
  <c r="E281" i="3" s="1"/>
  <c r="D48" i="3"/>
  <c r="D281" i="3" s="1"/>
  <c r="C48" i="3"/>
  <c r="C281" i="3" s="1"/>
  <c r="B48" i="3"/>
  <c r="B281" i="3" s="1"/>
  <c r="A48" i="3"/>
  <c r="A281" i="3" s="1"/>
  <c r="AC47" i="3"/>
  <c r="AB47" i="3"/>
  <c r="AA47" i="3"/>
  <c r="Z47" i="3"/>
  <c r="Y47" i="3"/>
  <c r="X47" i="3"/>
  <c r="W47" i="3"/>
  <c r="V47" i="3"/>
  <c r="U47" i="3"/>
  <c r="T47" i="3"/>
  <c r="S47" i="3"/>
  <c r="R47" i="3"/>
  <c r="E47" i="3"/>
  <c r="E280" i="3" s="1"/>
  <c r="D47" i="3"/>
  <c r="C47" i="3"/>
  <c r="B47" i="3"/>
  <c r="A47" i="3"/>
  <c r="A280" i="3" s="1"/>
  <c r="AC46" i="3"/>
  <c r="AB46" i="3"/>
  <c r="AA46" i="3"/>
  <c r="Z46" i="3"/>
  <c r="Y46" i="3"/>
  <c r="X46" i="3"/>
  <c r="W46" i="3"/>
  <c r="V46" i="3"/>
  <c r="U46" i="3"/>
  <c r="T46" i="3"/>
  <c r="S46" i="3"/>
  <c r="R46" i="3"/>
  <c r="E46" i="3"/>
  <c r="E279" i="3" s="1"/>
  <c r="D46" i="3"/>
  <c r="D279" i="3" s="1"/>
  <c r="C46" i="3"/>
  <c r="C279" i="3" s="1"/>
  <c r="B46" i="3"/>
  <c r="B279" i="3" s="1"/>
  <c r="A46" i="3"/>
  <c r="A279" i="3" s="1"/>
  <c r="AC45" i="3"/>
  <c r="AB45" i="3"/>
  <c r="AA45" i="3"/>
  <c r="Z45" i="3"/>
  <c r="Y45" i="3"/>
  <c r="X45" i="3"/>
  <c r="W45" i="3"/>
  <c r="V45" i="3"/>
  <c r="U45" i="3"/>
  <c r="T45" i="3"/>
  <c r="S45" i="3"/>
  <c r="R45" i="3"/>
  <c r="E45" i="3"/>
  <c r="E278" i="3" s="1"/>
  <c r="D45" i="3"/>
  <c r="D278" i="3" s="1"/>
  <c r="C45" i="3"/>
  <c r="C278" i="3" s="1"/>
  <c r="B45" i="3"/>
  <c r="A45" i="3"/>
  <c r="AC44" i="3"/>
  <c r="AB44" i="3"/>
  <c r="AA44" i="3"/>
  <c r="Z44" i="3"/>
  <c r="Y44" i="3"/>
  <c r="X44" i="3"/>
  <c r="W44" i="3"/>
  <c r="V44" i="3"/>
  <c r="U44" i="3"/>
  <c r="T44" i="3"/>
  <c r="S44" i="3"/>
  <c r="R44" i="3"/>
  <c r="E44" i="3"/>
  <c r="D44" i="3"/>
  <c r="D277" i="3" s="1"/>
  <c r="C44" i="3"/>
  <c r="C277" i="3" s="1"/>
  <c r="B44" i="3"/>
  <c r="B277" i="3" s="1"/>
  <c r="A44" i="3"/>
  <c r="A277" i="3" s="1"/>
  <c r="AC43" i="3"/>
  <c r="AB43" i="3"/>
  <c r="AA43" i="3"/>
  <c r="Z43" i="3"/>
  <c r="Y43" i="3"/>
  <c r="X43" i="3"/>
  <c r="W43" i="3"/>
  <c r="V43" i="3"/>
  <c r="U43" i="3"/>
  <c r="T43" i="3"/>
  <c r="S43" i="3"/>
  <c r="R43" i="3"/>
  <c r="E43" i="3"/>
  <c r="E276" i="3" s="1"/>
  <c r="D43" i="3"/>
  <c r="D276" i="3" s="1"/>
  <c r="C43" i="3"/>
  <c r="C276" i="3" s="1"/>
  <c r="B43" i="3"/>
  <c r="B276" i="3" s="1"/>
  <c r="A43" i="3"/>
  <c r="A276" i="3" s="1"/>
  <c r="AC42" i="3"/>
  <c r="AB42" i="3"/>
  <c r="AA42" i="3"/>
  <c r="Z42" i="3"/>
  <c r="Y42" i="3"/>
  <c r="X42" i="3"/>
  <c r="W42" i="3"/>
  <c r="V42" i="3"/>
  <c r="U42" i="3"/>
  <c r="T42" i="3"/>
  <c r="S42" i="3"/>
  <c r="R42" i="3"/>
  <c r="E42" i="3"/>
  <c r="D42" i="3"/>
  <c r="C42" i="3"/>
  <c r="B42" i="3"/>
  <c r="B275" i="3" s="1"/>
  <c r="A42" i="3"/>
  <c r="A275" i="3" s="1"/>
  <c r="AC41" i="3"/>
  <c r="AB41" i="3"/>
  <c r="AA41" i="3"/>
  <c r="Z41" i="3"/>
  <c r="Y41" i="3"/>
  <c r="X41" i="3"/>
  <c r="W41" i="3"/>
  <c r="V41" i="3"/>
  <c r="U41" i="3"/>
  <c r="T41" i="3"/>
  <c r="S41" i="3"/>
  <c r="R41" i="3"/>
  <c r="E41" i="3"/>
  <c r="E274" i="3" s="1"/>
  <c r="D41" i="3"/>
  <c r="D274" i="3" s="1"/>
  <c r="C41" i="3"/>
  <c r="C274" i="3" s="1"/>
  <c r="B41" i="3"/>
  <c r="B274" i="3" s="1"/>
  <c r="A41" i="3"/>
  <c r="A274" i="3" s="1"/>
  <c r="AC40" i="3"/>
  <c r="AB40" i="3"/>
  <c r="AA40" i="3"/>
  <c r="Z40" i="3"/>
  <c r="Y40" i="3"/>
  <c r="X40" i="3"/>
  <c r="W40" i="3"/>
  <c r="V40" i="3"/>
  <c r="U40" i="3"/>
  <c r="T40" i="3"/>
  <c r="S40" i="3"/>
  <c r="R40" i="3"/>
  <c r="E40" i="3"/>
  <c r="B40" i="3"/>
  <c r="A40" i="3"/>
  <c r="A40" i="2" s="1"/>
  <c r="AC39" i="3"/>
  <c r="AB39" i="3"/>
  <c r="AA39" i="3"/>
  <c r="Z39" i="3"/>
  <c r="Y39" i="3"/>
  <c r="X39" i="3"/>
  <c r="W39" i="3"/>
  <c r="V39" i="3"/>
  <c r="U39" i="3"/>
  <c r="T39" i="3"/>
  <c r="S39" i="3"/>
  <c r="R39" i="3"/>
  <c r="E39" i="3"/>
  <c r="D39" i="3"/>
  <c r="D273" i="3" s="1"/>
  <c r="C39" i="3"/>
  <c r="C273" i="3" s="1"/>
  <c r="B39" i="3"/>
  <c r="B273" i="3" s="1"/>
  <c r="A39" i="3"/>
  <c r="A273" i="3" s="1"/>
  <c r="AC38" i="3"/>
  <c r="AB38" i="3"/>
  <c r="AA38" i="3"/>
  <c r="Z38" i="3"/>
  <c r="Y38" i="3"/>
  <c r="X38" i="3"/>
  <c r="W38" i="3"/>
  <c r="V38" i="3"/>
  <c r="U38" i="3"/>
  <c r="T38" i="3"/>
  <c r="S38" i="3"/>
  <c r="R38" i="3"/>
  <c r="E38" i="3"/>
  <c r="E272" i="3" s="1"/>
  <c r="D38" i="3"/>
  <c r="D272" i="3" s="1"/>
  <c r="C38" i="3"/>
  <c r="C272" i="3" s="1"/>
  <c r="B38" i="3"/>
  <c r="B272" i="3" s="1"/>
  <c r="A38" i="3"/>
  <c r="A272" i="3" s="1"/>
  <c r="AC37" i="3"/>
  <c r="AB37" i="3"/>
  <c r="AA37" i="3"/>
  <c r="Z37" i="3"/>
  <c r="Y37" i="3"/>
  <c r="X37" i="3"/>
  <c r="W37" i="3"/>
  <c r="V37" i="3"/>
  <c r="U37" i="3"/>
  <c r="T37" i="3"/>
  <c r="S37" i="3"/>
  <c r="R37" i="3"/>
  <c r="E37" i="3"/>
  <c r="E271" i="3" s="1"/>
  <c r="D37" i="3"/>
  <c r="C37" i="3"/>
  <c r="B37" i="3"/>
  <c r="B271" i="3" s="1"/>
  <c r="A37" i="3"/>
  <c r="A271" i="3" s="1"/>
  <c r="AC36" i="3"/>
  <c r="AB36" i="3"/>
  <c r="AA36" i="3"/>
  <c r="Z36" i="3"/>
  <c r="Y36" i="3"/>
  <c r="X36" i="3"/>
  <c r="W36" i="3"/>
  <c r="V36" i="3"/>
  <c r="U36" i="3"/>
  <c r="T36" i="3"/>
  <c r="S36" i="3"/>
  <c r="R36" i="3"/>
  <c r="E36" i="3"/>
  <c r="E270" i="3" s="1"/>
  <c r="D36" i="3"/>
  <c r="D270" i="3" s="1"/>
  <c r="C36" i="3"/>
  <c r="C270" i="3" s="1"/>
  <c r="B36" i="3"/>
  <c r="B270" i="3" s="1"/>
  <c r="A36" i="3"/>
  <c r="A270" i="3" s="1"/>
  <c r="AC35" i="3"/>
  <c r="AB35" i="3"/>
  <c r="AA35" i="3"/>
  <c r="Z35" i="3"/>
  <c r="Y35" i="3"/>
  <c r="X35" i="3"/>
  <c r="W35" i="3"/>
  <c r="V35" i="3"/>
  <c r="U35" i="3"/>
  <c r="T35" i="3"/>
  <c r="S35" i="3"/>
  <c r="R35" i="3"/>
  <c r="E35" i="3"/>
  <c r="E269" i="3" s="1"/>
  <c r="D35" i="3"/>
  <c r="D269" i="3" s="1"/>
  <c r="C35" i="3"/>
  <c r="C269" i="3" s="1"/>
  <c r="B35" i="3"/>
  <c r="A35" i="3"/>
  <c r="AC34" i="3"/>
  <c r="AB34" i="3"/>
  <c r="AA34" i="3"/>
  <c r="Z34" i="3"/>
  <c r="Y34" i="3"/>
  <c r="X34" i="3"/>
  <c r="W34" i="3"/>
  <c r="V34" i="3"/>
  <c r="U34" i="3"/>
  <c r="T34" i="3"/>
  <c r="S34" i="3"/>
  <c r="R34" i="3"/>
  <c r="E34" i="3"/>
  <c r="E268" i="3" s="1"/>
  <c r="D34" i="3"/>
  <c r="D268" i="3" s="1"/>
  <c r="C34" i="3"/>
  <c r="C268" i="3" s="1"/>
  <c r="B34" i="3"/>
  <c r="B268" i="3" s="1"/>
  <c r="A34" i="3"/>
  <c r="A268" i="3" s="1"/>
  <c r="AC33" i="3"/>
  <c r="AB33" i="3"/>
  <c r="AA33" i="3"/>
  <c r="Z33" i="3"/>
  <c r="Y33" i="3"/>
  <c r="X33" i="3"/>
  <c r="W33" i="3"/>
  <c r="V33" i="3"/>
  <c r="U33" i="3"/>
  <c r="T33" i="3"/>
  <c r="S33" i="3"/>
  <c r="R33" i="3"/>
  <c r="E33" i="3"/>
  <c r="E267" i="3" s="1"/>
  <c r="D33" i="3"/>
  <c r="D267" i="3" s="1"/>
  <c r="C33" i="3"/>
  <c r="C267" i="3" s="1"/>
  <c r="B33" i="3"/>
  <c r="B267" i="3" s="1"/>
  <c r="A33" i="3"/>
  <c r="A267" i="3" s="1"/>
  <c r="AC32" i="3"/>
  <c r="AB32" i="3"/>
  <c r="AA32" i="3"/>
  <c r="Z32" i="3"/>
  <c r="Y32" i="3"/>
  <c r="X32" i="3"/>
  <c r="W32" i="3"/>
  <c r="V32" i="3"/>
  <c r="U32" i="3"/>
  <c r="T32" i="3"/>
  <c r="S32" i="3"/>
  <c r="R32" i="3"/>
  <c r="E32" i="3"/>
  <c r="D32" i="3"/>
  <c r="C32" i="3"/>
  <c r="C266" i="3" s="1"/>
  <c r="B32" i="3"/>
  <c r="B266" i="3" s="1"/>
  <c r="A32" i="3"/>
  <c r="A266" i="3" s="1"/>
  <c r="AC31" i="3"/>
  <c r="AB31" i="3"/>
  <c r="AA31" i="3"/>
  <c r="Z31" i="3"/>
  <c r="Y31" i="3"/>
  <c r="X31" i="3"/>
  <c r="W31" i="3"/>
  <c r="V31" i="3"/>
  <c r="U31" i="3"/>
  <c r="T31" i="3"/>
  <c r="S31" i="3"/>
  <c r="R31" i="3"/>
  <c r="E31" i="3"/>
  <c r="E265" i="3" s="1"/>
  <c r="D31" i="3"/>
  <c r="D265" i="3" s="1"/>
  <c r="C31" i="3"/>
  <c r="C265" i="3" s="1"/>
  <c r="B31" i="3"/>
  <c r="B265" i="3" s="1"/>
  <c r="A31" i="3"/>
  <c r="A265" i="3" s="1"/>
  <c r="AC30" i="3"/>
  <c r="AB30" i="3"/>
  <c r="AA30" i="3"/>
  <c r="Z30" i="3"/>
  <c r="Y30" i="3"/>
  <c r="X30" i="3"/>
  <c r="W30" i="3"/>
  <c r="V30" i="3"/>
  <c r="U30" i="3"/>
  <c r="T30" i="3"/>
  <c r="S30" i="3"/>
  <c r="R30" i="3"/>
  <c r="E30" i="3"/>
  <c r="E264" i="3" s="1"/>
  <c r="D30" i="3"/>
  <c r="D264" i="3" s="1"/>
  <c r="C30" i="3"/>
  <c r="B30" i="3"/>
  <c r="A30" i="3"/>
  <c r="A264" i="3" s="1"/>
  <c r="AC29" i="3"/>
  <c r="AB29" i="3"/>
  <c r="AA29" i="3"/>
  <c r="Z29" i="3"/>
  <c r="Y29" i="3"/>
  <c r="X29" i="3"/>
  <c r="W29" i="3"/>
  <c r="V29" i="3"/>
  <c r="U29" i="3"/>
  <c r="T29" i="3"/>
  <c r="S29" i="3"/>
  <c r="R29" i="3"/>
  <c r="E29" i="3"/>
  <c r="E263" i="3" s="1"/>
  <c r="D29" i="3"/>
  <c r="D263" i="3" s="1"/>
  <c r="C29" i="3"/>
  <c r="C263" i="3" s="1"/>
  <c r="B29" i="3"/>
  <c r="B263" i="3" s="1"/>
  <c r="A29" i="3"/>
  <c r="A263" i="3" s="1"/>
  <c r="AC28" i="3"/>
  <c r="AB28" i="3"/>
  <c r="AA28" i="3"/>
  <c r="Z28" i="3"/>
  <c r="Y28" i="3"/>
  <c r="X28" i="3"/>
  <c r="W28" i="3"/>
  <c r="V28" i="3"/>
  <c r="U28" i="3"/>
  <c r="T28" i="3"/>
  <c r="S28" i="3"/>
  <c r="R28" i="3"/>
  <c r="E28" i="3"/>
  <c r="E262" i="3" s="1"/>
  <c r="D28" i="3"/>
  <c r="D262" i="3" s="1"/>
  <c r="C28" i="3"/>
  <c r="C262" i="3" s="1"/>
  <c r="B28" i="3"/>
  <c r="B262" i="3" s="1"/>
  <c r="A28" i="3"/>
  <c r="AC27" i="3"/>
  <c r="AB27" i="3"/>
  <c r="AA27" i="3"/>
  <c r="Z27" i="3"/>
  <c r="Y27" i="3"/>
  <c r="X27" i="3"/>
  <c r="W27" i="3"/>
  <c r="V27" i="3"/>
  <c r="U27" i="3"/>
  <c r="T27" i="3"/>
  <c r="S27" i="3"/>
  <c r="R27" i="3"/>
  <c r="E27" i="3"/>
  <c r="D27" i="3"/>
  <c r="D261" i="3" s="1"/>
  <c r="C27" i="3"/>
  <c r="C261" i="3" s="1"/>
  <c r="B27" i="3"/>
  <c r="B261" i="3" s="1"/>
  <c r="A27" i="3"/>
  <c r="A261" i="3" s="1"/>
  <c r="AC26" i="3"/>
  <c r="AB26" i="3"/>
  <c r="AA26" i="3"/>
  <c r="Z26" i="3"/>
  <c r="Y26" i="3"/>
  <c r="X26" i="3"/>
  <c r="W26" i="3"/>
  <c r="V26" i="3"/>
  <c r="U26" i="3"/>
  <c r="T26" i="3"/>
  <c r="S26" i="3"/>
  <c r="R26" i="3"/>
  <c r="E26" i="3"/>
  <c r="E260" i="3" s="1"/>
  <c r="D26" i="3"/>
  <c r="D260" i="3" s="1"/>
  <c r="C26" i="3"/>
  <c r="C260" i="3" s="1"/>
  <c r="B26" i="3"/>
  <c r="B260" i="3" s="1"/>
  <c r="A26" i="3"/>
  <c r="A260" i="3" s="1"/>
  <c r="AC25" i="3"/>
  <c r="AB25" i="3"/>
  <c r="AA25" i="3"/>
  <c r="Z25" i="3"/>
  <c r="Y25" i="3"/>
  <c r="X25" i="3"/>
  <c r="W25" i="3"/>
  <c r="V25" i="3"/>
  <c r="U25" i="3"/>
  <c r="T25" i="3"/>
  <c r="S25" i="3"/>
  <c r="R25" i="3"/>
  <c r="E25" i="3"/>
  <c r="E259" i="3" s="1"/>
  <c r="D25" i="3"/>
  <c r="C25" i="3"/>
  <c r="B25" i="3"/>
  <c r="B259" i="3" s="1"/>
  <c r="A25" i="3"/>
  <c r="A259" i="3" s="1"/>
  <c r="AC24" i="3"/>
  <c r="AB24" i="3"/>
  <c r="AA24" i="3"/>
  <c r="Z24" i="3"/>
  <c r="Y24" i="3"/>
  <c r="X24" i="3"/>
  <c r="W24" i="3"/>
  <c r="V24" i="3"/>
  <c r="U24" i="3"/>
  <c r="T24" i="3"/>
  <c r="S24" i="3"/>
  <c r="R24" i="3"/>
  <c r="E24" i="3"/>
  <c r="E258" i="3" s="1"/>
  <c r="D24" i="3"/>
  <c r="D258" i="3" s="1"/>
  <c r="C24" i="3"/>
  <c r="C258" i="3" s="1"/>
  <c r="B24" i="3"/>
  <c r="B258" i="3" s="1"/>
  <c r="A24" i="3"/>
  <c r="A258" i="3" s="1"/>
  <c r="AC23" i="3"/>
  <c r="AB23" i="3"/>
  <c r="AA23" i="3"/>
  <c r="Z23" i="3"/>
  <c r="Y23" i="3"/>
  <c r="X23" i="3"/>
  <c r="W23" i="3"/>
  <c r="V23" i="3"/>
  <c r="U23" i="3"/>
  <c r="T23" i="3"/>
  <c r="S23" i="3"/>
  <c r="R23" i="3"/>
  <c r="E23" i="3"/>
  <c r="E257" i="3" s="1"/>
  <c r="D23" i="3"/>
  <c r="D257" i="3" s="1"/>
  <c r="C23" i="3"/>
  <c r="C257" i="3" s="1"/>
  <c r="B23" i="3"/>
  <c r="A23" i="3"/>
  <c r="AC22" i="3"/>
  <c r="AB22" i="3"/>
  <c r="AA22" i="3"/>
  <c r="Z22" i="3"/>
  <c r="Y22" i="3"/>
  <c r="X22" i="3"/>
  <c r="W22" i="3"/>
  <c r="V22" i="3"/>
  <c r="U22" i="3"/>
  <c r="T22" i="3"/>
  <c r="S22" i="3"/>
  <c r="R22" i="3"/>
  <c r="E22" i="3"/>
  <c r="E22" i="2" s="1"/>
  <c r="B22" i="3"/>
  <c r="A22" i="3"/>
  <c r="AC21" i="3"/>
  <c r="AB21" i="3"/>
  <c r="AA21" i="3"/>
  <c r="Z21" i="3"/>
  <c r="Y21" i="3"/>
  <c r="X21" i="3"/>
  <c r="W21" i="3"/>
  <c r="V21" i="3"/>
  <c r="U21" i="3"/>
  <c r="T21" i="3"/>
  <c r="S21" i="3"/>
  <c r="R21" i="3"/>
  <c r="E21" i="3"/>
  <c r="E256" i="3" s="1"/>
  <c r="D21" i="3"/>
  <c r="D256" i="3" s="1"/>
  <c r="C21" i="3"/>
  <c r="C256" i="3" s="1"/>
  <c r="B21" i="3"/>
  <c r="B256" i="3" s="1"/>
  <c r="A21" i="3"/>
  <c r="A256" i="3" s="1"/>
  <c r="AC20" i="3"/>
  <c r="AB20" i="3"/>
  <c r="AA20" i="3"/>
  <c r="Z20" i="3"/>
  <c r="Y20" i="3"/>
  <c r="X20" i="3"/>
  <c r="W20" i="3"/>
  <c r="V20" i="3"/>
  <c r="U20" i="3"/>
  <c r="T20" i="3"/>
  <c r="S20" i="3"/>
  <c r="R20" i="3"/>
  <c r="E20" i="3"/>
  <c r="E255" i="3" s="1"/>
  <c r="D20" i="3"/>
  <c r="D255" i="3" s="1"/>
  <c r="C20" i="3"/>
  <c r="B20" i="3"/>
  <c r="B255" i="3" s="1"/>
  <c r="A20" i="3"/>
  <c r="A255" i="3" s="1"/>
  <c r="AC19" i="3"/>
  <c r="AB19" i="3"/>
  <c r="AA19" i="3"/>
  <c r="Z19" i="3"/>
  <c r="Y19" i="3"/>
  <c r="X19" i="3"/>
  <c r="W19" i="3"/>
  <c r="V19" i="3"/>
  <c r="U19" i="3"/>
  <c r="T19" i="3"/>
  <c r="S19" i="3"/>
  <c r="R19" i="3"/>
  <c r="E19" i="3"/>
  <c r="E254" i="3" s="1"/>
  <c r="D19" i="3"/>
  <c r="D254" i="3" s="1"/>
  <c r="C19" i="3"/>
  <c r="C254" i="3" s="1"/>
  <c r="B19" i="3"/>
  <c r="A19" i="3"/>
  <c r="A254" i="3" s="1"/>
  <c r="AC18" i="3"/>
  <c r="AB18" i="3"/>
  <c r="AA18" i="3"/>
  <c r="Z18" i="3"/>
  <c r="Y18" i="3"/>
  <c r="X18" i="3"/>
  <c r="W18" i="3"/>
  <c r="V18" i="3"/>
  <c r="U18" i="3"/>
  <c r="T18" i="3"/>
  <c r="S18" i="3"/>
  <c r="R18" i="3"/>
  <c r="E18" i="3"/>
  <c r="E253" i="3" s="1"/>
  <c r="D18" i="3"/>
  <c r="D253" i="3" s="1"/>
  <c r="C18" i="3"/>
  <c r="C253" i="3" s="1"/>
  <c r="B18" i="3"/>
  <c r="B253" i="3" s="1"/>
  <c r="A18" i="3"/>
  <c r="AC17" i="3"/>
  <c r="AB17" i="3"/>
  <c r="AA17" i="3"/>
  <c r="Z17" i="3"/>
  <c r="Y17" i="3"/>
  <c r="X17" i="3"/>
  <c r="W17" i="3"/>
  <c r="V17" i="3"/>
  <c r="U17" i="3"/>
  <c r="T17" i="3"/>
  <c r="S17" i="3"/>
  <c r="R17" i="3"/>
  <c r="E17" i="3"/>
  <c r="D17" i="3"/>
  <c r="D252" i="3" s="1"/>
  <c r="C17" i="3"/>
  <c r="C252" i="3" s="1"/>
  <c r="B17" i="3"/>
  <c r="B252" i="3" s="1"/>
  <c r="A17" i="3"/>
  <c r="A252" i="3" s="1"/>
  <c r="AC16" i="3"/>
  <c r="AB16" i="3"/>
  <c r="AA16" i="3"/>
  <c r="Z16" i="3"/>
  <c r="Y16" i="3"/>
  <c r="X16" i="3"/>
  <c r="W16" i="3"/>
  <c r="V16" i="3"/>
  <c r="U16" i="3"/>
  <c r="T16" i="3"/>
  <c r="S16" i="3"/>
  <c r="R16" i="3"/>
  <c r="E16" i="3"/>
  <c r="E251" i="3" s="1"/>
  <c r="D16" i="3"/>
  <c r="D251" i="3" s="1"/>
  <c r="C16" i="3"/>
  <c r="C251" i="3" s="1"/>
  <c r="B16" i="3"/>
  <c r="B251" i="3" s="1"/>
  <c r="A16" i="3"/>
  <c r="A251" i="3" s="1"/>
  <c r="AC15" i="3"/>
  <c r="AB15" i="3"/>
  <c r="AA15" i="3"/>
  <c r="Z15" i="3"/>
  <c r="Y15" i="3"/>
  <c r="X15" i="3"/>
  <c r="W15" i="3"/>
  <c r="V15" i="3"/>
  <c r="U15" i="3"/>
  <c r="T15" i="3"/>
  <c r="S15" i="3"/>
  <c r="R15" i="3"/>
  <c r="E15" i="3"/>
  <c r="E250" i="3" s="1"/>
  <c r="D15" i="3"/>
  <c r="C15" i="3"/>
  <c r="B15" i="3"/>
  <c r="B250" i="3" s="1"/>
  <c r="A15" i="3"/>
  <c r="A250" i="3" s="1"/>
  <c r="AC14" i="3"/>
  <c r="AB14" i="3"/>
  <c r="AA14" i="3"/>
  <c r="Z14" i="3"/>
  <c r="Y14" i="3"/>
  <c r="X14" i="3"/>
  <c r="W14" i="3"/>
  <c r="V14" i="3"/>
  <c r="U14" i="3"/>
  <c r="T14" i="3"/>
  <c r="S14" i="3"/>
  <c r="R14" i="3"/>
  <c r="E14" i="3"/>
  <c r="E249" i="3" s="1"/>
  <c r="D14" i="3"/>
  <c r="D249" i="3" s="1"/>
  <c r="C14" i="3"/>
  <c r="C249" i="3" s="1"/>
  <c r="B14" i="3"/>
  <c r="B249" i="3" s="1"/>
  <c r="A14" i="3"/>
  <c r="A249" i="3" s="1"/>
  <c r="AC13" i="3"/>
  <c r="AB13" i="3"/>
  <c r="AA13" i="3"/>
  <c r="Z13" i="3"/>
  <c r="Y13" i="3"/>
  <c r="X13" i="3"/>
  <c r="W13" i="3"/>
  <c r="V13" i="3"/>
  <c r="U13" i="3"/>
  <c r="T13" i="3"/>
  <c r="S13" i="3"/>
  <c r="R13" i="3"/>
  <c r="E13" i="3"/>
  <c r="E248" i="3" s="1"/>
  <c r="D13" i="3"/>
  <c r="D248" i="3" s="1"/>
  <c r="C13" i="3"/>
  <c r="C248" i="3" s="1"/>
  <c r="B13" i="3"/>
  <c r="A13" i="3"/>
  <c r="AC12" i="3"/>
  <c r="AB12" i="3"/>
  <c r="AA12" i="3"/>
  <c r="Z12" i="3"/>
  <c r="Y12" i="3"/>
  <c r="X12" i="3"/>
  <c r="W12" i="3"/>
  <c r="V12" i="3"/>
  <c r="U12" i="3"/>
  <c r="T12" i="3"/>
  <c r="S12" i="3"/>
  <c r="R12" i="3"/>
  <c r="E12" i="3"/>
  <c r="E247" i="3" s="1"/>
  <c r="D12" i="3"/>
  <c r="D247" i="3" s="1"/>
  <c r="C12" i="3"/>
  <c r="C247" i="3" s="1"/>
  <c r="B12" i="3"/>
  <c r="B247" i="3" s="1"/>
  <c r="A12" i="3"/>
  <c r="A247" i="3" s="1"/>
  <c r="AC11" i="3"/>
  <c r="AB11" i="3"/>
  <c r="AA11" i="3"/>
  <c r="Z11" i="3"/>
  <c r="Y11" i="3"/>
  <c r="X11" i="3"/>
  <c r="W11" i="3"/>
  <c r="V11" i="3"/>
  <c r="U11" i="3"/>
  <c r="T11" i="3"/>
  <c r="S11" i="3"/>
  <c r="R11" i="3"/>
  <c r="E11" i="3"/>
  <c r="E246" i="3" s="1"/>
  <c r="D11" i="3"/>
  <c r="D246" i="3" s="1"/>
  <c r="C11" i="3"/>
  <c r="C246" i="3" s="1"/>
  <c r="B11" i="3"/>
  <c r="B246" i="3" s="1"/>
  <c r="A11" i="3"/>
  <c r="A246" i="3" s="1"/>
  <c r="AC10" i="3"/>
  <c r="AB10" i="3"/>
  <c r="AA10" i="3"/>
  <c r="Z10" i="3"/>
  <c r="Y10" i="3"/>
  <c r="X10" i="3"/>
  <c r="W10" i="3"/>
  <c r="V10" i="3"/>
  <c r="U10" i="3"/>
  <c r="T10" i="3"/>
  <c r="S10" i="3"/>
  <c r="R10" i="3"/>
  <c r="E10" i="3"/>
  <c r="D10" i="3"/>
  <c r="C10" i="3"/>
  <c r="C245" i="3" s="1"/>
  <c r="B10" i="3"/>
  <c r="B245" i="3" s="1"/>
  <c r="A10" i="3"/>
  <c r="A245" i="3" s="1"/>
  <c r="AC9" i="3"/>
  <c r="AB9" i="3"/>
  <c r="AA9" i="3"/>
  <c r="Z9" i="3"/>
  <c r="Y9" i="3"/>
  <c r="X9" i="3"/>
  <c r="W9" i="3"/>
  <c r="V9" i="3"/>
  <c r="U9" i="3"/>
  <c r="T9" i="3"/>
  <c r="S9" i="3"/>
  <c r="R9" i="3"/>
  <c r="E9" i="3"/>
  <c r="E244" i="3" s="1"/>
  <c r="D9" i="3"/>
  <c r="D244" i="3" s="1"/>
  <c r="C9" i="3"/>
  <c r="C244" i="3" s="1"/>
  <c r="B9" i="3"/>
  <c r="B244" i="3" s="1"/>
  <c r="A9" i="3"/>
  <c r="A244" i="3" s="1"/>
  <c r="AC8" i="3"/>
  <c r="AB8" i="3"/>
  <c r="AA8" i="3"/>
  <c r="Z8" i="3"/>
  <c r="Y8" i="3"/>
  <c r="X8" i="3"/>
  <c r="W8" i="3"/>
  <c r="V8" i="3"/>
  <c r="U8" i="3"/>
  <c r="T8" i="3"/>
  <c r="S8" i="3"/>
  <c r="R8" i="3"/>
  <c r="E8" i="3"/>
  <c r="E243" i="3" s="1"/>
  <c r="D8" i="3"/>
  <c r="D243" i="3" s="1"/>
  <c r="C8" i="3"/>
  <c r="B8" i="3"/>
  <c r="A8" i="3"/>
  <c r="AC7" i="3"/>
  <c r="AB7" i="3"/>
  <c r="AA7" i="3"/>
  <c r="Z7" i="3"/>
  <c r="Y7" i="3"/>
  <c r="X7" i="3"/>
  <c r="W7" i="3"/>
  <c r="V7" i="3"/>
  <c r="U7" i="3"/>
  <c r="T7" i="3"/>
  <c r="S7" i="3"/>
  <c r="R7" i="3"/>
  <c r="E7" i="3"/>
  <c r="E242" i="3" s="1"/>
  <c r="D7" i="3"/>
  <c r="D242" i="3" s="1"/>
  <c r="C7" i="3"/>
  <c r="C242" i="3" s="1"/>
  <c r="B7" i="3"/>
  <c r="B242" i="3" s="1"/>
  <c r="A7" i="3"/>
  <c r="A242" i="3" s="1"/>
  <c r="AC6" i="3"/>
  <c r="AB6" i="3"/>
  <c r="AA6" i="3"/>
  <c r="Z6" i="3"/>
  <c r="Y6" i="3"/>
  <c r="X6" i="3"/>
  <c r="W6" i="3"/>
  <c r="V6" i="3"/>
  <c r="U6" i="3"/>
  <c r="T6" i="3"/>
  <c r="S6" i="3"/>
  <c r="R6" i="3"/>
  <c r="E6" i="3"/>
  <c r="E241" i="3" s="1"/>
  <c r="D6" i="3"/>
  <c r="D241" i="3" s="1"/>
  <c r="C6" i="3"/>
  <c r="C241" i="3" s="1"/>
  <c r="B6" i="3"/>
  <c r="B241" i="3" s="1"/>
  <c r="A6" i="3"/>
  <c r="AC5" i="3"/>
  <c r="AB5" i="3"/>
  <c r="AA5" i="3"/>
  <c r="Z5" i="3"/>
  <c r="Y5" i="3"/>
  <c r="X5" i="3"/>
  <c r="W5" i="3"/>
  <c r="V5" i="3"/>
  <c r="U5" i="3"/>
  <c r="T5" i="3"/>
  <c r="S5" i="3"/>
  <c r="R5" i="3"/>
  <c r="E5" i="3"/>
  <c r="D5" i="3"/>
  <c r="C5" i="3"/>
  <c r="C240" i="3" s="1"/>
  <c r="B5" i="3"/>
  <c r="B240" i="3" s="1"/>
  <c r="A5" i="3"/>
  <c r="A240" i="3" s="1"/>
  <c r="AC4" i="3"/>
  <c r="AB4" i="3"/>
  <c r="AA4" i="3"/>
  <c r="Z4" i="3"/>
  <c r="Y4" i="3"/>
  <c r="X4" i="3"/>
  <c r="W4" i="3"/>
  <c r="V4" i="3"/>
  <c r="U4" i="3"/>
  <c r="T4" i="3"/>
  <c r="S4" i="3"/>
  <c r="R4" i="3"/>
  <c r="E4" i="3"/>
  <c r="B4" i="3"/>
  <c r="A4" i="3"/>
  <c r="AC3" i="3"/>
  <c r="AB3" i="3"/>
  <c r="AA3" i="3"/>
  <c r="Z3" i="3"/>
  <c r="Y3" i="3"/>
  <c r="X3" i="3"/>
  <c r="W3" i="3"/>
  <c r="V3" i="3"/>
  <c r="U3" i="3"/>
  <c r="T3" i="3"/>
  <c r="S3" i="3"/>
  <c r="R3" i="3"/>
  <c r="E3" i="3"/>
  <c r="B3" i="3"/>
  <c r="A3" i="3"/>
  <c r="E2" i="3"/>
  <c r="D2" i="3"/>
  <c r="D2" i="2" s="1"/>
  <c r="C2" i="3"/>
  <c r="C2" i="2" s="1"/>
  <c r="B2" i="3"/>
  <c r="A2" i="3"/>
  <c r="Q222" i="2"/>
  <c r="P222" i="2"/>
  <c r="O222" i="2"/>
  <c r="N222" i="2"/>
  <c r="M222" i="2"/>
  <c r="L222" i="2"/>
  <c r="K222" i="2"/>
  <c r="J222" i="2"/>
  <c r="I222" i="2"/>
  <c r="H222" i="2"/>
  <c r="G222" i="2"/>
  <c r="F222" i="2"/>
  <c r="D222" i="2"/>
  <c r="C222" i="2"/>
  <c r="E221" i="2"/>
  <c r="D221" i="2"/>
  <c r="C221" i="2"/>
  <c r="B221" i="2"/>
  <c r="A221" i="2"/>
  <c r="E220" i="2"/>
  <c r="D220" i="2"/>
  <c r="C220" i="2"/>
  <c r="B220" i="2"/>
  <c r="C219" i="2"/>
  <c r="B219" i="2"/>
  <c r="A219" i="2"/>
  <c r="E218" i="2"/>
  <c r="D218" i="2"/>
  <c r="C218" i="2"/>
  <c r="B218" i="2"/>
  <c r="A218" i="2"/>
  <c r="E217" i="2"/>
  <c r="A217" i="2"/>
  <c r="E216" i="2"/>
  <c r="D216" i="2"/>
  <c r="C216" i="2"/>
  <c r="B216" i="2"/>
  <c r="A216" i="2"/>
  <c r="E215" i="2"/>
  <c r="D215" i="2"/>
  <c r="C215" i="2"/>
  <c r="D214" i="2"/>
  <c r="C214" i="2"/>
  <c r="B214" i="2"/>
  <c r="A214" i="2"/>
  <c r="E213" i="2"/>
  <c r="D213" i="2"/>
  <c r="C213" i="2"/>
  <c r="B213" i="2"/>
  <c r="A213" i="2"/>
  <c r="B212" i="2"/>
  <c r="A212" i="2"/>
  <c r="E211" i="2"/>
  <c r="D211" i="2"/>
  <c r="C211" i="2"/>
  <c r="B211" i="2"/>
  <c r="A211" i="2"/>
  <c r="E210" i="2"/>
  <c r="D210" i="2"/>
  <c r="E209" i="2"/>
  <c r="D209" i="2"/>
  <c r="C209" i="2"/>
  <c r="B209" i="2"/>
  <c r="A209" i="2"/>
  <c r="E208" i="2"/>
  <c r="D208" i="2"/>
  <c r="C208" i="2"/>
  <c r="B208" i="2"/>
  <c r="C207" i="2"/>
  <c r="B207" i="2"/>
  <c r="A207" i="2"/>
  <c r="E206" i="2"/>
  <c r="D206" i="2"/>
  <c r="C206" i="2"/>
  <c r="B206" i="2"/>
  <c r="A206" i="2"/>
  <c r="E205" i="2"/>
  <c r="A205" i="2"/>
  <c r="E204" i="2"/>
  <c r="D204" i="2"/>
  <c r="C204" i="2"/>
  <c r="B204" i="2"/>
  <c r="A204" i="2"/>
  <c r="E203" i="2"/>
  <c r="D203" i="2"/>
  <c r="C203" i="2"/>
  <c r="B203" i="2"/>
  <c r="A203" i="2"/>
  <c r="B202" i="2"/>
  <c r="A202" i="2"/>
  <c r="E201" i="2"/>
  <c r="D201" i="2"/>
  <c r="C201" i="2"/>
  <c r="B201" i="2"/>
  <c r="A201" i="2"/>
  <c r="E200" i="2"/>
  <c r="D200" i="2"/>
  <c r="E199" i="2"/>
  <c r="D199" i="2"/>
  <c r="C199" i="2"/>
  <c r="B199" i="2"/>
  <c r="A199" i="2"/>
  <c r="E198" i="2"/>
  <c r="D198" i="2"/>
  <c r="C198" i="2"/>
  <c r="B198" i="2"/>
  <c r="C197" i="2"/>
  <c r="B197" i="2"/>
  <c r="A197" i="2"/>
  <c r="E196" i="2"/>
  <c r="D196" i="2"/>
  <c r="C196" i="2"/>
  <c r="B196" i="2"/>
  <c r="A196" i="2"/>
  <c r="E195" i="2"/>
  <c r="A195" i="2"/>
  <c r="E194" i="2"/>
  <c r="D194" i="2"/>
  <c r="C194" i="2"/>
  <c r="B194" i="2"/>
  <c r="A194" i="2"/>
  <c r="E193" i="2"/>
  <c r="D193" i="2"/>
  <c r="C193" i="2"/>
  <c r="D192" i="2"/>
  <c r="C192" i="2"/>
  <c r="B192" i="2"/>
  <c r="A192" i="2"/>
  <c r="E191" i="2"/>
  <c r="D191" i="2"/>
  <c r="C191" i="2"/>
  <c r="B191" i="2"/>
  <c r="A191" i="2"/>
  <c r="B190" i="2"/>
  <c r="A190" i="2"/>
  <c r="E189" i="2"/>
  <c r="D189" i="2"/>
  <c r="C189" i="2"/>
  <c r="B189" i="2"/>
  <c r="A189" i="2"/>
  <c r="E188" i="2"/>
  <c r="D188" i="2"/>
  <c r="E187" i="2"/>
  <c r="D187" i="2"/>
  <c r="C187" i="2"/>
  <c r="B187" i="2"/>
  <c r="A187" i="2"/>
  <c r="E186" i="2"/>
  <c r="D186" i="2"/>
  <c r="C186" i="2"/>
  <c r="B186" i="2"/>
  <c r="A186" i="2"/>
  <c r="E185" i="2"/>
  <c r="C185" i="2"/>
  <c r="B185" i="2"/>
  <c r="A185" i="2"/>
  <c r="E184" i="2"/>
  <c r="D184" i="2"/>
  <c r="C184" i="2"/>
  <c r="B184" i="2"/>
  <c r="A184" i="2"/>
  <c r="E183" i="2"/>
  <c r="D183" i="2"/>
  <c r="C183" i="2"/>
  <c r="A183" i="2"/>
  <c r="E182" i="2"/>
  <c r="D182" i="2"/>
  <c r="C182" i="2"/>
  <c r="B182" i="2"/>
  <c r="A182" i="2"/>
  <c r="E181" i="2"/>
  <c r="D181" i="2"/>
  <c r="C181" i="2"/>
  <c r="B181" i="2"/>
  <c r="A181" i="2"/>
  <c r="D180" i="2"/>
  <c r="C180" i="2"/>
  <c r="B180" i="2"/>
  <c r="A180" i="2"/>
  <c r="E179" i="2"/>
  <c r="D179" i="2"/>
  <c r="C179" i="2"/>
  <c r="B179" i="2"/>
  <c r="A179" i="2"/>
  <c r="E178" i="2"/>
  <c r="D178" i="2"/>
  <c r="A178" i="2"/>
  <c r="E177" i="2"/>
  <c r="D177" i="2"/>
  <c r="C177" i="2"/>
  <c r="B177" i="2"/>
  <c r="A177" i="2"/>
  <c r="E176" i="2"/>
  <c r="D176" i="2"/>
  <c r="C176" i="2"/>
  <c r="B176" i="2"/>
  <c r="C175" i="2"/>
  <c r="B175" i="2"/>
  <c r="A175" i="2"/>
  <c r="E174" i="2"/>
  <c r="D174" i="2"/>
  <c r="C174" i="2"/>
  <c r="B174" i="2"/>
  <c r="A174" i="2"/>
  <c r="E173" i="2"/>
  <c r="A173" i="2"/>
  <c r="E172" i="2"/>
  <c r="D172" i="2"/>
  <c r="C172" i="2"/>
  <c r="B172" i="2"/>
  <c r="A172" i="2"/>
  <c r="E171" i="2"/>
  <c r="D171" i="2"/>
  <c r="C171" i="2"/>
  <c r="D170" i="2"/>
  <c r="C170" i="2"/>
  <c r="B170" i="2"/>
  <c r="A170" i="2"/>
  <c r="E169" i="2"/>
  <c r="D169" i="2"/>
  <c r="C169" i="2"/>
  <c r="B169" i="2"/>
  <c r="A169" i="2"/>
  <c r="D168" i="2"/>
  <c r="C168" i="2"/>
  <c r="B168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E166" i="2"/>
  <c r="D166" i="2"/>
  <c r="C166" i="2"/>
  <c r="B166" i="2"/>
  <c r="A166" i="2"/>
  <c r="E165" i="2"/>
  <c r="A165" i="2"/>
  <c r="E164" i="2"/>
  <c r="D164" i="2"/>
  <c r="C164" i="2"/>
  <c r="B164" i="2"/>
  <c r="A164" i="2"/>
  <c r="E163" i="2"/>
  <c r="D163" i="2"/>
  <c r="C163" i="2"/>
  <c r="D162" i="2"/>
  <c r="C162" i="2"/>
  <c r="B162" i="2"/>
  <c r="A162" i="2"/>
  <c r="E161" i="2"/>
  <c r="D161" i="2"/>
  <c r="C161" i="2"/>
  <c r="B161" i="2"/>
  <c r="A161" i="2"/>
  <c r="B160" i="2"/>
  <c r="A160" i="2"/>
  <c r="E159" i="2"/>
  <c r="D159" i="2"/>
  <c r="C159" i="2"/>
  <c r="B159" i="2"/>
  <c r="A159" i="2"/>
  <c r="E158" i="2"/>
  <c r="D158" i="2"/>
  <c r="E157" i="2"/>
  <c r="D157" i="2"/>
  <c r="C157" i="2"/>
  <c r="B157" i="2"/>
  <c r="A157" i="2"/>
  <c r="E156" i="2"/>
  <c r="D156" i="2"/>
  <c r="C156" i="2"/>
  <c r="B156" i="2"/>
  <c r="C155" i="2"/>
  <c r="B155" i="2"/>
  <c r="A155" i="2"/>
  <c r="E154" i="2"/>
  <c r="D154" i="2"/>
  <c r="C154" i="2"/>
  <c r="B154" i="2"/>
  <c r="A154" i="2"/>
  <c r="E153" i="2"/>
  <c r="A153" i="2"/>
  <c r="E152" i="2"/>
  <c r="D152" i="2"/>
  <c r="C152" i="2"/>
  <c r="B152" i="2"/>
  <c r="A152" i="2"/>
  <c r="E151" i="2"/>
  <c r="D151" i="2"/>
  <c r="C151" i="2"/>
  <c r="D150" i="2"/>
  <c r="C150" i="2"/>
  <c r="B150" i="2"/>
  <c r="A150" i="2"/>
  <c r="E149" i="2"/>
  <c r="D149" i="2"/>
  <c r="C149" i="2"/>
  <c r="B149" i="2"/>
  <c r="A149" i="2"/>
  <c r="E148" i="2"/>
  <c r="D148" i="2"/>
  <c r="E147" i="2"/>
  <c r="D147" i="2"/>
  <c r="C147" i="2"/>
  <c r="B147" i="2"/>
  <c r="A147" i="2"/>
  <c r="E146" i="2"/>
  <c r="D146" i="2"/>
  <c r="C146" i="2"/>
  <c r="B146" i="2"/>
  <c r="C145" i="2"/>
  <c r="B145" i="2"/>
  <c r="A145" i="2"/>
  <c r="E144" i="2"/>
  <c r="D144" i="2"/>
  <c r="C144" i="2"/>
  <c r="B144" i="2"/>
  <c r="A144" i="2"/>
  <c r="E143" i="2"/>
  <c r="A143" i="2"/>
  <c r="E142" i="2"/>
  <c r="D142" i="2"/>
  <c r="C142" i="2"/>
  <c r="B142" i="2"/>
  <c r="A142" i="2"/>
  <c r="E141" i="2"/>
  <c r="D141" i="2"/>
  <c r="C141" i="2"/>
  <c r="D140" i="2"/>
  <c r="C140" i="2"/>
  <c r="B140" i="2"/>
  <c r="A140" i="2"/>
  <c r="E139" i="2"/>
  <c r="D139" i="2"/>
  <c r="C139" i="2"/>
  <c r="B139" i="2"/>
  <c r="A139" i="2"/>
  <c r="B138" i="2"/>
  <c r="A138" i="2"/>
  <c r="E137" i="2"/>
  <c r="D137" i="2"/>
  <c r="C137" i="2"/>
  <c r="B137" i="2"/>
  <c r="A137" i="2"/>
  <c r="E136" i="2"/>
  <c r="D136" i="2"/>
  <c r="E135" i="2"/>
  <c r="D135" i="2"/>
  <c r="C135" i="2"/>
  <c r="B135" i="2"/>
  <c r="A135" i="2"/>
  <c r="E134" i="2"/>
  <c r="D134" i="2"/>
  <c r="C134" i="2"/>
  <c r="B134" i="2"/>
  <c r="C133" i="2"/>
  <c r="B133" i="2"/>
  <c r="A133" i="2"/>
  <c r="E132" i="2"/>
  <c r="D132" i="2"/>
  <c r="C132" i="2"/>
  <c r="B132" i="2"/>
  <c r="A132" i="2"/>
  <c r="E131" i="2"/>
  <c r="D131" i="2"/>
  <c r="C131" i="2"/>
  <c r="D130" i="2"/>
  <c r="C130" i="2"/>
  <c r="B130" i="2"/>
  <c r="A130" i="2"/>
  <c r="E129" i="2"/>
  <c r="D129" i="2"/>
  <c r="C129" i="2"/>
  <c r="B129" i="2"/>
  <c r="A129" i="2"/>
  <c r="B128" i="2"/>
  <c r="A128" i="2"/>
  <c r="E127" i="2"/>
  <c r="D127" i="2"/>
  <c r="C127" i="2"/>
  <c r="B127" i="2"/>
  <c r="A127" i="2"/>
  <c r="E126" i="2"/>
  <c r="D126" i="2"/>
  <c r="E125" i="2"/>
  <c r="D125" i="2"/>
  <c r="C125" i="2"/>
  <c r="B125" i="2"/>
  <c r="A125" i="2"/>
  <c r="E124" i="2"/>
  <c r="D124" i="2"/>
  <c r="C124" i="2"/>
  <c r="B124" i="2"/>
  <c r="C123" i="2"/>
  <c r="B123" i="2"/>
  <c r="A123" i="2"/>
  <c r="E122" i="2"/>
  <c r="D122" i="2"/>
  <c r="C122" i="2"/>
  <c r="B122" i="2"/>
  <c r="A122" i="2"/>
  <c r="E121" i="2"/>
  <c r="A121" i="2"/>
  <c r="E120" i="2"/>
  <c r="D120" i="2"/>
  <c r="C120" i="2"/>
  <c r="B120" i="2"/>
  <c r="A120" i="2"/>
  <c r="E119" i="2"/>
  <c r="D119" i="2"/>
  <c r="C119" i="2"/>
  <c r="D118" i="2"/>
  <c r="C118" i="2"/>
  <c r="B118" i="2"/>
  <c r="A118" i="2"/>
  <c r="E117" i="2"/>
  <c r="D117" i="2"/>
  <c r="C117" i="2"/>
  <c r="B117" i="2"/>
  <c r="A117" i="2"/>
  <c r="B116" i="2"/>
  <c r="A116" i="2"/>
  <c r="E115" i="2"/>
  <c r="D115" i="2"/>
  <c r="C115" i="2"/>
  <c r="B115" i="2"/>
  <c r="A115" i="2"/>
  <c r="E114" i="2"/>
  <c r="D114" i="2"/>
  <c r="E113" i="2"/>
  <c r="D113" i="2"/>
  <c r="C113" i="2"/>
  <c r="B113" i="2"/>
  <c r="A113" i="2"/>
  <c r="E112" i="2"/>
  <c r="D112" i="2"/>
  <c r="C112" i="2"/>
  <c r="B112" i="2"/>
  <c r="A112" i="2"/>
  <c r="E111" i="2"/>
  <c r="B111" i="2"/>
  <c r="A111" i="2"/>
  <c r="E110" i="2"/>
  <c r="D110" i="2"/>
  <c r="B110" i="2"/>
  <c r="A110" i="2"/>
  <c r="E109" i="2"/>
  <c r="D109" i="2"/>
  <c r="C109" i="2"/>
  <c r="D108" i="2"/>
  <c r="C108" i="2"/>
  <c r="B108" i="2"/>
  <c r="A108" i="2"/>
  <c r="E107" i="2"/>
  <c r="D107" i="2"/>
  <c r="C107" i="2"/>
  <c r="B107" i="2"/>
  <c r="A107" i="2"/>
  <c r="B106" i="2"/>
  <c r="A106" i="2"/>
  <c r="E105" i="2"/>
  <c r="D105" i="2"/>
  <c r="C105" i="2"/>
  <c r="B105" i="2"/>
  <c r="A105" i="2"/>
  <c r="E104" i="2"/>
  <c r="D104" i="2"/>
  <c r="E103" i="2"/>
  <c r="D103" i="2"/>
  <c r="C103" i="2"/>
  <c r="B103" i="2"/>
  <c r="A103" i="2"/>
  <c r="E102" i="2"/>
  <c r="D102" i="2"/>
  <c r="B102" i="2"/>
  <c r="C101" i="2"/>
  <c r="B101" i="2"/>
  <c r="A101" i="2"/>
  <c r="E100" i="2"/>
  <c r="D100" i="2"/>
  <c r="C100" i="2"/>
  <c r="B100" i="2"/>
  <c r="A100" i="2"/>
  <c r="E99" i="2"/>
  <c r="A99" i="2"/>
  <c r="E98" i="2"/>
  <c r="D98" i="2"/>
  <c r="B98" i="2"/>
  <c r="A98" i="2"/>
  <c r="E97" i="2"/>
  <c r="D97" i="2"/>
  <c r="C97" i="2"/>
  <c r="D96" i="2"/>
  <c r="C96" i="2"/>
  <c r="B96" i="2"/>
  <c r="A96" i="2"/>
  <c r="E95" i="2"/>
  <c r="D95" i="2"/>
  <c r="C95" i="2"/>
  <c r="B95" i="2"/>
  <c r="A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D93" i="2"/>
  <c r="C93" i="2"/>
  <c r="B93" i="2"/>
  <c r="A93" i="2"/>
  <c r="E92" i="2"/>
  <c r="D92" i="2"/>
  <c r="C92" i="2"/>
  <c r="B92" i="2"/>
  <c r="A92" i="2"/>
  <c r="E91" i="2"/>
  <c r="A91" i="2"/>
  <c r="E90" i="2"/>
  <c r="D90" i="2"/>
  <c r="C90" i="2"/>
  <c r="B90" i="2"/>
  <c r="A90" i="2"/>
  <c r="E89" i="2"/>
  <c r="C89" i="2"/>
  <c r="D88" i="2"/>
  <c r="C88" i="2"/>
  <c r="B88" i="2"/>
  <c r="A88" i="2"/>
  <c r="E87" i="2"/>
  <c r="D87" i="2"/>
  <c r="C87" i="2"/>
  <c r="B87" i="2"/>
  <c r="A87" i="2"/>
  <c r="B86" i="2"/>
  <c r="A86" i="2"/>
  <c r="E85" i="2"/>
  <c r="D85" i="2"/>
  <c r="C85" i="2"/>
  <c r="B85" i="2"/>
  <c r="A85" i="2"/>
  <c r="E84" i="2"/>
  <c r="D84" i="2"/>
  <c r="E83" i="2"/>
  <c r="D83" i="2"/>
  <c r="C83" i="2"/>
  <c r="B83" i="2"/>
  <c r="A83" i="2"/>
  <c r="E82" i="2"/>
  <c r="D82" i="2"/>
  <c r="C82" i="2"/>
  <c r="B82" i="2"/>
  <c r="C81" i="2"/>
  <c r="B81" i="2"/>
  <c r="A81" i="2"/>
  <c r="E80" i="2"/>
  <c r="D80" i="2"/>
  <c r="C80" i="2"/>
  <c r="B80" i="2"/>
  <c r="A80" i="2"/>
  <c r="E79" i="2"/>
  <c r="A79" i="2"/>
  <c r="E78" i="2"/>
  <c r="D78" i="2"/>
  <c r="C78" i="2"/>
  <c r="B78" i="2"/>
  <c r="A78" i="2"/>
  <c r="E77" i="2"/>
  <c r="D77" i="2"/>
  <c r="C77" i="2"/>
  <c r="D76" i="2"/>
  <c r="C76" i="2"/>
  <c r="B76" i="2"/>
  <c r="A76" i="2"/>
  <c r="E75" i="2"/>
  <c r="D75" i="2"/>
  <c r="C75" i="2"/>
  <c r="B75" i="2"/>
  <c r="A75" i="2"/>
  <c r="E74" i="2"/>
  <c r="D74" i="2"/>
  <c r="E73" i="2"/>
  <c r="D73" i="2"/>
  <c r="C73" i="2"/>
  <c r="B73" i="2"/>
  <c r="A73" i="2"/>
  <c r="E72" i="2"/>
  <c r="D72" i="2"/>
  <c r="C72" i="2"/>
  <c r="B72" i="2"/>
  <c r="C71" i="2"/>
  <c r="B71" i="2"/>
  <c r="A71" i="2"/>
  <c r="E70" i="2"/>
  <c r="D70" i="2"/>
  <c r="C70" i="2"/>
  <c r="B70" i="2"/>
  <c r="A70" i="2"/>
  <c r="E69" i="2"/>
  <c r="A69" i="2"/>
  <c r="E68" i="2"/>
  <c r="D68" i="2"/>
  <c r="C68" i="2"/>
  <c r="B68" i="2"/>
  <c r="A68" i="2"/>
  <c r="E67" i="2"/>
  <c r="D67" i="2"/>
  <c r="C67" i="2"/>
  <c r="D66" i="2"/>
  <c r="C66" i="2"/>
  <c r="B66" i="2"/>
  <c r="A66" i="2"/>
  <c r="E65" i="2"/>
  <c r="D65" i="2"/>
  <c r="C65" i="2"/>
  <c r="B65" i="2"/>
  <c r="A65" i="2"/>
  <c r="B64" i="2"/>
  <c r="A64" i="2"/>
  <c r="E63" i="2"/>
  <c r="D63" i="2"/>
  <c r="C63" i="2"/>
  <c r="B63" i="2"/>
  <c r="A63" i="2"/>
  <c r="E62" i="2"/>
  <c r="D62" i="2"/>
  <c r="E61" i="2"/>
  <c r="D61" i="2"/>
  <c r="C61" i="2"/>
  <c r="B61" i="2"/>
  <c r="A61" i="2"/>
  <c r="E60" i="2"/>
  <c r="D60" i="2"/>
  <c r="C60" i="2"/>
  <c r="B60" i="2"/>
  <c r="C59" i="2"/>
  <c r="B59" i="2"/>
  <c r="A59" i="2"/>
  <c r="E58" i="2"/>
  <c r="D58" i="2"/>
  <c r="C58" i="2"/>
  <c r="B58" i="2"/>
  <c r="A58" i="2"/>
  <c r="E57" i="2"/>
  <c r="D57" i="2"/>
  <c r="C57" i="2"/>
  <c r="E56" i="2"/>
  <c r="D56" i="2"/>
  <c r="C56" i="2"/>
  <c r="B56" i="2"/>
  <c r="A56" i="2"/>
  <c r="E55" i="2"/>
  <c r="D55" i="2"/>
  <c r="C55" i="2"/>
  <c r="B55" i="2"/>
  <c r="A55" i="2"/>
  <c r="B54" i="2"/>
  <c r="A54" i="2"/>
  <c r="E53" i="2"/>
  <c r="D53" i="2"/>
  <c r="C53" i="2"/>
  <c r="B53" i="2"/>
  <c r="A53" i="2"/>
  <c r="E52" i="2"/>
  <c r="D52" i="2"/>
  <c r="E51" i="2"/>
  <c r="D51" i="2"/>
  <c r="C51" i="2"/>
  <c r="B51" i="2"/>
  <c r="A51" i="2"/>
  <c r="E50" i="2"/>
  <c r="D50" i="2"/>
  <c r="C50" i="2"/>
  <c r="B50" i="2"/>
  <c r="C49" i="2"/>
  <c r="B49" i="2"/>
  <c r="A49" i="2"/>
  <c r="E48" i="2"/>
  <c r="D48" i="2"/>
  <c r="C48" i="2"/>
  <c r="B48" i="2"/>
  <c r="A48" i="2"/>
  <c r="A47" i="2"/>
  <c r="E46" i="2"/>
  <c r="D46" i="2"/>
  <c r="C46" i="2"/>
  <c r="B46" i="2"/>
  <c r="A46" i="2"/>
  <c r="E45" i="2"/>
  <c r="D45" i="2"/>
  <c r="C45" i="2"/>
  <c r="D44" i="2"/>
  <c r="C44" i="2"/>
  <c r="B44" i="2"/>
  <c r="A44" i="2"/>
  <c r="E43" i="2"/>
  <c r="D43" i="2"/>
  <c r="C43" i="2"/>
  <c r="B43" i="2"/>
  <c r="A43" i="2"/>
  <c r="B42" i="2"/>
  <c r="A42" i="2"/>
  <c r="E41" i="2"/>
  <c r="D41" i="2"/>
  <c r="C41" i="2"/>
  <c r="B41" i="2"/>
  <c r="A41" i="2"/>
  <c r="E40" i="2"/>
  <c r="D40" i="2"/>
  <c r="C40" i="2"/>
  <c r="B40" i="2"/>
  <c r="C39" i="2"/>
  <c r="B39" i="2"/>
  <c r="A39" i="2"/>
  <c r="E38" i="2"/>
  <c r="D38" i="2"/>
  <c r="C38" i="2"/>
  <c r="B38" i="2"/>
  <c r="A38" i="2"/>
  <c r="E37" i="2"/>
  <c r="A37" i="2"/>
  <c r="E36" i="2"/>
  <c r="D36" i="2"/>
  <c r="C36" i="2"/>
  <c r="B36" i="2"/>
  <c r="A36" i="2"/>
  <c r="E35" i="2"/>
  <c r="D35" i="2"/>
  <c r="C35" i="2"/>
  <c r="E34" i="2"/>
  <c r="D34" i="2"/>
  <c r="C34" i="2"/>
  <c r="B34" i="2"/>
  <c r="A34" i="2"/>
  <c r="E33" i="2"/>
  <c r="D33" i="2"/>
  <c r="C33" i="2"/>
  <c r="B33" i="2"/>
  <c r="A33" i="2"/>
  <c r="C32" i="2"/>
  <c r="B32" i="2"/>
  <c r="A32" i="2"/>
  <c r="E31" i="2"/>
  <c r="D31" i="2"/>
  <c r="C31" i="2"/>
  <c r="B31" i="2"/>
  <c r="A31" i="2"/>
  <c r="E30" i="2"/>
  <c r="D30" i="2"/>
  <c r="A30" i="2"/>
  <c r="E29" i="2"/>
  <c r="D29" i="2"/>
  <c r="C29" i="2"/>
  <c r="B29" i="2"/>
  <c r="A29" i="2"/>
  <c r="E28" i="2"/>
  <c r="D28" i="2"/>
  <c r="C28" i="2"/>
  <c r="C27" i="2"/>
  <c r="B27" i="2"/>
  <c r="A27" i="2"/>
  <c r="E26" i="2"/>
  <c r="D26" i="2"/>
  <c r="C26" i="2"/>
  <c r="B26" i="2"/>
  <c r="A26" i="2"/>
  <c r="A25" i="2"/>
  <c r="E24" i="2"/>
  <c r="D24" i="2"/>
  <c r="C24" i="2"/>
  <c r="B24" i="2"/>
  <c r="A24" i="2"/>
  <c r="E23" i="2"/>
  <c r="D22" i="2"/>
  <c r="C22" i="2"/>
  <c r="B22" i="2"/>
  <c r="A22" i="2"/>
  <c r="E21" i="2"/>
  <c r="D21" i="2"/>
  <c r="C21" i="2"/>
  <c r="B21" i="2"/>
  <c r="A21" i="2"/>
  <c r="E20" i="2"/>
  <c r="B20" i="2"/>
  <c r="A20" i="2"/>
  <c r="E19" i="2"/>
  <c r="D19" i="2"/>
  <c r="C19" i="2"/>
  <c r="A19" i="2"/>
  <c r="E18" i="2"/>
  <c r="D18" i="2"/>
  <c r="C18" i="2"/>
  <c r="C17" i="2"/>
  <c r="B17" i="2"/>
  <c r="A17" i="2"/>
  <c r="E16" i="2"/>
  <c r="D16" i="2"/>
  <c r="C16" i="2"/>
  <c r="B16" i="2"/>
  <c r="A16" i="2"/>
  <c r="A15" i="2"/>
  <c r="E14" i="2"/>
  <c r="D14" i="2"/>
  <c r="C14" i="2"/>
  <c r="B14" i="2"/>
  <c r="A14" i="2"/>
  <c r="E13" i="2"/>
  <c r="D13" i="2"/>
  <c r="D12" i="2"/>
  <c r="C12" i="2"/>
  <c r="B12" i="2"/>
  <c r="A12" i="2"/>
  <c r="E11" i="2"/>
  <c r="D11" i="2"/>
  <c r="C11" i="2"/>
  <c r="B11" i="2"/>
  <c r="B10" i="2"/>
  <c r="A10" i="2"/>
  <c r="E9" i="2"/>
  <c r="D9" i="2"/>
  <c r="C9" i="2"/>
  <c r="A9" i="2"/>
  <c r="E8" i="2"/>
  <c r="E7" i="2"/>
  <c r="D7" i="2"/>
  <c r="C7" i="2"/>
  <c r="B7" i="2"/>
  <c r="A7" i="2"/>
  <c r="E6" i="2"/>
  <c r="D6" i="2"/>
  <c r="C6" i="2"/>
  <c r="C5" i="2"/>
  <c r="B5" i="2"/>
  <c r="A5" i="2"/>
  <c r="E4" i="2"/>
  <c r="D4" i="2"/>
  <c r="C4" i="2"/>
  <c r="B4" i="2"/>
  <c r="A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B2" i="2"/>
  <c r="A2" i="2"/>
  <c r="F257" i="3"/>
  <c r="F300" i="3"/>
  <c r="F386" i="3"/>
  <c r="F345" i="3"/>
  <c r="F397" i="3"/>
  <c r="F364" i="3"/>
  <c r="F344" i="3"/>
  <c r="F401" i="3"/>
  <c r="F320" i="3"/>
  <c r="F262" i="3"/>
  <c r="F315" i="3"/>
  <c r="F440" i="3"/>
  <c r="F400" i="3"/>
  <c r="F259" i="3"/>
  <c r="F294" i="3"/>
  <c r="F251" i="3"/>
  <c r="F267" i="3"/>
  <c r="F302" i="3"/>
  <c r="F278" i="3"/>
  <c r="F372" i="3"/>
  <c r="F394" i="3"/>
  <c r="F283" i="3"/>
  <c r="F347" i="3"/>
  <c r="F291" i="3"/>
  <c r="F338" i="3"/>
  <c r="F346" i="3"/>
  <c r="F330" i="3"/>
  <c r="F374" i="3"/>
  <c r="F306" i="3"/>
  <c r="F322" i="3"/>
  <c r="F403" i="3"/>
  <c r="F375" i="3"/>
  <c r="F367" i="3"/>
  <c r="F435" i="3"/>
  <c r="F359" i="3"/>
  <c r="F383" i="3"/>
  <c r="F419" i="3"/>
  <c r="F426" i="3"/>
  <c r="F442" i="3"/>
  <c r="F443" i="3"/>
  <c r="F434" i="3"/>
  <c r="F329" i="3"/>
  <c r="F284" i="3"/>
  <c r="F297" i="3"/>
  <c r="F241" i="3"/>
  <c r="F408" i="3"/>
  <c r="F296" i="3"/>
  <c r="F317" i="3"/>
  <c r="F389" i="3"/>
  <c r="F248" i="3"/>
  <c r="F441" i="3"/>
  <c r="F352" i="3"/>
  <c r="F261" i="3"/>
  <c r="F253" i="3"/>
  <c r="F269" i="3"/>
  <c r="F304" i="3"/>
  <c r="F288" i="3"/>
  <c r="F280" i="3"/>
  <c r="F384" i="3"/>
  <c r="F301" i="3"/>
  <c r="F245" i="3"/>
  <c r="F333" i="3"/>
  <c r="F368" i="3"/>
  <c r="F277" i="3"/>
  <c r="F348" i="3"/>
  <c r="F324" i="3"/>
  <c r="F357" i="3"/>
  <c r="F356" i="3"/>
  <c r="F316" i="3"/>
  <c r="F393" i="3"/>
  <c r="F369" i="3"/>
  <c r="F385" i="3"/>
  <c r="F380" i="3"/>
  <c r="F420" i="3"/>
  <c r="F244" i="3"/>
  <c r="F404" i="3"/>
  <c r="F292" i="3"/>
  <c r="F436" i="3"/>
  <c r="F428" i="3"/>
  <c r="F281" i="3"/>
  <c r="F249" i="3"/>
  <c r="F312" i="3"/>
  <c r="F268" i="3"/>
  <c r="F370" i="3"/>
  <c r="F337" i="3"/>
  <c r="F381" i="3"/>
  <c r="F240" i="3"/>
  <c r="F416" i="3"/>
  <c r="F425" i="3"/>
  <c r="F258" i="3"/>
  <c r="F409" i="3"/>
  <c r="F336" i="3"/>
  <c r="F255" i="3"/>
  <c r="F282" i="3"/>
  <c r="F263" i="3"/>
  <c r="F271" i="3"/>
  <c r="F274" i="3"/>
  <c r="F343" i="3"/>
  <c r="F378" i="3"/>
  <c r="F351" i="3"/>
  <c r="F295" i="3"/>
  <c r="F303" i="3"/>
  <c r="F279" i="3"/>
  <c r="F406" i="3"/>
  <c r="F388" i="3"/>
  <c r="F334" i="3"/>
  <c r="F392" i="3"/>
  <c r="F390" i="3"/>
  <c r="F415" i="3"/>
  <c r="F379" i="3"/>
  <c r="F398" i="3"/>
  <c r="F358" i="3"/>
  <c r="F350" i="3"/>
  <c r="F439" i="3"/>
  <c r="C468" i="3"/>
  <c r="F431" i="3"/>
  <c r="F407" i="3"/>
  <c r="F430" i="3"/>
  <c r="C464" i="3"/>
  <c r="F423" i="3"/>
  <c r="F311" i="3"/>
  <c r="F438" i="3"/>
  <c r="C466" i="3"/>
  <c r="A232" i="3"/>
  <c r="E12" i="2" l="1"/>
  <c r="B91" i="2"/>
  <c r="D240" i="3"/>
  <c r="D5" i="2"/>
  <c r="A243" i="3"/>
  <c r="A8" i="2"/>
  <c r="C275" i="3"/>
  <c r="C42" i="2"/>
  <c r="E277" i="3"/>
  <c r="E44" i="2"/>
  <c r="D291" i="3"/>
  <c r="D59" i="2"/>
  <c r="A294" i="3"/>
  <c r="A62" i="2"/>
  <c r="C296" i="3"/>
  <c r="C64" i="2"/>
  <c r="E298" i="3"/>
  <c r="E66" i="2"/>
  <c r="D303" i="3"/>
  <c r="D71" i="2"/>
  <c r="A306" i="3"/>
  <c r="A74" i="2"/>
  <c r="A315" i="3"/>
  <c r="A84" i="2"/>
  <c r="C317" i="3"/>
  <c r="C86" i="2"/>
  <c r="E319" i="3"/>
  <c r="E88" i="2"/>
  <c r="E325" i="3"/>
  <c r="E96" i="2"/>
  <c r="B328" i="3"/>
  <c r="B99" i="2"/>
  <c r="D330" i="3"/>
  <c r="D101" i="2"/>
  <c r="A333" i="3"/>
  <c r="A104" i="2"/>
  <c r="E337" i="3"/>
  <c r="E108" i="2"/>
  <c r="A342" i="3"/>
  <c r="A114" i="2"/>
  <c r="C344" i="3"/>
  <c r="C116" i="2"/>
  <c r="E346" i="3"/>
  <c r="E118" i="2"/>
  <c r="B349" i="3"/>
  <c r="B121" i="2"/>
  <c r="D351" i="3"/>
  <c r="D123" i="2"/>
  <c r="A354" i="3"/>
  <c r="A126" i="2"/>
  <c r="C356" i="3"/>
  <c r="C128" i="2"/>
  <c r="E358" i="3"/>
  <c r="E130" i="2"/>
  <c r="D360" i="3"/>
  <c r="D133" i="2"/>
  <c r="A363" i="3"/>
  <c r="A136" i="2"/>
  <c r="C365" i="3"/>
  <c r="C138" i="2"/>
  <c r="E367" i="3"/>
  <c r="E140" i="2"/>
  <c r="B370" i="3"/>
  <c r="B143" i="2"/>
  <c r="D372" i="3"/>
  <c r="D145" i="2"/>
  <c r="A375" i="3"/>
  <c r="A148" i="2"/>
  <c r="E376" i="3"/>
  <c r="E150" i="2"/>
  <c r="B379" i="3"/>
  <c r="B153" i="2"/>
  <c r="D381" i="3"/>
  <c r="D155" i="2"/>
  <c r="A384" i="3"/>
  <c r="A158" i="2"/>
  <c r="C386" i="3"/>
  <c r="C160" i="2"/>
  <c r="E388" i="3"/>
  <c r="E162" i="2"/>
  <c r="B391" i="3"/>
  <c r="B165" i="2"/>
  <c r="A411" i="3"/>
  <c r="A188" i="2"/>
  <c r="C413" i="3"/>
  <c r="C190" i="2"/>
  <c r="E415" i="3"/>
  <c r="E192" i="2"/>
  <c r="B418" i="3"/>
  <c r="B195" i="2"/>
  <c r="D420" i="3"/>
  <c r="D197" i="2"/>
  <c r="A423" i="3"/>
  <c r="A200" i="2"/>
  <c r="C425" i="3"/>
  <c r="C202" i="2"/>
  <c r="B427" i="3"/>
  <c r="B205" i="2"/>
  <c r="D429" i="3"/>
  <c r="D207" i="2"/>
  <c r="A432" i="3"/>
  <c r="A210" i="2"/>
  <c r="C434" i="3"/>
  <c r="C212" i="2"/>
  <c r="E436" i="3"/>
  <c r="E214" i="2"/>
  <c r="B439" i="3"/>
  <c r="B217" i="2"/>
  <c r="D441" i="3"/>
  <c r="D219" i="2"/>
  <c r="F289" i="3"/>
  <c r="F424" i="3"/>
  <c r="F299" i="3"/>
  <c r="F314" i="3"/>
  <c r="F432" i="3"/>
  <c r="F410" i="3"/>
  <c r="F365" i="3"/>
  <c r="F264" i="3"/>
  <c r="F293" i="3"/>
  <c r="F341" i="3"/>
  <c r="F396" i="3"/>
  <c r="F366" i="3"/>
  <c r="F250" i="3"/>
  <c r="F326" i="3"/>
  <c r="F395" i="3"/>
  <c r="F323" i="3"/>
  <c r="F414" i="3"/>
  <c r="F319" i="3"/>
  <c r="F276" i="3"/>
  <c r="F286" i="3"/>
  <c r="F360" i="3"/>
  <c r="F402" i="3"/>
  <c r="F411" i="3"/>
  <c r="F260" i="3"/>
  <c r="F328" i="3"/>
  <c r="F272" i="3"/>
  <c r="F340" i="3"/>
  <c r="F361" i="3"/>
  <c r="F413" i="3"/>
  <c r="F305" i="3"/>
  <c r="F309" i="3"/>
  <c r="F318" i="3"/>
  <c r="F371" i="3"/>
  <c r="F252" i="3"/>
  <c r="F313" i="3"/>
  <c r="F275" i="3"/>
  <c r="F339" i="3"/>
  <c r="F391" i="3"/>
  <c r="F354" i="3"/>
  <c r="F399" i="3"/>
  <c r="F256" i="3"/>
  <c r="F349" i="3"/>
  <c r="F332" i="3"/>
  <c r="F405" i="3"/>
  <c r="F429" i="3"/>
  <c r="F273" i="3"/>
  <c r="F298" i="3"/>
  <c r="F335" i="3"/>
  <c r="F310" i="3"/>
  <c r="F387" i="3"/>
  <c r="F433" i="3"/>
  <c r="F246" i="3"/>
  <c r="F243" i="3"/>
  <c r="F355" i="3"/>
  <c r="F376" i="3"/>
  <c r="F418" i="3"/>
  <c r="F265" i="3"/>
  <c r="F321" i="3"/>
  <c r="F325" i="3"/>
  <c r="F382" i="3"/>
  <c r="F421" i="3"/>
  <c r="F412" i="3"/>
  <c r="F242" i="3"/>
  <c r="F290" i="3"/>
  <c r="F327" i="3"/>
  <c r="F422" i="3"/>
  <c r="F363" i="3"/>
  <c r="F373" i="3"/>
  <c r="F254" i="3"/>
  <c r="F270" i="3"/>
  <c r="F331" i="3"/>
  <c r="F427" i="3"/>
  <c r="F307" i="3"/>
  <c r="F353" i="3"/>
  <c r="F417" i="3"/>
  <c r="F285" i="3"/>
  <c r="F308" i="3"/>
  <c r="F377" i="3"/>
  <c r="F437" i="3"/>
  <c r="F266" i="3"/>
  <c r="F247" i="3"/>
  <c r="F287" i="3"/>
  <c r="F362" i="3"/>
  <c r="F342" i="3"/>
  <c r="E240" i="3"/>
  <c r="E5" i="2"/>
  <c r="B243" i="3"/>
  <c r="B8" i="2"/>
  <c r="D245" i="3"/>
  <c r="D10" i="2"/>
  <c r="A248" i="3"/>
  <c r="A13" i="2"/>
  <c r="C250" i="3"/>
  <c r="C15" i="2"/>
  <c r="E252" i="3"/>
  <c r="E17" i="2"/>
  <c r="A257" i="3"/>
  <c r="A23" i="2"/>
  <c r="C259" i="3"/>
  <c r="C25" i="2"/>
  <c r="E261" i="3"/>
  <c r="E27" i="2"/>
  <c r="B264" i="3"/>
  <c r="B30" i="2"/>
  <c r="D266" i="3"/>
  <c r="D32" i="2"/>
  <c r="A269" i="3"/>
  <c r="A35" i="2"/>
  <c r="C271" i="3"/>
  <c r="C37" i="2"/>
  <c r="E273" i="3"/>
  <c r="E39" i="2"/>
  <c r="D275" i="3"/>
  <c r="D42" i="2"/>
  <c r="A278" i="3"/>
  <c r="A45" i="2"/>
  <c r="C280" i="3"/>
  <c r="C47" i="2"/>
  <c r="E282" i="3"/>
  <c r="E49" i="2"/>
  <c r="B285" i="3"/>
  <c r="B52" i="2"/>
  <c r="D287" i="3"/>
  <c r="D54" i="2"/>
  <c r="A290" i="3"/>
  <c r="A57" i="2"/>
  <c r="E291" i="3"/>
  <c r="E59" i="2"/>
  <c r="B294" i="3"/>
  <c r="B62" i="2"/>
  <c r="D296" i="3"/>
  <c r="D64" i="2"/>
  <c r="A299" i="3"/>
  <c r="A67" i="2"/>
  <c r="C301" i="3"/>
  <c r="C69" i="2"/>
  <c r="E303" i="3"/>
  <c r="E71" i="2"/>
  <c r="B306" i="3"/>
  <c r="B74" i="2"/>
  <c r="A308" i="3"/>
  <c r="A77" i="2"/>
  <c r="C310" i="3"/>
  <c r="C79" i="2"/>
  <c r="E312" i="3"/>
  <c r="E81" i="2"/>
  <c r="B315" i="3"/>
  <c r="B84" i="2"/>
  <c r="D317" i="3"/>
  <c r="D86" i="2"/>
  <c r="A320" i="3"/>
  <c r="A89" i="2"/>
  <c r="C322" i="3"/>
  <c r="C91" i="2"/>
  <c r="E324" i="3"/>
  <c r="E93" i="2"/>
  <c r="A326" i="3"/>
  <c r="A97" i="2"/>
  <c r="C328" i="3"/>
  <c r="C99" i="2"/>
  <c r="E330" i="3"/>
  <c r="E101" i="2"/>
  <c r="B333" i="3"/>
  <c r="B104" i="2"/>
  <c r="D335" i="3"/>
  <c r="D106" i="2"/>
  <c r="A338" i="3"/>
  <c r="A109" i="2"/>
  <c r="C340" i="3"/>
  <c r="C111" i="2"/>
  <c r="B342" i="3"/>
  <c r="B114" i="2"/>
  <c r="D344" i="3"/>
  <c r="D116" i="2"/>
  <c r="A347" i="3"/>
  <c r="A119" i="2"/>
  <c r="C349" i="3"/>
  <c r="C121" i="2"/>
  <c r="E351" i="3"/>
  <c r="E123" i="2"/>
  <c r="B354" i="3"/>
  <c r="B126" i="2"/>
  <c r="D356" i="3"/>
  <c r="D128" i="2"/>
  <c r="E360" i="3"/>
  <c r="E133" i="2"/>
  <c r="B363" i="3"/>
  <c r="B136" i="2"/>
  <c r="D365" i="3"/>
  <c r="D138" i="2"/>
  <c r="A368" i="3"/>
  <c r="A141" i="2"/>
  <c r="C370" i="3"/>
  <c r="C143" i="2"/>
  <c r="E372" i="3"/>
  <c r="E145" i="2"/>
  <c r="B375" i="3"/>
  <c r="B148" i="2"/>
  <c r="A377" i="3"/>
  <c r="A151" i="2"/>
  <c r="C379" i="3"/>
  <c r="C153" i="2"/>
  <c r="E381" i="3"/>
  <c r="E155" i="2"/>
  <c r="B384" i="3"/>
  <c r="B158" i="2"/>
  <c r="D386" i="3"/>
  <c r="D160" i="2"/>
  <c r="A389" i="3"/>
  <c r="A163" i="2"/>
  <c r="C391" i="3"/>
  <c r="C165" i="2"/>
  <c r="B411" i="3"/>
  <c r="B188" i="2"/>
  <c r="D413" i="3"/>
  <c r="D190" i="2"/>
  <c r="A416" i="3"/>
  <c r="A193" i="2"/>
  <c r="C418" i="3"/>
  <c r="C195" i="2"/>
  <c r="E420" i="3"/>
  <c r="E197" i="2"/>
  <c r="B423" i="3"/>
  <c r="B200" i="2"/>
  <c r="D425" i="3"/>
  <c r="D202" i="2"/>
  <c r="C427" i="3"/>
  <c r="C205" i="2"/>
  <c r="E429" i="3"/>
  <c r="E207" i="2"/>
  <c r="B432" i="3"/>
  <c r="B210" i="2"/>
  <c r="D434" i="3"/>
  <c r="D212" i="2"/>
  <c r="A437" i="3"/>
  <c r="A215" i="2"/>
  <c r="C439" i="3"/>
  <c r="C217" i="2"/>
  <c r="E441" i="3"/>
  <c r="E219" i="2"/>
  <c r="C10" i="2"/>
  <c r="E245" i="3"/>
  <c r="E10" i="2"/>
  <c r="E275" i="3"/>
  <c r="E42" i="2"/>
  <c r="B278" i="3"/>
  <c r="B45" i="2"/>
  <c r="D280" i="3"/>
  <c r="D47" i="2"/>
  <c r="A283" i="3"/>
  <c r="A50" i="2"/>
  <c r="C285" i="3"/>
  <c r="C52" i="2"/>
  <c r="E287" i="3"/>
  <c r="E54" i="2"/>
  <c r="B290" i="3"/>
  <c r="B57" i="2"/>
  <c r="A292" i="3"/>
  <c r="A60" i="2"/>
  <c r="C294" i="3"/>
  <c r="C62" i="2"/>
  <c r="E296" i="3"/>
  <c r="E64" i="2"/>
  <c r="D301" i="3"/>
  <c r="D69" i="2"/>
  <c r="A304" i="3"/>
  <c r="A72" i="2"/>
  <c r="C306" i="3"/>
  <c r="C74" i="2"/>
  <c r="B308" i="3"/>
  <c r="B77" i="2"/>
  <c r="D310" i="3"/>
  <c r="D79" i="2"/>
  <c r="A313" i="3"/>
  <c r="A82" i="2"/>
  <c r="C315" i="3"/>
  <c r="C84" i="2"/>
  <c r="E317" i="3"/>
  <c r="E86" i="2"/>
  <c r="B320" i="3"/>
  <c r="B89" i="2"/>
  <c r="D322" i="3"/>
  <c r="D91" i="2"/>
  <c r="B326" i="3"/>
  <c r="B97" i="2"/>
  <c r="D328" i="3"/>
  <c r="D99" i="2"/>
  <c r="A331" i="3"/>
  <c r="A102" i="2"/>
  <c r="C333" i="3"/>
  <c r="C104" i="2"/>
  <c r="E335" i="3"/>
  <c r="E106" i="2"/>
  <c r="B338" i="3"/>
  <c r="B109" i="2"/>
  <c r="D340" i="3"/>
  <c r="D111" i="2"/>
  <c r="C342" i="3"/>
  <c r="C114" i="2"/>
  <c r="E344" i="3"/>
  <c r="E116" i="2"/>
  <c r="B347" i="3"/>
  <c r="B119" i="2"/>
  <c r="D349" i="3"/>
  <c r="D121" i="2"/>
  <c r="A352" i="3"/>
  <c r="A124" i="2"/>
  <c r="C354" i="3"/>
  <c r="C126" i="2"/>
  <c r="E356" i="3"/>
  <c r="E128" i="2"/>
  <c r="A361" i="3"/>
  <c r="A134" i="2"/>
  <c r="C363" i="3"/>
  <c r="C136" i="2"/>
  <c r="E365" i="3"/>
  <c r="E138" i="2"/>
  <c r="B368" i="3"/>
  <c r="B141" i="2"/>
  <c r="D370" i="3"/>
  <c r="D143" i="2"/>
  <c r="A373" i="3"/>
  <c r="A146" i="2"/>
  <c r="C375" i="3"/>
  <c r="C148" i="2"/>
  <c r="B377" i="3"/>
  <c r="B151" i="2"/>
  <c r="D379" i="3"/>
  <c r="D153" i="2"/>
  <c r="A382" i="3"/>
  <c r="A156" i="2"/>
  <c r="C384" i="3"/>
  <c r="C158" i="2"/>
  <c r="E386" i="3"/>
  <c r="E160" i="2"/>
  <c r="B389" i="3"/>
  <c r="B163" i="2"/>
  <c r="D391" i="3"/>
  <c r="D165" i="2"/>
  <c r="A400" i="3"/>
  <c r="A176" i="2"/>
  <c r="C402" i="3"/>
  <c r="C178" i="2"/>
  <c r="E404" i="3"/>
  <c r="E180" i="2"/>
  <c r="B407" i="3"/>
  <c r="B183" i="2"/>
  <c r="D409" i="3"/>
  <c r="D185" i="2"/>
  <c r="C411" i="3"/>
  <c r="C188" i="2"/>
  <c r="E413" i="3"/>
  <c r="E190" i="2"/>
  <c r="B416" i="3"/>
  <c r="B193" i="2"/>
  <c r="D418" i="3"/>
  <c r="D195" i="2"/>
  <c r="A421" i="3"/>
  <c r="A198" i="2"/>
  <c r="C423" i="3"/>
  <c r="C200" i="2"/>
  <c r="E425" i="3"/>
  <c r="E202" i="2"/>
  <c r="D427" i="3"/>
  <c r="D205" i="2"/>
  <c r="A430" i="3"/>
  <c r="A208" i="2"/>
  <c r="C432" i="3"/>
  <c r="C210" i="2"/>
  <c r="E434" i="3"/>
  <c r="E212" i="2"/>
  <c r="B437" i="3"/>
  <c r="B215" i="2"/>
  <c r="D439" i="3"/>
  <c r="D217" i="2"/>
  <c r="A442" i="3"/>
  <c r="A220" i="2"/>
  <c r="C255" i="3"/>
  <c r="C20" i="2"/>
  <c r="D271" i="3"/>
  <c r="D37" i="2"/>
  <c r="C54" i="2"/>
  <c r="E170" i="2"/>
  <c r="B173" i="2"/>
  <c r="D175" i="2"/>
  <c r="B178" i="2"/>
  <c r="B236" i="3"/>
  <c r="D250" i="3"/>
  <c r="D15" i="2"/>
  <c r="A262" i="3"/>
  <c r="A28" i="2"/>
  <c r="B269" i="3"/>
  <c r="B35" i="2"/>
  <c r="A171" i="2"/>
  <c r="C173" i="2"/>
  <c r="E175" i="2"/>
  <c r="B257" i="3"/>
  <c r="B23" i="2"/>
  <c r="D17" i="2"/>
  <c r="D27" i="2"/>
  <c r="A52" i="2"/>
  <c r="B171" i="2"/>
  <c r="D173" i="2"/>
  <c r="C243" i="3"/>
  <c r="C8" i="2"/>
  <c r="D259" i="3"/>
  <c r="D25" i="2"/>
  <c r="D39" i="2"/>
  <c r="A253" i="3"/>
  <c r="A18" i="2"/>
  <c r="C264" i="3"/>
  <c r="C30" i="2"/>
  <c r="B299" i="3"/>
  <c r="B67" i="2"/>
  <c r="A241" i="3"/>
  <c r="A6" i="2"/>
  <c r="B248" i="3"/>
  <c r="B13" i="2"/>
  <c r="E266" i="3"/>
  <c r="E32" i="2"/>
  <c r="B15" i="2"/>
  <c r="B25" i="2"/>
  <c r="B37" i="2"/>
  <c r="D20" i="2"/>
  <c r="A11" i="2"/>
  <c r="C13" i="2"/>
  <c r="E15" i="2"/>
  <c r="B18" i="2"/>
  <c r="E25" i="2"/>
  <c r="B28" i="2"/>
  <c r="B6" i="2"/>
  <c r="D8" i="2"/>
  <c r="C23" i="2"/>
  <c r="E47" i="2"/>
  <c r="B452" i="3"/>
  <c r="B456" i="3"/>
  <c r="B458" i="3"/>
  <c r="B460" i="3"/>
  <c r="B464" i="3"/>
  <c r="B466" i="3"/>
  <c r="B468" i="3"/>
  <c r="C335" i="3"/>
  <c r="C106" i="2"/>
  <c r="B69" i="2"/>
  <c r="B254" i="3"/>
  <c r="B19" i="2"/>
  <c r="B280" i="3"/>
  <c r="B47" i="2"/>
  <c r="B310" i="3"/>
  <c r="B79" i="2"/>
  <c r="D320" i="3"/>
  <c r="D89" i="2"/>
  <c r="B9" i="2"/>
  <c r="C327" i="3"/>
  <c r="C98" i="2"/>
  <c r="D23" i="2"/>
  <c r="D282" i="3"/>
  <c r="D49" i="2"/>
  <c r="D312" i="3"/>
  <c r="D81" i="2"/>
  <c r="C102" i="2"/>
  <c r="C110" i="2"/>
  <c r="C236" i="3"/>
  <c r="M462" i="3" l="1"/>
  <c r="M463" i="3" s="1"/>
  <c r="I462" i="3"/>
  <c r="I463" i="3" s="1"/>
  <c r="E462" i="3"/>
  <c r="E463" i="3" s="1"/>
  <c r="L462" i="3"/>
  <c r="L463" i="3" s="1"/>
  <c r="H462" i="3"/>
  <c r="H463" i="3" s="1"/>
  <c r="D462" i="3"/>
  <c r="D463" i="3" s="1"/>
  <c r="K462" i="3"/>
  <c r="K463" i="3" s="1"/>
  <c r="G462" i="3"/>
  <c r="G463" i="3" s="1"/>
  <c r="C462" i="3"/>
  <c r="C463" i="3" s="1"/>
  <c r="J462" i="3"/>
  <c r="J463" i="3" s="1"/>
  <c r="F462" i="3"/>
  <c r="F463" i="3" s="1"/>
  <c r="B462" i="3"/>
  <c r="B463" i="3" s="1"/>
  <c r="N462" i="3"/>
  <c r="N463" i="3" s="1"/>
  <c r="M470" i="3"/>
  <c r="M471" i="3" s="1"/>
  <c r="I470" i="3"/>
  <c r="I471" i="3" s="1"/>
  <c r="E470" i="3"/>
  <c r="E471" i="3" s="1"/>
  <c r="L470" i="3"/>
  <c r="L471" i="3" s="1"/>
  <c r="H470" i="3"/>
  <c r="H471" i="3" s="1"/>
  <c r="D470" i="3"/>
  <c r="D471" i="3" s="1"/>
  <c r="K470" i="3"/>
  <c r="K471" i="3" s="1"/>
  <c r="G470" i="3"/>
  <c r="G471" i="3" s="1"/>
  <c r="C470" i="3"/>
  <c r="C471" i="3" s="1"/>
  <c r="B470" i="3"/>
  <c r="B471" i="3" s="1"/>
  <c r="N470" i="3"/>
  <c r="N471" i="3" s="1"/>
  <c r="J470" i="3"/>
  <c r="J471" i="3" s="1"/>
  <c r="F470" i="3"/>
  <c r="F471" i="3" s="1"/>
  <c r="B238" i="3" l="1"/>
  <c r="AC2" i="3"/>
  <c r="Q2" i="3"/>
  <c r="V2" i="3"/>
  <c r="J2" i="3"/>
  <c r="U2" i="3"/>
  <c r="I2" i="3"/>
  <c r="N2" i="2" s="1"/>
  <c r="T2" i="3"/>
  <c r="H2" i="3"/>
  <c r="Y2" i="3"/>
  <c r="M2" i="3"/>
  <c r="J2" i="2" s="1"/>
  <c r="S2" i="3"/>
  <c r="G2" i="3"/>
  <c r="X2" i="3"/>
  <c r="L2" i="3"/>
  <c r="F2" i="3"/>
  <c r="Q2" i="2" s="1"/>
  <c r="R2" i="3"/>
  <c r="W2" i="3"/>
  <c r="K2" i="3"/>
  <c r="L2" i="2" s="1"/>
  <c r="P2" i="3"/>
  <c r="G2" i="2" s="1"/>
  <c r="AB2" i="3"/>
  <c r="AA2" i="3"/>
  <c r="O2" i="3"/>
  <c r="H2" i="2" s="1"/>
  <c r="Z2" i="3"/>
  <c r="N2" i="3"/>
  <c r="O2" i="2" l="1"/>
  <c r="M2" i="2"/>
  <c r="F2" i="2"/>
  <c r="K2" i="2"/>
  <c r="I2" i="2"/>
  <c r="P2" i="2"/>
  <c r="O217" i="3" l="1"/>
  <c r="M198" i="3"/>
  <c r="I123" i="3"/>
  <c r="G57" i="3"/>
  <c r="I203" i="3"/>
  <c r="P193" i="3"/>
  <c r="M179" i="3"/>
  <c r="P57" i="3"/>
  <c r="P216" i="3"/>
  <c r="K124" i="3"/>
  <c r="P74" i="3"/>
  <c r="O216" i="3"/>
  <c r="P122" i="3"/>
  <c r="L25" i="3"/>
  <c r="H78" i="3"/>
  <c r="P194" i="3"/>
  <c r="O130" i="3"/>
  <c r="L80" i="3"/>
  <c r="J220" i="3"/>
  <c r="L146" i="3"/>
  <c r="L43" i="3"/>
  <c r="N34" i="3"/>
  <c r="H212" i="3"/>
  <c r="M148" i="3"/>
  <c r="I91" i="3"/>
  <c r="P16" i="3"/>
  <c r="H155" i="3"/>
  <c r="G48" i="3"/>
  <c r="I45" i="3"/>
  <c r="O137" i="3"/>
  <c r="P176" i="3"/>
  <c r="K109" i="3"/>
  <c r="M49" i="3"/>
  <c r="P171" i="3"/>
  <c r="I60" i="3"/>
  <c r="K68" i="3"/>
  <c r="N142" i="3"/>
  <c r="H185" i="3"/>
  <c r="G115" i="3"/>
  <c r="M59" i="3"/>
  <c r="G202" i="3"/>
  <c r="I78" i="3"/>
  <c r="O125" i="3"/>
  <c r="H154" i="3"/>
  <c r="G218" i="3"/>
  <c r="G148" i="3"/>
  <c r="O79" i="3"/>
  <c r="J144" i="3"/>
  <c r="Q82" i="3"/>
  <c r="H20" i="3"/>
  <c r="N172" i="3"/>
  <c r="L135" i="3"/>
  <c r="N92" i="3"/>
  <c r="H9" i="3"/>
  <c r="P159" i="3"/>
  <c r="J93" i="3"/>
  <c r="K31" i="3"/>
  <c r="M177" i="3"/>
  <c r="K142" i="3"/>
  <c r="K99" i="3"/>
  <c r="P13" i="3"/>
  <c r="O184" i="3"/>
  <c r="P188" i="3"/>
  <c r="N162" i="3"/>
  <c r="H110" i="3"/>
  <c r="H31" i="3"/>
  <c r="N191" i="3"/>
  <c r="L118" i="3"/>
  <c r="O53" i="3"/>
  <c r="L206" i="3"/>
  <c r="I200" i="3"/>
  <c r="G200" i="3"/>
  <c r="H63" i="3"/>
  <c r="P181" i="3"/>
  <c r="I110" i="3"/>
  <c r="I47" i="3"/>
  <c r="P192" i="3"/>
  <c r="P172" i="3"/>
  <c r="M115" i="3"/>
  <c r="M38" i="3"/>
  <c r="Q220" i="3"/>
  <c r="K154" i="3"/>
  <c r="N64" i="3"/>
  <c r="M203" i="3"/>
  <c r="I194" i="3"/>
  <c r="G182" i="3"/>
  <c r="H59" i="3"/>
  <c r="H207" i="3"/>
  <c r="J185" i="3"/>
  <c r="M69" i="3"/>
  <c r="H210" i="3"/>
  <c r="N130" i="3"/>
  <c r="I32" i="3"/>
  <c r="N118" i="3"/>
  <c r="G195" i="3"/>
  <c r="G132" i="3"/>
  <c r="P80" i="3"/>
  <c r="P214" i="3"/>
  <c r="N137" i="3"/>
  <c r="Q36" i="3"/>
  <c r="Q21" i="3"/>
  <c r="P126" i="3"/>
  <c r="J71" i="3"/>
  <c r="G49" i="3"/>
  <c r="M196" i="3"/>
  <c r="G121" i="3"/>
  <c r="H56" i="3"/>
  <c r="N87" i="3"/>
  <c r="H7" i="3"/>
  <c r="N6" i="3"/>
  <c r="F8" i="3"/>
  <c r="K86" i="3"/>
  <c r="Q45" i="3"/>
  <c r="Q158" i="3"/>
  <c r="N176" i="3"/>
  <c r="H141" i="3"/>
  <c r="P98" i="3"/>
  <c r="H13" i="3"/>
  <c r="F116" i="3"/>
  <c r="Q48" i="3"/>
  <c r="F44" i="3"/>
  <c r="O115" i="3"/>
  <c r="L114" i="3"/>
  <c r="K52" i="3"/>
  <c r="O41" i="3"/>
  <c r="Q190" i="3"/>
  <c r="I117" i="3"/>
  <c r="G53" i="3"/>
  <c r="Q171" i="3"/>
  <c r="O144" i="3"/>
  <c r="H83" i="3"/>
  <c r="L20" i="3"/>
  <c r="M165" i="3"/>
  <c r="J127" i="3"/>
  <c r="G87" i="3"/>
  <c r="J169" i="3"/>
  <c r="N170" i="3"/>
  <c r="I102" i="3"/>
  <c r="H38" i="3"/>
  <c r="Q177" i="3"/>
  <c r="Q142" i="3"/>
  <c r="O99" i="3"/>
  <c r="G14" i="3"/>
  <c r="K177" i="3"/>
  <c r="Q106" i="3"/>
  <c r="Q43" i="3"/>
  <c r="M195" i="3"/>
  <c r="L177" i="3"/>
  <c r="J118" i="3"/>
  <c r="J43" i="3"/>
  <c r="M192" i="3"/>
  <c r="Q118" i="3"/>
  <c r="J54" i="3"/>
  <c r="H200" i="3"/>
  <c r="K187" i="3"/>
  <c r="Q137" i="3"/>
  <c r="M52" i="3"/>
  <c r="Q210" i="3"/>
  <c r="M216" i="3"/>
  <c r="O71" i="3"/>
  <c r="O212" i="3"/>
  <c r="M220" i="3"/>
  <c r="J21" i="3"/>
  <c r="H72" i="3"/>
  <c r="J219" i="3"/>
  <c r="O126" i="3"/>
  <c r="K77" i="3"/>
  <c r="M217" i="3"/>
  <c r="Q140" i="3"/>
  <c r="J39" i="3"/>
  <c r="Q27" i="3"/>
  <c r="G206" i="3"/>
  <c r="H142" i="3"/>
  <c r="H88" i="3"/>
  <c r="O13" i="3"/>
  <c r="H151" i="3"/>
  <c r="J45" i="3"/>
  <c r="N38" i="3"/>
  <c r="I135" i="3"/>
  <c r="Q170" i="3"/>
  <c r="N106" i="3"/>
  <c r="O43" i="3"/>
  <c r="N165" i="3"/>
  <c r="P55" i="3"/>
  <c r="N62" i="3"/>
  <c r="Q139" i="3"/>
  <c r="J179" i="3"/>
  <c r="M111" i="3"/>
  <c r="J52" i="3"/>
  <c r="K196" i="3"/>
  <c r="G151" i="3"/>
  <c r="Q206" i="3"/>
  <c r="N132" i="3"/>
  <c r="G73" i="3"/>
  <c r="K208" i="3"/>
  <c r="P79" i="3"/>
  <c r="H198" i="3"/>
  <c r="Q169" i="3"/>
  <c r="M130" i="3"/>
  <c r="Q89" i="3"/>
  <c r="G6" i="3"/>
  <c r="K192" i="3"/>
  <c r="N71" i="3"/>
  <c r="H101" i="3"/>
  <c r="G155" i="3"/>
  <c r="G221" i="3"/>
  <c r="Q176" i="3"/>
  <c r="P97" i="3"/>
  <c r="M154" i="3"/>
  <c r="N89" i="3"/>
  <c r="O27" i="3"/>
  <c r="Q165" i="3"/>
  <c r="P127" i="3"/>
  <c r="K87" i="3"/>
  <c r="J188" i="3"/>
  <c r="J161" i="3"/>
  <c r="K96" i="3"/>
  <c r="N32" i="3"/>
  <c r="J184" i="3"/>
  <c r="N154" i="3"/>
  <c r="L106" i="3"/>
  <c r="H24" i="3"/>
  <c r="P177" i="3"/>
  <c r="H107" i="3"/>
  <c r="H44" i="3"/>
  <c r="O189" i="3"/>
  <c r="O164" i="3"/>
  <c r="G111" i="3"/>
  <c r="P32" i="3"/>
  <c r="I143" i="3"/>
  <c r="I100" i="3"/>
  <c r="H32" i="3"/>
  <c r="G143" i="3"/>
  <c r="I82" i="3"/>
  <c r="M19" i="3"/>
  <c r="O15" i="3"/>
  <c r="F128" i="3"/>
  <c r="Q62" i="3"/>
  <c r="Q130" i="3"/>
  <c r="I179" i="3"/>
  <c r="M64" i="3"/>
  <c r="K78" i="3"/>
  <c r="I147" i="3"/>
  <c r="O194" i="3"/>
  <c r="P120" i="3"/>
  <c r="M67" i="3"/>
  <c r="L143" i="3"/>
  <c r="M82" i="3"/>
  <c r="Q19" i="3"/>
  <c r="L158" i="3"/>
  <c r="I120" i="3"/>
  <c r="Q201" i="3"/>
  <c r="O106" i="3"/>
  <c r="J151" i="3"/>
  <c r="H87" i="3"/>
  <c r="M25" i="3"/>
  <c r="I177" i="3"/>
  <c r="M141" i="3"/>
  <c r="G99" i="3"/>
  <c r="L13" i="3"/>
  <c r="O165" i="3"/>
  <c r="P99" i="3"/>
  <c r="O35" i="3"/>
  <c r="Q181" i="3"/>
  <c r="I148" i="3"/>
  <c r="O103" i="3"/>
  <c r="P18" i="3"/>
  <c r="H191" i="3"/>
  <c r="N117" i="3"/>
  <c r="K53" i="3"/>
  <c r="G193" i="3"/>
  <c r="H173" i="3"/>
  <c r="Q115" i="3"/>
  <c r="H39" i="3"/>
  <c r="I201" i="3"/>
  <c r="I127" i="3"/>
  <c r="G59" i="3"/>
  <c r="Q211" i="3"/>
  <c r="O218" i="3"/>
  <c r="K20" i="3"/>
  <c r="H71" i="3"/>
  <c r="N207" i="3"/>
  <c r="P187" i="3"/>
  <c r="Q69" i="3"/>
  <c r="I218" i="3"/>
  <c r="O123" i="3"/>
  <c r="K26" i="3"/>
  <c r="M80" i="3"/>
  <c r="J205" i="3"/>
  <c r="J141" i="3"/>
  <c r="M87" i="3"/>
  <c r="G215" i="3"/>
  <c r="G138" i="3"/>
  <c r="H37" i="3"/>
  <c r="I23" i="3"/>
  <c r="O213" i="3"/>
  <c r="I151" i="3"/>
  <c r="H92" i="3"/>
  <c r="G18" i="3"/>
  <c r="P164" i="3"/>
  <c r="P132" i="3"/>
  <c r="P165" i="3"/>
  <c r="L104" i="3"/>
  <c r="J38" i="3"/>
  <c r="J173" i="3"/>
  <c r="H61" i="3"/>
  <c r="I71" i="3"/>
  <c r="L150" i="3"/>
  <c r="N201" i="3"/>
  <c r="N127" i="3"/>
  <c r="G72" i="3"/>
  <c r="N161" i="3"/>
  <c r="O52" i="3"/>
  <c r="K55" i="3"/>
  <c r="P136" i="3"/>
  <c r="H175" i="3"/>
  <c r="L108" i="3"/>
  <c r="G47" i="3"/>
  <c r="J191" i="3"/>
  <c r="O70" i="3"/>
  <c r="G98" i="3"/>
  <c r="M147" i="3"/>
  <c r="J195" i="3"/>
  <c r="J121" i="3"/>
  <c r="G68" i="3"/>
  <c r="P199" i="3"/>
  <c r="N75" i="3"/>
  <c r="O116" i="3"/>
  <c r="I165" i="3"/>
  <c r="M126" i="3"/>
  <c r="P86" i="3"/>
  <c r="L163" i="3"/>
  <c r="P151" i="3"/>
  <c r="L87" i="3"/>
  <c r="Q25" i="3"/>
  <c r="K171" i="3"/>
  <c r="K134" i="3"/>
  <c r="K91" i="3"/>
  <c r="I8" i="3"/>
  <c r="J181" i="3"/>
  <c r="O69" i="3"/>
  <c r="M41" i="3"/>
  <c r="N177" i="3"/>
  <c r="J63" i="3"/>
  <c r="Q75" i="3"/>
  <c r="L109" i="3"/>
  <c r="F34" i="3"/>
  <c r="M180" i="3"/>
  <c r="K221" i="3"/>
  <c r="M218" i="3"/>
  <c r="H163" i="3"/>
  <c r="I105" i="3"/>
  <c r="P212" i="3"/>
  <c r="J150" i="3"/>
  <c r="M91" i="3"/>
  <c r="H17" i="3"/>
  <c r="I26" i="3"/>
  <c r="F126" i="3"/>
  <c r="F217" i="3"/>
  <c r="Q88" i="3"/>
  <c r="N153" i="3"/>
  <c r="M35" i="3"/>
  <c r="G29" i="3"/>
  <c r="K172" i="3"/>
  <c r="M60" i="3"/>
  <c r="K69" i="3"/>
  <c r="N151" i="3"/>
  <c r="N45" i="3"/>
  <c r="I39" i="3"/>
  <c r="N128" i="3"/>
  <c r="H161" i="3"/>
  <c r="G101" i="3"/>
  <c r="O32" i="3"/>
  <c r="G178" i="3"/>
  <c r="N63" i="3"/>
  <c r="I77" i="3"/>
  <c r="H140" i="3"/>
  <c r="L180" i="3"/>
  <c r="Q111" i="3"/>
  <c r="M53" i="3"/>
  <c r="L187" i="3"/>
  <c r="M68" i="3"/>
  <c r="L89" i="3"/>
  <c r="Q157" i="3"/>
  <c r="J119" i="3"/>
  <c r="G196" i="3"/>
  <c r="Q104" i="3"/>
  <c r="N209" i="3"/>
  <c r="G80" i="3"/>
  <c r="M219" i="3"/>
  <c r="L162" i="3"/>
  <c r="I124" i="3"/>
  <c r="J84" i="3"/>
  <c r="L119" i="3"/>
  <c r="M164" i="3"/>
  <c r="H99" i="3"/>
  <c r="G35" i="3"/>
  <c r="P174" i="3"/>
  <c r="P138" i="3"/>
  <c r="I97" i="3"/>
  <c r="J11" i="3"/>
  <c r="K173" i="3"/>
  <c r="P103" i="3"/>
  <c r="O39" i="3"/>
  <c r="L192" i="3"/>
  <c r="H172" i="3"/>
  <c r="I115" i="3"/>
  <c r="J37" i="3"/>
  <c r="Q188" i="3"/>
  <c r="J115" i="3"/>
  <c r="M51" i="3"/>
  <c r="G197" i="3"/>
  <c r="P180" i="3"/>
  <c r="N121" i="3"/>
  <c r="P46" i="3"/>
  <c r="O206" i="3"/>
  <c r="O182" i="3"/>
  <c r="I69" i="3"/>
  <c r="O208" i="3"/>
  <c r="G209" i="3"/>
  <c r="M18" i="3"/>
  <c r="H67" i="3"/>
  <c r="H215" i="3"/>
  <c r="L123" i="3"/>
  <c r="Q73" i="3"/>
  <c r="L214" i="3"/>
  <c r="I137" i="3"/>
  <c r="H201" i="3"/>
  <c r="H138" i="3"/>
  <c r="G85" i="3"/>
  <c r="G219" i="3"/>
  <c r="K143" i="3"/>
  <c r="M42" i="3"/>
  <c r="Q31" i="3"/>
  <c r="H132" i="3"/>
  <c r="Q164" i="3"/>
  <c r="Q103" i="3"/>
  <c r="J212" i="3"/>
  <c r="L134" i="3"/>
  <c r="G34" i="3"/>
  <c r="K161" i="3"/>
  <c r="L208" i="3"/>
  <c r="M144" i="3"/>
  <c r="G89" i="3"/>
  <c r="I15" i="3"/>
  <c r="P160" i="3"/>
  <c r="G52" i="3"/>
  <c r="Q53" i="3"/>
  <c r="I129" i="3"/>
  <c r="P161" i="3"/>
  <c r="K101" i="3"/>
  <c r="G33" i="3"/>
  <c r="G169" i="3"/>
  <c r="O56" i="3"/>
  <c r="K64" i="3"/>
  <c r="N146" i="3"/>
  <c r="N218" i="3"/>
  <c r="K197" i="3"/>
  <c r="H181" i="3"/>
  <c r="I122" i="3"/>
  <c r="J47" i="3"/>
  <c r="G214" i="3"/>
  <c r="O146" i="3"/>
  <c r="K63" i="3"/>
  <c r="P217" i="3"/>
  <c r="K123" i="3"/>
  <c r="G26" i="3"/>
  <c r="J79" i="3"/>
  <c r="N215" i="3"/>
  <c r="P123" i="3"/>
  <c r="H74" i="3"/>
  <c r="I209" i="3"/>
  <c r="K129" i="3"/>
  <c r="O30" i="3"/>
  <c r="L115" i="3"/>
  <c r="H213" i="3"/>
  <c r="Q150" i="3"/>
  <c r="Q91" i="3"/>
  <c r="K219" i="3"/>
  <c r="K144" i="3"/>
  <c r="Q42" i="3"/>
  <c r="K32" i="3"/>
  <c r="O221" i="3"/>
  <c r="H157" i="3"/>
  <c r="J98" i="3"/>
  <c r="M27" i="3"/>
  <c r="Q172" i="3"/>
  <c r="Q60" i="3"/>
  <c r="N70" i="3"/>
  <c r="G137" i="3"/>
  <c r="N175" i="3"/>
  <c r="P108" i="3"/>
  <c r="O47" i="3"/>
  <c r="Q180" i="3"/>
  <c r="L65" i="3"/>
  <c r="L81" i="3"/>
  <c r="P154" i="3"/>
  <c r="G220" i="3"/>
  <c r="I175" i="3"/>
  <c r="Q96" i="3"/>
  <c r="K200" i="3"/>
  <c r="J77" i="3"/>
  <c r="Q117" i="3"/>
  <c r="K159" i="3"/>
  <c r="H121" i="3"/>
  <c r="M81" i="3"/>
  <c r="P109" i="3"/>
  <c r="M160" i="3"/>
  <c r="G96" i="3"/>
  <c r="J32" i="3"/>
  <c r="O171" i="3"/>
  <c r="P134" i="3"/>
  <c r="O91" i="3"/>
  <c r="M8" i="3"/>
  <c r="K169" i="3"/>
  <c r="O100" i="3"/>
  <c r="I37" i="3"/>
  <c r="K189" i="3"/>
  <c r="G164" i="3"/>
  <c r="Q183" i="3"/>
  <c r="L111" i="3"/>
  <c r="L48" i="3"/>
  <c r="G179" i="3"/>
  <c r="Q144" i="3"/>
  <c r="M101" i="3"/>
  <c r="N15" i="3"/>
  <c r="L179" i="3"/>
  <c r="G108" i="3"/>
  <c r="G45" i="3"/>
  <c r="P196" i="3"/>
  <c r="H180" i="3"/>
  <c r="L120" i="3"/>
  <c r="H46" i="3"/>
  <c r="N195" i="3"/>
  <c r="O120" i="3"/>
  <c r="Q55" i="3"/>
  <c r="K201" i="3"/>
  <c r="O190" i="3"/>
  <c r="O147" i="3"/>
  <c r="P54" i="3"/>
  <c r="M214" i="3"/>
  <c r="H123" i="3"/>
  <c r="M73" i="3"/>
  <c r="N214" i="3"/>
  <c r="M121" i="3"/>
  <c r="I24" i="3"/>
  <c r="H75" i="3"/>
  <c r="O192" i="3"/>
  <c r="P128" i="3"/>
  <c r="I79" i="3"/>
  <c r="P218" i="3"/>
  <c r="L142" i="3"/>
  <c r="I42" i="3"/>
  <c r="I31" i="3"/>
  <c r="L209" i="3"/>
  <c r="N145" i="3"/>
  <c r="K89" i="3"/>
  <c r="M15" i="3"/>
  <c r="G153" i="3"/>
  <c r="Q46" i="3"/>
  <c r="Q41" i="3"/>
  <c r="L136" i="3"/>
  <c r="M174" i="3"/>
  <c r="H108" i="3"/>
  <c r="O46" i="3"/>
  <c r="N169" i="3"/>
  <c r="J57" i="3"/>
  <c r="K65" i="3"/>
  <c r="G141" i="3"/>
  <c r="H183" i="3"/>
  <c r="P112" i="3"/>
  <c r="G55" i="3"/>
  <c r="H199" i="3"/>
  <c r="J75" i="3"/>
  <c r="P115" i="3"/>
  <c r="N152" i="3"/>
  <c r="M212" i="3"/>
  <c r="N140" i="3"/>
  <c r="M77" i="3"/>
  <c r="O214" i="3"/>
  <c r="J81" i="3"/>
  <c r="N18" i="3"/>
  <c r="G171" i="3"/>
  <c r="M133" i="3"/>
  <c r="O157" i="3"/>
  <c r="P91" i="3"/>
  <c r="H30" i="3"/>
  <c r="O175" i="3"/>
  <c r="J140" i="3"/>
  <c r="H98" i="3"/>
  <c r="M12" i="3"/>
  <c r="N182" i="3"/>
  <c r="Q110" i="3"/>
  <c r="Q47" i="3"/>
  <c r="I169" i="3"/>
  <c r="O129" i="3"/>
  <c r="I89" i="3"/>
  <c r="L5" i="3"/>
  <c r="J163" i="3"/>
  <c r="I98" i="3"/>
  <c r="H34" i="3"/>
  <c r="Q185" i="3"/>
  <c r="L157" i="3"/>
  <c r="O107" i="3"/>
  <c r="H27" i="3"/>
  <c r="Q179" i="3"/>
  <c r="K108" i="3"/>
  <c r="K45" i="3"/>
  <c r="M191" i="3"/>
  <c r="M170" i="3"/>
  <c r="N112" i="3"/>
  <c r="P35" i="3"/>
  <c r="G213" i="3"/>
  <c r="I145" i="3"/>
  <c r="G63" i="3"/>
  <c r="O201" i="3"/>
  <c r="G191" i="3"/>
  <c r="G173" i="3"/>
  <c r="J55" i="3"/>
  <c r="G205" i="3"/>
  <c r="N173" i="3"/>
  <c r="O67" i="3"/>
  <c r="N208" i="3"/>
  <c r="K82" i="3"/>
  <c r="P184" i="3"/>
  <c r="H178" i="3"/>
  <c r="J143" i="3"/>
  <c r="J100" i="3"/>
  <c r="K14" i="3"/>
  <c r="F62" i="3"/>
  <c r="L97" i="3"/>
  <c r="F111" i="3"/>
  <c r="I88" i="3"/>
  <c r="H126" i="3"/>
  <c r="Q57" i="3"/>
  <c r="H21" i="3"/>
  <c r="G212" i="3"/>
  <c r="K80" i="3"/>
  <c r="O17" i="3"/>
  <c r="O11" i="3"/>
  <c r="F61" i="3"/>
  <c r="L45" i="3"/>
  <c r="F91" i="3"/>
  <c r="O72" i="3"/>
  <c r="K42" i="3"/>
  <c r="Q156" i="3"/>
  <c r="G175" i="3"/>
  <c r="G139" i="3"/>
  <c r="M97" i="3"/>
  <c r="O159" i="3"/>
  <c r="L121" i="3"/>
  <c r="Q81" i="3"/>
  <c r="O110" i="3"/>
  <c r="J153" i="3"/>
  <c r="K88" i="3"/>
  <c r="P26" i="3"/>
  <c r="L178" i="3"/>
  <c r="P143" i="3"/>
  <c r="N100" i="3"/>
  <c r="O14" i="3"/>
  <c r="P169" i="3"/>
  <c r="J101" i="3"/>
  <c r="M37" i="3"/>
  <c r="G183" i="3"/>
  <c r="G152" i="3"/>
  <c r="M105" i="3"/>
  <c r="P21" i="3"/>
  <c r="G194" i="3"/>
  <c r="O119" i="3"/>
  <c r="I55" i="3"/>
  <c r="N194" i="3"/>
  <c r="J175" i="3"/>
  <c r="G117" i="3"/>
  <c r="H42" i="3"/>
  <c r="I206" i="3"/>
  <c r="I132" i="3"/>
  <c r="N60" i="3"/>
  <c r="P213" i="3"/>
  <c r="N120" i="3"/>
  <c r="J23" i="3"/>
  <c r="J73" i="3"/>
  <c r="O209" i="3"/>
  <c r="L197" i="3"/>
  <c r="G71" i="3"/>
  <c r="I220" i="3"/>
  <c r="M125" i="3"/>
  <c r="I28" i="3"/>
  <c r="H85" i="3"/>
  <c r="J207" i="3"/>
  <c r="N143" i="3"/>
  <c r="P88" i="3"/>
  <c r="N216" i="3"/>
  <c r="N139" i="3"/>
  <c r="K38" i="3"/>
  <c r="N26" i="3"/>
  <c r="L216" i="3"/>
  <c r="H153" i="3"/>
  <c r="K93" i="3"/>
  <c r="J20" i="3"/>
  <c r="O166" i="3"/>
  <c r="K56" i="3"/>
  <c r="Q63" i="3"/>
  <c r="J134" i="3"/>
  <c r="O169" i="3"/>
  <c r="K141" i="3"/>
  <c r="N183" i="3"/>
  <c r="H114" i="3"/>
  <c r="O55" i="3"/>
  <c r="P189" i="3"/>
  <c r="P69" i="3"/>
  <c r="L93" i="3"/>
  <c r="G159" i="3"/>
  <c r="Q120" i="3"/>
  <c r="I81" i="3"/>
  <c r="Q108" i="3"/>
  <c r="P142" i="3"/>
  <c r="N81" i="3"/>
  <c r="I19" i="3"/>
  <c r="O163" i="3"/>
  <c r="L125" i="3"/>
  <c r="Q85" i="3"/>
  <c r="I136" i="3"/>
  <c r="M166" i="3"/>
  <c r="K100" i="3"/>
  <c r="N36" i="3"/>
  <c r="J176" i="3"/>
  <c r="O140" i="3"/>
  <c r="L98" i="3"/>
  <c r="Q12" i="3"/>
  <c r="L175" i="3"/>
  <c r="J105" i="3"/>
  <c r="J42" i="3"/>
  <c r="O193" i="3"/>
  <c r="J174" i="3"/>
  <c r="L116" i="3"/>
  <c r="H41" i="3"/>
  <c r="L190" i="3"/>
  <c r="Q116" i="3"/>
  <c r="P52" i="3"/>
  <c r="N198" i="3"/>
  <c r="Q182" i="3"/>
  <c r="K130" i="3"/>
  <c r="P49" i="3"/>
  <c r="P208" i="3"/>
  <c r="Q192" i="3"/>
  <c r="L70" i="3"/>
  <c r="N210" i="3"/>
  <c r="Q216" i="3"/>
  <c r="P19" i="3"/>
  <c r="J69" i="3"/>
  <c r="H217" i="3"/>
  <c r="O124" i="3"/>
  <c r="G75" i="3"/>
  <c r="O215" i="3"/>
  <c r="Q138" i="3"/>
  <c r="P37" i="3"/>
  <c r="K24" i="3"/>
  <c r="G203" i="3"/>
  <c r="G140" i="3"/>
  <c r="N86" i="3"/>
  <c r="N220" i="3"/>
  <c r="K147" i="3"/>
  <c r="P43" i="3"/>
  <c r="I35" i="3"/>
  <c r="K133" i="3"/>
  <c r="Q166" i="3"/>
  <c r="N163" i="3"/>
  <c r="M54" i="3"/>
  <c r="I59" i="3"/>
  <c r="J138" i="3"/>
  <c r="H177" i="3"/>
  <c r="O109" i="3"/>
  <c r="G50" i="3"/>
  <c r="Q193" i="3"/>
  <c r="M72" i="3"/>
  <c r="I104" i="3"/>
  <c r="L130" i="3"/>
  <c r="Q163" i="3"/>
  <c r="I103" i="3"/>
  <c r="G36" i="3"/>
  <c r="I171" i="3"/>
  <c r="N59" i="3"/>
  <c r="Q67" i="3"/>
  <c r="H148" i="3"/>
  <c r="J197" i="3"/>
  <c r="M123" i="3"/>
  <c r="G69" i="3"/>
  <c r="I190" i="3"/>
  <c r="G70" i="3"/>
  <c r="I96" i="3"/>
  <c r="Q153" i="3"/>
  <c r="G217" i="3"/>
  <c r="P145" i="3"/>
  <c r="G79" i="3"/>
  <c r="M152" i="3"/>
  <c r="G88" i="3"/>
  <c r="L26" i="3"/>
  <c r="J164" i="3"/>
  <c r="P125" i="3"/>
  <c r="H86" i="3"/>
  <c r="O138" i="3"/>
  <c r="J159" i="3"/>
  <c r="O92" i="3"/>
  <c r="G31" i="3"/>
  <c r="P182" i="3"/>
  <c r="L148" i="3"/>
  <c r="H55" i="3"/>
  <c r="L140" i="3"/>
  <c r="L181" i="3"/>
  <c r="H112" i="3"/>
  <c r="G54" i="3"/>
  <c r="K98" i="3"/>
  <c r="F150" i="3"/>
  <c r="L35" i="3"/>
  <c r="I52" i="3"/>
  <c r="P157" i="3"/>
  <c r="Q143" i="3"/>
  <c r="O219" i="3"/>
  <c r="L145" i="3"/>
  <c r="H43" i="3"/>
  <c r="K33" i="3"/>
  <c r="I6" i="3"/>
  <c r="F125" i="3"/>
  <c r="F198" i="3"/>
  <c r="M84" i="3"/>
  <c r="L217" i="3"/>
  <c r="P153" i="3"/>
  <c r="O93" i="3"/>
  <c r="M21" i="3"/>
  <c r="H159" i="3"/>
  <c r="H51" i="3"/>
  <c r="K51" i="3"/>
  <c r="P140" i="3"/>
  <c r="M182" i="3"/>
  <c r="L112" i="3"/>
  <c r="O54" i="3"/>
  <c r="G177" i="3"/>
  <c r="O62" i="3"/>
  <c r="I75" i="3"/>
  <c r="K145" i="3"/>
  <c r="K190" i="3"/>
  <c r="M118" i="3"/>
  <c r="O64" i="3"/>
  <c r="J213" i="3"/>
  <c r="O80" i="3"/>
  <c r="J18" i="3"/>
  <c r="I157" i="3"/>
  <c r="K118" i="3"/>
  <c r="L191" i="3"/>
  <c r="O102" i="3"/>
  <c r="J148" i="3"/>
  <c r="N85" i="3"/>
  <c r="O23" i="3"/>
  <c r="K175" i="3"/>
  <c r="L139" i="3"/>
  <c r="Q97" i="3"/>
  <c r="I12" i="3"/>
  <c r="P163" i="3"/>
  <c r="M98" i="3"/>
  <c r="L34" i="3"/>
  <c r="J180" i="3"/>
  <c r="I146" i="3"/>
  <c r="L102" i="3"/>
  <c r="Q16" i="3"/>
  <c r="N189" i="3"/>
  <c r="I116" i="3"/>
  <c r="H52" i="3"/>
  <c r="Q191" i="3"/>
  <c r="H171" i="3"/>
  <c r="J114" i="3"/>
  <c r="H36" i="3"/>
  <c r="G198" i="3"/>
  <c r="J122" i="3"/>
  <c r="P56" i="3"/>
  <c r="P209" i="3"/>
  <c r="K214" i="3"/>
  <c r="H19" i="3"/>
  <c r="H68" i="3"/>
  <c r="L205" i="3"/>
  <c r="K176" i="3"/>
  <c r="J68" i="3"/>
  <c r="I216" i="3"/>
  <c r="L122" i="3"/>
  <c r="H25" i="3"/>
  <c r="P77" i="3"/>
  <c r="K202" i="3"/>
  <c r="Q213" i="3"/>
  <c r="K136" i="3"/>
  <c r="N35" i="3"/>
  <c r="J221" i="3"/>
  <c r="N211" i="3"/>
  <c r="N147" i="3"/>
  <c r="N90" i="3"/>
  <c r="L16" i="3"/>
  <c r="O162" i="3"/>
  <c r="N53" i="3"/>
  <c r="I57" i="3"/>
  <c r="G199" i="3"/>
  <c r="G136" i="3"/>
  <c r="Q83" i="3"/>
  <c r="Q217" i="3"/>
  <c r="I141" i="3"/>
  <c r="N39" i="3"/>
  <c r="K28" i="3"/>
  <c r="Q129" i="3"/>
  <c r="Q162" i="3"/>
  <c r="J102" i="3"/>
  <c r="J34" i="3"/>
  <c r="N159" i="3"/>
  <c r="L51" i="3"/>
  <c r="N52" i="3"/>
  <c r="M135" i="3"/>
  <c r="J171" i="3"/>
  <c r="I107" i="3"/>
  <c r="J44" i="3"/>
  <c r="H189" i="3"/>
  <c r="L69" i="3"/>
  <c r="M92" i="3"/>
  <c r="O145" i="3"/>
  <c r="K191" i="3"/>
  <c r="K119" i="3"/>
  <c r="G65" i="3"/>
  <c r="I197" i="3"/>
  <c r="G74" i="3"/>
  <c r="G110" i="3"/>
  <c r="K163" i="3"/>
  <c r="P191" i="3"/>
  <c r="P110" i="3"/>
  <c r="Q214" i="3"/>
  <c r="K152" i="3"/>
  <c r="P92" i="3"/>
  <c r="G19" i="3"/>
  <c r="Q44" i="3"/>
  <c r="F203" i="3"/>
  <c r="I34" i="3"/>
  <c r="F27" i="3"/>
  <c r="K48" i="3"/>
  <c r="M150" i="3"/>
  <c r="L215" i="3"/>
  <c r="Q121" i="3"/>
  <c r="M24" i="3"/>
  <c r="P75" i="3"/>
  <c r="F39" i="3"/>
  <c r="O16" i="3"/>
  <c r="F190" i="3"/>
  <c r="H203" i="3"/>
  <c r="P179" i="3"/>
  <c r="G161" i="3"/>
  <c r="K103" i="3"/>
  <c r="M210" i="3"/>
  <c r="G146" i="3"/>
  <c r="O89" i="3"/>
  <c r="J124" i="3"/>
  <c r="P133" i="3"/>
  <c r="O44" i="3"/>
  <c r="L92" i="3"/>
  <c r="N48" i="3"/>
  <c r="O51" i="3"/>
  <c r="H144" i="3"/>
  <c r="I207" i="3"/>
  <c r="H117" i="3"/>
  <c r="G84" i="3"/>
  <c r="J96" i="3"/>
  <c r="I33" i="3"/>
  <c r="J15" i="3"/>
  <c r="J190" i="3"/>
  <c r="Q195" i="3"/>
  <c r="M44" i="3"/>
  <c r="N203" i="3"/>
  <c r="N156" i="3"/>
  <c r="K35" i="3"/>
  <c r="K162" i="3"/>
  <c r="M200" i="3"/>
  <c r="J61" i="3"/>
  <c r="M78" i="3"/>
  <c r="O180" i="3"/>
  <c r="H60" i="3"/>
  <c r="Q32" i="3"/>
  <c r="H139" i="3"/>
  <c r="L9" i="3"/>
  <c r="Q50" i="3"/>
  <c r="K127" i="3"/>
  <c r="H100" i="3"/>
  <c r="G165" i="3"/>
  <c r="K61" i="3"/>
  <c r="O198" i="3"/>
  <c r="H216" i="3"/>
  <c r="L74" i="3"/>
  <c r="K15" i="3"/>
  <c r="F64" i="3"/>
  <c r="N155" i="3"/>
  <c r="M43" i="3"/>
  <c r="J178" i="3"/>
  <c r="P42" i="3"/>
  <c r="F90" i="3"/>
  <c r="Q74" i="3"/>
  <c r="H124" i="3"/>
  <c r="L147" i="3"/>
  <c r="J210" i="3"/>
  <c r="N21" i="3"/>
  <c r="J48" i="3"/>
  <c r="I48" i="3"/>
  <c r="F82" i="3"/>
  <c r="F21" i="3"/>
  <c r="L101" i="3"/>
  <c r="O207" i="3"/>
  <c r="P84" i="3"/>
  <c r="I41" i="3"/>
  <c r="G162" i="3"/>
  <c r="J97" i="3"/>
  <c r="M33" i="3"/>
  <c r="L12" i="3"/>
  <c r="F157" i="3"/>
  <c r="L27" i="3"/>
  <c r="O211" i="3"/>
  <c r="K92" i="3"/>
  <c r="I153" i="3"/>
  <c r="N213" i="3"/>
  <c r="Q141" i="3"/>
  <c r="G78" i="3"/>
  <c r="F42" i="3"/>
  <c r="F87" i="3"/>
  <c r="F6" i="3"/>
  <c r="J78" i="3"/>
  <c r="L200" i="3"/>
  <c r="L66" i="3"/>
  <c r="M114" i="3"/>
  <c r="G158" i="3"/>
  <c r="G92" i="3"/>
  <c r="L30" i="3"/>
  <c r="J6" i="3"/>
  <c r="F36" i="3"/>
  <c r="Q13" i="3"/>
  <c r="F11" i="3"/>
  <c r="J62" i="3"/>
  <c r="K59" i="3"/>
  <c r="Q145" i="3"/>
  <c r="Q187" i="3"/>
  <c r="G160" i="3"/>
  <c r="I109" i="3"/>
  <c r="P28" i="3"/>
  <c r="F151" i="3"/>
  <c r="I183" i="3"/>
  <c r="I172" i="3"/>
  <c r="Q109" i="3"/>
  <c r="G21" i="3"/>
  <c r="I180" i="3"/>
  <c r="O108" i="3"/>
  <c r="O45" i="3"/>
  <c r="I13" i="3"/>
  <c r="F122" i="3"/>
  <c r="G16" i="3"/>
  <c r="L184" i="3"/>
  <c r="Q64" i="3"/>
  <c r="N109" i="3"/>
  <c r="K67" i="3"/>
  <c r="K212" i="3"/>
  <c r="O142" i="3"/>
  <c r="P62" i="3"/>
  <c r="J9" i="3"/>
  <c r="I38" i="3"/>
  <c r="F169" i="3"/>
  <c r="Q161" i="3"/>
  <c r="P121" i="3"/>
  <c r="J132" i="3"/>
  <c r="H118" i="3"/>
  <c r="M193" i="3"/>
  <c r="L129" i="3"/>
  <c r="Q79" i="3"/>
  <c r="K5" i="3"/>
  <c r="L77" i="3"/>
  <c r="J125" i="3"/>
  <c r="M32" i="3"/>
  <c r="G93" i="3"/>
  <c r="Q35" i="3"/>
  <c r="O29" i="3"/>
  <c r="N138" i="3"/>
  <c r="G184" i="3"/>
  <c r="P117" i="3"/>
  <c r="Q78" i="3"/>
  <c r="P82" i="3"/>
  <c r="Q33" i="3"/>
  <c r="P9" i="3"/>
  <c r="I191" i="3"/>
  <c r="P185" i="3"/>
  <c r="H158" i="3"/>
  <c r="P105" i="3"/>
  <c r="O132" i="3"/>
  <c r="J211" i="3"/>
  <c r="M74" i="3"/>
  <c r="H91" i="3"/>
  <c r="P155" i="3"/>
  <c r="H28" i="3"/>
  <c r="O20" i="3"/>
  <c r="N133" i="3"/>
  <c r="M215" i="3"/>
  <c r="G107" i="3"/>
  <c r="P215" i="3"/>
  <c r="K13" i="3"/>
  <c r="J177" i="3"/>
  <c r="M211" i="3"/>
  <c r="L62" i="3"/>
  <c r="G208" i="3"/>
  <c r="M66" i="3"/>
  <c r="L124" i="3"/>
  <c r="I170" i="3"/>
  <c r="Q37" i="3"/>
  <c r="F69" i="3"/>
  <c r="K84" i="3"/>
  <c r="N98" i="3"/>
  <c r="K47" i="3"/>
  <c r="Q122" i="3"/>
  <c r="N103" i="3"/>
  <c r="F142" i="3"/>
  <c r="N13" i="3"/>
  <c r="G82" i="3"/>
  <c r="L185" i="3"/>
  <c r="H164" i="3"/>
  <c r="H116" i="3"/>
  <c r="Q15" i="3"/>
  <c r="L15" i="3"/>
  <c r="F59" i="3"/>
  <c r="F68" i="3"/>
  <c r="P81" i="3"/>
  <c r="H193" i="3"/>
  <c r="G210" i="3"/>
  <c r="M16" i="3"/>
  <c r="L201" i="3"/>
  <c r="N77" i="3"/>
  <c r="Q123" i="3"/>
  <c r="J217" i="3"/>
  <c r="F26" i="3"/>
  <c r="P150" i="3"/>
  <c r="P198" i="3"/>
  <c r="M36" i="3"/>
  <c r="N134" i="3"/>
  <c r="J170" i="3"/>
  <c r="J106" i="3"/>
  <c r="G43" i="3"/>
  <c r="L18" i="3"/>
  <c r="F209" i="3"/>
  <c r="F139" i="3"/>
  <c r="G116" i="3"/>
  <c r="P207" i="3"/>
  <c r="P63" i="3"/>
  <c r="Q126" i="3"/>
  <c r="P195" i="3"/>
  <c r="L73" i="3"/>
  <c r="I108" i="3"/>
  <c r="N83" i="3"/>
  <c r="F102" i="3"/>
  <c r="N5" i="3"/>
  <c r="P166" i="3"/>
  <c r="H162" i="3"/>
  <c r="H50" i="3"/>
  <c r="K128" i="3"/>
  <c r="M169" i="3"/>
  <c r="G130" i="3"/>
  <c r="M89" i="3"/>
  <c r="P5" i="3"/>
  <c r="F181" i="3"/>
  <c r="F105" i="3"/>
  <c r="H182" i="3"/>
  <c r="H48" i="3"/>
  <c r="I84" i="3"/>
  <c r="G154" i="3"/>
  <c r="J89" i="3"/>
  <c r="K27" i="3"/>
  <c r="M100" i="3"/>
  <c r="F191" i="3"/>
  <c r="I5" i="3"/>
  <c r="Q28" i="3"/>
  <c r="K57" i="3"/>
  <c r="J108" i="3"/>
  <c r="H109" i="3"/>
  <c r="I178" i="3"/>
  <c r="L107" i="3"/>
  <c r="L44" i="3"/>
  <c r="Q9" i="3"/>
  <c r="F54" i="3"/>
  <c r="O12" i="3"/>
  <c r="I126" i="3"/>
  <c r="I46" i="3"/>
  <c r="L91" i="3"/>
  <c r="Q61" i="3"/>
  <c r="M208" i="3"/>
  <c r="O134" i="3"/>
  <c r="M61" i="3"/>
  <c r="G7" i="3"/>
  <c r="H6" i="3"/>
  <c r="F13" i="3"/>
  <c r="G61" i="3"/>
  <c r="N199" i="3"/>
  <c r="I16" i="3"/>
  <c r="F7" i="3"/>
  <c r="F57" i="3"/>
  <c r="O59" i="3"/>
  <c r="H54" i="3"/>
  <c r="Q102" i="3"/>
  <c r="P106" i="3"/>
  <c r="L56" i="3"/>
  <c r="H45" i="3"/>
  <c r="Q215" i="3"/>
  <c r="L212" i="3"/>
  <c r="L127" i="3"/>
  <c r="M146" i="3"/>
  <c r="J41" i="3"/>
  <c r="P96" i="3"/>
  <c r="I67" i="3"/>
  <c r="M45" i="3"/>
  <c r="M153" i="3"/>
  <c r="Q197" i="3"/>
  <c r="M194" i="3"/>
  <c r="Q207" i="3"/>
  <c r="K166" i="3"/>
  <c r="J165" i="3"/>
  <c r="P41" i="3"/>
  <c r="O34" i="3"/>
  <c r="I198" i="3"/>
  <c r="J70" i="3"/>
  <c r="N96" i="3"/>
  <c r="I196" i="3"/>
  <c r="P210" i="3"/>
  <c r="J82" i="3"/>
  <c r="J136" i="3"/>
  <c r="N202" i="3"/>
  <c r="H120" i="3"/>
  <c r="G188" i="3"/>
  <c r="K90" i="3"/>
  <c r="I211" i="3"/>
  <c r="M75" i="3"/>
  <c r="N160" i="3"/>
  <c r="I150" i="3"/>
  <c r="K36" i="3"/>
  <c r="F47" i="3"/>
  <c r="K182" i="3"/>
  <c r="G28" i="3"/>
  <c r="G37" i="3"/>
  <c r="I119" i="3"/>
  <c r="G51" i="3"/>
  <c r="Q5" i="3"/>
  <c r="F18" i="3"/>
  <c r="H220" i="3"/>
  <c r="O104" i="3"/>
  <c r="N206" i="3"/>
  <c r="G180" i="3"/>
  <c r="N51" i="3"/>
  <c r="K7" i="3"/>
  <c r="F140" i="3"/>
  <c r="F170" i="3"/>
  <c r="P10" i="3"/>
  <c r="Q127" i="3"/>
  <c r="N10" i="3"/>
  <c r="J26" i="3"/>
  <c r="G170" i="3"/>
  <c r="N57" i="3"/>
  <c r="N66" i="3"/>
  <c r="K157" i="3"/>
  <c r="M10" i="3"/>
  <c r="H49" i="3"/>
  <c r="G134" i="3"/>
  <c r="G91" i="3"/>
  <c r="L203" i="3"/>
  <c r="M140" i="3"/>
  <c r="I87" i="3"/>
  <c r="P12" i="3"/>
  <c r="L7" i="3"/>
  <c r="F43" i="3"/>
  <c r="L23" i="3"/>
  <c r="F196" i="3"/>
  <c r="M188" i="3"/>
  <c r="P221" i="3"/>
  <c r="O19" i="3"/>
  <c r="I164" i="3"/>
  <c r="Q54" i="3"/>
  <c r="Q59" i="3"/>
  <c r="Q56" i="3"/>
  <c r="F179" i="3"/>
  <c r="F80" i="3"/>
  <c r="Q189" i="3"/>
  <c r="O57" i="3"/>
  <c r="M205" i="3"/>
  <c r="J85" i="3"/>
  <c r="H150" i="3"/>
  <c r="Q200" i="3"/>
  <c r="K126" i="3"/>
  <c r="M71" i="3"/>
  <c r="F141" i="3"/>
  <c r="I9" i="3"/>
  <c r="Q175" i="3"/>
  <c r="M30" i="3"/>
  <c r="Q112" i="3"/>
  <c r="P190" i="3"/>
  <c r="K70" i="3"/>
  <c r="H97" i="3"/>
  <c r="L46" i="3"/>
  <c r="F160" i="3"/>
  <c r="Q38" i="3"/>
  <c r="G23" i="3"/>
  <c r="N180" i="3"/>
  <c r="N46" i="3"/>
  <c r="J65" i="3"/>
  <c r="H152" i="3"/>
  <c r="P87" i="3"/>
  <c r="H26" i="3"/>
  <c r="L71" i="3"/>
  <c r="F114" i="3"/>
  <c r="L72" i="3"/>
  <c r="G66" i="3"/>
  <c r="G39" i="3"/>
  <c r="H90" i="3"/>
  <c r="M88" i="3"/>
  <c r="I176" i="3"/>
  <c r="I106" i="3"/>
  <c r="I43" i="3"/>
  <c r="L6" i="3"/>
  <c r="F193" i="3"/>
  <c r="O8" i="3"/>
  <c r="P220" i="3"/>
  <c r="H184" i="3"/>
  <c r="F147" i="3"/>
  <c r="J56" i="3"/>
  <c r="H143" i="3"/>
  <c r="P162" i="3"/>
  <c r="O26" i="3"/>
  <c r="O81" i="3"/>
  <c r="K37" i="3"/>
  <c r="O18" i="3"/>
  <c r="M139" i="3"/>
  <c r="K174" i="3"/>
  <c r="I188" i="3"/>
  <c r="L79" i="3"/>
  <c r="K178" i="3"/>
  <c r="K21" i="3"/>
  <c r="K10" i="3"/>
  <c r="P178" i="3"/>
  <c r="N187" i="3"/>
  <c r="L165" i="3"/>
  <c r="M176" i="3"/>
  <c r="O151" i="3"/>
  <c r="H73" i="3"/>
  <c r="I121" i="3"/>
  <c r="P101" i="3"/>
  <c r="M109" i="3"/>
  <c r="M159" i="3"/>
  <c r="I212" i="3"/>
  <c r="P70" i="3"/>
  <c r="M128" i="3"/>
  <c r="I185" i="3"/>
  <c r="O63" i="3"/>
  <c r="P141" i="3"/>
  <c r="J128" i="3"/>
  <c r="P100" i="3"/>
  <c r="N157" i="3"/>
  <c r="I49" i="3"/>
  <c r="H169" i="3"/>
  <c r="G42" i="3"/>
  <c r="O172" i="3"/>
  <c r="G123" i="3"/>
  <c r="P78" i="3"/>
  <c r="L28" i="3"/>
  <c r="K156" i="3"/>
  <c r="L132" i="3"/>
  <c r="I195" i="3"/>
  <c r="G100" i="3"/>
  <c r="Q66" i="3"/>
  <c r="F5" i="3"/>
  <c r="O21" i="3"/>
  <c r="Q155" i="3"/>
  <c r="P47" i="3"/>
  <c r="G142" i="3"/>
  <c r="G109" i="3"/>
  <c r="N61" i="3"/>
  <c r="H10" i="3"/>
  <c r="M104" i="3"/>
  <c r="F72" i="3"/>
  <c r="F135" i="3"/>
  <c r="G129" i="3"/>
  <c r="H221" i="3"/>
  <c r="I217" i="3"/>
  <c r="K140" i="3"/>
  <c r="O38" i="3"/>
  <c r="I27" i="3"/>
  <c r="L42" i="3"/>
  <c r="M171" i="3"/>
  <c r="H145" i="3"/>
  <c r="O135" i="3"/>
  <c r="O85" i="3"/>
  <c r="J206" i="3"/>
  <c r="G181" i="3"/>
  <c r="N68" i="3"/>
  <c r="Q26" i="3"/>
  <c r="L59" i="3"/>
  <c r="F19" i="3"/>
  <c r="F174" i="3"/>
  <c r="F202" i="3"/>
  <c r="L133" i="3"/>
  <c r="J192" i="3"/>
  <c r="H214" i="3"/>
  <c r="Q136" i="3"/>
  <c r="I36" i="3"/>
  <c r="N20" i="3"/>
  <c r="L105" i="3"/>
  <c r="K9" i="3"/>
  <c r="F178" i="3"/>
  <c r="Q11" i="3"/>
  <c r="O141" i="3"/>
  <c r="N221" i="3"/>
  <c r="H29" i="3"/>
  <c r="P130" i="3"/>
  <c r="K164" i="3"/>
  <c r="M103" i="3"/>
  <c r="O36" i="3"/>
  <c r="G11" i="3"/>
  <c r="F118" i="3"/>
  <c r="Q148" i="3"/>
  <c r="Q199" i="3"/>
  <c r="H16" i="3"/>
  <c r="I160" i="3"/>
  <c r="P51" i="3"/>
  <c r="I53" i="3"/>
  <c r="K16" i="3"/>
  <c r="F53" i="3"/>
  <c r="F106" i="3"/>
  <c r="O25" i="3"/>
  <c r="P173" i="3"/>
  <c r="P27" i="3"/>
  <c r="J74" i="3"/>
  <c r="N188" i="3"/>
  <c r="H69" i="3"/>
  <c r="J91" i="3"/>
  <c r="N29" i="3"/>
  <c r="F216" i="3"/>
  <c r="J8" i="3"/>
  <c r="Q29" i="3"/>
  <c r="G150" i="3"/>
  <c r="K75" i="3"/>
  <c r="Q119" i="3"/>
  <c r="I221" i="3"/>
  <c r="G127" i="3"/>
  <c r="G176" i="3"/>
  <c r="O177" i="3"/>
  <c r="O66" i="3"/>
  <c r="N181" i="3"/>
  <c r="P139" i="3"/>
  <c r="I114" i="3"/>
  <c r="M173" i="3"/>
  <c r="L171" i="3"/>
  <c r="L169" i="3"/>
  <c r="O112" i="3"/>
  <c r="M178" i="3"/>
  <c r="O203" i="3"/>
  <c r="H205" i="3"/>
  <c r="Q174" i="3"/>
  <c r="I213" i="3"/>
  <c r="L84" i="3"/>
  <c r="J199" i="3"/>
  <c r="L174" i="3"/>
  <c r="L52" i="3"/>
  <c r="J135" i="3"/>
  <c r="H197" i="3"/>
  <c r="G27" i="3"/>
  <c r="O114" i="3"/>
  <c r="J196" i="3"/>
  <c r="K81" i="3"/>
  <c r="P129" i="3"/>
  <c r="K116" i="3"/>
  <c r="O139" i="3"/>
  <c r="H12" i="3"/>
  <c r="I125" i="3"/>
  <c r="N179" i="3"/>
  <c r="P45" i="3"/>
  <c r="L10" i="3"/>
  <c r="G103" i="3"/>
  <c r="H165" i="3"/>
  <c r="M157" i="3"/>
  <c r="P61" i="3"/>
  <c r="L78" i="3"/>
  <c r="F67" i="3"/>
  <c r="G187" i="3"/>
  <c r="H47" i="3"/>
  <c r="O97" i="3"/>
  <c r="J120" i="3"/>
  <c r="K71" i="3"/>
  <c r="J111" i="3"/>
  <c r="F51" i="3"/>
  <c r="Q52" i="3"/>
  <c r="F220" i="3"/>
  <c r="J117" i="3"/>
  <c r="P29" i="3"/>
  <c r="M145" i="3"/>
  <c r="L211" i="3"/>
  <c r="N217" i="3"/>
  <c r="G20" i="3"/>
  <c r="M70" i="3"/>
  <c r="F98" i="3"/>
  <c r="F84" i="3"/>
  <c r="J27" i="3"/>
  <c r="P33" i="3"/>
  <c r="P30" i="3"/>
  <c r="H187" i="3"/>
  <c r="G114" i="3"/>
  <c r="J50" i="3"/>
  <c r="N37" i="3"/>
  <c r="F66" i="3"/>
  <c r="L60" i="3"/>
  <c r="H115" i="3"/>
  <c r="F137" i="3"/>
  <c r="I142" i="3"/>
  <c r="M183" i="3"/>
  <c r="L207" i="3"/>
  <c r="K205" i="3"/>
  <c r="J17" i="3"/>
  <c r="P64" i="3"/>
  <c r="F14" i="3"/>
  <c r="M190" i="3"/>
  <c r="F221" i="3"/>
  <c r="G147" i="3"/>
  <c r="J145" i="3"/>
  <c r="P197" i="3"/>
  <c r="O83" i="3"/>
  <c r="L199" i="3"/>
  <c r="M136" i="3"/>
  <c r="H84" i="3"/>
  <c r="O9" i="3"/>
  <c r="L50" i="3"/>
  <c r="J155" i="3"/>
  <c r="N105" i="3"/>
  <c r="J209" i="3"/>
  <c r="G211" i="3"/>
  <c r="I133" i="3"/>
  <c r="H33" i="3"/>
  <c r="N144" i="3"/>
  <c r="I10" i="3"/>
  <c r="G5" i="3"/>
  <c r="F33" i="3"/>
  <c r="F213" i="3"/>
  <c r="Q146" i="3"/>
  <c r="J198" i="3"/>
  <c r="N14" i="3"/>
  <c r="I158" i="3"/>
  <c r="M50" i="3"/>
  <c r="Q49" i="3"/>
  <c r="K12" i="3"/>
  <c r="F89" i="3"/>
  <c r="F155" i="3"/>
  <c r="O60" i="3"/>
  <c r="O148" i="3"/>
  <c r="K6" i="3"/>
  <c r="G64" i="3"/>
  <c r="G185" i="3"/>
  <c r="N67" i="3"/>
  <c r="J87" i="3"/>
  <c r="K17" i="3"/>
  <c r="F162" i="3"/>
  <c r="J99" i="3"/>
  <c r="L47" i="3"/>
  <c r="Q39" i="3"/>
  <c r="I30" i="3"/>
  <c r="P38" i="3"/>
  <c r="P24" i="3"/>
  <c r="H196" i="3"/>
  <c r="K210" i="3"/>
  <c r="H122" i="3"/>
  <c r="K220" i="3"/>
  <c r="L29" i="3"/>
  <c r="J90" i="3"/>
  <c r="K29" i="3"/>
  <c r="O24" i="3"/>
  <c r="Q135" i="3"/>
  <c r="O178" i="3"/>
  <c r="K216" i="3"/>
  <c r="K74" i="3"/>
  <c r="N119" i="3"/>
  <c r="M158" i="3"/>
  <c r="L90" i="3"/>
  <c r="G118" i="3"/>
  <c r="H188" i="3"/>
  <c r="H66" i="3"/>
  <c r="K158" i="3"/>
  <c r="H209" i="3"/>
  <c r="L137" i="3"/>
  <c r="J109" i="3"/>
  <c r="I215" i="3"/>
  <c r="K121" i="3"/>
  <c r="G38" i="3"/>
  <c r="N178" i="3"/>
  <c r="P44" i="3"/>
  <c r="O152" i="3"/>
  <c r="H23" i="3"/>
  <c r="K112" i="3"/>
  <c r="G201" i="3"/>
  <c r="G112" i="3"/>
  <c r="M120" i="3"/>
  <c r="N107" i="3"/>
  <c r="F97" i="3"/>
  <c r="Q34" i="3"/>
  <c r="I54" i="3"/>
  <c r="I139" i="3"/>
  <c r="M117" i="3"/>
  <c r="Q10" i="3"/>
  <c r="F75" i="3"/>
  <c r="P17" i="3"/>
  <c r="G97" i="3"/>
  <c r="N44" i="3"/>
  <c r="O173" i="3"/>
  <c r="P34" i="3"/>
  <c r="G8" i="3"/>
  <c r="F86" i="3"/>
  <c r="I20" i="3"/>
  <c r="F101" i="3"/>
  <c r="Q72" i="3"/>
  <c r="M79" i="3"/>
  <c r="J182" i="3"/>
  <c r="H192" i="3"/>
  <c r="N171" i="3"/>
  <c r="N114" i="3"/>
  <c r="P36" i="3"/>
  <c r="F152" i="3"/>
  <c r="J107" i="3"/>
  <c r="O220" i="3"/>
  <c r="M83" i="3"/>
  <c r="I21" i="3"/>
  <c r="H160" i="3"/>
  <c r="N93" i="3"/>
  <c r="O31" i="3"/>
  <c r="H8" i="3"/>
  <c r="F110" i="3"/>
  <c r="K18" i="3"/>
  <c r="I90" i="3"/>
  <c r="I202" i="3"/>
  <c r="I61" i="3"/>
  <c r="P147" i="3"/>
  <c r="G189" i="3"/>
  <c r="M163" i="3"/>
  <c r="L110" i="3"/>
  <c r="P31" i="3"/>
  <c r="F60" i="3"/>
  <c r="Q92" i="3"/>
  <c r="F195" i="3"/>
  <c r="N129" i="3"/>
  <c r="L83" i="3"/>
  <c r="L156" i="3"/>
  <c r="N78" i="3"/>
  <c r="J201" i="3"/>
  <c r="L160" i="3"/>
  <c r="Q65" i="3"/>
  <c r="G15" i="3"/>
  <c r="G174" i="3"/>
  <c r="M199" i="3"/>
  <c r="J104" i="3"/>
  <c r="P156" i="3"/>
  <c r="Q203" i="3"/>
  <c r="O195" i="3"/>
  <c r="P183" i="3"/>
  <c r="P59" i="3"/>
  <c r="F112" i="3"/>
  <c r="I74" i="3"/>
  <c r="F25" i="3"/>
  <c r="F207" i="3"/>
  <c r="G104" i="3"/>
  <c r="N205" i="3"/>
  <c r="Q209" i="3"/>
  <c r="I130" i="3"/>
  <c r="N31" i="3"/>
  <c r="K117" i="3"/>
  <c r="M5" i="3"/>
  <c r="K106" i="3"/>
  <c r="F176" i="3"/>
  <c r="F188" i="3"/>
  <c r="M124" i="3"/>
  <c r="M181" i="3"/>
  <c r="G13" i="3"/>
  <c r="I156" i="3"/>
  <c r="O48" i="3"/>
  <c r="K46" i="3"/>
  <c r="K8" i="3"/>
  <c r="F63" i="3"/>
  <c r="F183" i="3"/>
  <c r="K41" i="3"/>
  <c r="P20" i="3"/>
  <c r="P8" i="3"/>
  <c r="F52" i="3"/>
  <c r="N43" i="3"/>
  <c r="L210" i="3"/>
  <c r="J215" i="3"/>
  <c r="K148" i="3"/>
  <c r="I159" i="3"/>
  <c r="G62" i="3"/>
  <c r="J110" i="3"/>
  <c r="L85" i="3"/>
  <c r="Q100" i="3"/>
  <c r="I161" i="3"/>
  <c r="M162" i="3"/>
  <c r="O136" i="3"/>
  <c r="M102" i="3"/>
  <c r="J112" i="3"/>
  <c r="O105" i="3"/>
  <c r="K62" i="3"/>
  <c r="Q208" i="3"/>
  <c r="G106" i="3"/>
  <c r="L99" i="3"/>
  <c r="P201" i="3"/>
  <c r="Q184" i="3"/>
  <c r="K195" i="3"/>
  <c r="P203" i="3"/>
  <c r="O10" i="3"/>
  <c r="J187" i="3"/>
  <c r="Q132" i="3"/>
  <c r="J216" i="3"/>
  <c r="I93" i="3"/>
  <c r="I192" i="3"/>
  <c r="H57" i="3"/>
  <c r="L141" i="3"/>
  <c r="I208" i="3"/>
  <c r="I18" i="3"/>
  <c r="K194" i="3"/>
  <c r="K60" i="3"/>
  <c r="N101" i="3"/>
  <c r="Q30" i="3"/>
  <c r="P85" i="3"/>
  <c r="N126" i="3"/>
  <c r="O37" i="3"/>
  <c r="N193" i="3"/>
  <c r="N110" i="3"/>
  <c r="F177" i="3"/>
  <c r="N69" i="3"/>
  <c r="F219" i="3"/>
  <c r="H130" i="3"/>
  <c r="L218" i="3"/>
  <c r="H176" i="3"/>
  <c r="N30" i="3"/>
  <c r="O86" i="3"/>
  <c r="F205" i="3"/>
  <c r="F156" i="3"/>
  <c r="J51" i="3"/>
  <c r="O197" i="3"/>
  <c r="M213" i="3"/>
  <c r="L103" i="3"/>
  <c r="L154" i="3"/>
  <c r="I219" i="3"/>
  <c r="M172" i="3"/>
  <c r="J80" i="3"/>
  <c r="F187" i="3"/>
  <c r="K66" i="3"/>
  <c r="Q125" i="3"/>
  <c r="G9" i="3"/>
  <c r="G24" i="3"/>
  <c r="I166" i="3"/>
  <c r="G56" i="3"/>
  <c r="I63" i="3"/>
  <c r="N79" i="3"/>
  <c r="F31" i="3"/>
  <c r="L24" i="3"/>
  <c r="O128" i="3"/>
  <c r="M57" i="3"/>
  <c r="P206" i="3"/>
  <c r="Q86" i="3"/>
  <c r="K151" i="3"/>
  <c r="M207" i="3"/>
  <c r="Q133" i="3"/>
  <c r="O73" i="3"/>
  <c r="F74" i="3"/>
  <c r="F20" i="3"/>
  <c r="F45" i="3"/>
  <c r="P50" i="3"/>
  <c r="I199" i="3"/>
  <c r="I65" i="3"/>
  <c r="H89" i="3"/>
  <c r="H156" i="3"/>
  <c r="Q90" i="3"/>
  <c r="I29" i="3"/>
  <c r="M112" i="3"/>
  <c r="F117" i="3"/>
  <c r="K97" i="3"/>
  <c r="J19" i="3"/>
  <c r="J126" i="3"/>
  <c r="H166" i="3"/>
  <c r="H128" i="3"/>
  <c r="O87" i="3"/>
  <c r="Q212" i="3"/>
  <c r="F129" i="3"/>
  <c r="L75" i="3"/>
  <c r="F23" i="3"/>
  <c r="M184" i="3"/>
  <c r="G41" i="3"/>
  <c r="N123" i="3"/>
  <c r="O183" i="3"/>
  <c r="L153" i="3"/>
  <c r="H106" i="3"/>
  <c r="P23" i="3"/>
  <c r="F30" i="3"/>
  <c r="N25" i="3"/>
  <c r="F218" i="3"/>
  <c r="J5" i="3"/>
  <c r="N84" i="3"/>
  <c r="P152" i="3"/>
  <c r="P200" i="3"/>
  <c r="M189" i="3"/>
  <c r="N184" i="3"/>
  <c r="N197" i="3"/>
  <c r="H179" i="3"/>
  <c r="I140" i="3"/>
  <c r="Q24" i="3"/>
  <c r="N72" i="3"/>
  <c r="G90" i="3"/>
  <c r="H218" i="3"/>
  <c r="N219" i="3"/>
  <c r="O170" i="3"/>
  <c r="L172" i="3"/>
  <c r="I64" i="3"/>
  <c r="G144" i="3"/>
  <c r="O49" i="3"/>
  <c r="P118" i="3"/>
  <c r="G207" i="3"/>
  <c r="H64" i="3"/>
  <c r="N23" i="3"/>
  <c r="M156" i="3"/>
  <c r="J29" i="3"/>
  <c r="N108" i="3"/>
  <c r="P219" i="3"/>
  <c r="K211" i="3"/>
  <c r="J88" i="3"/>
  <c r="G156" i="3"/>
  <c r="I210" i="3"/>
  <c r="Q87" i="3"/>
  <c r="J193" i="3"/>
  <c r="J66" i="3"/>
  <c r="Q68" i="3"/>
  <c r="J152" i="3"/>
  <c r="K139" i="3"/>
  <c r="O185" i="3"/>
  <c r="M221" i="3"/>
  <c r="K44" i="3"/>
  <c r="J16" i="3"/>
  <c r="F108" i="3"/>
  <c r="N80" i="3"/>
  <c r="H190" i="3"/>
  <c r="G166" i="3"/>
  <c r="I73" i="3"/>
  <c r="F166" i="3"/>
  <c r="L53" i="3"/>
  <c r="F123" i="3"/>
  <c r="I163" i="3"/>
  <c r="K213" i="3"/>
  <c r="P211" i="3"/>
  <c r="P72" i="3"/>
  <c r="F144" i="3"/>
  <c r="J13" i="3"/>
  <c r="F158" i="3"/>
  <c r="I174" i="3"/>
  <c r="I152" i="3"/>
  <c r="O200" i="3"/>
  <c r="M46" i="3"/>
  <c r="H136" i="3"/>
  <c r="L173" i="3"/>
  <c r="Q107" i="3"/>
  <c r="G46" i="3"/>
  <c r="L31" i="3"/>
  <c r="L221" i="3"/>
  <c r="H127" i="3"/>
  <c r="H219" i="3"/>
  <c r="K215" i="3"/>
  <c r="L138" i="3"/>
  <c r="L37" i="3"/>
  <c r="Q23" i="3"/>
  <c r="M9" i="3"/>
  <c r="F119" i="3"/>
  <c r="F124" i="3"/>
  <c r="J116" i="3"/>
  <c r="J218" i="3"/>
  <c r="H202" i="3"/>
  <c r="K30" i="3"/>
  <c r="G133" i="3"/>
  <c r="J166" i="3"/>
  <c r="P104" i="3"/>
  <c r="M39" i="3"/>
  <c r="M14" i="3"/>
  <c r="F79" i="3"/>
  <c r="L67" i="3"/>
  <c r="N12" i="3"/>
  <c r="O202" i="3"/>
  <c r="P60" i="3"/>
  <c r="I118" i="3"/>
  <c r="I193" i="3"/>
  <c r="I72" i="3"/>
  <c r="G102" i="3"/>
  <c r="I66" i="3"/>
  <c r="F28" i="3"/>
  <c r="Q196" i="3"/>
  <c r="L188" i="3"/>
  <c r="P83" i="3"/>
  <c r="Q147" i="3"/>
  <c r="N196" i="3"/>
  <c r="M122" i="3"/>
  <c r="O68" i="3"/>
  <c r="F165" i="3"/>
  <c r="F180" i="3"/>
  <c r="M161" i="3"/>
  <c r="Q128" i="3"/>
  <c r="I17" i="3"/>
  <c r="G172" i="3"/>
  <c r="N164" i="3"/>
  <c r="G126" i="3"/>
  <c r="L86" i="3"/>
  <c r="L155" i="3"/>
  <c r="F55" i="3"/>
  <c r="H15" i="3"/>
  <c r="F16" i="3"/>
  <c r="O188" i="3"/>
  <c r="O196" i="3"/>
  <c r="O150" i="3"/>
  <c r="Q151" i="3"/>
  <c r="N49" i="3"/>
  <c r="I111" i="3"/>
  <c r="Q71" i="3"/>
  <c r="O61" i="3"/>
  <c r="K155" i="3"/>
  <c r="K146" i="3"/>
  <c r="M137" i="3"/>
  <c r="O96" i="3"/>
  <c r="I101" i="3"/>
  <c r="N50" i="3"/>
  <c r="I112" i="3"/>
  <c r="K199" i="3"/>
  <c r="L170" i="3"/>
  <c r="O6" i="3"/>
  <c r="P116" i="3"/>
  <c r="H135" i="3"/>
  <c r="Q205" i="3"/>
  <c r="K125" i="3"/>
  <c r="K138" i="3"/>
  <c r="I205" i="3"/>
  <c r="I83" i="3"/>
  <c r="H134" i="3"/>
  <c r="I173" i="3"/>
  <c r="I51" i="3"/>
  <c r="Q160" i="3"/>
  <c r="G32" i="3"/>
  <c r="I50" i="3"/>
  <c r="O133" i="3"/>
  <c r="K105" i="3"/>
  <c r="P65" i="3"/>
  <c r="K217" i="3"/>
  <c r="P25" i="3"/>
  <c r="F29" i="3"/>
  <c r="F73" i="3"/>
  <c r="N124" i="3"/>
  <c r="M106" i="3"/>
  <c r="M175" i="3"/>
  <c r="N54" i="3"/>
  <c r="L68" i="3"/>
  <c r="F215" i="3"/>
  <c r="J67" i="3"/>
  <c r="N102" i="3"/>
  <c r="K193" i="3"/>
  <c r="Q98" i="3"/>
  <c r="P39" i="3"/>
  <c r="F136" i="3"/>
  <c r="O82" i="3"/>
  <c r="F85" i="3"/>
  <c r="M127" i="3"/>
  <c r="N125" i="3"/>
  <c r="N135" i="3"/>
  <c r="H102" i="3"/>
  <c r="M206" i="3"/>
  <c r="M142" i="3"/>
  <c r="L88" i="3"/>
  <c r="J14" i="3"/>
  <c r="L11" i="3"/>
  <c r="K104" i="3"/>
  <c r="M28" i="3"/>
  <c r="N185" i="3"/>
  <c r="K209" i="3"/>
  <c r="O210" i="3"/>
  <c r="Q18" i="3"/>
  <c r="P67" i="3"/>
  <c r="F24" i="3"/>
  <c r="M6" i="3"/>
  <c r="F99" i="3"/>
  <c r="I181" i="3"/>
  <c r="J154" i="3"/>
  <c r="Q202" i="3"/>
  <c r="M85" i="3"/>
  <c r="M201" i="3"/>
  <c r="M138" i="3"/>
  <c r="K85" i="3"/>
  <c r="M11" i="3"/>
  <c r="O90" i="3"/>
  <c r="F182" i="3"/>
  <c r="F12" i="3"/>
  <c r="F214" i="3"/>
  <c r="J183" i="3"/>
  <c r="Q219" i="3"/>
  <c r="M17" i="3"/>
  <c r="I162" i="3"/>
  <c r="J53" i="3"/>
  <c r="N56" i="3"/>
  <c r="L32" i="3"/>
  <c r="F127" i="3"/>
  <c r="K19" i="3"/>
  <c r="L183" i="3"/>
  <c r="N27" i="3"/>
  <c r="M129" i="3"/>
  <c r="J162" i="3"/>
  <c r="O101" i="3"/>
  <c r="O33" i="3"/>
  <c r="O7" i="3"/>
  <c r="F107" i="3"/>
  <c r="O179" i="3"/>
  <c r="H129" i="3"/>
  <c r="I187" i="3"/>
  <c r="P73" i="3"/>
  <c r="J146" i="3"/>
  <c r="N192" i="3"/>
  <c r="P119" i="3"/>
  <c r="O65" i="3"/>
  <c r="I11" i="3"/>
  <c r="F103" i="3"/>
  <c r="P146" i="3"/>
  <c r="H105" i="3"/>
  <c r="N122" i="3"/>
  <c r="P135" i="3"/>
  <c r="G163" i="3"/>
  <c r="Q124" i="3"/>
  <c r="I85" i="3"/>
  <c r="P124" i="3"/>
  <c r="F175" i="3"/>
  <c r="N33" i="3"/>
  <c r="F9" i="3"/>
  <c r="L64" i="3"/>
  <c r="F143" i="3"/>
  <c r="F83" i="3"/>
  <c r="H81" i="3"/>
  <c r="Q178" i="3"/>
  <c r="O98" i="3"/>
  <c r="K114" i="3"/>
  <c r="P66" i="3"/>
  <c r="M90" i="3"/>
  <c r="O153" i="3"/>
  <c r="K50" i="3"/>
  <c r="G145" i="3"/>
  <c r="F210" i="3"/>
  <c r="Q194" i="3"/>
  <c r="G25" i="3"/>
  <c r="Q14" i="3"/>
  <c r="G125" i="3"/>
  <c r="H137" i="3"/>
  <c r="O122" i="3"/>
  <c r="L198" i="3"/>
  <c r="F148" i="3"/>
  <c r="H53" i="3"/>
  <c r="P90" i="3"/>
  <c r="F133" i="3"/>
  <c r="K23" i="3"/>
  <c r="N16" i="3"/>
  <c r="H125" i="3"/>
  <c r="M26" i="3"/>
  <c r="Q6" i="3"/>
  <c r="O191" i="3"/>
  <c r="L54" i="3"/>
  <c r="J157" i="3"/>
  <c r="J158" i="3"/>
  <c r="O28" i="3"/>
  <c r="F93" i="3"/>
  <c r="L63" i="3"/>
  <c r="N8" i="3"/>
  <c r="F194" i="3"/>
  <c r="L144" i="3"/>
  <c r="G17" i="3"/>
  <c r="N111" i="3"/>
  <c r="N136" i="3"/>
  <c r="F17" i="3"/>
  <c r="N116" i="3"/>
  <c r="H104" i="3"/>
  <c r="Q154" i="3"/>
  <c r="J28" i="3"/>
  <c r="J123" i="3"/>
  <c r="M56" i="3"/>
  <c r="L14" i="3"/>
  <c r="I80" i="3"/>
  <c r="O187" i="3"/>
  <c r="F50" i="3"/>
  <c r="F121" i="3"/>
  <c r="M202" i="3"/>
  <c r="L176" i="3"/>
  <c r="F15" i="3"/>
  <c r="L161" i="3"/>
  <c r="M20" i="3"/>
  <c r="N141" i="3"/>
  <c r="O118" i="3"/>
  <c r="J172" i="3"/>
  <c r="M62" i="3"/>
  <c r="J189" i="3"/>
  <c r="K132" i="3"/>
  <c r="K73" i="3"/>
  <c r="K122" i="3"/>
  <c r="H35" i="3"/>
  <c r="I214" i="3"/>
  <c r="M65" i="3"/>
  <c r="K150" i="3"/>
  <c r="M209" i="3"/>
  <c r="K115" i="3"/>
  <c r="F81" i="3"/>
  <c r="J36" i="3"/>
  <c r="K54" i="3"/>
  <c r="F161" i="3"/>
  <c r="H82" i="3"/>
  <c r="L189" i="3"/>
  <c r="J83" i="3"/>
  <c r="N166" i="3"/>
  <c r="P7" i="3"/>
  <c r="L164" i="3"/>
  <c r="G67" i="3"/>
  <c r="F208" i="3"/>
  <c r="N212" i="3"/>
  <c r="I44" i="3"/>
  <c r="L82" i="3"/>
  <c r="L8" i="3"/>
  <c r="K179" i="3"/>
  <c r="K160" i="3"/>
  <c r="F172" i="3"/>
  <c r="N200" i="3"/>
  <c r="M86" i="3"/>
  <c r="I56" i="3"/>
  <c r="F197" i="3"/>
  <c r="F49" i="3"/>
  <c r="Q84" i="3"/>
  <c r="Q7" i="3"/>
  <c r="J214" i="3"/>
  <c r="L19" i="3"/>
  <c r="K120" i="3"/>
  <c r="K153" i="3"/>
  <c r="F48" i="3"/>
  <c r="O154" i="3"/>
  <c r="N91" i="3"/>
  <c r="L55" i="3"/>
  <c r="N7" i="3"/>
  <c r="M47" i="3"/>
  <c r="I128" i="3"/>
  <c r="P205" i="3"/>
  <c r="K135" i="3"/>
  <c r="F56" i="3"/>
  <c r="J24" i="3"/>
  <c r="M23" i="3"/>
  <c r="P148" i="3"/>
  <c r="N99" i="3"/>
  <c r="P111" i="3"/>
  <c r="M143" i="3"/>
  <c r="P6" i="3"/>
  <c r="M155" i="3"/>
  <c r="H77" i="3"/>
  <c r="I155" i="3"/>
  <c r="O78" i="3"/>
  <c r="J194" i="3"/>
  <c r="N28" i="3"/>
  <c r="O88" i="3"/>
  <c r="K183" i="3"/>
  <c r="G60" i="3"/>
  <c r="F109" i="3"/>
  <c r="K72" i="3"/>
  <c r="J142" i="3"/>
  <c r="F77" i="3"/>
  <c r="M48" i="3"/>
  <c r="N115" i="3"/>
  <c r="F92" i="3"/>
  <c r="G135" i="3"/>
  <c r="Q70" i="3"/>
  <c r="L202" i="3"/>
  <c r="P48" i="3"/>
  <c r="Q80" i="3"/>
  <c r="H206" i="3"/>
  <c r="F159" i="3"/>
  <c r="G77" i="3"/>
  <c r="G12" i="3"/>
  <c r="O181" i="3"/>
  <c r="M132" i="3"/>
  <c r="F185" i="3"/>
  <c r="G122" i="3"/>
  <c r="G30" i="3"/>
  <c r="M13" i="3"/>
  <c r="P15" i="3"/>
  <c r="N174" i="3"/>
  <c r="O117" i="3"/>
  <c r="F154" i="3"/>
  <c r="J200" i="3"/>
  <c r="J12" i="3"/>
  <c r="M110" i="3"/>
  <c r="L182" i="3"/>
  <c r="Q173" i="3"/>
  <c r="N42" i="3"/>
  <c r="J147" i="3"/>
  <c r="J46" i="3"/>
  <c r="H208" i="3"/>
  <c r="P175" i="3"/>
  <c r="K110" i="3"/>
  <c r="K49" i="3"/>
  <c r="F130" i="3"/>
  <c r="J103" i="3"/>
  <c r="Q221" i="3"/>
  <c r="L61" i="3"/>
  <c r="H174" i="3"/>
  <c r="K111" i="3"/>
  <c r="K218" i="3"/>
  <c r="G190" i="3"/>
  <c r="J25" i="3"/>
  <c r="Q159" i="3"/>
  <c r="G105" i="3"/>
  <c r="F164" i="3"/>
  <c r="N65" i="3"/>
  <c r="H18" i="3"/>
  <c r="F96" i="3"/>
  <c r="I92" i="3"/>
  <c r="Q93" i="3"/>
  <c r="L220" i="3"/>
  <c r="O74" i="3"/>
  <c r="N9" i="3"/>
  <c r="J130" i="3"/>
  <c r="J7" i="3"/>
  <c r="K83" i="3"/>
  <c r="I182" i="3"/>
  <c r="F199" i="3"/>
  <c r="M185" i="3"/>
  <c r="F104" i="3"/>
  <c r="P102" i="3"/>
  <c r="O174" i="3"/>
  <c r="F211" i="3"/>
  <c r="I68" i="3"/>
  <c r="O143" i="3"/>
  <c r="F100" i="3"/>
  <c r="F171" i="3"/>
  <c r="J10" i="3"/>
  <c r="L21" i="3"/>
  <c r="I62" i="3"/>
  <c r="F200" i="3"/>
  <c r="F138" i="3"/>
  <c r="G81" i="3"/>
  <c r="F145" i="3"/>
  <c r="O161" i="3"/>
  <c r="G124" i="3"/>
  <c r="G10" i="3"/>
  <c r="P170" i="3"/>
  <c r="O156" i="3"/>
  <c r="F71" i="3"/>
  <c r="M108" i="3"/>
  <c r="L213" i="3"/>
  <c r="P93" i="3"/>
  <c r="K107" i="3"/>
  <c r="L41" i="3"/>
  <c r="L38" i="3"/>
  <c r="N11" i="3"/>
  <c r="G128" i="3"/>
  <c r="N82" i="3"/>
  <c r="P14" i="3"/>
  <c r="Q77" i="3"/>
  <c r="F173" i="3"/>
  <c r="F41" i="3"/>
  <c r="J64" i="3"/>
  <c r="F35" i="3"/>
  <c r="Q152" i="3"/>
  <c r="O50" i="3"/>
  <c r="N97" i="3"/>
  <c r="J33" i="3"/>
  <c r="K184" i="3"/>
  <c r="H194" i="3"/>
  <c r="O205" i="3"/>
  <c r="J31" i="3"/>
  <c r="L196" i="3"/>
  <c r="H103" i="3"/>
  <c r="K11" i="3"/>
  <c r="O155" i="3"/>
  <c r="H11" i="3"/>
  <c r="P137" i="3"/>
  <c r="H70" i="3"/>
  <c r="O77" i="3"/>
  <c r="O111" i="3"/>
  <c r="F163" i="3"/>
  <c r="H80" i="3"/>
  <c r="L17" i="3"/>
  <c r="F120" i="3"/>
  <c r="Q134" i="3"/>
  <c r="M7" i="3"/>
  <c r="M197" i="3"/>
  <c r="P11" i="3"/>
  <c r="K181" i="3"/>
  <c r="L100" i="3"/>
  <c r="H5" i="3"/>
  <c r="H146" i="3"/>
  <c r="N104" i="3"/>
  <c r="F65" i="3"/>
  <c r="Q101" i="3"/>
  <c r="I70" i="3"/>
  <c r="J208" i="3"/>
  <c r="N19" i="3"/>
  <c r="G120" i="3"/>
  <c r="P71" i="3"/>
  <c r="J30" i="3"/>
  <c r="L117" i="3"/>
  <c r="Q114" i="3"/>
  <c r="O75" i="3"/>
  <c r="N47" i="3"/>
  <c r="I99" i="3"/>
  <c r="F192" i="3"/>
  <c r="G83" i="3"/>
  <c r="Q17" i="3"/>
  <c r="J202" i="3"/>
  <c r="K165" i="3"/>
  <c r="Q99" i="3"/>
  <c r="H65" i="3"/>
  <c r="K170" i="3"/>
  <c r="L193" i="3"/>
  <c r="H14" i="3"/>
  <c r="H147" i="3"/>
  <c r="L219" i="3"/>
  <c r="K79" i="3"/>
  <c r="H111" i="3"/>
  <c r="O5" i="3"/>
  <c r="O121" i="3"/>
  <c r="K207" i="3"/>
  <c r="J59" i="3"/>
  <c r="O42" i="3"/>
  <c r="J72" i="3"/>
  <c r="M116" i="3"/>
  <c r="K188" i="3"/>
  <c r="Q105" i="3"/>
  <c r="P158" i="3"/>
  <c r="H96" i="3"/>
  <c r="N55" i="3"/>
  <c r="K137" i="3"/>
  <c r="F134" i="3"/>
  <c r="J35" i="3"/>
  <c r="Q51" i="3"/>
  <c r="G86" i="3"/>
  <c r="J92" i="3"/>
  <c r="F132" i="3"/>
  <c r="I25" i="3"/>
  <c r="Q20" i="3"/>
  <c r="F153" i="3"/>
  <c r="O199" i="3"/>
  <c r="P89" i="3"/>
  <c r="G216" i="3"/>
  <c r="N73" i="3"/>
  <c r="N158" i="3"/>
  <c r="J129" i="3"/>
  <c r="L151" i="3"/>
  <c r="I86" i="3"/>
  <c r="J86" i="3"/>
  <c r="J60" i="3"/>
  <c r="P107" i="3"/>
  <c r="L195" i="3"/>
  <c r="L57" i="3"/>
  <c r="G44" i="3"/>
  <c r="J156" i="3"/>
  <c r="M93" i="3"/>
  <c r="M55" i="3"/>
  <c r="O160" i="3"/>
  <c r="L166" i="3"/>
  <c r="K25" i="3"/>
  <c r="P202" i="3"/>
  <c r="M119" i="3"/>
  <c r="J49" i="3"/>
  <c r="F201" i="3"/>
  <c r="H79" i="3"/>
  <c r="F184" i="3"/>
  <c r="L96" i="3"/>
  <c r="L36" i="3"/>
  <c r="M151" i="3"/>
  <c r="M34" i="3"/>
  <c r="I154" i="3"/>
  <c r="J203" i="3"/>
  <c r="I14" i="3"/>
  <c r="L128" i="3"/>
  <c r="K34" i="3"/>
  <c r="F10" i="3"/>
  <c r="M134" i="3"/>
  <c r="F37" i="3"/>
  <c r="N17" i="3"/>
  <c r="M31" i="3"/>
  <c r="P114" i="3"/>
  <c r="P144" i="3"/>
  <c r="N24" i="3"/>
  <c r="F46" i="3"/>
  <c r="N88" i="3"/>
  <c r="F78" i="3"/>
  <c r="F212" i="3"/>
  <c r="M29" i="3"/>
  <c r="H133" i="3"/>
  <c r="P53" i="3"/>
  <c r="J133" i="3"/>
  <c r="N190" i="3"/>
  <c r="O127" i="3"/>
  <c r="H195" i="3"/>
  <c r="I189" i="3"/>
  <c r="K180" i="3"/>
  <c r="M63" i="3"/>
  <c r="H119" i="3"/>
  <c r="H211" i="3"/>
  <c r="M107" i="3"/>
  <c r="N74" i="3"/>
  <c r="J137" i="3"/>
  <c r="K198" i="3"/>
  <c r="P68" i="3"/>
  <c r="K185" i="3"/>
  <c r="K203" i="3"/>
  <c r="M99" i="3"/>
  <c r="F146" i="3"/>
  <c r="N41" i="3"/>
  <c r="F88" i="3"/>
  <c r="K39" i="3"/>
  <c r="L49" i="3"/>
  <c r="J139" i="3"/>
  <c r="Q8" i="3"/>
  <c r="O84" i="3"/>
  <c r="I184" i="3"/>
  <c r="F189" i="3"/>
  <c r="I134" i="3"/>
  <c r="Q198" i="3"/>
  <c r="L194" i="3"/>
  <c r="L152" i="3"/>
  <c r="F32" i="3"/>
  <c r="I138" i="3"/>
  <c r="I7" i="3"/>
  <c r="J160" i="3"/>
  <c r="L126" i="3"/>
  <c r="H93" i="3"/>
  <c r="M96" i="3"/>
  <c r="O176" i="3"/>
  <c r="K102" i="3"/>
  <c r="F206" i="3"/>
  <c r="G157" i="3"/>
  <c r="L159" i="3"/>
  <c r="I144" i="3"/>
  <c r="K206" i="3"/>
  <c r="L33" i="3"/>
  <c r="O158" i="3"/>
  <c r="N148" i="3"/>
  <c r="F115" i="3"/>
  <c r="G192" i="3"/>
  <c r="F38" i="3"/>
  <c r="M187" i="3"/>
  <c r="F70" i="3"/>
  <c r="G119" i="3"/>
  <c r="Q218" i="3"/>
  <c r="N150" i="3"/>
  <c r="H62" i="3"/>
  <c r="K43" i="3"/>
  <c r="L39" i="3"/>
  <c r="H170" i="3"/>
  <c r="O170" i="2" l="1"/>
  <c r="K39" i="2"/>
  <c r="L43" i="2"/>
  <c r="O62" i="2"/>
  <c r="N149" i="3"/>
  <c r="I149" i="2" s="1"/>
  <c r="I150" i="2"/>
  <c r="F218" i="2"/>
  <c r="P119" i="2"/>
  <c r="Q70" i="2"/>
  <c r="M186" i="3"/>
  <c r="J186" i="2" s="1"/>
  <c r="J187" i="2"/>
  <c r="Q38" i="2"/>
  <c r="P192" i="2"/>
  <c r="Q115" i="2"/>
  <c r="I148" i="2"/>
  <c r="H158" i="2"/>
  <c r="K33" i="2"/>
  <c r="L206" i="2"/>
  <c r="N144" i="2"/>
  <c r="K159" i="2"/>
  <c r="P157" i="2"/>
  <c r="Q206" i="2"/>
  <c r="L102" i="2"/>
  <c r="H176" i="2"/>
  <c r="M95" i="3"/>
  <c r="J95" i="2" s="1"/>
  <c r="J96" i="2"/>
  <c r="O93" i="2"/>
  <c r="K126" i="2"/>
  <c r="M160" i="2"/>
  <c r="N7" i="2"/>
  <c r="N138" i="2"/>
  <c r="Q32" i="2"/>
  <c r="K152" i="2"/>
  <c r="K194" i="2"/>
  <c r="F198" i="2"/>
  <c r="N134" i="2"/>
  <c r="Q189" i="2"/>
  <c r="N184" i="2"/>
  <c r="H84" i="2"/>
  <c r="F8" i="2"/>
  <c r="M139" i="2"/>
  <c r="K49" i="2"/>
  <c r="L39" i="2"/>
  <c r="Q88" i="2"/>
  <c r="I41" i="2"/>
  <c r="N40" i="3"/>
  <c r="I40" i="2" s="1"/>
  <c r="Q146" i="2"/>
  <c r="J99" i="2"/>
  <c r="L203" i="2"/>
  <c r="L185" i="2"/>
  <c r="G68" i="2"/>
  <c r="L198" i="2"/>
  <c r="M137" i="2"/>
  <c r="I74" i="2"/>
  <c r="J107" i="2"/>
  <c r="O211" i="2"/>
  <c r="O119" i="2"/>
  <c r="J63" i="2"/>
  <c r="L180" i="2"/>
  <c r="N189" i="2"/>
  <c r="O195" i="2"/>
  <c r="H127" i="2"/>
  <c r="I190" i="2"/>
  <c r="M133" i="2"/>
  <c r="G53" i="2"/>
  <c r="O133" i="2"/>
  <c r="J29" i="2"/>
  <c r="Q212" i="2"/>
  <c r="Q78" i="2"/>
  <c r="I88" i="2"/>
  <c r="Q46" i="2"/>
  <c r="I24" i="2"/>
  <c r="G144" i="2"/>
  <c r="G114" i="2"/>
  <c r="P113" i="3"/>
  <c r="G113" i="2" s="1"/>
  <c r="J31" i="2"/>
  <c r="I17" i="2"/>
  <c r="Q37" i="2"/>
  <c r="J134" i="2"/>
  <c r="Q10" i="2"/>
  <c r="L34" i="2"/>
  <c r="K128" i="2"/>
  <c r="N14" i="2"/>
  <c r="M203" i="2"/>
  <c r="N154" i="2"/>
  <c r="J34" i="2"/>
  <c r="J151" i="2"/>
  <c r="K36" i="2"/>
  <c r="L95" i="3"/>
  <c r="K95" i="2" s="1"/>
  <c r="K96" i="2"/>
  <c r="Q184" i="2"/>
  <c r="O79" i="2"/>
  <c r="Q201" i="2"/>
  <c r="M49" i="2"/>
  <c r="J119" i="2"/>
  <c r="G202" i="2"/>
  <c r="L25" i="2"/>
  <c r="K166" i="2"/>
  <c r="H160" i="2"/>
  <c r="J55" i="2"/>
  <c r="J93" i="2"/>
  <c r="M156" i="2"/>
  <c r="P44" i="2"/>
  <c r="K57" i="2"/>
  <c r="K195" i="2"/>
  <c r="G107" i="2"/>
  <c r="M60" i="2"/>
  <c r="M86" i="2"/>
  <c r="N86" i="2"/>
  <c r="K151" i="2"/>
  <c r="M129" i="2"/>
  <c r="I158" i="2"/>
  <c r="I73" i="2"/>
  <c r="P216" i="2"/>
  <c r="G89" i="2"/>
  <c r="H199" i="2"/>
  <c r="Q153" i="2"/>
  <c r="F20" i="2"/>
  <c r="N25" i="2"/>
  <c r="F131" i="3"/>
  <c r="Q131" i="2" s="1"/>
  <c r="Q132" i="2"/>
  <c r="M92" i="2"/>
  <c r="P86" i="2"/>
  <c r="F51" i="2"/>
  <c r="M35" i="2"/>
  <c r="Q134" i="2"/>
  <c r="L137" i="2"/>
  <c r="I55" i="2"/>
  <c r="H95" i="3"/>
  <c r="O95" i="2" s="1"/>
  <c r="O96" i="2"/>
  <c r="G158" i="2"/>
  <c r="F105" i="2"/>
  <c r="L188" i="2"/>
  <c r="J116" i="2"/>
  <c r="M72" i="2"/>
  <c r="H42" i="2"/>
  <c r="M59" i="2"/>
  <c r="J58" i="3"/>
  <c r="M58" i="2" s="1"/>
  <c r="L207" i="2"/>
  <c r="H121" i="2"/>
  <c r="O4" i="3"/>
  <c r="H4" i="2" s="1"/>
  <c r="H5" i="2"/>
  <c r="O111" i="2"/>
  <c r="L79" i="2"/>
  <c r="K219" i="2"/>
  <c r="O147" i="2"/>
  <c r="O14" i="2"/>
  <c r="K193" i="2"/>
  <c r="L170" i="2"/>
  <c r="O65" i="2"/>
  <c r="F99" i="2"/>
  <c r="L165" i="2"/>
  <c r="M202" i="2"/>
  <c r="F17" i="2"/>
  <c r="P83" i="2"/>
  <c r="Q192" i="2"/>
  <c r="N99" i="2"/>
  <c r="I47" i="2"/>
  <c r="H75" i="2"/>
  <c r="F114" i="2"/>
  <c r="Q113" i="3"/>
  <c r="F113" i="2" s="1"/>
  <c r="K117" i="2"/>
  <c r="M30" i="2"/>
  <c r="G71" i="2"/>
  <c r="P120" i="2"/>
  <c r="I19" i="2"/>
  <c r="M208" i="2"/>
  <c r="N70" i="2"/>
  <c r="F101" i="2"/>
  <c r="Q65" i="2"/>
  <c r="I104" i="2"/>
  <c r="O146" i="2"/>
  <c r="O5" i="2"/>
  <c r="H4" i="3"/>
  <c r="O4" i="2" s="1"/>
  <c r="K100" i="2"/>
  <c r="L181" i="2"/>
  <c r="G11" i="2"/>
  <c r="J197" i="2"/>
  <c r="J7" i="2"/>
  <c r="F134" i="2"/>
  <c r="Q120" i="2"/>
  <c r="K17" i="2"/>
  <c r="O80" i="2"/>
  <c r="Q163" i="2"/>
  <c r="H111" i="2"/>
  <c r="O76" i="3"/>
  <c r="H76" i="2" s="1"/>
  <c r="H77" i="2"/>
  <c r="O70" i="2"/>
  <c r="G137" i="2"/>
  <c r="O11" i="2"/>
  <c r="H155" i="2"/>
  <c r="L11" i="2"/>
  <c r="O103" i="2"/>
  <c r="K196" i="2"/>
  <c r="M31" i="2"/>
  <c r="O204" i="3"/>
  <c r="H204" i="2" s="1"/>
  <c r="H205" i="2"/>
  <c r="O194" i="2"/>
  <c r="L184" i="2"/>
  <c r="M33" i="2"/>
  <c r="I97" i="2"/>
  <c r="H50" i="2"/>
  <c r="F152" i="2"/>
  <c r="Q35" i="2"/>
  <c r="M64" i="2"/>
  <c r="Q41" i="2"/>
  <c r="F40" i="3"/>
  <c r="Q40" i="2" s="1"/>
  <c r="Q173" i="2"/>
  <c r="F77" i="2"/>
  <c r="Q76" i="3"/>
  <c r="F76" i="2" s="1"/>
  <c r="G14" i="2"/>
  <c r="I82" i="2"/>
  <c r="P128" i="2"/>
  <c r="I11" i="2"/>
  <c r="K38" i="2"/>
  <c r="L40" i="3"/>
  <c r="K40" i="2" s="1"/>
  <c r="K41" i="2"/>
  <c r="L107" i="2"/>
  <c r="G93" i="2"/>
  <c r="K213" i="2"/>
  <c r="J108" i="2"/>
  <c r="Q71" i="2"/>
  <c r="H156" i="2"/>
  <c r="G170" i="2"/>
  <c r="P10" i="2"/>
  <c r="P124" i="2"/>
  <c r="H161" i="2"/>
  <c r="Q145" i="2"/>
  <c r="P81" i="2"/>
  <c r="Q138" i="2"/>
  <c r="Q200" i="2"/>
  <c r="N62" i="2"/>
  <c r="K21" i="2"/>
  <c r="M10" i="2"/>
  <c r="Q171" i="2"/>
  <c r="Q100" i="2"/>
  <c r="H143" i="2"/>
  <c r="N68" i="2"/>
  <c r="Q211" i="2"/>
  <c r="H174" i="2"/>
  <c r="G102" i="2"/>
  <c r="Q104" i="2"/>
  <c r="J185" i="2"/>
  <c r="Q199" i="2"/>
  <c r="N182" i="2"/>
  <c r="L83" i="2"/>
  <c r="M7" i="2"/>
  <c r="M130" i="2"/>
  <c r="I9" i="2"/>
  <c r="H74" i="2"/>
  <c r="K220" i="2"/>
  <c r="F93" i="2"/>
  <c r="N92" i="2"/>
  <c r="Q96" i="2"/>
  <c r="F95" i="3"/>
  <c r="Q95" i="2" s="1"/>
  <c r="O18" i="2"/>
  <c r="I65" i="2"/>
  <c r="Q164" i="2"/>
  <c r="P105" i="2"/>
  <c r="F159" i="2"/>
  <c r="M25" i="2"/>
  <c r="P190" i="2"/>
  <c r="L218" i="2"/>
  <c r="L111" i="2"/>
  <c r="O174" i="2"/>
  <c r="K61" i="2"/>
  <c r="F221" i="2"/>
  <c r="M103" i="2"/>
  <c r="Q130" i="2"/>
  <c r="L49" i="2"/>
  <c r="L110" i="2"/>
  <c r="G175" i="2"/>
  <c r="O208" i="2"/>
  <c r="M46" i="2"/>
  <c r="M147" i="2"/>
  <c r="I42" i="2"/>
  <c r="F173" i="2"/>
  <c r="K182" i="2"/>
  <c r="J110" i="2"/>
  <c r="M12" i="2"/>
  <c r="M200" i="2"/>
  <c r="Q154" i="2"/>
  <c r="H117" i="2"/>
  <c r="I174" i="2"/>
  <c r="G15" i="2"/>
  <c r="J13" i="2"/>
  <c r="P30" i="2"/>
  <c r="P122" i="2"/>
  <c r="Q185" i="2"/>
  <c r="M131" i="3"/>
  <c r="J131" i="2" s="1"/>
  <c r="J132" i="2"/>
  <c r="H181" i="2"/>
  <c r="P12" i="2"/>
  <c r="P77" i="2"/>
  <c r="G76" i="3"/>
  <c r="P76" i="2" s="1"/>
  <c r="Q159" i="2"/>
  <c r="O206" i="2"/>
  <c r="F80" i="2"/>
  <c r="G48" i="2"/>
  <c r="K202" i="2"/>
  <c r="F70" i="2"/>
  <c r="P135" i="2"/>
  <c r="Q92" i="2"/>
  <c r="I115" i="2"/>
  <c r="J48" i="2"/>
  <c r="F76" i="3"/>
  <c r="Q76" i="2" s="1"/>
  <c r="Q77" i="2"/>
  <c r="M142" i="2"/>
  <c r="L72" i="2"/>
  <c r="Q109" i="2"/>
  <c r="P60" i="2"/>
  <c r="L183" i="2"/>
  <c r="H88" i="2"/>
  <c r="I28" i="2"/>
  <c r="M194" i="2"/>
  <c r="H78" i="2"/>
  <c r="N155" i="2"/>
  <c r="H76" i="3"/>
  <c r="O76" i="2" s="1"/>
  <c r="O77" i="2"/>
  <c r="J155" i="2"/>
  <c r="G6" i="2"/>
  <c r="J143" i="2"/>
  <c r="G111" i="2"/>
  <c r="I99" i="2"/>
  <c r="G148" i="2"/>
  <c r="J23" i="2"/>
  <c r="M22" i="3"/>
  <c r="J22" i="2" s="1"/>
  <c r="M24" i="2"/>
  <c r="Q56" i="2"/>
  <c r="L135" i="2"/>
  <c r="P204" i="3"/>
  <c r="G204" i="2" s="1"/>
  <c r="G205" i="2"/>
  <c r="N128" i="2"/>
  <c r="J47" i="2"/>
  <c r="I7" i="2"/>
  <c r="K55" i="2"/>
  <c r="I91" i="2"/>
  <c r="H154" i="2"/>
  <c r="Q48" i="2"/>
  <c r="L153" i="2"/>
  <c r="L120" i="2"/>
  <c r="K19" i="2"/>
  <c r="M214" i="2"/>
  <c r="F7" i="2"/>
  <c r="F84" i="2"/>
  <c r="Q49" i="2"/>
  <c r="Q197" i="2"/>
  <c r="N56" i="2"/>
  <c r="J86" i="2"/>
  <c r="I200" i="2"/>
  <c r="Q172" i="2"/>
  <c r="L160" i="2"/>
  <c r="L179" i="2"/>
  <c r="K8" i="2"/>
  <c r="K82" i="2"/>
  <c r="N44" i="2"/>
  <c r="I212" i="2"/>
  <c r="Q208" i="2"/>
  <c r="P67" i="2"/>
  <c r="K164" i="2"/>
  <c r="G7" i="2"/>
  <c r="I166" i="2"/>
  <c r="M83" i="2"/>
  <c r="K189" i="2"/>
  <c r="O82" i="2"/>
  <c r="Q161" i="2"/>
  <c r="L54" i="2"/>
  <c r="M36" i="2"/>
  <c r="Q81" i="2"/>
  <c r="L115" i="2"/>
  <c r="J209" i="2"/>
  <c r="L150" i="2"/>
  <c r="K149" i="3"/>
  <c r="L149" i="2" s="1"/>
  <c r="J65" i="2"/>
  <c r="N214" i="2"/>
  <c r="O35" i="2"/>
  <c r="L122" i="2"/>
  <c r="L73" i="2"/>
  <c r="L132" i="2"/>
  <c r="K131" i="3"/>
  <c r="L131" i="2" s="1"/>
  <c r="M189" i="2"/>
  <c r="J62" i="2"/>
  <c r="M172" i="2"/>
  <c r="H118" i="2"/>
  <c r="I141" i="2"/>
  <c r="J20" i="2"/>
  <c r="K161" i="2"/>
  <c r="Q15" i="2"/>
  <c r="K176" i="2"/>
  <c r="J202" i="2"/>
  <c r="Q121" i="2"/>
  <c r="Q50" i="2"/>
  <c r="O186" i="3"/>
  <c r="H186" i="2" s="1"/>
  <c r="H187" i="2"/>
  <c r="N80" i="2"/>
  <c r="K14" i="2"/>
  <c r="J56" i="2"/>
  <c r="M123" i="2"/>
  <c r="M28" i="2"/>
  <c r="F154" i="2"/>
  <c r="O104" i="2"/>
  <c r="I116" i="2"/>
  <c r="Q17" i="2"/>
  <c r="I136" i="2"/>
  <c r="I111" i="2"/>
  <c r="P17" i="2"/>
  <c r="K144" i="2"/>
  <c r="Q194" i="2"/>
  <c r="I8" i="2"/>
  <c r="K63" i="2"/>
  <c r="Q93" i="2"/>
  <c r="H28" i="2"/>
  <c r="M158" i="2"/>
  <c r="M157" i="2"/>
  <c r="K54" i="2"/>
  <c r="H191" i="2"/>
  <c r="F6" i="2"/>
  <c r="J26" i="2"/>
  <c r="O125" i="2"/>
  <c r="I16" i="2"/>
  <c r="K22" i="3"/>
  <c r="L22" i="2" s="1"/>
  <c r="L23" i="2"/>
  <c r="Q133" i="2"/>
  <c r="G90" i="2"/>
  <c r="O53" i="2"/>
  <c r="Q148" i="2"/>
  <c r="K198" i="2"/>
  <c r="H122" i="2"/>
  <c r="O137" i="2"/>
  <c r="P125" i="2"/>
  <c r="F14" i="2"/>
  <c r="P25" i="2"/>
  <c r="F194" i="2"/>
  <c r="Q210" i="2"/>
  <c r="P145" i="2"/>
  <c r="L50" i="2"/>
  <c r="H153" i="2"/>
  <c r="J90" i="2"/>
  <c r="G66" i="2"/>
  <c r="K113" i="3"/>
  <c r="L113" i="2" s="1"/>
  <c r="L114" i="2"/>
  <c r="H98" i="2"/>
  <c r="F178" i="2"/>
  <c r="O81" i="2"/>
  <c r="Q83" i="2"/>
  <c r="Q143" i="2"/>
  <c r="K64" i="2"/>
  <c r="Q9" i="2"/>
  <c r="I33" i="2"/>
  <c r="Q175" i="2"/>
  <c r="G124" i="2"/>
  <c r="N85" i="2"/>
  <c r="F124" i="2"/>
  <c r="P163" i="2"/>
  <c r="G135" i="2"/>
  <c r="I122" i="2"/>
  <c r="O105" i="2"/>
  <c r="G146" i="2"/>
  <c r="Q103" i="2"/>
  <c r="N11" i="2"/>
  <c r="H65" i="2"/>
  <c r="G119" i="2"/>
  <c r="I192" i="2"/>
  <c r="M146" i="2"/>
  <c r="G73" i="2"/>
  <c r="I186" i="3"/>
  <c r="N186" i="2" s="1"/>
  <c r="N187" i="2"/>
  <c r="O129" i="2"/>
  <c r="H179" i="2"/>
  <c r="Q107" i="2"/>
  <c r="H7" i="2"/>
  <c r="H33" i="2"/>
  <c r="H101" i="2"/>
  <c r="M162" i="2"/>
  <c r="J129" i="2"/>
  <c r="I27" i="2"/>
  <c r="K183" i="2"/>
  <c r="L19" i="2"/>
  <c r="Q127" i="2"/>
  <c r="K32" i="2"/>
  <c r="I56" i="2"/>
  <c r="M53" i="2"/>
  <c r="N162" i="2"/>
  <c r="J17" i="2"/>
  <c r="F219" i="2"/>
  <c r="M183" i="2"/>
  <c r="Q214" i="2"/>
  <c r="Q12" i="2"/>
  <c r="Q182" i="2"/>
  <c r="H90" i="2"/>
  <c r="J11" i="2"/>
  <c r="L85" i="2"/>
  <c r="J138" i="2"/>
  <c r="J201" i="2"/>
  <c r="J85" i="2"/>
  <c r="F202" i="2"/>
  <c r="M154" i="2"/>
  <c r="N181" i="2"/>
  <c r="Q99" i="2"/>
  <c r="J6" i="2"/>
  <c r="Q24" i="2"/>
  <c r="G67" i="2"/>
  <c r="F18" i="2"/>
  <c r="H210" i="2"/>
  <c r="L209" i="2"/>
  <c r="I185" i="2"/>
  <c r="J28" i="2"/>
  <c r="L104" i="2"/>
  <c r="K11" i="2"/>
  <c r="M14" i="2"/>
  <c r="K88" i="2"/>
  <c r="J142" i="2"/>
  <c r="J206" i="2"/>
  <c r="O102" i="2"/>
  <c r="I135" i="2"/>
  <c r="I125" i="2"/>
  <c r="J127" i="2"/>
  <c r="Q85" i="2"/>
  <c r="H82" i="2"/>
  <c r="Q136" i="2"/>
  <c r="G39" i="2"/>
  <c r="F98" i="2"/>
  <c r="L193" i="2"/>
  <c r="I102" i="2"/>
  <c r="M67" i="2"/>
  <c r="Q215" i="2"/>
  <c r="K68" i="2"/>
  <c r="I54" i="2"/>
  <c r="J175" i="2"/>
  <c r="J106" i="2"/>
  <c r="I124" i="2"/>
  <c r="Q73" i="2"/>
  <c r="Q29" i="2"/>
  <c r="G25" i="2"/>
  <c r="L217" i="2"/>
  <c r="G65" i="2"/>
  <c r="L105" i="2"/>
  <c r="H133" i="2"/>
  <c r="N50" i="2"/>
  <c r="P32" i="2"/>
  <c r="F160" i="2"/>
  <c r="N51" i="2"/>
  <c r="N173" i="2"/>
  <c r="O134" i="2"/>
  <c r="N83" i="2"/>
  <c r="I204" i="3"/>
  <c r="N204" i="2" s="1"/>
  <c r="N205" i="2"/>
  <c r="L138" i="2"/>
  <c r="L125" i="2"/>
  <c r="Q204" i="3"/>
  <c r="F204" i="2" s="1"/>
  <c r="F205" i="2"/>
  <c r="O135" i="2"/>
  <c r="G116" i="2"/>
  <c r="H6" i="2"/>
  <c r="K170" i="2"/>
  <c r="L199" i="2"/>
  <c r="N112" i="2"/>
  <c r="I50" i="2"/>
  <c r="N101" i="2"/>
  <c r="H96" i="2"/>
  <c r="O95" i="3"/>
  <c r="H95" i="2" s="1"/>
  <c r="J137" i="2"/>
  <c r="L146" i="2"/>
  <c r="L155" i="2"/>
  <c r="H61" i="2"/>
  <c r="F71" i="2"/>
  <c r="N111" i="2"/>
  <c r="I49" i="2"/>
  <c r="F151" i="2"/>
  <c r="O149" i="3"/>
  <c r="H149" i="2" s="1"/>
  <c r="H150" i="2"/>
  <c r="H196" i="2"/>
  <c r="H188" i="2"/>
  <c r="Q16" i="2"/>
  <c r="O15" i="2"/>
  <c r="Q55" i="2"/>
  <c r="K155" i="2"/>
  <c r="K86" i="2"/>
  <c r="P126" i="2"/>
  <c r="I164" i="2"/>
  <c r="P172" i="2"/>
  <c r="N17" i="2"/>
  <c r="F128" i="2"/>
  <c r="J161" i="2"/>
  <c r="Q180" i="2"/>
  <c r="Q165" i="2"/>
  <c r="H68" i="2"/>
  <c r="J122" i="2"/>
  <c r="I196" i="2"/>
  <c r="F147" i="2"/>
  <c r="G83" i="2"/>
  <c r="K188" i="2"/>
  <c r="F196" i="2"/>
  <c r="Q28" i="2"/>
  <c r="N66" i="2"/>
  <c r="P102" i="2"/>
  <c r="N72" i="2"/>
  <c r="N193" i="2"/>
  <c r="N118" i="2"/>
  <c r="G60" i="2"/>
  <c r="H202" i="2"/>
  <c r="I12" i="2"/>
  <c r="K67" i="2"/>
  <c r="Q79" i="2"/>
  <c r="J14" i="2"/>
  <c r="J39" i="2"/>
  <c r="G104" i="2"/>
  <c r="M166" i="2"/>
  <c r="P133" i="2"/>
  <c r="L30" i="2"/>
  <c r="O202" i="2"/>
  <c r="M218" i="2"/>
  <c r="M116" i="2"/>
  <c r="Q124" i="2"/>
  <c r="Q119" i="2"/>
  <c r="J9" i="2"/>
  <c r="F23" i="2"/>
  <c r="Q22" i="3"/>
  <c r="F22" i="2" s="1"/>
  <c r="K37" i="2"/>
  <c r="K138" i="2"/>
  <c r="L215" i="2"/>
  <c r="O219" i="2"/>
  <c r="O127" i="2"/>
  <c r="K221" i="2"/>
  <c r="K31" i="2"/>
  <c r="P46" i="2"/>
  <c r="F107" i="2"/>
  <c r="K173" i="2"/>
  <c r="O136" i="2"/>
  <c r="J46" i="2"/>
  <c r="H200" i="2"/>
  <c r="N152" i="2"/>
  <c r="N174" i="2"/>
  <c r="Q158" i="2"/>
  <c r="M13" i="2"/>
  <c r="Q144" i="2"/>
  <c r="G72" i="2"/>
  <c r="G211" i="2"/>
  <c r="L213" i="2"/>
  <c r="N163" i="2"/>
  <c r="Q123" i="2"/>
  <c r="K53" i="2"/>
  <c r="Q166" i="2"/>
  <c r="N73" i="2"/>
  <c r="P166" i="2"/>
  <c r="O190" i="2"/>
  <c r="I80" i="2"/>
  <c r="Q108" i="2"/>
  <c r="M16" i="2"/>
  <c r="L44" i="2"/>
  <c r="J221" i="2"/>
  <c r="H185" i="2"/>
  <c r="L139" i="2"/>
  <c r="M152" i="2"/>
  <c r="F68" i="2"/>
  <c r="M66" i="2"/>
  <c r="M193" i="2"/>
  <c r="F87" i="2"/>
  <c r="N210" i="2"/>
  <c r="P156" i="2"/>
  <c r="M88" i="2"/>
  <c r="L211" i="2"/>
  <c r="G219" i="2"/>
  <c r="I108" i="2"/>
  <c r="M29" i="2"/>
  <c r="J156" i="2"/>
  <c r="N22" i="3"/>
  <c r="I22" i="2" s="1"/>
  <c r="I23" i="2"/>
  <c r="O64" i="2"/>
  <c r="P207" i="2"/>
  <c r="G118" i="2"/>
  <c r="H49" i="2"/>
  <c r="P144" i="2"/>
  <c r="N64" i="2"/>
  <c r="K172" i="2"/>
  <c r="H170" i="2"/>
  <c r="I219" i="2"/>
  <c r="O218" i="2"/>
  <c r="P90" i="2"/>
  <c r="I72" i="2"/>
  <c r="F24" i="2"/>
  <c r="N140" i="2"/>
  <c r="O179" i="2"/>
  <c r="I197" i="2"/>
  <c r="I184" i="2"/>
  <c r="J189" i="2"/>
  <c r="G200" i="2"/>
  <c r="G152" i="2"/>
  <c r="I84" i="2"/>
  <c r="M5" i="2"/>
  <c r="J4" i="3"/>
  <c r="M4" i="2" s="1"/>
  <c r="Q218" i="2"/>
  <c r="I25" i="2"/>
  <c r="Q30" i="2"/>
  <c r="P22" i="3"/>
  <c r="G22" i="2" s="1"/>
  <c r="G23" i="2"/>
  <c r="O106" i="2"/>
  <c r="K153" i="2"/>
  <c r="H183" i="2"/>
  <c r="I123" i="2"/>
  <c r="G40" i="3"/>
  <c r="P40" i="2" s="1"/>
  <c r="P41" i="2"/>
  <c r="J184" i="2"/>
  <c r="Q23" i="2"/>
  <c r="F22" i="3"/>
  <c r="Q22" i="2" s="1"/>
  <c r="K75" i="2"/>
  <c r="Q129" i="2"/>
  <c r="F212" i="2"/>
  <c r="H87" i="2"/>
  <c r="O128" i="2"/>
  <c r="O166" i="2"/>
  <c r="M126" i="2"/>
  <c r="M19" i="2"/>
  <c r="L97" i="2"/>
  <c r="Q117" i="2"/>
  <c r="J112" i="2"/>
  <c r="N29" i="2"/>
  <c r="F90" i="2"/>
  <c r="O156" i="2"/>
  <c r="O89" i="2"/>
  <c r="N65" i="2"/>
  <c r="N199" i="2"/>
  <c r="G50" i="2"/>
  <c r="Q45" i="2"/>
  <c r="Q20" i="2"/>
  <c r="Q74" i="2"/>
  <c r="H73" i="2"/>
  <c r="F133" i="2"/>
  <c r="J207" i="2"/>
  <c r="L151" i="2"/>
  <c r="F86" i="2"/>
  <c r="G206" i="2"/>
  <c r="J57" i="2"/>
  <c r="H128" i="2"/>
  <c r="K24" i="2"/>
  <c r="Q31" i="2"/>
  <c r="I79" i="2"/>
  <c r="N63" i="2"/>
  <c r="P56" i="2"/>
  <c r="N166" i="2"/>
  <c r="P24" i="2"/>
  <c r="P9" i="2"/>
  <c r="F125" i="2"/>
  <c r="L66" i="2"/>
  <c r="Q187" i="2"/>
  <c r="F186" i="3"/>
  <c r="Q186" i="2" s="1"/>
  <c r="M80" i="2"/>
  <c r="J172" i="2"/>
  <c r="N219" i="2"/>
  <c r="K154" i="2"/>
  <c r="K103" i="2"/>
  <c r="J213" i="2"/>
  <c r="H197" i="2"/>
  <c r="M51" i="2"/>
  <c r="Q156" i="2"/>
  <c r="F204" i="3"/>
  <c r="Q204" i="2" s="1"/>
  <c r="Q205" i="2"/>
  <c r="H86" i="2"/>
  <c r="I30" i="2"/>
  <c r="O176" i="2"/>
  <c r="K218" i="2"/>
  <c r="O130" i="2"/>
  <c r="Q219" i="2"/>
  <c r="I69" i="2"/>
  <c r="Q177" i="2"/>
  <c r="I110" i="2"/>
  <c r="I193" i="2"/>
  <c r="H37" i="2"/>
  <c r="I126" i="2"/>
  <c r="G85" i="2"/>
  <c r="F30" i="2"/>
  <c r="I101" i="2"/>
  <c r="L60" i="2"/>
  <c r="L194" i="2"/>
  <c r="N18" i="2"/>
  <c r="N208" i="2"/>
  <c r="K141" i="2"/>
  <c r="O57" i="2"/>
  <c r="N192" i="2"/>
  <c r="N93" i="2"/>
  <c r="M216" i="2"/>
  <c r="Q131" i="3"/>
  <c r="F131" i="2" s="1"/>
  <c r="F132" i="2"/>
  <c r="J186" i="3"/>
  <c r="M186" i="2" s="1"/>
  <c r="M187" i="2"/>
  <c r="H10" i="2"/>
  <c r="G203" i="2"/>
  <c r="L195" i="2"/>
  <c r="F184" i="2"/>
  <c r="G201" i="2"/>
  <c r="K99" i="2"/>
  <c r="P106" i="2"/>
  <c r="F208" i="2"/>
  <c r="L62" i="2"/>
  <c r="H105" i="2"/>
  <c r="M112" i="2"/>
  <c r="J102" i="2"/>
  <c r="H136" i="2"/>
  <c r="J162" i="2"/>
  <c r="N161" i="2"/>
  <c r="F100" i="2"/>
  <c r="K85" i="2"/>
  <c r="M110" i="2"/>
  <c r="P62" i="2"/>
  <c r="N159" i="2"/>
  <c r="L148" i="2"/>
  <c r="M215" i="2"/>
  <c r="K210" i="2"/>
  <c r="I43" i="2"/>
  <c r="Q52" i="2"/>
  <c r="G8" i="2"/>
  <c r="G20" i="2"/>
  <c r="K40" i="3"/>
  <c r="L40" i="2" s="1"/>
  <c r="L41" i="2"/>
  <c r="Q183" i="2"/>
  <c r="Q63" i="2"/>
  <c r="L8" i="2"/>
  <c r="L46" i="2"/>
  <c r="H48" i="2"/>
  <c r="N156" i="2"/>
  <c r="P13" i="2"/>
  <c r="J181" i="2"/>
  <c r="J124" i="2"/>
  <c r="Q188" i="2"/>
  <c r="Q176" i="2"/>
  <c r="L106" i="2"/>
  <c r="M4" i="3"/>
  <c r="J4" i="2" s="1"/>
  <c r="J5" i="2"/>
  <c r="L117" i="2"/>
  <c r="I31" i="2"/>
  <c r="N130" i="2"/>
  <c r="F209" i="2"/>
  <c r="N204" i="3"/>
  <c r="I204" i="2" s="1"/>
  <c r="I205" i="2"/>
  <c r="P104" i="2"/>
  <c r="Q207" i="2"/>
  <c r="Q25" i="2"/>
  <c r="N74" i="2"/>
  <c r="Q112" i="2"/>
  <c r="P58" i="3"/>
  <c r="G58" i="2" s="1"/>
  <c r="G59" i="2"/>
  <c r="G183" i="2"/>
  <c r="H195" i="2"/>
  <c r="F203" i="2"/>
  <c r="G156" i="2"/>
  <c r="M104" i="2"/>
  <c r="J199" i="2"/>
  <c r="P174" i="2"/>
  <c r="P15" i="2"/>
  <c r="F65" i="2"/>
  <c r="K160" i="2"/>
  <c r="M201" i="2"/>
  <c r="I78" i="2"/>
  <c r="K156" i="2"/>
  <c r="K83" i="2"/>
  <c r="I129" i="2"/>
  <c r="Q195" i="2"/>
  <c r="F92" i="2"/>
  <c r="Q60" i="2"/>
  <c r="G31" i="2"/>
  <c r="K110" i="2"/>
  <c r="J163" i="2"/>
  <c r="P189" i="2"/>
  <c r="G147" i="2"/>
  <c r="N61" i="2"/>
  <c r="N202" i="2"/>
  <c r="N90" i="2"/>
  <c r="L18" i="2"/>
  <c r="Q110" i="2"/>
  <c r="O8" i="2"/>
  <c r="H31" i="2"/>
  <c r="I93" i="2"/>
  <c r="O160" i="2"/>
  <c r="N21" i="2"/>
  <c r="J83" i="2"/>
  <c r="H220" i="2"/>
  <c r="M107" i="2"/>
  <c r="Q152" i="2"/>
  <c r="G36" i="2"/>
  <c r="N113" i="3"/>
  <c r="I113" i="2" s="1"/>
  <c r="I114" i="2"/>
  <c r="I171" i="2"/>
  <c r="O192" i="2"/>
  <c r="M182" i="2"/>
  <c r="J79" i="2"/>
  <c r="F72" i="2"/>
  <c r="Q101" i="2"/>
  <c r="N20" i="2"/>
  <c r="Q86" i="2"/>
  <c r="P8" i="2"/>
  <c r="G34" i="2"/>
  <c r="H173" i="2"/>
  <c r="I44" i="2"/>
  <c r="P97" i="2"/>
  <c r="G17" i="2"/>
  <c r="Q75" i="2"/>
  <c r="F10" i="2"/>
  <c r="J117" i="2"/>
  <c r="N139" i="2"/>
  <c r="N54" i="2"/>
  <c r="F34" i="2"/>
  <c r="Q97" i="2"/>
  <c r="I107" i="2"/>
  <c r="J120" i="2"/>
  <c r="P112" i="2"/>
  <c r="P201" i="2"/>
  <c r="L112" i="2"/>
  <c r="H22" i="3"/>
  <c r="O22" i="2" s="1"/>
  <c r="O23" i="2"/>
  <c r="H152" i="2"/>
  <c r="G44" i="2"/>
  <c r="I178" i="2"/>
  <c r="P38" i="2"/>
  <c r="L121" i="2"/>
  <c r="N215" i="2"/>
  <c r="M109" i="2"/>
  <c r="K137" i="2"/>
  <c r="O209" i="2"/>
  <c r="L158" i="2"/>
  <c r="O66" i="2"/>
  <c r="O188" i="2"/>
  <c r="P118" i="2"/>
  <c r="K90" i="2"/>
  <c r="J158" i="2"/>
  <c r="I119" i="2"/>
  <c r="L74" i="2"/>
  <c r="L216" i="2"/>
  <c r="H178" i="2"/>
  <c r="F135" i="2"/>
  <c r="H24" i="2"/>
  <c r="L29" i="2"/>
  <c r="M90" i="2"/>
  <c r="K29" i="2"/>
  <c r="L220" i="2"/>
  <c r="O122" i="2"/>
  <c r="L210" i="2"/>
  <c r="O196" i="2"/>
  <c r="G24" i="2"/>
  <c r="G38" i="2"/>
  <c r="N30" i="2"/>
  <c r="F39" i="2"/>
  <c r="K47" i="2"/>
  <c r="M99" i="2"/>
  <c r="Q162" i="2"/>
  <c r="L17" i="2"/>
  <c r="M87" i="2"/>
  <c r="I67" i="2"/>
  <c r="P185" i="2"/>
  <c r="P64" i="2"/>
  <c r="L6" i="2"/>
  <c r="H148" i="2"/>
  <c r="H60" i="2"/>
  <c r="Q155" i="2"/>
  <c r="Q89" i="2"/>
  <c r="L12" i="2"/>
  <c r="F49" i="2"/>
  <c r="J50" i="2"/>
  <c r="N158" i="2"/>
  <c r="I14" i="2"/>
  <c r="M198" i="2"/>
  <c r="F146" i="2"/>
  <c r="Q213" i="2"/>
  <c r="Q33" i="2"/>
  <c r="P5" i="2"/>
  <c r="G4" i="3"/>
  <c r="P4" i="2" s="1"/>
  <c r="N10" i="2"/>
  <c r="I144" i="2"/>
  <c r="O33" i="2"/>
  <c r="N133" i="2"/>
  <c r="P211" i="2"/>
  <c r="M209" i="2"/>
  <c r="I105" i="2"/>
  <c r="M155" i="2"/>
  <c r="K50" i="2"/>
  <c r="H9" i="2"/>
  <c r="O84" i="2"/>
  <c r="J136" i="2"/>
  <c r="K199" i="2"/>
  <c r="H83" i="2"/>
  <c r="G197" i="2"/>
  <c r="M145" i="2"/>
  <c r="P147" i="2"/>
  <c r="Q221" i="2"/>
  <c r="J190" i="2"/>
  <c r="Q14" i="2"/>
  <c r="G64" i="2"/>
  <c r="M17" i="2"/>
  <c r="K204" i="3"/>
  <c r="L204" i="2" s="1"/>
  <c r="L205" i="2"/>
  <c r="K207" i="2"/>
  <c r="J183" i="2"/>
  <c r="N142" i="2"/>
  <c r="Q137" i="2"/>
  <c r="O115" i="2"/>
  <c r="K60" i="2"/>
  <c r="Q66" i="2"/>
  <c r="I37" i="2"/>
  <c r="M50" i="2"/>
  <c r="G113" i="3"/>
  <c r="P113" i="2" s="1"/>
  <c r="P114" i="2"/>
  <c r="O187" i="2"/>
  <c r="H186" i="3"/>
  <c r="O186" i="2" s="1"/>
  <c r="G30" i="2"/>
  <c r="G33" i="2"/>
  <c r="M27" i="2"/>
  <c r="Q84" i="2"/>
  <c r="Q98" i="2"/>
  <c r="J70" i="2"/>
  <c r="P20" i="2"/>
  <c r="I217" i="2"/>
  <c r="K211" i="2"/>
  <c r="J145" i="2"/>
  <c r="G29" i="2"/>
  <c r="M117" i="2"/>
  <c r="Q220" i="2"/>
  <c r="F52" i="2"/>
  <c r="Q51" i="2"/>
  <c r="M111" i="2"/>
  <c r="L71" i="2"/>
  <c r="M120" i="2"/>
  <c r="H97" i="2"/>
  <c r="O47" i="2"/>
  <c r="P187" i="2"/>
  <c r="G186" i="3"/>
  <c r="P186" i="2" s="1"/>
  <c r="Q67" i="2"/>
  <c r="K78" i="2"/>
  <c r="G61" i="2"/>
  <c r="J157" i="2"/>
  <c r="O165" i="2"/>
  <c r="P103" i="2"/>
  <c r="K10" i="2"/>
  <c r="G45" i="2"/>
  <c r="I179" i="2"/>
  <c r="N125" i="2"/>
  <c r="O12" i="2"/>
  <c r="H139" i="2"/>
  <c r="L116" i="2"/>
  <c r="G129" i="2"/>
  <c r="L81" i="2"/>
  <c r="M196" i="2"/>
  <c r="O113" i="3"/>
  <c r="H113" i="2" s="1"/>
  <c r="H114" i="2"/>
  <c r="P27" i="2"/>
  <c r="O197" i="2"/>
  <c r="M135" i="2"/>
  <c r="K52" i="2"/>
  <c r="K174" i="2"/>
  <c r="M199" i="2"/>
  <c r="K84" i="2"/>
  <c r="N213" i="2"/>
  <c r="F174" i="2"/>
  <c r="H204" i="3"/>
  <c r="O204" i="2" s="1"/>
  <c r="O205" i="2"/>
  <c r="H203" i="2"/>
  <c r="J178" i="2"/>
  <c r="H112" i="2"/>
  <c r="K169" i="2"/>
  <c r="L168" i="3"/>
  <c r="K168" i="2" s="1"/>
  <c r="K171" i="2"/>
  <c r="J173" i="2"/>
  <c r="N114" i="2"/>
  <c r="I113" i="3"/>
  <c r="N113" i="2" s="1"/>
  <c r="G139" i="2"/>
  <c r="I181" i="2"/>
  <c r="H66" i="2"/>
  <c r="H177" i="2"/>
  <c r="P176" i="2"/>
  <c r="P127" i="2"/>
  <c r="N221" i="2"/>
  <c r="F119" i="2"/>
  <c r="L75" i="2"/>
  <c r="G149" i="3"/>
  <c r="P149" i="2" s="1"/>
  <c r="P150" i="2"/>
  <c r="F29" i="2"/>
  <c r="M8" i="2"/>
  <c r="Q216" i="2"/>
  <c r="I29" i="2"/>
  <c r="M91" i="2"/>
  <c r="O69" i="2"/>
  <c r="I188" i="2"/>
  <c r="M74" i="2"/>
  <c r="G27" i="2"/>
  <c r="G173" i="2"/>
  <c r="H25" i="2"/>
  <c r="Q106" i="2"/>
  <c r="Q53" i="2"/>
  <c r="L16" i="2"/>
  <c r="N53" i="2"/>
  <c r="G51" i="2"/>
  <c r="N160" i="2"/>
  <c r="O16" i="2"/>
  <c r="F199" i="2"/>
  <c r="F148" i="2"/>
  <c r="Q118" i="2"/>
  <c r="P11" i="2"/>
  <c r="H36" i="2"/>
  <c r="J103" i="2"/>
  <c r="L164" i="2"/>
  <c r="G130" i="2"/>
  <c r="O29" i="2"/>
  <c r="I221" i="2"/>
  <c r="H141" i="2"/>
  <c r="F11" i="2"/>
  <c r="Q178" i="2"/>
  <c r="L9" i="2"/>
  <c r="K105" i="2"/>
  <c r="I20" i="2"/>
  <c r="N36" i="2"/>
  <c r="F136" i="2"/>
  <c r="O214" i="2"/>
  <c r="M192" i="2"/>
  <c r="K133" i="2"/>
  <c r="Q202" i="2"/>
  <c r="Q174" i="2"/>
  <c r="Q19" i="2"/>
  <c r="K59" i="2"/>
  <c r="L58" i="3"/>
  <c r="K58" i="2" s="1"/>
  <c r="F26" i="2"/>
  <c r="I68" i="2"/>
  <c r="P181" i="2"/>
  <c r="M206" i="2"/>
  <c r="H85" i="2"/>
  <c r="H135" i="2"/>
  <c r="O145" i="2"/>
  <c r="J171" i="2"/>
  <c r="K42" i="2"/>
  <c r="N27" i="2"/>
  <c r="H38" i="2"/>
  <c r="L140" i="2"/>
  <c r="N217" i="2"/>
  <c r="O221" i="2"/>
  <c r="P129" i="2"/>
  <c r="Q135" i="2"/>
  <c r="Q72" i="2"/>
  <c r="J104" i="2"/>
  <c r="O10" i="2"/>
  <c r="I61" i="2"/>
  <c r="P109" i="2"/>
  <c r="P142" i="2"/>
  <c r="G47" i="2"/>
  <c r="F155" i="2"/>
  <c r="H21" i="2"/>
  <c r="F4" i="3"/>
  <c r="Q4" i="2" s="1"/>
  <c r="Q5" i="2"/>
  <c r="F66" i="2"/>
  <c r="P100" i="2"/>
  <c r="N195" i="2"/>
  <c r="L131" i="3"/>
  <c r="K131" i="2" s="1"/>
  <c r="K132" i="2"/>
  <c r="L156" i="2"/>
  <c r="K28" i="2"/>
  <c r="G78" i="2"/>
  <c r="P123" i="2"/>
  <c r="H172" i="2"/>
  <c r="P42" i="2"/>
  <c r="H168" i="3"/>
  <c r="O168" i="2" s="1"/>
  <c r="O169" i="2"/>
  <c r="N49" i="2"/>
  <c r="I157" i="2"/>
  <c r="G100" i="2"/>
  <c r="M128" i="2"/>
  <c r="G141" i="2"/>
  <c r="H63" i="2"/>
  <c r="N185" i="2"/>
  <c r="J128" i="2"/>
  <c r="G70" i="2"/>
  <c r="N212" i="2"/>
  <c r="J159" i="2"/>
  <c r="J109" i="2"/>
  <c r="G101" i="2"/>
  <c r="N121" i="2"/>
  <c r="O73" i="2"/>
  <c r="H151" i="2"/>
  <c r="J176" i="2"/>
  <c r="K165" i="2"/>
  <c r="I187" i="2"/>
  <c r="N186" i="3"/>
  <c r="I186" i="2" s="1"/>
  <c r="G178" i="2"/>
  <c r="L10" i="2"/>
  <c r="L21" i="2"/>
  <c r="L178" i="2"/>
  <c r="K79" i="2"/>
  <c r="N188" i="2"/>
  <c r="L174" i="2"/>
  <c r="J139" i="2"/>
  <c r="H18" i="2"/>
  <c r="L37" i="2"/>
  <c r="H81" i="2"/>
  <c r="H26" i="2"/>
  <c r="G162" i="2"/>
  <c r="O143" i="2"/>
  <c r="M56" i="2"/>
  <c r="Q147" i="2"/>
  <c r="O184" i="2"/>
  <c r="G220" i="2"/>
  <c r="H8" i="2"/>
  <c r="Q193" i="2"/>
  <c r="K6" i="2"/>
  <c r="N43" i="2"/>
  <c r="N106" i="2"/>
  <c r="N176" i="2"/>
  <c r="J88" i="2"/>
  <c r="O90" i="2"/>
  <c r="P39" i="2"/>
  <c r="P66" i="2"/>
  <c r="K72" i="2"/>
  <c r="F113" i="3"/>
  <c r="Q113" i="2" s="1"/>
  <c r="Q114" i="2"/>
  <c r="K71" i="2"/>
  <c r="O26" i="2"/>
  <c r="G87" i="2"/>
  <c r="O152" i="2"/>
  <c r="M65" i="2"/>
  <c r="I46" i="2"/>
  <c r="I180" i="2"/>
  <c r="G22" i="3"/>
  <c r="P22" i="2" s="1"/>
  <c r="P23" i="2"/>
  <c r="F38" i="2"/>
  <c r="Q160" i="2"/>
  <c r="K46" i="2"/>
  <c r="O97" i="2"/>
  <c r="L70" i="2"/>
  <c r="G190" i="2"/>
  <c r="F112" i="2"/>
  <c r="J30" i="2"/>
  <c r="F175" i="2"/>
  <c r="N9" i="2"/>
  <c r="Q141" i="2"/>
  <c r="J71" i="2"/>
  <c r="L126" i="2"/>
  <c r="F200" i="2"/>
  <c r="O150" i="2"/>
  <c r="H149" i="3"/>
  <c r="O149" i="2" s="1"/>
  <c r="M85" i="2"/>
  <c r="M204" i="3"/>
  <c r="J204" i="2" s="1"/>
  <c r="J205" i="2"/>
  <c r="H57" i="2"/>
  <c r="F189" i="2"/>
  <c r="Q80" i="2"/>
  <c r="Q179" i="2"/>
  <c r="F56" i="2"/>
  <c r="Q58" i="3"/>
  <c r="F58" i="2" s="1"/>
  <c r="F59" i="2"/>
  <c r="F54" i="2"/>
  <c r="N164" i="2"/>
  <c r="H19" i="2"/>
  <c r="G221" i="2"/>
  <c r="J188" i="2"/>
  <c r="Q196" i="2"/>
  <c r="K23" i="2"/>
  <c r="L22" i="3"/>
  <c r="K22" i="2" s="1"/>
  <c r="Q43" i="2"/>
  <c r="K7" i="2"/>
  <c r="G12" i="2"/>
  <c r="N87" i="2"/>
  <c r="J140" i="2"/>
  <c r="K203" i="2"/>
  <c r="P91" i="2"/>
  <c r="P134" i="2"/>
  <c r="O49" i="2"/>
  <c r="J10" i="2"/>
  <c r="L157" i="2"/>
  <c r="I66" i="2"/>
  <c r="I57" i="2"/>
  <c r="P170" i="2"/>
  <c r="M26" i="2"/>
  <c r="I10" i="2"/>
  <c r="F127" i="2"/>
  <c r="G10" i="2"/>
  <c r="Q170" i="2"/>
  <c r="Q140" i="2"/>
  <c r="L7" i="2"/>
  <c r="I51" i="2"/>
  <c r="P180" i="2"/>
  <c r="I206" i="2"/>
  <c r="H104" i="2"/>
  <c r="O220" i="2"/>
  <c r="Q18" i="2"/>
  <c r="Q4" i="3"/>
  <c r="F4" i="2" s="1"/>
  <c r="F5" i="2"/>
  <c r="P51" i="2"/>
  <c r="N119" i="2"/>
  <c r="P37" i="2"/>
  <c r="P28" i="2"/>
  <c r="L182" i="2"/>
  <c r="Q47" i="2"/>
  <c r="L36" i="2"/>
  <c r="I149" i="3"/>
  <c r="N149" i="2" s="1"/>
  <c r="N150" i="2"/>
  <c r="I160" i="2"/>
  <c r="J75" i="2"/>
  <c r="N211" i="2"/>
  <c r="L90" i="2"/>
  <c r="P188" i="2"/>
  <c r="O120" i="2"/>
  <c r="I202" i="2"/>
  <c r="M136" i="2"/>
  <c r="M82" i="2"/>
  <c r="G210" i="2"/>
  <c r="N196" i="2"/>
  <c r="N95" i="3"/>
  <c r="I95" i="2" s="1"/>
  <c r="I96" i="2"/>
  <c r="M70" i="2"/>
  <c r="N198" i="2"/>
  <c r="H34" i="2"/>
  <c r="P40" i="3"/>
  <c r="G40" i="2" s="1"/>
  <c r="G41" i="2"/>
  <c r="M165" i="2"/>
  <c r="L166" i="2"/>
  <c r="F207" i="2"/>
  <c r="J194" i="2"/>
  <c r="F197" i="2"/>
  <c r="J153" i="2"/>
  <c r="J45" i="2"/>
  <c r="N67" i="2"/>
  <c r="P95" i="3"/>
  <c r="G95" i="2" s="1"/>
  <c r="G96" i="2"/>
  <c r="M41" i="2"/>
  <c r="J40" i="3"/>
  <c r="M40" i="2" s="1"/>
  <c r="J146" i="2"/>
  <c r="K127" i="2"/>
  <c r="K212" i="2"/>
  <c r="F215" i="2"/>
  <c r="O45" i="2"/>
  <c r="K56" i="2"/>
  <c r="G106" i="2"/>
  <c r="F102" i="2"/>
  <c r="O54" i="2"/>
  <c r="O58" i="3"/>
  <c r="H58" i="2" s="1"/>
  <c r="H59" i="2"/>
  <c r="Q57" i="2"/>
  <c r="Q7" i="2"/>
  <c r="N16" i="2"/>
  <c r="I199" i="2"/>
  <c r="P61" i="2"/>
  <c r="Q13" i="2"/>
  <c r="O6" i="2"/>
  <c r="P7" i="2"/>
  <c r="J61" i="2"/>
  <c r="H134" i="2"/>
  <c r="J208" i="2"/>
  <c r="F61" i="2"/>
  <c r="K91" i="2"/>
  <c r="N46" i="2"/>
  <c r="N126" i="2"/>
  <c r="H12" i="2"/>
  <c r="Q54" i="2"/>
  <c r="F9" i="2"/>
  <c r="K44" i="2"/>
  <c r="K107" i="2"/>
  <c r="N178" i="2"/>
  <c r="O109" i="2"/>
  <c r="M108" i="2"/>
  <c r="L57" i="2"/>
  <c r="F28" i="2"/>
  <c r="I4" i="3"/>
  <c r="N4" i="2" s="1"/>
  <c r="N5" i="2"/>
  <c r="Q191" i="2"/>
  <c r="J100" i="2"/>
  <c r="L27" i="2"/>
  <c r="M89" i="2"/>
  <c r="P154" i="2"/>
  <c r="N84" i="2"/>
  <c r="O48" i="2"/>
  <c r="O182" i="2"/>
  <c r="Q105" i="2"/>
  <c r="Q181" i="2"/>
  <c r="G5" i="2"/>
  <c r="P4" i="3"/>
  <c r="G4" i="2" s="1"/>
  <c r="J89" i="2"/>
  <c r="P130" i="2"/>
  <c r="M168" i="3"/>
  <c r="J168" i="2" s="1"/>
  <c r="J169" i="2"/>
  <c r="L128" i="2"/>
  <c r="O50" i="2"/>
  <c r="O162" i="2"/>
  <c r="G166" i="2"/>
  <c r="N4" i="3"/>
  <c r="I4" i="2" s="1"/>
  <c r="I5" i="2"/>
  <c r="Q102" i="2"/>
  <c r="I83" i="2"/>
  <c r="N108" i="2"/>
  <c r="K73" i="2"/>
  <c r="G195" i="2"/>
  <c r="F126" i="2"/>
  <c r="G63" i="2"/>
  <c r="G207" i="2"/>
  <c r="P116" i="2"/>
  <c r="Q139" i="2"/>
  <c r="Q209" i="2"/>
  <c r="K18" i="2"/>
  <c r="P43" i="2"/>
  <c r="M106" i="2"/>
  <c r="M170" i="2"/>
  <c r="I134" i="2"/>
  <c r="J36" i="2"/>
  <c r="G198" i="2"/>
  <c r="P149" i="3"/>
  <c r="G149" i="2" s="1"/>
  <c r="G150" i="2"/>
  <c r="Q26" i="2"/>
  <c r="M217" i="2"/>
  <c r="F123" i="2"/>
  <c r="I77" i="2"/>
  <c r="N76" i="3"/>
  <c r="I76" i="2" s="1"/>
  <c r="K201" i="2"/>
  <c r="J16" i="2"/>
  <c r="P210" i="2"/>
  <c r="O193" i="2"/>
  <c r="G81" i="2"/>
  <c r="Q68" i="2"/>
  <c r="F58" i="3"/>
  <c r="Q58" i="2" s="1"/>
  <c r="Q59" i="2"/>
  <c r="K15" i="2"/>
  <c r="F15" i="2"/>
  <c r="O116" i="2"/>
  <c r="O164" i="2"/>
  <c r="K185" i="2"/>
  <c r="P82" i="2"/>
  <c r="I13" i="2"/>
  <c r="Q142" i="2"/>
  <c r="I103" i="2"/>
  <c r="F122" i="2"/>
  <c r="L47" i="2"/>
  <c r="I98" i="2"/>
  <c r="L84" i="2"/>
  <c r="Q69" i="2"/>
  <c r="F37" i="2"/>
  <c r="N170" i="2"/>
  <c r="K124" i="2"/>
  <c r="J66" i="2"/>
  <c r="P208" i="2"/>
  <c r="K62" i="2"/>
  <c r="J211" i="2"/>
  <c r="M177" i="2"/>
  <c r="L13" i="2"/>
  <c r="G215" i="2"/>
  <c r="P107" i="2"/>
  <c r="J215" i="2"/>
  <c r="I133" i="2"/>
  <c r="H20" i="2"/>
  <c r="O28" i="2"/>
  <c r="G155" i="2"/>
  <c r="O91" i="2"/>
  <c r="J74" i="2"/>
  <c r="M211" i="2"/>
  <c r="H132" i="2"/>
  <c r="O131" i="3"/>
  <c r="H131" i="2" s="1"/>
  <c r="G105" i="2"/>
  <c r="O158" i="2"/>
  <c r="G185" i="2"/>
  <c r="N191" i="2"/>
  <c r="G9" i="2"/>
  <c r="F33" i="2"/>
  <c r="G82" i="2"/>
  <c r="F78" i="2"/>
  <c r="G117" i="2"/>
  <c r="P184" i="2"/>
  <c r="I138" i="2"/>
  <c r="H29" i="2"/>
  <c r="F35" i="2"/>
  <c r="P93" i="2"/>
  <c r="J32" i="2"/>
  <c r="M125" i="2"/>
  <c r="L76" i="3"/>
  <c r="K76" i="2" s="1"/>
  <c r="K77" i="2"/>
  <c r="L5" i="2"/>
  <c r="K4" i="3"/>
  <c r="L4" i="2" s="1"/>
  <c r="F79" i="2"/>
  <c r="K129" i="2"/>
  <c r="J193" i="2"/>
  <c r="O118" i="2"/>
  <c r="J131" i="3"/>
  <c r="M131" i="2" s="1"/>
  <c r="M132" i="2"/>
  <c r="G121" i="2"/>
  <c r="F161" i="2"/>
  <c r="F168" i="3"/>
  <c r="Q168" i="2" s="1"/>
  <c r="Q169" i="2"/>
  <c r="N38" i="2"/>
  <c r="M9" i="2"/>
  <c r="G62" i="2"/>
  <c r="H142" i="2"/>
  <c r="L212" i="2"/>
  <c r="L67" i="2"/>
  <c r="I109" i="2"/>
  <c r="F64" i="2"/>
  <c r="K184" i="2"/>
  <c r="P16" i="2"/>
  <c r="Q122" i="2"/>
  <c r="N13" i="2"/>
  <c r="H45" i="2"/>
  <c r="H108" i="2"/>
  <c r="N180" i="2"/>
  <c r="P21" i="2"/>
  <c r="F109" i="2"/>
  <c r="N172" i="2"/>
  <c r="N183" i="2"/>
  <c r="Q151" i="2"/>
  <c r="G28" i="2"/>
  <c r="N109" i="2"/>
  <c r="P160" i="2"/>
  <c r="Q186" i="3"/>
  <c r="F186" i="2" s="1"/>
  <c r="F187" i="2"/>
  <c r="F145" i="2"/>
  <c r="K58" i="3"/>
  <c r="L58" i="2" s="1"/>
  <c r="L59" i="2"/>
  <c r="M62" i="2"/>
  <c r="Q11" i="2"/>
  <c r="F13" i="2"/>
  <c r="Q36" i="2"/>
  <c r="M6" i="2"/>
  <c r="K30" i="2"/>
  <c r="P92" i="2"/>
  <c r="P158" i="2"/>
  <c r="M113" i="3"/>
  <c r="J113" i="2" s="1"/>
  <c r="J114" i="2"/>
  <c r="K66" i="2"/>
  <c r="K200" i="2"/>
  <c r="M78" i="2"/>
  <c r="Q6" i="2"/>
  <c r="Q87" i="2"/>
  <c r="Q42" i="2"/>
  <c r="P78" i="2"/>
  <c r="F141" i="2"/>
  <c r="I213" i="2"/>
  <c r="N153" i="2"/>
  <c r="L92" i="2"/>
  <c r="H211" i="2"/>
  <c r="K27" i="2"/>
  <c r="Q157" i="2"/>
  <c r="K12" i="2"/>
  <c r="J33" i="2"/>
  <c r="M97" i="2"/>
  <c r="P162" i="2"/>
  <c r="I40" i="3"/>
  <c r="N40" i="2" s="1"/>
  <c r="N41" i="2"/>
  <c r="G84" i="2"/>
  <c r="H207" i="2"/>
  <c r="K101" i="2"/>
  <c r="Q21" i="2"/>
  <c r="Q82" i="2"/>
  <c r="N48" i="2"/>
  <c r="M48" i="2"/>
  <c r="I21" i="2"/>
  <c r="M210" i="2"/>
  <c r="K147" i="2"/>
  <c r="O124" i="2"/>
  <c r="F74" i="2"/>
  <c r="Q90" i="2"/>
  <c r="G42" i="2"/>
  <c r="M178" i="2"/>
  <c r="J43" i="2"/>
  <c r="I155" i="2"/>
  <c r="Q64" i="2"/>
  <c r="L15" i="2"/>
  <c r="K74" i="2"/>
  <c r="O216" i="2"/>
  <c r="H198" i="2"/>
  <c r="L61" i="2"/>
  <c r="P165" i="2"/>
  <c r="O100" i="2"/>
  <c r="L127" i="2"/>
  <c r="F50" i="2"/>
  <c r="K9" i="2"/>
  <c r="O139" i="2"/>
  <c r="F32" i="2"/>
  <c r="O60" i="2"/>
  <c r="H180" i="2"/>
  <c r="J78" i="2"/>
  <c r="M61" i="2"/>
  <c r="J200" i="2"/>
  <c r="L162" i="2"/>
  <c r="L35" i="2"/>
  <c r="I156" i="2"/>
  <c r="I203" i="2"/>
  <c r="J44" i="2"/>
  <c r="F195" i="2"/>
  <c r="M190" i="2"/>
  <c r="M15" i="2"/>
  <c r="N33" i="2"/>
  <c r="M96" i="2"/>
  <c r="J95" i="3"/>
  <c r="M95" i="2" s="1"/>
  <c r="P84" i="2"/>
  <c r="O117" i="2"/>
  <c r="N207" i="2"/>
  <c r="O144" i="2"/>
  <c r="H51" i="2"/>
  <c r="I48" i="2"/>
  <c r="K92" i="2"/>
  <c r="H44" i="2"/>
  <c r="G133" i="2"/>
  <c r="M124" i="2"/>
  <c r="H89" i="2"/>
  <c r="P146" i="2"/>
  <c r="J210" i="2"/>
  <c r="L103" i="2"/>
  <c r="P161" i="2"/>
  <c r="G179" i="2"/>
  <c r="O203" i="2"/>
  <c r="Q190" i="2"/>
  <c r="H16" i="2"/>
  <c r="Q39" i="2"/>
  <c r="G75" i="2"/>
  <c r="J24" i="2"/>
  <c r="F121" i="2"/>
  <c r="K215" i="2"/>
  <c r="M149" i="3"/>
  <c r="J149" i="2" s="1"/>
  <c r="J150" i="2"/>
  <c r="L48" i="2"/>
  <c r="Q27" i="2"/>
  <c r="N34" i="2"/>
  <c r="Q203" i="2"/>
  <c r="F44" i="2"/>
  <c r="P19" i="2"/>
  <c r="G92" i="2"/>
  <c r="L152" i="2"/>
  <c r="F214" i="2"/>
  <c r="G110" i="2"/>
  <c r="G191" i="2"/>
  <c r="L163" i="2"/>
  <c r="P110" i="2"/>
  <c r="P74" i="2"/>
  <c r="N197" i="2"/>
  <c r="P65" i="2"/>
  <c r="L119" i="2"/>
  <c r="L191" i="2"/>
  <c r="H145" i="2"/>
  <c r="J92" i="2"/>
  <c r="K69" i="2"/>
  <c r="O189" i="2"/>
  <c r="M44" i="2"/>
  <c r="N107" i="2"/>
  <c r="M171" i="2"/>
  <c r="J135" i="2"/>
  <c r="I52" i="2"/>
  <c r="K51" i="2"/>
  <c r="I159" i="2"/>
  <c r="M34" i="2"/>
  <c r="M102" i="2"/>
  <c r="F162" i="2"/>
  <c r="F129" i="2"/>
  <c r="L28" i="2"/>
  <c r="I39" i="2"/>
  <c r="N141" i="2"/>
  <c r="F217" i="2"/>
  <c r="F83" i="2"/>
  <c r="P136" i="2"/>
  <c r="P199" i="2"/>
  <c r="N57" i="2"/>
  <c r="I53" i="2"/>
  <c r="H162" i="2"/>
  <c r="K16" i="2"/>
  <c r="I90" i="2"/>
  <c r="I147" i="2"/>
  <c r="I211" i="2"/>
  <c r="M221" i="2"/>
  <c r="I35" i="2"/>
  <c r="L136" i="2"/>
  <c r="F213" i="2"/>
  <c r="L202" i="2"/>
  <c r="P76" i="3"/>
  <c r="G76" i="2" s="1"/>
  <c r="G77" i="2"/>
  <c r="O25" i="2"/>
  <c r="K122" i="2"/>
  <c r="N216" i="2"/>
  <c r="M68" i="2"/>
  <c r="L176" i="2"/>
  <c r="K205" i="2"/>
  <c r="L204" i="3"/>
  <c r="K204" i="2" s="1"/>
  <c r="O68" i="2"/>
  <c r="O19" i="2"/>
  <c r="L214" i="2"/>
  <c r="G209" i="2"/>
  <c r="G56" i="2"/>
  <c r="M122" i="2"/>
  <c r="P198" i="2"/>
  <c r="O36" i="2"/>
  <c r="J113" i="3"/>
  <c r="M113" i="2" s="1"/>
  <c r="M114" i="2"/>
  <c r="O171" i="2"/>
  <c r="F191" i="2"/>
  <c r="O52" i="2"/>
  <c r="N116" i="2"/>
  <c r="I189" i="2"/>
  <c r="F16" i="2"/>
  <c r="K102" i="2"/>
  <c r="N146" i="2"/>
  <c r="M180" i="2"/>
  <c r="K34" i="2"/>
  <c r="J98" i="2"/>
  <c r="G163" i="2"/>
  <c r="N12" i="2"/>
  <c r="F97" i="2"/>
  <c r="K139" i="2"/>
  <c r="L175" i="2"/>
  <c r="H23" i="2"/>
  <c r="O22" i="3"/>
  <c r="H22" i="2" s="1"/>
  <c r="I85" i="2"/>
  <c r="M148" i="2"/>
  <c r="H102" i="2"/>
  <c r="K191" i="2"/>
  <c r="L118" i="2"/>
  <c r="N157" i="2"/>
  <c r="M18" i="2"/>
  <c r="H80" i="2"/>
  <c r="M213" i="2"/>
  <c r="H64" i="2"/>
  <c r="J118" i="2"/>
  <c r="L190" i="2"/>
  <c r="L145" i="2"/>
  <c r="N75" i="2"/>
  <c r="H62" i="2"/>
  <c r="P177" i="2"/>
  <c r="H54" i="2"/>
  <c r="K112" i="2"/>
  <c r="J182" i="2"/>
  <c r="G140" i="2"/>
  <c r="L51" i="2"/>
  <c r="O51" i="2"/>
  <c r="O159" i="2"/>
  <c r="J21" i="2"/>
  <c r="H93" i="2"/>
  <c r="G153" i="2"/>
  <c r="K217" i="2"/>
  <c r="J84" i="2"/>
  <c r="Q198" i="2"/>
  <c r="Q125" i="2"/>
  <c r="N6" i="2"/>
  <c r="L33" i="2"/>
  <c r="O43" i="2"/>
  <c r="K145" i="2"/>
  <c r="H219" i="2"/>
  <c r="F143" i="2"/>
  <c r="G157" i="2"/>
  <c r="N52" i="2"/>
  <c r="K35" i="2"/>
  <c r="F149" i="3"/>
  <c r="Q149" i="2" s="1"/>
  <c r="Q150" i="2"/>
  <c r="L98" i="2"/>
  <c r="P54" i="2"/>
  <c r="O112" i="2"/>
  <c r="K181" i="2"/>
  <c r="K140" i="2"/>
  <c r="O55" i="2"/>
  <c r="K148" i="2"/>
  <c r="G182" i="2"/>
  <c r="P31" i="2"/>
  <c r="H92" i="2"/>
  <c r="M159" i="2"/>
  <c r="H138" i="2"/>
  <c r="O86" i="2"/>
  <c r="G125" i="2"/>
  <c r="M164" i="2"/>
  <c r="K26" i="2"/>
  <c r="P88" i="2"/>
  <c r="J152" i="2"/>
  <c r="P79" i="2"/>
  <c r="G145" i="2"/>
  <c r="P217" i="2"/>
  <c r="F153" i="2"/>
  <c r="I95" i="3"/>
  <c r="N95" i="2" s="1"/>
  <c r="N96" i="2"/>
  <c r="P70" i="2"/>
  <c r="N190" i="2"/>
  <c r="P69" i="2"/>
  <c r="J123" i="2"/>
  <c r="M197" i="2"/>
  <c r="O148" i="2"/>
  <c r="F67" i="2"/>
  <c r="N58" i="3"/>
  <c r="I58" i="2" s="1"/>
  <c r="I59" i="2"/>
  <c r="N171" i="2"/>
  <c r="P36" i="2"/>
  <c r="N103" i="2"/>
  <c r="F163" i="2"/>
  <c r="K130" i="2"/>
  <c r="N104" i="2"/>
  <c r="J72" i="2"/>
  <c r="F193" i="2"/>
  <c r="P50" i="2"/>
  <c r="H109" i="2"/>
  <c r="O177" i="2"/>
  <c r="M138" i="2"/>
  <c r="I58" i="3"/>
  <c r="N58" i="2" s="1"/>
  <c r="N59" i="2"/>
  <c r="J54" i="2"/>
  <c r="I163" i="2"/>
  <c r="F166" i="2"/>
  <c r="L133" i="2"/>
  <c r="N35" i="2"/>
  <c r="G43" i="2"/>
  <c r="L147" i="2"/>
  <c r="I220" i="2"/>
  <c r="I86" i="2"/>
  <c r="P140" i="2"/>
  <c r="P203" i="2"/>
  <c r="L24" i="2"/>
  <c r="G37" i="2"/>
  <c r="F138" i="2"/>
  <c r="H215" i="2"/>
  <c r="P75" i="2"/>
  <c r="H124" i="2"/>
  <c r="O217" i="2"/>
  <c r="M69" i="2"/>
  <c r="G19" i="2"/>
  <c r="F216" i="2"/>
  <c r="I210" i="2"/>
  <c r="K70" i="2"/>
  <c r="F192" i="2"/>
  <c r="G208" i="2"/>
  <c r="G49" i="2"/>
  <c r="L130" i="2"/>
  <c r="F182" i="2"/>
  <c r="I198" i="2"/>
  <c r="G52" i="2"/>
  <c r="F116" i="2"/>
  <c r="K190" i="2"/>
  <c r="H40" i="3"/>
  <c r="O40" i="2" s="1"/>
  <c r="O41" i="2"/>
  <c r="K116" i="2"/>
  <c r="M174" i="2"/>
  <c r="H193" i="2"/>
  <c r="M42" i="2"/>
  <c r="M105" i="2"/>
  <c r="K175" i="2"/>
  <c r="F12" i="2"/>
  <c r="K98" i="2"/>
  <c r="H140" i="2"/>
  <c r="M176" i="2"/>
  <c r="I36" i="2"/>
  <c r="L100" i="2"/>
  <c r="J166" i="2"/>
  <c r="N136" i="2"/>
  <c r="F85" i="2"/>
  <c r="K125" i="2"/>
  <c r="H163" i="2"/>
  <c r="N19" i="2"/>
  <c r="I81" i="2"/>
  <c r="G142" i="2"/>
  <c r="F108" i="2"/>
  <c r="N81" i="2"/>
  <c r="F120" i="2"/>
  <c r="P159" i="2"/>
  <c r="K93" i="2"/>
  <c r="G69" i="2"/>
  <c r="G189" i="2"/>
  <c r="H55" i="2"/>
  <c r="O114" i="2"/>
  <c r="H113" i="3"/>
  <c r="O113" i="2" s="1"/>
  <c r="I183" i="2"/>
  <c r="L141" i="2"/>
  <c r="O168" i="3"/>
  <c r="H168" i="2" s="1"/>
  <c r="H169" i="2"/>
  <c r="M134" i="2"/>
  <c r="F63" i="2"/>
  <c r="L56" i="2"/>
  <c r="H166" i="2"/>
  <c r="M20" i="2"/>
  <c r="L93" i="2"/>
  <c r="O153" i="2"/>
  <c r="K216" i="2"/>
  <c r="I26" i="2"/>
  <c r="L38" i="2"/>
  <c r="I139" i="2"/>
  <c r="I216" i="2"/>
  <c r="G88" i="2"/>
  <c r="I143" i="2"/>
  <c r="M207" i="2"/>
  <c r="O85" i="2"/>
  <c r="N28" i="2"/>
  <c r="J125" i="2"/>
  <c r="N220" i="2"/>
  <c r="P71" i="2"/>
  <c r="K197" i="2"/>
  <c r="H209" i="2"/>
  <c r="M73" i="2"/>
  <c r="J22" i="3"/>
  <c r="M22" i="2" s="1"/>
  <c r="M23" i="2"/>
  <c r="I120" i="2"/>
  <c r="G213" i="2"/>
  <c r="I60" i="2"/>
  <c r="I131" i="3"/>
  <c r="N131" i="2" s="1"/>
  <c r="N132" i="2"/>
  <c r="N206" i="2"/>
  <c r="O42" i="2"/>
  <c r="P117" i="2"/>
  <c r="M175" i="2"/>
  <c r="I194" i="2"/>
  <c r="N55" i="2"/>
  <c r="H119" i="2"/>
  <c r="P194" i="2"/>
  <c r="G21" i="2"/>
  <c r="J105" i="2"/>
  <c r="P152" i="2"/>
  <c r="P183" i="2"/>
  <c r="J37" i="2"/>
  <c r="M101" i="2"/>
  <c r="P168" i="3"/>
  <c r="G168" i="2" s="1"/>
  <c r="G169" i="2"/>
  <c r="H14" i="2"/>
  <c r="I100" i="2"/>
  <c r="G143" i="2"/>
  <c r="K178" i="2"/>
  <c r="G26" i="2"/>
  <c r="L88" i="2"/>
  <c r="M153" i="2"/>
  <c r="H110" i="2"/>
  <c r="F81" i="2"/>
  <c r="K121" i="2"/>
  <c r="H159" i="2"/>
  <c r="J97" i="2"/>
  <c r="P139" i="2"/>
  <c r="P175" i="2"/>
  <c r="F156" i="2"/>
  <c r="L42" i="2"/>
  <c r="H72" i="2"/>
  <c r="Q91" i="2"/>
  <c r="K45" i="2"/>
  <c r="Q61" i="2"/>
  <c r="H11" i="2"/>
  <c r="H17" i="2"/>
  <c r="L80" i="2"/>
  <c r="P212" i="2"/>
  <c r="O21" i="2"/>
  <c r="F57" i="2"/>
  <c r="O126" i="2"/>
  <c r="N88" i="2"/>
  <c r="Q111" i="2"/>
  <c r="K97" i="2"/>
  <c r="Q62" i="2"/>
  <c r="L14" i="2"/>
  <c r="M100" i="2"/>
  <c r="M143" i="2"/>
  <c r="O178" i="2"/>
  <c r="G184" i="2"/>
  <c r="L82" i="2"/>
  <c r="I208" i="2"/>
  <c r="H67" i="2"/>
  <c r="I173" i="2"/>
  <c r="G204" i="3"/>
  <c r="P204" i="2" s="1"/>
  <c r="P205" i="2"/>
  <c r="M55" i="2"/>
  <c r="P173" i="2"/>
  <c r="P191" i="2"/>
  <c r="H201" i="2"/>
  <c r="P63" i="2"/>
  <c r="N145" i="2"/>
  <c r="P213" i="2"/>
  <c r="G35" i="2"/>
  <c r="I112" i="2"/>
  <c r="J170" i="2"/>
  <c r="J191" i="2"/>
  <c r="L45" i="2"/>
  <c r="L108" i="2"/>
  <c r="F179" i="2"/>
  <c r="O27" i="2"/>
  <c r="H107" i="2"/>
  <c r="K157" i="2"/>
  <c r="F185" i="2"/>
  <c r="O34" i="2"/>
  <c r="N98" i="2"/>
  <c r="M163" i="2"/>
  <c r="L4" i="3"/>
  <c r="K4" i="2" s="1"/>
  <c r="K5" i="2"/>
  <c r="N89" i="2"/>
  <c r="H129" i="2"/>
  <c r="I168" i="3"/>
  <c r="N168" i="2" s="1"/>
  <c r="N169" i="2"/>
  <c r="F47" i="2"/>
  <c r="F110" i="2"/>
  <c r="I182" i="2"/>
  <c r="J12" i="2"/>
  <c r="O98" i="2"/>
  <c r="M140" i="2"/>
  <c r="H175" i="2"/>
  <c r="O30" i="2"/>
  <c r="G91" i="2"/>
  <c r="H157" i="2"/>
  <c r="J133" i="2"/>
  <c r="P171" i="2"/>
  <c r="I18" i="2"/>
  <c r="M81" i="2"/>
  <c r="H214" i="2"/>
  <c r="J77" i="2"/>
  <c r="M76" i="3"/>
  <c r="J76" i="2" s="1"/>
  <c r="I140" i="2"/>
  <c r="J212" i="2"/>
  <c r="I152" i="2"/>
  <c r="G115" i="2"/>
  <c r="M75" i="2"/>
  <c r="O199" i="2"/>
  <c r="P55" i="2"/>
  <c r="G112" i="2"/>
  <c r="O183" i="2"/>
  <c r="P141" i="2"/>
  <c r="L65" i="2"/>
  <c r="M57" i="2"/>
  <c r="N168" i="3"/>
  <c r="I168" i="2" s="1"/>
  <c r="I169" i="2"/>
  <c r="H46" i="2"/>
  <c r="O108" i="2"/>
  <c r="J174" i="2"/>
  <c r="K136" i="2"/>
  <c r="F41" i="2"/>
  <c r="Q40" i="3"/>
  <c r="F40" i="2" s="1"/>
  <c r="F46" i="2"/>
  <c r="P153" i="2"/>
  <c r="J15" i="2"/>
  <c r="L89" i="2"/>
  <c r="I145" i="2"/>
  <c r="K209" i="2"/>
  <c r="N31" i="2"/>
  <c r="N42" i="2"/>
  <c r="K142" i="2"/>
  <c r="G218" i="2"/>
  <c r="N79" i="2"/>
  <c r="G128" i="2"/>
  <c r="H192" i="2"/>
  <c r="O75" i="2"/>
  <c r="N24" i="2"/>
  <c r="J121" i="2"/>
  <c r="I214" i="2"/>
  <c r="J73" i="2"/>
  <c r="O123" i="2"/>
  <c r="J214" i="2"/>
  <c r="G54" i="2"/>
  <c r="H147" i="2"/>
  <c r="H190" i="2"/>
  <c r="L201" i="2"/>
  <c r="F55" i="2"/>
  <c r="H120" i="2"/>
  <c r="I195" i="2"/>
  <c r="O46" i="2"/>
  <c r="K120" i="2"/>
  <c r="O180" i="2"/>
  <c r="G196" i="2"/>
  <c r="P45" i="2"/>
  <c r="P108" i="2"/>
  <c r="K179" i="2"/>
  <c r="I15" i="2"/>
  <c r="J101" i="2"/>
  <c r="F144" i="2"/>
  <c r="P179" i="2"/>
  <c r="K48" i="2"/>
  <c r="K111" i="2"/>
  <c r="F183" i="2"/>
  <c r="P164" i="2"/>
  <c r="L189" i="2"/>
  <c r="N37" i="2"/>
  <c r="H100" i="2"/>
  <c r="L169" i="2"/>
  <c r="K168" i="3"/>
  <c r="L168" i="2" s="1"/>
  <c r="J8" i="2"/>
  <c r="H91" i="2"/>
  <c r="G134" i="2"/>
  <c r="H171" i="2"/>
  <c r="M32" i="2"/>
  <c r="P96" i="2"/>
  <c r="G95" i="3"/>
  <c r="P95" i="2" s="1"/>
  <c r="J160" i="2"/>
  <c r="G109" i="2"/>
  <c r="J81" i="2"/>
  <c r="O121" i="2"/>
  <c r="L159" i="2"/>
  <c r="F117" i="2"/>
  <c r="M77" i="2"/>
  <c r="J76" i="3"/>
  <c r="M76" i="2" s="1"/>
  <c r="L200" i="2"/>
  <c r="Q95" i="3"/>
  <c r="F95" i="2" s="1"/>
  <c r="F96" i="2"/>
  <c r="N175" i="2"/>
  <c r="P220" i="2"/>
  <c r="G154" i="2"/>
  <c r="K81" i="2"/>
  <c r="K65" i="2"/>
  <c r="F180" i="2"/>
  <c r="H47" i="2"/>
  <c r="G108" i="2"/>
  <c r="I175" i="2"/>
  <c r="P137" i="2"/>
  <c r="I70" i="2"/>
  <c r="F60" i="2"/>
  <c r="F172" i="2"/>
  <c r="J27" i="2"/>
  <c r="M98" i="2"/>
  <c r="O157" i="2"/>
  <c r="H221" i="2"/>
  <c r="L32" i="2"/>
  <c r="F42" i="2"/>
  <c r="L144" i="2"/>
  <c r="L219" i="2"/>
  <c r="F91" i="2"/>
  <c r="F150" i="2"/>
  <c r="Q149" i="3"/>
  <c r="F149" i="2" s="1"/>
  <c r="O213" i="2"/>
  <c r="K115" i="2"/>
  <c r="H30" i="2"/>
  <c r="L129" i="2"/>
  <c r="N209" i="2"/>
  <c r="O74" i="2"/>
  <c r="G123" i="2"/>
  <c r="I215" i="2"/>
  <c r="M79" i="2"/>
  <c r="P26" i="2"/>
  <c r="L123" i="2"/>
  <c r="G217" i="2"/>
  <c r="L63" i="2"/>
  <c r="H146" i="2"/>
  <c r="P214" i="2"/>
  <c r="M47" i="2"/>
  <c r="N122" i="2"/>
  <c r="O181" i="2"/>
  <c r="L197" i="2"/>
  <c r="I218" i="2"/>
  <c r="I146" i="2"/>
  <c r="L64" i="2"/>
  <c r="H56" i="2"/>
  <c r="P169" i="2"/>
  <c r="G168" i="3"/>
  <c r="P168" i="2" s="1"/>
  <c r="P33" i="2"/>
  <c r="L101" i="2"/>
  <c r="G161" i="2"/>
  <c r="N129" i="2"/>
  <c r="F53" i="2"/>
  <c r="P52" i="2"/>
  <c r="G160" i="2"/>
  <c r="N15" i="2"/>
  <c r="P89" i="2"/>
  <c r="J144" i="2"/>
  <c r="K208" i="2"/>
  <c r="L161" i="2"/>
  <c r="P34" i="2"/>
  <c r="K134" i="2"/>
  <c r="M212" i="2"/>
  <c r="F103" i="2"/>
  <c r="F164" i="2"/>
  <c r="H131" i="3"/>
  <c r="O131" i="2" s="1"/>
  <c r="O132" i="2"/>
  <c r="F31" i="2"/>
  <c r="J42" i="2"/>
  <c r="L143" i="2"/>
  <c r="P219" i="2"/>
  <c r="P85" i="2"/>
  <c r="O138" i="2"/>
  <c r="O201" i="2"/>
  <c r="N137" i="2"/>
  <c r="K214" i="2"/>
  <c r="F73" i="2"/>
  <c r="K123" i="2"/>
  <c r="O215" i="2"/>
  <c r="O67" i="2"/>
  <c r="J18" i="2"/>
  <c r="P209" i="2"/>
  <c r="H208" i="2"/>
  <c r="N69" i="2"/>
  <c r="H182" i="2"/>
  <c r="H206" i="2"/>
  <c r="G46" i="2"/>
  <c r="I121" i="2"/>
  <c r="G180" i="2"/>
  <c r="P197" i="2"/>
  <c r="J51" i="2"/>
  <c r="M115" i="2"/>
  <c r="F188" i="2"/>
  <c r="M37" i="2"/>
  <c r="N115" i="2"/>
  <c r="O172" i="2"/>
  <c r="K192" i="2"/>
  <c r="H39" i="2"/>
  <c r="G103" i="2"/>
  <c r="L173" i="2"/>
  <c r="M11" i="2"/>
  <c r="N97" i="2"/>
  <c r="G138" i="2"/>
  <c r="G174" i="2"/>
  <c r="P35" i="2"/>
  <c r="O99" i="2"/>
  <c r="J164" i="2"/>
  <c r="K119" i="2"/>
  <c r="M84" i="2"/>
  <c r="N124" i="2"/>
  <c r="K162" i="2"/>
  <c r="J219" i="2"/>
  <c r="P80" i="2"/>
  <c r="I209" i="2"/>
  <c r="F104" i="2"/>
  <c r="P196" i="2"/>
  <c r="M119" i="2"/>
  <c r="F157" i="2"/>
  <c r="K89" i="2"/>
  <c r="J68" i="2"/>
  <c r="K187" i="2"/>
  <c r="L186" i="3"/>
  <c r="K186" i="2" s="1"/>
  <c r="J53" i="2"/>
  <c r="F111" i="2"/>
  <c r="K180" i="2"/>
  <c r="O140" i="2"/>
  <c r="I76" i="3"/>
  <c r="N76" i="2" s="1"/>
  <c r="N77" i="2"/>
  <c r="I63" i="2"/>
  <c r="P178" i="2"/>
  <c r="H32" i="2"/>
  <c r="P101" i="2"/>
  <c r="O161" i="2"/>
  <c r="I128" i="2"/>
  <c r="N39" i="2"/>
  <c r="I45" i="2"/>
  <c r="I151" i="2"/>
  <c r="L69" i="2"/>
  <c r="J60" i="2"/>
  <c r="L172" i="2"/>
  <c r="P29" i="2"/>
  <c r="J35" i="2"/>
  <c r="I153" i="2"/>
  <c r="F88" i="2"/>
  <c r="Q217" i="2"/>
  <c r="Q126" i="2"/>
  <c r="N26" i="2"/>
  <c r="O17" i="2"/>
  <c r="J91" i="2"/>
  <c r="J149" i="3"/>
  <c r="M149" i="2" s="1"/>
  <c r="M150" i="2"/>
  <c r="G212" i="2"/>
  <c r="N105" i="2"/>
  <c r="O163" i="2"/>
  <c r="J218" i="2"/>
  <c r="L221" i="2"/>
  <c r="J180" i="2"/>
  <c r="Q34" i="2"/>
  <c r="K109" i="2"/>
  <c r="F75" i="2"/>
  <c r="M63" i="2"/>
  <c r="I177" i="2"/>
  <c r="M40" i="3"/>
  <c r="J40" i="2" s="1"/>
  <c r="J41" i="2"/>
  <c r="H69" i="2"/>
  <c r="M181" i="2"/>
  <c r="N8" i="2"/>
  <c r="L91" i="2"/>
  <c r="L134" i="2"/>
  <c r="L171" i="2"/>
  <c r="F25" i="2"/>
  <c r="K87" i="2"/>
  <c r="G151" i="2"/>
  <c r="K163" i="2"/>
  <c r="G86" i="2"/>
  <c r="J126" i="2"/>
  <c r="N165" i="2"/>
  <c r="H116" i="2"/>
  <c r="I75" i="2"/>
  <c r="G199" i="2"/>
  <c r="P68" i="2"/>
  <c r="M121" i="2"/>
  <c r="M195" i="2"/>
  <c r="J147" i="2"/>
  <c r="P98" i="2"/>
  <c r="H70" i="2"/>
  <c r="M191" i="2"/>
  <c r="P47" i="2"/>
  <c r="K108" i="2"/>
  <c r="O175" i="2"/>
  <c r="G136" i="2"/>
  <c r="L55" i="2"/>
  <c r="H52" i="2"/>
  <c r="I161" i="2"/>
  <c r="P72" i="2"/>
  <c r="I127" i="2"/>
  <c r="I201" i="2"/>
  <c r="L149" i="3"/>
  <c r="K149" i="2" s="1"/>
  <c r="K150" i="2"/>
  <c r="N71" i="2"/>
  <c r="O61" i="2"/>
  <c r="M173" i="2"/>
  <c r="M38" i="2"/>
  <c r="K104" i="2"/>
  <c r="G165" i="2"/>
  <c r="P131" i="3"/>
  <c r="G131" i="2" s="1"/>
  <c r="G132" i="2"/>
  <c r="G164" i="2"/>
  <c r="P18" i="2"/>
  <c r="O92" i="2"/>
  <c r="N151" i="2"/>
  <c r="H213" i="2"/>
  <c r="N23" i="2"/>
  <c r="I22" i="3"/>
  <c r="N22" i="2" s="1"/>
  <c r="O37" i="2"/>
  <c r="P138" i="2"/>
  <c r="P215" i="2"/>
  <c r="J87" i="2"/>
  <c r="M141" i="2"/>
  <c r="M205" i="2"/>
  <c r="J204" i="3"/>
  <c r="M204" i="2" s="1"/>
  <c r="J80" i="2"/>
  <c r="L26" i="2"/>
  <c r="H123" i="2"/>
  <c r="N218" i="2"/>
  <c r="F69" i="2"/>
  <c r="P186" i="3"/>
  <c r="G186" i="2" s="1"/>
  <c r="G187" i="2"/>
  <c r="I207" i="2"/>
  <c r="O71" i="2"/>
  <c r="L20" i="2"/>
  <c r="H218" i="2"/>
  <c r="F211" i="2"/>
  <c r="P59" i="2"/>
  <c r="G58" i="3"/>
  <c r="P58" i="2" s="1"/>
  <c r="N127" i="2"/>
  <c r="N201" i="2"/>
  <c r="O39" i="2"/>
  <c r="F115" i="2"/>
  <c r="O173" i="2"/>
  <c r="P193" i="2"/>
  <c r="L53" i="2"/>
  <c r="I117" i="2"/>
  <c r="O191" i="2"/>
  <c r="G18" i="2"/>
  <c r="H103" i="2"/>
  <c r="N148" i="2"/>
  <c r="F181" i="2"/>
  <c r="H35" i="2"/>
  <c r="G99" i="2"/>
  <c r="H165" i="2"/>
  <c r="K13" i="2"/>
  <c r="P99" i="2"/>
  <c r="J141" i="2"/>
  <c r="N177" i="2"/>
  <c r="J25" i="2"/>
  <c r="O87" i="2"/>
  <c r="M151" i="2"/>
  <c r="H106" i="2"/>
  <c r="F201" i="2"/>
  <c r="N120" i="2"/>
  <c r="K158" i="2"/>
  <c r="F19" i="2"/>
  <c r="J82" i="2"/>
  <c r="K143" i="2"/>
  <c r="J67" i="2"/>
  <c r="G120" i="2"/>
  <c r="H194" i="2"/>
  <c r="N147" i="2"/>
  <c r="L78" i="2"/>
  <c r="J64" i="2"/>
  <c r="N179" i="2"/>
  <c r="F130" i="2"/>
  <c r="F62" i="2"/>
  <c r="Q128" i="2"/>
  <c r="H15" i="2"/>
  <c r="J19" i="2"/>
  <c r="N82" i="2"/>
  <c r="P143" i="2"/>
  <c r="O32" i="2"/>
  <c r="N100" i="2"/>
  <c r="N143" i="2"/>
  <c r="G32" i="2"/>
  <c r="P111" i="2"/>
  <c r="H164" i="2"/>
  <c r="H189" i="2"/>
  <c r="O44" i="2"/>
  <c r="O107" i="2"/>
  <c r="G177" i="2"/>
  <c r="O24" i="2"/>
  <c r="K106" i="2"/>
  <c r="I154" i="2"/>
  <c r="M184" i="2"/>
  <c r="I32" i="2"/>
  <c r="K95" i="3"/>
  <c r="L95" i="2" s="1"/>
  <c r="L96" i="2"/>
  <c r="M161" i="2"/>
  <c r="M188" i="2"/>
  <c r="L87" i="2"/>
  <c r="G127" i="2"/>
  <c r="F165" i="2"/>
  <c r="H27" i="2"/>
  <c r="I89" i="2"/>
  <c r="J154" i="2"/>
  <c r="G97" i="2"/>
  <c r="F176" i="2"/>
  <c r="P221" i="2"/>
  <c r="P155" i="2"/>
  <c r="O101" i="2"/>
  <c r="I71" i="2"/>
  <c r="L192" i="2"/>
  <c r="P6" i="2"/>
  <c r="F89" i="2"/>
  <c r="J130" i="2"/>
  <c r="Q168" i="3"/>
  <c r="F168" i="2" s="1"/>
  <c r="F169" i="2"/>
  <c r="O198" i="2"/>
  <c r="G79" i="2"/>
  <c r="L208" i="2"/>
  <c r="P73" i="2"/>
  <c r="I132" i="2"/>
  <c r="N131" i="3"/>
  <c r="I131" i="2" s="1"/>
  <c r="F206" i="2"/>
  <c r="P151" i="2"/>
  <c r="L196" i="2"/>
  <c r="M52" i="2"/>
  <c r="J111" i="2"/>
  <c r="M179" i="2"/>
  <c r="F139" i="2"/>
  <c r="I62" i="2"/>
  <c r="G55" i="2"/>
  <c r="I165" i="2"/>
  <c r="H43" i="2"/>
  <c r="I106" i="2"/>
  <c r="F170" i="2"/>
  <c r="N135" i="2"/>
  <c r="I38" i="2"/>
  <c r="M45" i="2"/>
  <c r="O151" i="2"/>
  <c r="H13" i="2"/>
  <c r="O88" i="2"/>
  <c r="O142" i="2"/>
  <c r="P206" i="2"/>
  <c r="F27" i="2"/>
  <c r="M39" i="2"/>
  <c r="F140" i="2"/>
  <c r="J217" i="2"/>
  <c r="K76" i="3"/>
  <c r="L76" i="2" s="1"/>
  <c r="L77" i="2"/>
  <c r="H126" i="2"/>
  <c r="M219" i="2"/>
  <c r="O72" i="2"/>
  <c r="M21" i="2"/>
  <c r="J220" i="2"/>
  <c r="H212" i="2"/>
  <c r="H71" i="2"/>
  <c r="J216" i="2"/>
  <c r="F210" i="2"/>
  <c r="J52" i="2"/>
  <c r="F137" i="2"/>
  <c r="K186" i="3"/>
  <c r="L186" i="2" s="1"/>
  <c r="L187" i="2"/>
  <c r="O200" i="2"/>
  <c r="M54" i="2"/>
  <c r="F118" i="2"/>
  <c r="J192" i="2"/>
  <c r="M43" i="2"/>
  <c r="M118" i="2"/>
  <c r="K177" i="2"/>
  <c r="J195" i="2"/>
  <c r="F43" i="2"/>
  <c r="F106" i="2"/>
  <c r="L177" i="2"/>
  <c r="P14" i="2"/>
  <c r="H99" i="2"/>
  <c r="F142" i="2"/>
  <c r="F177" i="2"/>
  <c r="O38" i="2"/>
  <c r="N102" i="2"/>
  <c r="I170" i="2"/>
  <c r="J168" i="3"/>
  <c r="M168" i="2" s="1"/>
  <c r="M169" i="2"/>
  <c r="P87" i="2"/>
  <c r="M127" i="2"/>
  <c r="J165" i="2"/>
  <c r="K20" i="2"/>
  <c r="O83" i="2"/>
  <c r="H144" i="2"/>
  <c r="F171" i="2"/>
  <c r="P53" i="2"/>
  <c r="N117" i="2"/>
  <c r="F190" i="2"/>
  <c r="O40" i="3"/>
  <c r="H40" i="2" s="1"/>
  <c r="H41" i="2"/>
  <c r="L52" i="2"/>
  <c r="L113" i="3"/>
  <c r="K113" i="2" s="1"/>
  <c r="K114" i="2"/>
  <c r="H115" i="2"/>
  <c r="Q44" i="2"/>
  <c r="F48" i="2"/>
  <c r="Q116" i="2"/>
  <c r="O13" i="2"/>
  <c r="G98" i="2"/>
  <c r="O141" i="2"/>
  <c r="I176" i="2"/>
  <c r="F158" i="2"/>
  <c r="F45" i="2"/>
  <c r="L86" i="2"/>
  <c r="Q8" i="2"/>
  <c r="I6" i="2"/>
  <c r="O7" i="2"/>
  <c r="I87" i="2"/>
  <c r="O56" i="2"/>
  <c r="P121" i="2"/>
  <c r="J196" i="2"/>
  <c r="P49" i="2"/>
  <c r="M71" i="2"/>
  <c r="G126" i="2"/>
  <c r="F21" i="2"/>
  <c r="F36" i="2"/>
  <c r="I137" i="2"/>
  <c r="G214" i="2"/>
  <c r="G80" i="2"/>
  <c r="P132" i="2"/>
  <c r="G131" i="3"/>
  <c r="P131" i="2" s="1"/>
  <c r="P195" i="2"/>
  <c r="I118" i="2"/>
  <c r="N32" i="2"/>
  <c r="I130" i="2"/>
  <c r="O210" i="2"/>
  <c r="J69" i="2"/>
  <c r="M185" i="2"/>
  <c r="O207" i="2"/>
  <c r="H58" i="3"/>
  <c r="O58" i="2" s="1"/>
  <c r="O59" i="2"/>
  <c r="P182" i="2"/>
  <c r="N194" i="2"/>
  <c r="J203" i="2"/>
  <c r="I64" i="2"/>
  <c r="L154" i="2"/>
  <c r="F220" i="2"/>
  <c r="J38" i="2"/>
  <c r="J115" i="2"/>
  <c r="G172" i="2"/>
  <c r="G192" i="2"/>
  <c r="N47" i="2"/>
  <c r="N110" i="2"/>
  <c r="G181" i="2"/>
  <c r="O63" i="2"/>
  <c r="P200" i="2"/>
  <c r="N200" i="2"/>
  <c r="K206" i="2"/>
  <c r="H53" i="2"/>
  <c r="K118" i="2"/>
  <c r="I191" i="2"/>
  <c r="O31" i="2"/>
  <c r="O110" i="2"/>
  <c r="I162" i="2"/>
  <c r="G188" i="2"/>
  <c r="H184" i="2"/>
  <c r="G13" i="2"/>
  <c r="L99" i="2"/>
  <c r="L142" i="2"/>
  <c r="J177" i="2"/>
  <c r="L31" i="2"/>
  <c r="M93" i="2"/>
  <c r="G159" i="2"/>
  <c r="O9" i="2"/>
  <c r="I92" i="2"/>
  <c r="K135" i="2"/>
  <c r="I172" i="2"/>
  <c r="O20" i="2"/>
  <c r="F82" i="2"/>
  <c r="M144" i="2"/>
  <c r="H79" i="2"/>
  <c r="P148" i="2"/>
  <c r="P218" i="2"/>
  <c r="O154" i="2"/>
  <c r="H125" i="2"/>
  <c r="N78" i="2"/>
  <c r="P202" i="2"/>
  <c r="M58" i="3"/>
  <c r="J58" i="2" s="1"/>
  <c r="J59" i="2"/>
  <c r="P115" i="2"/>
  <c r="O185" i="2"/>
  <c r="I142" i="2"/>
  <c r="L68" i="2"/>
  <c r="N60" i="2"/>
  <c r="G171" i="2"/>
  <c r="J49" i="2"/>
  <c r="L109" i="2"/>
  <c r="G176" i="2"/>
  <c r="H137" i="2"/>
  <c r="N45" i="2"/>
  <c r="P48" i="2"/>
  <c r="O155" i="2"/>
  <c r="G16" i="2"/>
  <c r="N91" i="2"/>
  <c r="J148" i="2"/>
  <c r="O212" i="2"/>
  <c r="I34" i="2"/>
  <c r="K43" i="2"/>
  <c r="K146" i="2"/>
  <c r="M220" i="2"/>
  <c r="K80" i="2"/>
  <c r="H130" i="2"/>
  <c r="G194" i="2"/>
  <c r="O78" i="2"/>
  <c r="K25" i="2"/>
  <c r="G122" i="2"/>
  <c r="H216" i="2"/>
  <c r="G74" i="2"/>
  <c r="L124" i="2"/>
  <c r="G216" i="2"/>
  <c r="G57" i="2"/>
  <c r="J179" i="2"/>
  <c r="G193" i="2"/>
  <c r="N203" i="2"/>
  <c r="P57" i="2"/>
  <c r="N123" i="2"/>
  <c r="J198" i="2"/>
  <c r="H217" i="2"/>
</calcChain>
</file>

<file path=xl/sharedStrings.xml><?xml version="1.0" encoding="utf-8"?>
<sst xmlns="http://schemas.openxmlformats.org/spreadsheetml/2006/main" count="2327" uniqueCount="155">
  <si>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</si>
  <si>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</si>
  <si>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</si>
  <si>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</si>
  <si>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</si>
  <si>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</si>
  <si>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</si>
  <si>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</si>
  <si>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</si>
  <si>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</si>
  <si>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</si>
  <si>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</si>
  <si>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</si>
  <si>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</si>
  <si>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</si>
  <si>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</si>
  <si>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</si>
  <si>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</si>
  <si>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</si>
  <si>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</si>
  <si>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</si>
  <si>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</si>
  <si>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</si>
  <si>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</si>
  <si>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</si>
  <si>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</si>
  <si>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</si>
  <si>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</si>
  <si>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</si>
  <si>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</si>
  <si>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</si>
  <si>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</si>
  <si>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</si>
  <si>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</si>
  <si>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</si>
  <si>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</si>
  <si>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</si>
  <si>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</si>
  <si>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</si>
  <si>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</si>
  <si>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</si>
  <si>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</si>
  <si>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</si>
  <si>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</si>
  <si>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</si>
  <si>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Growth Measures (%):</t>
  </si>
  <si>
    <t/>
  </si>
  <si>
    <t>Heading</t>
  </si>
  <si>
    <t>Sales Growth (1 Yr)</t>
  </si>
  <si>
    <t>BRITBPOV Index</t>
  </si>
  <si>
    <t>Average</t>
  </si>
  <si>
    <t xml:space="preserve">    Accenture PLC</t>
  </si>
  <si>
    <t>ACN US Equity</t>
  </si>
  <si>
    <t>RR033</t>
  </si>
  <si>
    <t>SALES_GROWTH</t>
  </si>
  <si>
    <t>Dynamic</t>
  </si>
  <si>
    <t xml:space="preserve">    Amdocs Ltd</t>
  </si>
  <si>
    <t>DOX US Equity</t>
  </si>
  <si>
    <t xml:space="preserve">    Atos SE</t>
  </si>
  <si>
    <t>ATO FP Equity</t>
  </si>
  <si>
    <t xml:space="preserve">    Capgemini SE</t>
  </si>
  <si>
    <t>CAP FP Equity</t>
  </si>
  <si>
    <t xml:space="preserve">    CGI Inc</t>
  </si>
  <si>
    <t>GIB US Equity</t>
  </si>
  <si>
    <t xml:space="preserve">    Cognizant Technology Solutions Corp</t>
  </si>
  <si>
    <t>CTSH US Equity</t>
  </si>
  <si>
    <t xml:space="preserve">    Conduent Inc</t>
  </si>
  <si>
    <t>CNDT US Equity</t>
  </si>
  <si>
    <t xml:space="preserve">    DXC Technology Co</t>
  </si>
  <si>
    <t>DXC US Equity</t>
  </si>
  <si>
    <t xml:space="preserve">    EPAM Systems Inc</t>
  </si>
  <si>
    <t>EPAM US Equity</t>
  </si>
  <si>
    <t xml:space="preserve">    Genpact Ltd</t>
  </si>
  <si>
    <t>G US Equity</t>
  </si>
  <si>
    <t xml:space="preserve">    HCL Technologies Ltd</t>
  </si>
  <si>
    <t>HCLT IN Equity</t>
  </si>
  <si>
    <t xml:space="preserve">    Indra Sistemas SA</t>
  </si>
  <si>
    <t>IDR SM Equity</t>
  </si>
  <si>
    <t xml:space="preserve">    Infosys Ltd</t>
  </si>
  <si>
    <t>INFY US Equity</t>
  </si>
  <si>
    <t xml:space="preserve">    International Business Machines Corp</t>
  </si>
  <si>
    <t>IBM US Equity</t>
  </si>
  <si>
    <t xml:space="preserve">    Tata Consultancy Services Ltd</t>
  </si>
  <si>
    <t>TCS IN Equity</t>
  </si>
  <si>
    <t xml:space="preserve">    Tech Mahindra Ltd</t>
  </si>
  <si>
    <t>TECHM IN Equity</t>
  </si>
  <si>
    <t xml:space="preserve">    Wipro Ltd</t>
  </si>
  <si>
    <t>WIT US Equity</t>
  </si>
  <si>
    <t>Sales Growth (3 Yr)</t>
  </si>
  <si>
    <t>RX552</t>
  </si>
  <si>
    <t>NET_SALES_3YR_GEO_GROWTH</t>
  </si>
  <si>
    <t>EBITDA Growth (1 Yr)</t>
  </si>
  <si>
    <t>RR128</t>
  </si>
  <si>
    <t>EBITDA_GROWTH</t>
  </si>
  <si>
    <t>EPS Before XO Growth (1 Yr)</t>
  </si>
  <si>
    <t>RR062</t>
  </si>
  <si>
    <t>EPS_GROWTH</t>
  </si>
  <si>
    <t>EPS Before XO Growth (3 Yr)</t>
  </si>
  <si>
    <t>RX553</t>
  </si>
  <si>
    <t>EPS_BEF_XO_3YR_GEO_GROWTH</t>
  </si>
  <si>
    <t>Profitability Components (%):</t>
  </si>
  <si>
    <t>Gross Margin</t>
  </si>
  <si>
    <t>RR057</t>
  </si>
  <si>
    <t>GROSS_MARGIN</t>
  </si>
  <si>
    <t>Operating Margin</t>
  </si>
  <si>
    <t>RR026</t>
  </si>
  <si>
    <t>OPER_MARGIN</t>
  </si>
  <si>
    <t>EBITDA Margin</t>
  </si>
  <si>
    <t>RX225</t>
  </si>
  <si>
    <t>EBITDA_TO_REVENUE</t>
  </si>
  <si>
    <t>Effective Tax Rate</t>
  </si>
  <si>
    <t>RR037</t>
  </si>
  <si>
    <t>EFF_TAX_RATE</t>
  </si>
  <si>
    <t>Return Measures (%):</t>
  </si>
  <si>
    <t>Return on Assets</t>
  </si>
  <si>
    <t>RR028</t>
  </si>
  <si>
    <t>RETURN_ON_ASSET</t>
  </si>
  <si>
    <t>Return on Equity</t>
  </si>
  <si>
    <t>RR029</t>
  </si>
  <si>
    <t>RETURN_COM_EQY</t>
  </si>
  <si>
    <t>Return on Invested Capital</t>
  </si>
  <si>
    <t>RR710</t>
  </si>
  <si>
    <t>RETURN_ON_INV_CAPITAL</t>
  </si>
  <si>
    <t>Source: Company Filings</t>
  </si>
  <si>
    <t>~~~~~~~~~~</t>
  </si>
  <si>
    <t>All rows below have been added for reference by formula rows above.</t>
  </si>
  <si>
    <t>Currency</t>
  </si>
  <si>
    <t>Periodicity</t>
  </si>
  <si>
    <t>Number of Periods</t>
  </si>
  <si>
    <t>Start Date</t>
  </si>
  <si>
    <t>End Date</t>
  </si>
  <si>
    <t>HeaderStatus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</si>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</sst>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0" fontId="1" fillId="33" borderId="0" xfId="26" applyNumberFormat="1" applyFont="1" applyFill="1" applyBorder="1" applyAlignment="1" applyProtection="1"/>
    <xf numFmtId="0" fontId="0" fillId="0" borderId="0" xfId="0" applyNumberFormat="1"/>
    <xf numFmtId="1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23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2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 ca="1">IFERROR(IF(0=LEN(ReferenceData!$Q$2),"",ReferenceData!$Q$2),"")</f>
        <v>2008</v>
      </c>
      <c r="G2" t="str">
        <f ca="1">IFERROR(IF(0=LEN(ReferenceData!$P$2),"",ReferenceData!$P$2),"")</f>
        <v>2009</v>
      </c>
      <c r="H2" t="str">
        <f ca="1">IFERROR(IF(0=LEN(ReferenceData!$O$2),"",ReferenceData!$O$2),"")</f>
        <v>2010</v>
      </c>
      <c r="I2" t="str">
        <f ca="1">IFERROR(IF(0=LEN(ReferenceData!$N$2),"",ReferenceData!$N$2),"")</f>
        <v>2011</v>
      </c>
      <c r="J2" t="str">
        <f ca="1">IFERROR(IF(0=LEN(ReferenceData!$M$2),"",ReferenceData!$M$2),"")</f>
        <v>2012</v>
      </c>
      <c r="K2" t="str">
        <f ca="1">IFERROR(IF(0=LEN(ReferenceData!$L$2),"",ReferenceData!$L$2),"")</f>
        <v>2013</v>
      </c>
      <c r="L2" t="str">
        <f ca="1">IFERROR(IF(0=LEN(ReferenceData!$K$2),"",ReferenceData!$K$2),"")</f>
        <v>2014</v>
      </c>
      <c r="M2" t="str">
        <f ca="1">IFERROR(IF(0=LEN(ReferenceData!$J$2),"",ReferenceData!$J$2),"")</f>
        <v>2015</v>
      </c>
      <c r="N2" t="str">
        <f ca="1">IFERROR(IF(0=LEN(ReferenceData!$I$2),"",ReferenceData!$I$2),"")</f>
        <v>2016</v>
      </c>
      <c r="O2" t="str">
        <f ca="1">IFERROR(IF(0=LEN(ReferenceData!$H$2),"",ReferenceData!$H$2),"")</f>
        <v>2017</v>
      </c>
      <c r="P2" t="str">
        <f ca="1">IFERROR(IF(0=LEN(ReferenceData!$G$2),"",ReferenceData!$G$2),"")</f>
        <v>2018</v>
      </c>
      <c r="Q2" t="str">
        <f ca="1">IFERROR(IF(0=LEN(ReferenceData!$F$2),"",ReferenceData!$F$2),"")</f>
        <v>2019</v>
      </c>
    </row>
    <row r="3" spans="1:17" x14ac:dyDescent="0.25">
      <c r="A3" t="str">
        <f>IFERROR(IF(0=LEN(ReferenceData!$A$3),"",ReferenceData!$A$3),"")</f>
        <v>Growth Measures (%):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IFERROR(IF(0=LEN(ReferenceData!$Q$3),"",ReferenceData!$Q$3),"")</f>
        <v/>
      </c>
      <c r="G3" t="str">
        <f>IFERROR(IF(0=LEN(ReferenceData!$P$3),"",ReferenceData!$P$3),"")</f>
        <v/>
      </c>
      <c r="H3" t="str">
        <f>IFERROR(IF(0=LEN(ReferenceData!$O$3),"",ReferenceData!$O$3),"")</f>
        <v/>
      </c>
      <c r="I3" t="str">
        <f>IFERROR(IF(0=LEN(ReferenceData!$N$3),"",ReferenceData!$N$3),"")</f>
        <v/>
      </c>
      <c r="J3" t="str">
        <f>IFERROR(IF(0=LEN(ReferenceData!$M$3),"",ReferenceData!$M$3),"")</f>
        <v/>
      </c>
      <c r="K3" t="str">
        <f>IFERROR(IF(0=LEN(ReferenceData!$L$3),"",ReferenceData!$L$3),"")</f>
        <v/>
      </c>
      <c r="L3" t="str">
        <f>IFERROR(IF(0=LEN(ReferenceData!$K$3),"",ReferenceData!$K$3),"")</f>
        <v/>
      </c>
      <c r="M3" t="str">
        <f>IFERROR(IF(0=LEN(ReferenceData!$J$3),"",ReferenceData!$J$3),"")</f>
        <v/>
      </c>
      <c r="N3" t="str">
        <f>IFERROR(IF(0=LEN(ReferenceData!$I$3),"",ReferenceData!$I$3),"")</f>
        <v/>
      </c>
      <c r="O3" t="str">
        <f>IFERROR(IF(0=LEN(ReferenceData!$H$3),"",ReferenceData!$H$3),"")</f>
        <v/>
      </c>
      <c r="P3" t="str">
        <f>IFERROR(IF(0=LEN(ReferenceData!$G$3),"",ReferenceData!$G$3),"")</f>
        <v/>
      </c>
      <c r="Q3" t="str">
        <f>IFERROR(IF(0=LEN(ReferenceData!$F$3),"",ReferenceData!$F$3),"")</f>
        <v/>
      </c>
    </row>
    <row r="4" spans="1:17" x14ac:dyDescent="0.25">
      <c r="A4" t="str">
        <f>IFERROR(IF(0=LEN(ReferenceData!$A$4),"",ReferenceData!$A$4),"")</f>
        <v>Sales Growth (1 Yr)</v>
      </c>
      <c r="B4" t="str">
        <f>IFERROR(IF(0=LEN(ReferenceData!$B$4),"",ReferenceData!$B$4),"")</f>
        <v>BRITBPOV Index</v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Average</v>
      </c>
      <c r="F4">
        <f ca="1">IFERROR(IF(0=LEN(ReferenceData!$Q$4),"",ReferenceData!$Q$4),"")</f>
        <v>18.453172563333336</v>
      </c>
      <c r="G4">
        <f ca="1">IFERROR(IF(0=LEN(ReferenceData!$P$4),"",ReferenceData!$P$4),"")</f>
        <v>1.925860069333333</v>
      </c>
      <c r="H4">
        <f ca="1">IFERROR(IF(0=LEN(ReferenceData!$O$4),"",ReferenceData!$O$4),"")</f>
        <v>13.9889153846</v>
      </c>
      <c r="I4">
        <f ca="1">IFERROR(IF(0=LEN(ReferenceData!$N$4),"",ReferenceData!$N$4),"")</f>
        <v>21.42179899826667</v>
      </c>
      <c r="J4">
        <f ca="1">IFERROR(IF(0=LEN(ReferenceData!$M$4),"",ReferenceData!$M$4),"")</f>
        <v>15.031408218312501</v>
      </c>
      <c r="K4">
        <f ca="1">IFERROR(IF(0=LEN(ReferenceData!$L$4),"",ReferenceData!$L$4),"")</f>
        <v>26.6486739899375</v>
      </c>
      <c r="L4">
        <f ca="1">IFERROR(IF(0=LEN(ReferenceData!$K$4),"",ReferenceData!$K$4),"")</f>
        <v>8.4074593604000007</v>
      </c>
      <c r="M4">
        <f ca="1">IFERROR(IF(0=LEN(ReferenceData!$J$4),"",ReferenceData!$J$4),"")</f>
        <v>8.5121854081333357</v>
      </c>
      <c r="N4">
        <f ca="1">IFERROR(IF(0=LEN(ReferenceData!$I$4),"",ReferenceData!$I$4),"")</f>
        <v>6.9808094650625003</v>
      </c>
      <c r="O4">
        <f ca="1">IFERROR(IF(0=LEN(ReferenceData!$H$4),"",ReferenceData!$H$4),"")</f>
        <v>3.4795207235294119</v>
      </c>
      <c r="P4">
        <f ca="1">IFERROR(IF(0=LEN(ReferenceData!$G$4),"",ReferenceData!$G$4),"")</f>
        <v>6.7920567900588242</v>
      </c>
      <c r="Q4">
        <f ca="1">IFERROR(IF(0=LEN(ReferenceData!$F$4),"",ReferenceData!$F$4),"")</f>
        <v>5.5819916998823524</v>
      </c>
    </row>
    <row r="5" spans="1:17" x14ac:dyDescent="0.25">
      <c r="A5" t="str">
        <f>IFERROR(IF(0=LEN(ReferenceData!$A$5),"",ReferenceData!$A$5),"")</f>
        <v xml:space="preserve">    Accenture PLC</v>
      </c>
      <c r="B5" t="str">
        <f>IFERROR(IF(0=LEN(ReferenceData!$B$5),"",ReferenceData!$B$5),"")</f>
        <v>ACN US Equity</v>
      </c>
      <c r="C5" t="str">
        <f>IFERROR(IF(0=LEN(ReferenceData!$C$5),"",ReferenceData!$C$5),"")</f>
        <v>RR033</v>
      </c>
      <c r="D5" t="str">
        <f>IFERROR(IF(0=LEN(ReferenceData!$D$5),"",ReferenceData!$D$5),"")</f>
        <v>SALES_GROWTH</v>
      </c>
      <c r="E5" t="str">
        <f>IFERROR(IF(0=LEN(ReferenceData!$E$5),"",ReferenceData!$E$5),"")</f>
        <v>Dynamic</v>
      </c>
      <c r="F5">
        <f ca="1">IFERROR(IF(0=LEN(ReferenceData!$Q$5),"",ReferenceData!$Q$5),"")</f>
        <v>17.998063370000001</v>
      </c>
      <c r="G5">
        <f ca="1">IFERROR(IF(0=LEN(ReferenceData!$P$5),"",ReferenceData!$P$5),"")</f>
        <v>-8.4651684019999998</v>
      </c>
      <c r="H5">
        <f ca="1">IFERROR(IF(0=LEN(ReferenceData!$O$5),"",ReferenceData!$O$5),"")</f>
        <v>-0.331837669</v>
      </c>
      <c r="I5">
        <f ca="1">IFERROR(IF(0=LEN(ReferenceData!$N$5),"",ReferenceData!$N$5),"")</f>
        <v>18.441247149999999</v>
      </c>
      <c r="J5">
        <f ca="1">IFERROR(IF(0=LEN(ReferenceData!$M$5),"",ReferenceData!$M$5),"")</f>
        <v>8.8658597760000006</v>
      </c>
      <c r="K5">
        <f ca="1">IFERROR(IF(0=LEN(ReferenceData!$L$5),"",ReferenceData!$L$5),"")</f>
        <v>2.069649777</v>
      </c>
      <c r="L5">
        <f ca="1">IFERROR(IF(0=LEN(ReferenceData!$K$5),"",ReferenceData!$K$5),"")</f>
        <v>4.8706294620000001</v>
      </c>
      <c r="M5">
        <f ca="1">IFERROR(IF(0=LEN(ReferenceData!$J$5),"",ReferenceData!$J$5),"")</f>
        <v>3.261981188</v>
      </c>
      <c r="N5">
        <f ca="1">IFERROR(IF(0=LEN(ReferenceData!$I$5),"",ReferenceData!$I$5),"")</f>
        <v>5.7216161520000002</v>
      </c>
      <c r="O5">
        <f ca="1">IFERROR(IF(0=LEN(ReferenceData!$H$5),"",ReferenceData!$H$5),"")</f>
        <v>5.6550266410000001</v>
      </c>
      <c r="P5">
        <f ca="1">IFERROR(IF(0=LEN(ReferenceData!$G$5),"",ReferenceData!$G$5),"")</f>
        <v>11.497350859999999</v>
      </c>
      <c r="Q5">
        <f ca="1">IFERROR(IF(0=LEN(ReferenceData!$F$5),"",ReferenceData!$F$5),"")</f>
        <v>5.4216677600000001</v>
      </c>
    </row>
    <row r="6" spans="1:17" x14ac:dyDescent="0.25">
      <c r="A6" t="str">
        <f>IFERROR(IF(0=LEN(ReferenceData!$A$6),"",ReferenceData!$A$6),"")</f>
        <v xml:space="preserve">    Amdocs Ltd</v>
      </c>
      <c r="B6" t="str">
        <f>IFERROR(IF(0=LEN(ReferenceData!$B$6),"",ReferenceData!$B$6),"")</f>
        <v>DOX US Equity</v>
      </c>
      <c r="C6" t="str">
        <f>IFERROR(IF(0=LEN(ReferenceData!$C$6),"",ReferenceData!$C$6),"")</f>
        <v>RR033</v>
      </c>
      <c r="D6" t="str">
        <f>IFERROR(IF(0=LEN(ReferenceData!$D$6),"",ReferenceData!$D$6),"")</f>
        <v>SALES_GROWTH</v>
      </c>
      <c r="E6" t="str">
        <f>IFERROR(IF(0=LEN(ReferenceData!$E$6),"",ReferenceData!$E$6),"")</f>
        <v>Dynamic</v>
      </c>
      <c r="F6">
        <f ca="1">IFERROR(IF(0=LEN(ReferenceData!$Q$6),"",ReferenceData!$Q$6),"")</f>
        <v>11.491647370000001</v>
      </c>
      <c r="G6">
        <f ca="1">IFERROR(IF(0=LEN(ReferenceData!$P$6),"",ReferenceData!$P$6),"")</f>
        <v>-9.4712178250000001</v>
      </c>
      <c r="H6">
        <f ca="1">IFERROR(IF(0=LEN(ReferenceData!$O$6),"",ReferenceData!$O$6),"")</f>
        <v>4.2484350800000001</v>
      </c>
      <c r="I6">
        <f ca="1">IFERROR(IF(0=LEN(ReferenceData!$N$6),"",ReferenceData!$N$6),"")</f>
        <v>6.484267429</v>
      </c>
      <c r="J6">
        <f ca="1">IFERROR(IF(0=LEN(ReferenceData!$M$6),"",ReferenceData!$M$6),"")</f>
        <v>2.1768697640000001</v>
      </c>
      <c r="K6">
        <f ca="1">IFERROR(IF(0=LEN(ReferenceData!$L$6),"",ReferenceData!$L$6),"")</f>
        <v>3.0475502350000001</v>
      </c>
      <c r="L6">
        <f ca="1">IFERROR(IF(0=LEN(ReferenceData!$K$6),"",ReferenceData!$K$6),"")</f>
        <v>6.5090407409999997</v>
      </c>
      <c r="M6">
        <f ca="1">IFERROR(IF(0=LEN(ReferenceData!$J$6),"",ReferenceData!$J$6),"")</f>
        <v>2.2421194980000001</v>
      </c>
      <c r="N6">
        <f ca="1">IFERROR(IF(0=LEN(ReferenceData!$I$6),"",ReferenceData!$I$6),"")</f>
        <v>2.049958035</v>
      </c>
      <c r="O6">
        <f ca="1">IFERROR(IF(0=LEN(ReferenceData!$H$6),"",ReferenceData!$H$6),"")</f>
        <v>4.0052939179999996</v>
      </c>
      <c r="P6">
        <f ca="1">IFERROR(IF(0=LEN(ReferenceData!$G$6),"",ReferenceData!$G$6),"")</f>
        <v>2.7845276440000002</v>
      </c>
      <c r="Q6">
        <f ca="1">IFERROR(IF(0=LEN(ReferenceData!$F$6),"",ReferenceData!$F$6),"")</f>
        <v>2.813499019</v>
      </c>
    </row>
    <row r="7" spans="1:17" x14ac:dyDescent="0.25">
      <c r="A7" t="str">
        <f>IFERROR(IF(0=LEN(ReferenceData!$A$7),"",ReferenceData!$A$7),"")</f>
        <v xml:space="preserve">    Atos SE</v>
      </c>
      <c r="B7" t="str">
        <f>IFERROR(IF(0=LEN(ReferenceData!$B$7),"",ReferenceData!$B$7),"")</f>
        <v>ATO FP Equity</v>
      </c>
      <c r="C7" t="str">
        <f>IFERROR(IF(0=LEN(ReferenceData!$C$7),"",ReferenceData!$C$7),"")</f>
        <v>RR033</v>
      </c>
      <c r="D7" t="str">
        <f>IFERROR(IF(0=LEN(ReferenceData!$D$7),"",ReferenceData!$D$7),"")</f>
        <v>SALES_GROWTH</v>
      </c>
      <c r="E7" t="str">
        <f>IFERROR(IF(0=LEN(ReferenceData!$E$7),"",ReferenceData!$E$7),"")</f>
        <v>Dynamic</v>
      </c>
      <c r="F7">
        <f ca="1">IFERROR(IF(0=LEN(ReferenceData!$Q$7),"",ReferenceData!$Q$7),"")</f>
        <v>-3.9604467670000001</v>
      </c>
      <c r="G7">
        <f ca="1">IFERROR(IF(0=LEN(ReferenceData!$P$7),"",ReferenceData!$P$7),"")</f>
        <v>-8.8290210719999997</v>
      </c>
      <c r="H7">
        <f ca="1">IFERROR(IF(0=LEN(ReferenceData!$O$7),"",ReferenceData!$O$7),"")</f>
        <v>-2.0752876929999999</v>
      </c>
      <c r="I7">
        <f ca="1">IFERROR(IF(0=LEN(ReferenceData!$N$7),"",ReferenceData!$N$7),"")</f>
        <v>35.690953270000001</v>
      </c>
      <c r="J7">
        <f ca="1">IFERROR(IF(0=LEN(ReferenceData!$M$7),"",ReferenceData!$M$7),"")</f>
        <v>29.82458716</v>
      </c>
      <c r="K7">
        <f ca="1">IFERROR(IF(0=LEN(ReferenceData!$L$7),"",ReferenceData!$L$7),"")</f>
        <v>-2.5971529690000001</v>
      </c>
      <c r="L7">
        <f ca="1">IFERROR(IF(0=LEN(ReferenceData!$K$7),"",ReferenceData!$K$7),"")</f>
        <v>5.0681401340000001</v>
      </c>
      <c r="M7">
        <f ca="1">IFERROR(IF(0=LEN(ReferenceData!$J$7),"",ReferenceData!$J$7),"")</f>
        <v>18.056169350000001</v>
      </c>
      <c r="N7">
        <f ca="1">IFERROR(IF(0=LEN(ReferenceData!$I$7),"",ReferenceData!$I$7),"")</f>
        <v>13.59037949</v>
      </c>
      <c r="O7">
        <f ca="1">IFERROR(IF(0=LEN(ReferenceData!$H$7),"",ReferenceData!$H$7),"")</f>
        <v>-1.167436994</v>
      </c>
      <c r="P7">
        <f ca="1">IFERROR(IF(0=LEN(ReferenceData!$G$7),"",ReferenceData!$G$7),"")</f>
        <v>-11.23707903</v>
      </c>
      <c r="Q7">
        <f ca="1">IFERROR(IF(0=LEN(ReferenceData!$F$7),"",ReferenceData!$F$7),"")</f>
        <v>8.827948911</v>
      </c>
    </row>
    <row r="8" spans="1:17" x14ac:dyDescent="0.25">
      <c r="A8" t="str">
        <f>IFERROR(IF(0=LEN(ReferenceData!$A$8),"",ReferenceData!$A$8),"")</f>
        <v xml:space="preserve">    Capgemini SE</v>
      </c>
      <c r="B8" t="str">
        <f>IFERROR(IF(0=LEN(ReferenceData!$B$8),"",ReferenceData!$B$8),"")</f>
        <v>CAP FP Equity</v>
      </c>
      <c r="C8" t="str">
        <f>IFERROR(IF(0=LEN(ReferenceData!$C$8),"",ReferenceData!$C$8),"")</f>
        <v>RR033</v>
      </c>
      <c r="D8" t="str">
        <f>IFERROR(IF(0=LEN(ReferenceData!$D$8),"",ReferenceData!$D$8),"")</f>
        <v>SALES_GROWTH</v>
      </c>
      <c r="E8" t="str">
        <f>IFERROR(IF(0=LEN(ReferenceData!$E$8),"",ReferenceData!$E$8),"")</f>
        <v>Dynamic</v>
      </c>
      <c r="F8">
        <f ca="1">IFERROR(IF(0=LEN(ReferenceData!$Q$8),"",ReferenceData!$Q$8),"")</f>
        <v>8.0432034999999999E-2</v>
      </c>
      <c r="G8">
        <f ca="1">IFERROR(IF(0=LEN(ReferenceData!$P$8),"",ReferenceData!$P$8),"")</f>
        <v>-3.8920780709999998</v>
      </c>
      <c r="H8">
        <f ca="1">IFERROR(IF(0=LEN(ReferenceData!$O$8),"",ReferenceData!$O$8),"")</f>
        <v>3.8943973239999998</v>
      </c>
      <c r="I8">
        <f ca="1">IFERROR(IF(0=LEN(ReferenceData!$N$8),"",ReferenceData!$N$8),"")</f>
        <v>11.45222491</v>
      </c>
      <c r="J8">
        <f ca="1">IFERROR(IF(0=LEN(ReferenceData!$M$8),"",ReferenceData!$M$8),"")</f>
        <v>5.8908490660000004</v>
      </c>
      <c r="K8">
        <f ca="1">IFERROR(IF(0=LEN(ReferenceData!$L$8),"",ReferenceData!$L$8),"")</f>
        <v>-1.6757599379999999</v>
      </c>
      <c r="L8">
        <f ca="1">IFERROR(IF(0=LEN(ReferenceData!$K$8),"",ReferenceData!$K$8),"")</f>
        <v>4.7661514069999997</v>
      </c>
      <c r="M8">
        <f ca="1">IFERROR(IF(0=LEN(ReferenceData!$J$8),"",ReferenceData!$J$8),"")</f>
        <v>12.692707840000001</v>
      </c>
      <c r="N8">
        <f ca="1">IFERROR(IF(0=LEN(ReferenceData!$I$8),"",ReferenceData!$I$8),"")</f>
        <v>5.2370960970000002</v>
      </c>
      <c r="O8">
        <f ca="1">IFERROR(IF(0=LEN(ReferenceData!$H$8),"",ReferenceData!$H$8),"")</f>
        <v>-0.11165164700000001</v>
      </c>
      <c r="P8">
        <f ca="1">IFERROR(IF(0=LEN(ReferenceData!$G$8),"",ReferenceData!$G$8),"")</f>
        <v>5.3652694609999996</v>
      </c>
      <c r="Q8">
        <f ca="1">IFERROR(IF(0=LEN(ReferenceData!$F$8),"",ReferenceData!$F$8),"")</f>
        <v>7.0319011900000001</v>
      </c>
    </row>
    <row r="9" spans="1:17" x14ac:dyDescent="0.25">
      <c r="A9" t="str">
        <f>IFERROR(IF(0=LEN(ReferenceData!$A$9),"",ReferenceData!$A$9),"")</f>
        <v xml:space="preserve">    CGI Inc</v>
      </c>
      <c r="B9" t="str">
        <f>IFERROR(IF(0=LEN(ReferenceData!$B$9),"",ReferenceData!$B$9),"")</f>
        <v>GIB US Equity</v>
      </c>
      <c r="C9" t="str">
        <f>IFERROR(IF(0=LEN(ReferenceData!$C$9),"",ReferenceData!$C$9),"")</f>
        <v>RR033</v>
      </c>
      <c r="D9" t="str">
        <f>IFERROR(IF(0=LEN(ReferenceData!$D$9),"",ReferenceData!$D$9),"")</f>
        <v>SALES_GROWTH</v>
      </c>
      <c r="E9" t="str">
        <f>IFERROR(IF(0=LEN(ReferenceData!$E$9),"",ReferenceData!$E$9),"")</f>
        <v>Dynamic</v>
      </c>
      <c r="F9">
        <f ca="1">IFERROR(IF(0=LEN(ReferenceData!$Q$9),"",ReferenceData!$Q$9),"")</f>
        <v>1.979061323</v>
      </c>
      <c r="G9">
        <f ca="1">IFERROR(IF(0=LEN(ReferenceData!$P$9),"",ReferenceData!$P$9),"")</f>
        <v>3.2191691919999998</v>
      </c>
      <c r="H9">
        <f ca="1">IFERROR(IF(0=LEN(ReferenceData!$O$9),"",ReferenceData!$O$9),"")</f>
        <v>-2.4324204919999999</v>
      </c>
      <c r="I9">
        <f ca="1">IFERROR(IF(0=LEN(ReferenceData!$N$9),"",ReferenceData!$N$9),"")</f>
        <v>13.17817743</v>
      </c>
      <c r="J9">
        <f ca="1">IFERROR(IF(0=LEN(ReferenceData!$M$9),"",ReferenceData!$M$9),"")</f>
        <v>12.985784369999999</v>
      </c>
      <c r="K9">
        <f ca="1">IFERROR(IF(0=LEN(ReferenceData!$L$9),"",ReferenceData!$L$9),"")</f>
        <v>111.3089828</v>
      </c>
      <c r="L9">
        <f ca="1">IFERROR(IF(0=LEN(ReferenceData!$K$9),"",ReferenceData!$K$9),"")</f>
        <v>4.1158500309999999</v>
      </c>
      <c r="M9">
        <f ca="1">IFERROR(IF(0=LEN(ReferenceData!$J$9),"",ReferenceData!$J$9),"")</f>
        <v>-2.0247832030000001</v>
      </c>
      <c r="N9">
        <f ca="1">IFERROR(IF(0=LEN(ReferenceData!$I$9),"",ReferenceData!$I$9),"")</f>
        <v>3.8511160000000002</v>
      </c>
      <c r="O9">
        <f ca="1">IFERROR(IF(0=LEN(ReferenceData!$H$9),"",ReferenceData!$H$9),"")</f>
        <v>1.5145371299999999</v>
      </c>
      <c r="P9">
        <f ca="1">IFERROR(IF(0=LEN(ReferenceData!$G$9),"",ReferenceData!$G$9),"")</f>
        <v>6.1019361249999999</v>
      </c>
      <c r="Q9">
        <f ca="1">IFERROR(IF(0=LEN(ReferenceData!$F$9),"",ReferenceData!$F$9),"")</f>
        <v>5.2526305039999999</v>
      </c>
    </row>
    <row r="10" spans="1:17" x14ac:dyDescent="0.25">
      <c r="A10" t="str">
        <f>IFERROR(IF(0=LEN(ReferenceData!$A$10),"",ReferenceData!$A$10),"")</f>
        <v xml:space="preserve">    Cognizant Technology Solutions Corp</v>
      </c>
      <c r="B10" t="str">
        <f>IFERROR(IF(0=LEN(ReferenceData!$B$10),"",ReferenceData!$B$10),"")</f>
        <v>CTSH US Equity</v>
      </c>
      <c r="C10" t="str">
        <f>IFERROR(IF(0=LEN(ReferenceData!$C$10),"",ReferenceData!$C$10),"")</f>
        <v>RR033</v>
      </c>
      <c r="D10" t="str">
        <f>IFERROR(IF(0=LEN(ReferenceData!$D$10),"",ReferenceData!$D$10),"")</f>
        <v>SALES_GROWTH</v>
      </c>
      <c r="E10" t="str">
        <f>IFERROR(IF(0=LEN(ReferenceData!$E$10),"",ReferenceData!$E$10),"")</f>
        <v>Dynamic</v>
      </c>
      <c r="F10">
        <f ca="1">IFERROR(IF(0=LEN(ReferenceData!$Q$10),"",ReferenceData!$Q$10),"")</f>
        <v>31.875554009999998</v>
      </c>
      <c r="G10">
        <f ca="1">IFERROR(IF(0=LEN(ReferenceData!$P$10),"",ReferenceData!$P$10),"")</f>
        <v>16.41722627</v>
      </c>
      <c r="H10">
        <f ca="1">IFERROR(IF(0=LEN(ReferenceData!$O$10),"",ReferenceData!$O$10),"")</f>
        <v>40.068954939999998</v>
      </c>
      <c r="I10">
        <f ca="1">IFERROR(IF(0=LEN(ReferenceData!$N$10),"",ReferenceData!$N$10),"")</f>
        <v>33.289144280000002</v>
      </c>
      <c r="J10">
        <f ca="1">IFERROR(IF(0=LEN(ReferenceData!$M$10),"",ReferenceData!$M$10),"")</f>
        <v>20.01772214</v>
      </c>
      <c r="K10">
        <f ca="1">IFERROR(IF(0=LEN(ReferenceData!$L$10),"",ReferenceData!$L$10),"")</f>
        <v>20.373275769999999</v>
      </c>
      <c r="L10">
        <f ca="1">IFERROR(IF(0=LEN(ReferenceData!$K$10),"",ReferenceData!$K$10),"")</f>
        <v>16.05202603</v>
      </c>
      <c r="M10">
        <f ca="1">IFERROR(IF(0=LEN(ReferenceData!$J$10),"",ReferenceData!$J$10),"")</f>
        <v>20.981807910000001</v>
      </c>
      <c r="N10">
        <f ca="1">IFERROR(IF(0=LEN(ReferenceData!$I$10),"",ReferenceData!$I$10),"")</f>
        <v>8.6259664950000001</v>
      </c>
      <c r="O10">
        <f ca="1">IFERROR(IF(0=LEN(ReferenceData!$H$10),"",ReferenceData!$H$10),"")</f>
        <v>9.8094461329999998</v>
      </c>
      <c r="P10">
        <f ca="1">IFERROR(IF(0=LEN(ReferenceData!$G$10),"",ReferenceData!$G$10),"")</f>
        <v>8.8791357190000006</v>
      </c>
      <c r="Q10">
        <f ca="1">IFERROR(IF(0=LEN(ReferenceData!$F$10),"",ReferenceData!$F$10),"")</f>
        <v>4.0806201550000001</v>
      </c>
    </row>
    <row r="11" spans="1:17" x14ac:dyDescent="0.25">
      <c r="A11" t="str">
        <f>IFERROR(IF(0=LEN(ReferenceData!$A$11),"",ReferenceData!$A$11),"")</f>
        <v xml:space="preserve">    Conduent Inc</v>
      </c>
      <c r="B11" t="str">
        <f>IFERROR(IF(0=LEN(ReferenceData!$B$11),"",ReferenceData!$B$11),"")</f>
        <v>CNDT US Equity</v>
      </c>
      <c r="C11" t="str">
        <f>IFERROR(IF(0=LEN(ReferenceData!$C$11),"",ReferenceData!$C$11),"")</f>
        <v>RR033</v>
      </c>
      <c r="D11" t="str">
        <f>IFERROR(IF(0=LEN(ReferenceData!$D$11),"",ReferenceData!$D$11),"")</f>
        <v>SALES_GROWTH</v>
      </c>
      <c r="E11" t="str">
        <f>IFERROR(IF(0=LEN(ReferenceData!$E$11),"",ReferenceData!$E$11),"")</f>
        <v>Dynamic</v>
      </c>
      <c r="F11" t="str">
        <f ca="1">IFERROR(IF(0=LEN(ReferenceData!$Q$11),"",ReferenceData!$Q$11),"")</f>
        <v/>
      </c>
      <c r="G11" t="str">
        <f ca="1">IFERROR(IF(0=LEN(ReferenceData!$P$11),"",ReferenceData!$P$11),"")</f>
        <v/>
      </c>
      <c r="H11" t="str">
        <f ca="1">IFERROR(IF(0=LEN(ReferenceData!$O$11),"",ReferenceData!$O$11),"")</f>
        <v/>
      </c>
      <c r="I11" t="str">
        <f ca="1">IFERROR(IF(0=LEN(ReferenceData!$N$11),"",ReferenceData!$N$11),"")</f>
        <v/>
      </c>
      <c r="J11">
        <f ca="1">IFERROR(IF(0=LEN(ReferenceData!$M$11),"",ReferenceData!$M$11),"")</f>
        <v>9.5473382210000004</v>
      </c>
      <c r="K11">
        <f ca="1">IFERROR(IF(0=LEN(ReferenceData!$L$11),"",ReferenceData!$L$11),"")</f>
        <v>8.7298123000000005E-2</v>
      </c>
      <c r="L11">
        <f ca="1">IFERROR(IF(0=LEN(ReferenceData!$K$11),"",ReferenceData!$K$11),"")</f>
        <v>0.85768280299999999</v>
      </c>
      <c r="M11">
        <f ca="1">IFERROR(IF(0=LEN(ReferenceData!$J$11),"",ReferenceData!$J$11),"")</f>
        <v>-3.9780916689999999</v>
      </c>
      <c r="N11">
        <f ca="1">IFERROR(IF(0=LEN(ReferenceData!$I$11),"",ReferenceData!$I$11),"")</f>
        <v>-3.8126688679999998</v>
      </c>
      <c r="O11">
        <f ca="1">IFERROR(IF(0=LEN(ReferenceData!$H$11),"",ReferenceData!$H$11),"")</f>
        <v>-6.0237203499999996</v>
      </c>
      <c r="P11">
        <f ca="1">IFERROR(IF(0=LEN(ReferenceData!$G$11),"",ReferenceData!$G$11),"")</f>
        <v>-10.445034870000001</v>
      </c>
      <c r="Q11">
        <f ca="1">IFERROR(IF(0=LEN(ReferenceData!$F$11),"",ReferenceData!$F$11),"")</f>
        <v>-17.170406079999999</v>
      </c>
    </row>
    <row r="12" spans="1:17" x14ac:dyDescent="0.25">
      <c r="A12" t="str">
        <f>IFERROR(IF(0=LEN(ReferenceData!$A$12),"",ReferenceData!$A$12),"")</f>
        <v xml:space="preserve">    DXC Technology Co</v>
      </c>
      <c r="B12" t="str">
        <f>IFERROR(IF(0=LEN(ReferenceData!$B$12),"",ReferenceData!$B$12),"")</f>
        <v>DXC US Equity</v>
      </c>
      <c r="C12" t="str">
        <f>IFERROR(IF(0=LEN(ReferenceData!$C$12),"",ReferenceData!$C$12),"")</f>
        <v>RR033</v>
      </c>
      <c r="D12" t="str">
        <f>IFERROR(IF(0=LEN(ReferenceData!$D$12),"",ReferenceData!$D$12),"")</f>
        <v>SALES_GROWTH</v>
      </c>
      <c r="E12" t="str">
        <f>IFERROR(IF(0=LEN(ReferenceData!$E$12),"",ReferenceData!$E$12),"")</f>
        <v>Dynamic</v>
      </c>
      <c r="F12" t="str">
        <f ca="1">IFERROR(IF(0=LEN(ReferenceData!$Q$12),"",ReferenceData!$Q$12),"")</f>
        <v/>
      </c>
      <c r="G12" t="str">
        <f ca="1">IFERROR(IF(0=LEN(ReferenceData!$P$12),"",ReferenceData!$P$12),"")</f>
        <v/>
      </c>
      <c r="H12" t="str">
        <f ca="1">IFERROR(IF(0=LEN(ReferenceData!$O$12),"",ReferenceData!$O$12),"")</f>
        <v/>
      </c>
      <c r="I12" t="str">
        <f ca="1">IFERROR(IF(0=LEN(ReferenceData!$N$12),"",ReferenceData!$N$12),"")</f>
        <v/>
      </c>
      <c r="J12" t="str">
        <f ca="1">IFERROR(IF(0=LEN(ReferenceData!$M$12),"",ReferenceData!$M$12),"")</f>
        <v/>
      </c>
      <c r="K12" t="str">
        <f ca="1">IFERROR(IF(0=LEN(ReferenceData!$L$12),"",ReferenceData!$L$12),"")</f>
        <v/>
      </c>
      <c r="L12" t="str">
        <f ca="1">IFERROR(IF(0=LEN(ReferenceData!$K$12),"",ReferenceData!$K$12),"")</f>
        <v/>
      </c>
      <c r="M12" t="str">
        <f ca="1">IFERROR(IF(0=LEN(ReferenceData!$J$12),"",ReferenceData!$J$12),"")</f>
        <v/>
      </c>
      <c r="N12" t="str">
        <f ca="1">IFERROR(IF(0=LEN(ReferenceData!$I$12),"",ReferenceData!$I$12),"")</f>
        <v/>
      </c>
      <c r="O12">
        <f ca="1">IFERROR(IF(0=LEN(ReferenceData!$H$12),"",ReferenceData!$H$12),"")</f>
        <v>-14.41679137</v>
      </c>
      <c r="P12">
        <f ca="1">IFERROR(IF(0=LEN(ReferenceData!$G$12),"",ReferenceData!$G$12),"")</f>
        <v>-4.5092716150000003</v>
      </c>
      <c r="Q12">
        <f ca="1">IFERROR(IF(0=LEN(ReferenceData!$F$12),"",ReferenceData!$F$12),"")</f>
        <v>-5.6666506050000001</v>
      </c>
    </row>
    <row r="13" spans="1:17" x14ac:dyDescent="0.25">
      <c r="A13" t="str">
        <f>IFERROR(IF(0=LEN(ReferenceData!$A$13),"",ReferenceData!$A$13),"")</f>
        <v xml:space="preserve">    EPAM Systems Inc</v>
      </c>
      <c r="B13" t="str">
        <f>IFERROR(IF(0=LEN(ReferenceData!$B$13),"",ReferenceData!$B$13),"")</f>
        <v>EPAM US Equity</v>
      </c>
      <c r="C13" t="str">
        <f>IFERROR(IF(0=LEN(ReferenceData!$C$13),"",ReferenceData!$C$13),"")</f>
        <v>RR033</v>
      </c>
      <c r="D13" t="str">
        <f>IFERROR(IF(0=LEN(ReferenceData!$D$13),"",ReferenceData!$D$13),"")</f>
        <v>SALES_GROWTH</v>
      </c>
      <c r="E13" t="str">
        <f>IFERROR(IF(0=LEN(ReferenceData!$E$13),"",ReferenceData!$E$13),"")</f>
        <v>Dynamic</v>
      </c>
      <c r="F13">
        <f ca="1">IFERROR(IF(0=LEN(ReferenceData!$Q$13),"",ReferenceData!$Q$13),"")</f>
        <v>40.849664609999998</v>
      </c>
      <c r="G13">
        <f ca="1">IFERROR(IF(0=LEN(ReferenceData!$P$13),"",ReferenceData!$P$13),"")</f>
        <v>-6.6568305189999997</v>
      </c>
      <c r="H13">
        <f ca="1">IFERROR(IF(0=LEN(ReferenceData!$O$13),"",ReferenceData!$O$13),"")</f>
        <v>47.94283008</v>
      </c>
      <c r="I13">
        <f ca="1">IFERROR(IF(0=LEN(ReferenceData!$N$13),"",ReferenceData!$N$13),"")</f>
        <v>50.80784766</v>
      </c>
      <c r="J13">
        <f ca="1">IFERROR(IF(0=LEN(ReferenceData!$M$13),"",ReferenceData!$M$13),"")</f>
        <v>29.674945000000001</v>
      </c>
      <c r="K13">
        <f ca="1">IFERROR(IF(0=LEN(ReferenceData!$L$13),"",ReferenceData!$L$13),"")</f>
        <v>27.96640841</v>
      </c>
      <c r="L13">
        <f ca="1">IFERROR(IF(0=LEN(ReferenceData!$K$13),"",ReferenceData!$K$13),"")</f>
        <v>31.508672950000001</v>
      </c>
      <c r="M13">
        <f ca="1">IFERROR(IF(0=LEN(ReferenceData!$J$13),"",ReferenceData!$J$13),"")</f>
        <v>25.218382330000001</v>
      </c>
      <c r="N13">
        <f ca="1">IFERROR(IF(0=LEN(ReferenceData!$I$13),"",ReferenceData!$I$13),"")</f>
        <v>26.9113297</v>
      </c>
      <c r="O13">
        <f ca="1">IFERROR(IF(0=LEN(ReferenceData!$H$13),"",ReferenceData!$H$13),"")</f>
        <v>25.02439378</v>
      </c>
      <c r="P13">
        <f ca="1">IFERROR(IF(0=LEN(ReferenceData!$G$13),"",ReferenceData!$G$13),"")</f>
        <v>27.058122730000001</v>
      </c>
      <c r="Q13">
        <f ca="1">IFERROR(IF(0=LEN(ReferenceData!$F$13),"",ReferenceData!$F$13),"")</f>
        <v>24.465953880000001</v>
      </c>
    </row>
    <row r="14" spans="1:17" x14ac:dyDescent="0.25">
      <c r="A14" t="str">
        <f>IFERROR(IF(0=LEN(ReferenceData!$A$14),"",ReferenceData!$A$14),"")</f>
        <v xml:space="preserve">    Genpact Ltd</v>
      </c>
      <c r="B14" t="str">
        <f>IFERROR(IF(0=LEN(ReferenceData!$B$14),"",ReferenceData!$B$14),"")</f>
        <v>G US Equity</v>
      </c>
      <c r="C14" t="str">
        <f>IFERROR(IF(0=LEN(ReferenceData!$C$14),"",ReferenceData!$C$14),"")</f>
        <v>RR033</v>
      </c>
      <c r="D14" t="str">
        <f>IFERROR(IF(0=LEN(ReferenceData!$D$14),"",ReferenceData!$D$14),"")</f>
        <v>SALES_GROWTH</v>
      </c>
      <c r="E14" t="str">
        <f>IFERROR(IF(0=LEN(ReferenceData!$E$14),"",ReferenceData!$E$14),"")</f>
        <v>Dynamic</v>
      </c>
      <c r="F14">
        <f ca="1">IFERROR(IF(0=LEN(ReferenceData!$Q$14),"",ReferenceData!$Q$14),"")</f>
        <v>26.443594340000001</v>
      </c>
      <c r="G14">
        <f ca="1">IFERROR(IF(0=LEN(ReferenceData!$P$14),"",ReferenceData!$P$14),"")</f>
        <v>7.6114933320000002</v>
      </c>
      <c r="H14">
        <f ca="1">IFERROR(IF(0=LEN(ReferenceData!$O$14),"",ReferenceData!$O$14),"")</f>
        <v>12.40028534</v>
      </c>
      <c r="I14">
        <f ca="1">IFERROR(IF(0=LEN(ReferenceData!$N$14),"",ReferenceData!$N$14),"")</f>
        <v>27.1233547</v>
      </c>
      <c r="J14">
        <f ca="1">IFERROR(IF(0=LEN(ReferenceData!$M$14),"",ReferenceData!$M$14),"")</f>
        <v>18.840803380000001</v>
      </c>
      <c r="K14">
        <f ca="1">IFERROR(IF(0=LEN(ReferenceData!$L$14),"",ReferenceData!$L$14),"")</f>
        <v>12.09408556</v>
      </c>
      <c r="L14">
        <f ca="1">IFERROR(IF(0=LEN(ReferenceData!$K$14),"",ReferenceData!$K$14),"")</f>
        <v>6.9156288679999998</v>
      </c>
      <c r="M14">
        <f ca="1">IFERROR(IF(0=LEN(ReferenceData!$J$14),"",ReferenceData!$J$14),"")</f>
        <v>7.9671392689999996</v>
      </c>
      <c r="N14">
        <f ca="1">IFERROR(IF(0=LEN(ReferenceData!$I$14),"",ReferenceData!$I$14),"")</f>
        <v>4.4579454900000002</v>
      </c>
      <c r="O14">
        <f ca="1">IFERROR(IF(0=LEN(ReferenceData!$H$14),"",ReferenceData!$H$14),"")</f>
        <v>6.4639740220000004</v>
      </c>
      <c r="P14">
        <f ca="1">IFERROR(IF(0=LEN(ReferenceData!$G$14),"",ReferenceData!$G$14),"")</f>
        <v>9.6407689059999999</v>
      </c>
      <c r="Q14">
        <f ca="1">IFERROR(IF(0=LEN(ReferenceData!$F$14),"",ReferenceData!$F$14),"")</f>
        <v>17.320538920000001</v>
      </c>
    </row>
    <row r="15" spans="1:17" x14ac:dyDescent="0.25">
      <c r="A15" t="str">
        <f>IFERROR(IF(0=LEN(ReferenceData!$A$15),"",ReferenceData!$A$15),"")</f>
        <v xml:space="preserve">    HCL Technologies Ltd</v>
      </c>
      <c r="B15" t="str">
        <f>IFERROR(IF(0=LEN(ReferenceData!$B$15),"",ReferenceData!$B$15),"")</f>
        <v>HCLT IN Equity</v>
      </c>
      <c r="C15" t="str">
        <f>IFERROR(IF(0=LEN(ReferenceData!$C$15),"",ReferenceData!$C$15),"")</f>
        <v>RR033</v>
      </c>
      <c r="D15" t="str">
        <f>IFERROR(IF(0=LEN(ReferenceData!$D$15),"",ReferenceData!$D$15),"")</f>
        <v>SALES_GROWTH</v>
      </c>
      <c r="E15" t="str">
        <f>IFERROR(IF(0=LEN(ReferenceData!$E$15),"",ReferenceData!$E$15),"")</f>
        <v>Dynamic</v>
      </c>
      <c r="F15">
        <f ca="1">IFERROR(IF(0=LEN(ReferenceData!$Q$15),"",ReferenceData!$Q$15),"")</f>
        <v>35.259917649999998</v>
      </c>
      <c r="G15">
        <f ca="1">IFERROR(IF(0=LEN(ReferenceData!$P$15),"",ReferenceData!$P$15),"")</f>
        <v>18.641153299999999</v>
      </c>
      <c r="H15">
        <f ca="1">IFERROR(IF(0=LEN(ReferenceData!$O$15),"",ReferenceData!$O$15),"")</f>
        <v>29.614816390000001</v>
      </c>
      <c r="I15">
        <f ca="1">IFERROR(IF(0=LEN(ReferenceData!$N$15),"",ReferenceData!$N$15),"")</f>
        <v>32.421999909999997</v>
      </c>
      <c r="J15">
        <f ca="1">IFERROR(IF(0=LEN(ReferenceData!$M$15),"",ReferenceData!$M$15),"")</f>
        <v>22.805494809999999</v>
      </c>
      <c r="K15">
        <f ca="1">IFERROR(IF(0=LEN(ReferenceData!$L$15),"",ReferenceData!$L$15),"")</f>
        <v>14.86114967</v>
      </c>
      <c r="L15" t="str">
        <f ca="1">IFERROR(IF(0=LEN(ReferenceData!$K$15),"",ReferenceData!$K$15),"")</f>
        <v/>
      </c>
      <c r="M15" t="str">
        <f ca="1">IFERROR(IF(0=LEN(ReferenceData!$J$15),"",ReferenceData!$J$15),"")</f>
        <v/>
      </c>
      <c r="N15">
        <f ca="1">IFERROR(IF(0=LEN(ReferenceData!$I$15),"",ReferenceData!$I$15),"")</f>
        <v>16.585612229999999</v>
      </c>
      <c r="O15">
        <f ca="1">IFERROR(IF(0=LEN(ReferenceData!$H$15),"",ReferenceData!$H$15),"")</f>
        <v>6.309913506</v>
      </c>
      <c r="P15">
        <f ca="1">IFERROR(IF(0=LEN(ReferenceData!$G$15),"",ReferenceData!$G$15),"")</f>
        <v>10.053998350000001</v>
      </c>
      <c r="Q15">
        <f ca="1">IFERROR(IF(0=LEN(ReferenceData!$F$15),"",ReferenceData!$F$15),"")</f>
        <v>15.10124647</v>
      </c>
    </row>
    <row r="16" spans="1:17" x14ac:dyDescent="0.25">
      <c r="A16" t="str">
        <f>IFERROR(IF(0=LEN(ReferenceData!$A$16),"",ReferenceData!$A$16),"")</f>
        <v xml:space="preserve">    Indra Sistemas SA</v>
      </c>
      <c r="B16" t="str">
        <f>IFERROR(IF(0=LEN(ReferenceData!$B$16),"",ReferenceData!$B$16),"")</f>
        <v>IDR SM Equity</v>
      </c>
      <c r="C16" t="str">
        <f>IFERROR(IF(0=LEN(ReferenceData!$C$16),"",ReferenceData!$C$16),"")</f>
        <v>RR033</v>
      </c>
      <c r="D16" t="str">
        <f>IFERROR(IF(0=LEN(ReferenceData!$D$16),"",ReferenceData!$D$16),"")</f>
        <v>SALES_GROWTH</v>
      </c>
      <c r="E16" t="str">
        <f>IFERROR(IF(0=LEN(ReferenceData!$E$16),"",ReferenceData!$E$16),"")</f>
        <v>Dynamic</v>
      </c>
      <c r="F16">
        <f ca="1">IFERROR(IF(0=LEN(ReferenceData!$Q$16),"",ReferenceData!$Q$16),"")</f>
        <v>9.7780785689999998</v>
      </c>
      <c r="G16">
        <f ca="1">IFERROR(IF(0=LEN(ReferenceData!$P$16),"",ReferenceData!$P$16),"")</f>
        <v>5.6179175609999996</v>
      </c>
      <c r="H16">
        <f ca="1">IFERROR(IF(0=LEN(ReferenceData!$O$16),"",ReferenceData!$O$16),"")</f>
        <v>1.7425664890000001</v>
      </c>
      <c r="I16">
        <f ca="1">IFERROR(IF(0=LEN(ReferenceData!$N$16),"",ReferenceData!$N$16),"")</f>
        <v>5.1408228730000003</v>
      </c>
      <c r="J16">
        <f ca="1">IFERROR(IF(0=LEN(ReferenceData!$M$16),"",ReferenceData!$M$16),"")</f>
        <v>9.3913137280000001</v>
      </c>
      <c r="K16">
        <f ca="1">IFERROR(IF(0=LEN(ReferenceData!$L$16),"",ReferenceData!$L$16),"")</f>
        <v>-0.91489911499999999</v>
      </c>
      <c r="L16">
        <f ca="1">IFERROR(IF(0=LEN(ReferenceData!$K$16),"",ReferenceData!$K$16),"")</f>
        <v>0.81713807400000005</v>
      </c>
      <c r="M16">
        <f ca="1">IFERROR(IF(0=LEN(ReferenceData!$J$16),"",ReferenceData!$J$16),"")</f>
        <v>-2.977686329</v>
      </c>
      <c r="N16">
        <f ca="1">IFERROR(IF(0=LEN(ReferenceData!$I$16),"",ReferenceData!$I$16),"")</f>
        <v>-4.9501053180000003</v>
      </c>
      <c r="O16">
        <f ca="1">IFERROR(IF(0=LEN(ReferenceData!$H$16),"",ReferenceData!$H$16),"")</f>
        <v>11.137649270000001</v>
      </c>
      <c r="P16">
        <f ca="1">IFERROR(IF(0=LEN(ReferenceData!$G$16),"",ReferenceData!$G$16),"")</f>
        <v>3.0778540040000002</v>
      </c>
      <c r="Q16">
        <f ca="1">IFERROR(IF(0=LEN(ReferenceData!$F$16),"",ReferenceData!$F$16),"")</f>
        <v>3.2284972779999999</v>
      </c>
    </row>
    <row r="17" spans="1:17" x14ac:dyDescent="0.25">
      <c r="A17" t="str">
        <f>IFERROR(IF(0=LEN(ReferenceData!$A$17),"",ReferenceData!$A$17),"")</f>
        <v xml:space="preserve">    Infosys Ltd</v>
      </c>
      <c r="B17" t="str">
        <f>IFERROR(IF(0=LEN(ReferenceData!$B$17),"",ReferenceData!$B$17),"")</f>
        <v>INFY US Equity</v>
      </c>
      <c r="C17" t="str">
        <f>IFERROR(IF(0=LEN(ReferenceData!$C$17),"",ReferenceData!$C$17),"")</f>
        <v>RR033</v>
      </c>
      <c r="D17" t="str">
        <f>IFERROR(IF(0=LEN(ReferenceData!$D$17),"",ReferenceData!$D$17),"")</f>
        <v>SALES_GROWTH</v>
      </c>
      <c r="E17" t="str">
        <f>IFERROR(IF(0=LEN(ReferenceData!$E$17),"",ReferenceData!$E$17),"")</f>
        <v>Dynamic</v>
      </c>
      <c r="F17">
        <f ca="1">IFERROR(IF(0=LEN(ReferenceData!$Q$17),"",ReferenceData!$Q$17),"")</f>
        <v>29.960460099999999</v>
      </c>
      <c r="G17">
        <f ca="1">IFERROR(IF(0=LEN(ReferenceData!$P$17),"",ReferenceData!$P$17),"")</f>
        <v>4.8356612730000004</v>
      </c>
      <c r="H17">
        <f ca="1">IFERROR(IF(0=LEN(ReferenceData!$O$17),"",ReferenceData!$O$17),"")</f>
        <v>20.926039930000002</v>
      </c>
      <c r="I17">
        <f ca="1">IFERROR(IF(0=LEN(ReferenceData!$N$17),"",ReferenceData!$N$17),"")</f>
        <v>22.664630379999998</v>
      </c>
      <c r="J17">
        <f ca="1">IFERROR(IF(0=LEN(ReferenceData!$M$17),"",ReferenceData!$M$17),"")</f>
        <v>19.618189359999999</v>
      </c>
      <c r="K17">
        <f ca="1">IFERROR(IF(0=LEN(ReferenceData!$L$17),"",ReferenceData!$L$17),"")</f>
        <v>24.239195079999998</v>
      </c>
      <c r="L17">
        <f ca="1">IFERROR(IF(0=LEN(ReferenceData!$K$17),"",ReferenceData!$K$17),"")</f>
        <v>6.355095446</v>
      </c>
      <c r="M17">
        <f ca="1">IFERROR(IF(0=LEN(ReferenceData!$J$17),"",ReferenceData!$J$17),"")</f>
        <v>17.108347869999999</v>
      </c>
      <c r="N17">
        <f ca="1">IFERROR(IF(0=LEN(ReferenceData!$I$17),"",ReferenceData!$I$17),"")</f>
        <v>9.6779359720000002</v>
      </c>
      <c r="O17">
        <f ca="1">IFERROR(IF(0=LEN(ReferenceData!$H$17),"",ReferenceData!$H$17),"")</f>
        <v>2.9758775769999999</v>
      </c>
      <c r="P17">
        <f ca="1">IFERROR(IF(0=LEN(ReferenceData!$G$17),"",ReferenceData!$G$17),"")</f>
        <v>17.23292022</v>
      </c>
      <c r="Q17">
        <f ca="1">IFERROR(IF(0=LEN(ReferenceData!$F$17),"",ReferenceData!$F$17),"")</f>
        <v>9.8167523439999993</v>
      </c>
    </row>
    <row r="18" spans="1:17" x14ac:dyDescent="0.25">
      <c r="A18" t="str">
        <f>IFERROR(IF(0=LEN(ReferenceData!$A$18),"",ReferenceData!$A$18),"")</f>
        <v xml:space="preserve">    International Business Machines Corp</v>
      </c>
      <c r="B18" t="str">
        <f>IFERROR(IF(0=LEN(ReferenceData!$B$18),"",ReferenceData!$B$18),"")</f>
        <v>IBM US Equity</v>
      </c>
      <c r="C18" t="str">
        <f>IFERROR(IF(0=LEN(ReferenceData!$C$18),"",ReferenceData!$C$18),"")</f>
        <v>RR033</v>
      </c>
      <c r="D18" t="str">
        <f>IFERROR(IF(0=LEN(ReferenceData!$D$18),"",ReferenceData!$D$18),"")</f>
        <v>SALES_GROWTH</v>
      </c>
      <c r="E18" t="str">
        <f>IFERROR(IF(0=LEN(ReferenceData!$E$18),"",ReferenceData!$E$18),"")</f>
        <v>Dynamic</v>
      </c>
      <c r="F18">
        <f ca="1">IFERROR(IF(0=LEN(ReferenceData!$Q$18),"",ReferenceData!$Q$18),"")</f>
        <v>4.9035288399999999</v>
      </c>
      <c r="G18">
        <f ca="1">IFERROR(IF(0=LEN(ReferenceData!$P$18),"",ReferenceData!$P$18),"")</f>
        <v>-7.59625591</v>
      </c>
      <c r="H18">
        <f ca="1">IFERROR(IF(0=LEN(ReferenceData!$O$18),"",ReferenceData!$O$18),"")</f>
        <v>4.2941581900000001</v>
      </c>
      <c r="I18">
        <f ca="1">IFERROR(IF(0=LEN(ReferenceData!$N$18),"",ReferenceData!$N$18),"")</f>
        <v>7.055171723</v>
      </c>
      <c r="J18">
        <f ca="1">IFERROR(IF(0=LEN(ReferenceData!$M$18),"",ReferenceData!$M$18),"")</f>
        <v>-3.7805379920000002</v>
      </c>
      <c r="K18">
        <f ca="1">IFERROR(IF(0=LEN(ReferenceData!$L$18),"",ReferenceData!$L$18),"")</f>
        <v>-4.3810875439999997</v>
      </c>
      <c r="L18">
        <f ca="1">IFERROR(IF(0=LEN(ReferenceData!$K$18),"",ReferenceData!$K$18),"")</f>
        <v>-5.6665345089999999</v>
      </c>
      <c r="M18">
        <f ca="1">IFERROR(IF(0=LEN(ReferenceData!$J$18),"",ReferenceData!$J$18),"")</f>
        <v>-11.910381170000001</v>
      </c>
      <c r="N18">
        <f ca="1">IFERROR(IF(0=LEN(ReferenceData!$I$18),"",ReferenceData!$I$18),"")</f>
        <v>-2.2289915709999999</v>
      </c>
      <c r="O18">
        <f ca="1">IFERROR(IF(0=LEN(ReferenceData!$H$18),"",ReferenceData!$H$18),"")</f>
        <v>-0.97598818799999998</v>
      </c>
      <c r="P18">
        <f ca="1">IFERROR(IF(0=LEN(ReferenceData!$G$18),"",ReferenceData!$G$18),"")</f>
        <v>0.57114696899999995</v>
      </c>
      <c r="Q18">
        <f ca="1">IFERROR(IF(0=LEN(ReferenceData!$F$18),"",ReferenceData!$F$18),"")</f>
        <v>-3.070698948</v>
      </c>
    </row>
    <row r="19" spans="1:17" x14ac:dyDescent="0.25">
      <c r="A19" t="str">
        <f>IFERROR(IF(0=LEN(ReferenceData!$A$19),"",ReferenceData!$A$19),"")</f>
        <v xml:space="preserve">    Tata Consultancy Services Ltd</v>
      </c>
      <c r="B19" t="str">
        <f>IFERROR(IF(0=LEN(ReferenceData!$B$19),"",ReferenceData!$B$19),"")</f>
        <v>TCS IN Equity</v>
      </c>
      <c r="C19" t="str">
        <f>IFERROR(IF(0=LEN(ReferenceData!$C$19),"",ReferenceData!$C$19),"")</f>
        <v>RR033</v>
      </c>
      <c r="D19" t="str">
        <f>IFERROR(IF(0=LEN(ReferenceData!$D$19),"",ReferenceData!$D$19),"")</f>
        <v>SALES_GROWTH</v>
      </c>
      <c r="E19" t="str">
        <f>IFERROR(IF(0=LEN(ReferenceData!$E$19),"",ReferenceData!$E$19),"")</f>
        <v>Dynamic</v>
      </c>
      <c r="F19">
        <f ca="1">IFERROR(IF(0=LEN(ReferenceData!$Q$19),"",ReferenceData!$Q$19),"")</f>
        <v>22.959638399999999</v>
      </c>
      <c r="G19">
        <f ca="1">IFERROR(IF(0=LEN(ReferenceData!$P$19),"",ReferenceData!$P$19),"")</f>
        <v>7.9676754079999998</v>
      </c>
      <c r="H19">
        <f ca="1">IFERROR(IF(0=LEN(ReferenceData!$O$19),"",ReferenceData!$O$19),"")</f>
        <v>24.295212750000001</v>
      </c>
      <c r="I19">
        <f ca="1">IFERROR(IF(0=LEN(ReferenceData!$N$19),"",ReferenceData!$N$19),"")</f>
        <v>30.996575709999998</v>
      </c>
      <c r="J19">
        <f ca="1">IFERROR(IF(0=LEN(ReferenceData!$M$19),"",ReferenceData!$M$19),"")</f>
        <v>28.829097659999999</v>
      </c>
      <c r="K19">
        <f ca="1">IFERROR(IF(0=LEN(ReferenceData!$L$19),"",ReferenceData!$L$19),"")</f>
        <v>29.877814520000001</v>
      </c>
      <c r="L19">
        <f ca="1">IFERROR(IF(0=LEN(ReferenceData!$K$19),"",ReferenceData!$K$19),"")</f>
        <v>15.69386437</v>
      </c>
      <c r="M19">
        <f ca="1">IFERROR(IF(0=LEN(ReferenceData!$J$19),"",ReferenceData!$J$19),"")</f>
        <v>14.789038720000001</v>
      </c>
      <c r="N19">
        <f ca="1">IFERROR(IF(0=LEN(ReferenceData!$I$19),"",ReferenceData!$I$19),"")</f>
        <v>8.5783185759999991</v>
      </c>
      <c r="O19">
        <f ca="1">IFERROR(IF(0=LEN(ReferenceData!$H$19),"",ReferenceData!$H$19),"")</f>
        <v>4.3554922600000001</v>
      </c>
      <c r="P19">
        <f ca="1">IFERROR(IF(0=LEN(ReferenceData!$G$19),"",ReferenceData!$G$19),"")</f>
        <v>18.975013000000001</v>
      </c>
      <c r="Q19">
        <f ca="1">IFERROR(IF(0=LEN(ReferenceData!$F$19),"",ReferenceData!$F$19),"")</f>
        <v>7.1594873789999998</v>
      </c>
    </row>
    <row r="20" spans="1:17" x14ac:dyDescent="0.25">
      <c r="A20" t="str">
        <f>IFERROR(IF(0=LEN(ReferenceData!$A$20),"",ReferenceData!$A$20),"")</f>
        <v xml:space="preserve">    Tech Mahindra Ltd</v>
      </c>
      <c r="B20" t="str">
        <f>IFERROR(IF(0=LEN(ReferenceData!$B$20),"",ReferenceData!$B$20),"")</f>
        <v>TECHM IN Equity</v>
      </c>
      <c r="C20" t="str">
        <f>IFERROR(IF(0=LEN(ReferenceData!$C$20),"",ReferenceData!$C$20),"")</f>
        <v>RR033</v>
      </c>
      <c r="D20" t="str">
        <f>IFERROR(IF(0=LEN(ReferenceData!$D$20),"",ReferenceData!$D$20),"")</f>
        <v>SALES_GROWTH</v>
      </c>
      <c r="E20" t="str">
        <f>IFERROR(IF(0=LEN(ReferenceData!$E$20),"",ReferenceData!$E$20),"")</f>
        <v>Dynamic</v>
      </c>
      <c r="F20">
        <f ca="1">IFERROR(IF(0=LEN(ReferenceData!$Q$20),"",ReferenceData!$Q$20),"")</f>
        <v>18.549693319999999</v>
      </c>
      <c r="G20">
        <f ca="1">IFERROR(IF(0=LEN(ReferenceData!$P$20),"",ReferenceData!$P$20),"")</f>
        <v>3.5993459809999999</v>
      </c>
      <c r="H20">
        <f ca="1">IFERROR(IF(0=LEN(ReferenceData!$O$20),"",ReferenceData!$O$20),"")</f>
        <v>11.12984823</v>
      </c>
      <c r="I20">
        <f ca="1">IFERROR(IF(0=LEN(ReferenceData!$N$20),"",ReferenceData!$N$20),"")</f>
        <v>6.7993463289999996</v>
      </c>
      <c r="J20">
        <f ca="1">IFERROR(IF(0=LEN(ReferenceData!$M$20),"",ReferenceData!$M$20),"")</f>
        <v>25.199919850000001</v>
      </c>
      <c r="K20">
        <f ca="1">IFERROR(IF(0=LEN(ReferenceData!$L$20),"",ReferenceData!$L$20),"")</f>
        <v>173.9869928</v>
      </c>
      <c r="L20">
        <f ca="1">IFERROR(IF(0=LEN(ReferenceData!$K$20),"",ReferenceData!$K$20),"")</f>
        <v>20.125428809999999</v>
      </c>
      <c r="M20">
        <f ca="1">IFERROR(IF(0=LEN(ReferenceData!$J$20),"",ReferenceData!$J$20),"")</f>
        <v>17.120589890000002</v>
      </c>
      <c r="N20">
        <f ca="1">IFERROR(IF(0=LEN(ReferenceData!$I$20),"",ReferenceData!$I$20),"")</f>
        <v>9.9893561609999999</v>
      </c>
      <c r="O20">
        <f ca="1">IFERROR(IF(0=LEN(ReferenceData!$H$20),"",ReferenceData!$H$20),"")</f>
        <v>5.6007384839999999</v>
      </c>
      <c r="P20">
        <f ca="1">IFERROR(IF(0=LEN(ReferenceData!$G$20),"",ReferenceData!$G$20),"")</f>
        <v>12.89836187</v>
      </c>
      <c r="Q20">
        <f ca="1">IFERROR(IF(0=LEN(ReferenceData!$F$20),"",ReferenceData!$F$20),"")</f>
        <v>6.1181655690000003</v>
      </c>
    </row>
    <row r="21" spans="1:17" x14ac:dyDescent="0.25">
      <c r="A21" t="str">
        <f>IFERROR(IF(0=LEN(ReferenceData!$A$21),"",ReferenceData!$A$21),"")</f>
        <v xml:space="preserve">    Wipro Ltd</v>
      </c>
      <c r="B21" t="str">
        <f>IFERROR(IF(0=LEN(ReferenceData!$B$21),"",ReferenceData!$B$21),"")</f>
        <v>WIT US Equity</v>
      </c>
      <c r="C21" t="str">
        <f>IFERROR(IF(0=LEN(ReferenceData!$C$21),"",ReferenceData!$C$21),"")</f>
        <v>RR033</v>
      </c>
      <c r="D21" t="str">
        <f>IFERROR(IF(0=LEN(ReferenceData!$D$21),"",ReferenceData!$D$21),"")</f>
        <v>SALES_GROWTH</v>
      </c>
      <c r="E21" t="str">
        <f>IFERROR(IF(0=LEN(ReferenceData!$E$21),"",ReferenceData!$E$21),"")</f>
        <v>Dynamic</v>
      </c>
      <c r="F21">
        <f ca="1">IFERROR(IF(0=LEN(ReferenceData!$Q$21),"",ReferenceData!$Q$21),"")</f>
        <v>28.628701280000001</v>
      </c>
      <c r="G21">
        <f ca="1">IFERROR(IF(0=LEN(ReferenceData!$P$21),"",ReferenceData!$P$21),"")</f>
        <v>5.8888305220000001</v>
      </c>
      <c r="H21">
        <f ca="1">IFERROR(IF(0=LEN(ReferenceData!$O$21),"",ReferenceData!$O$21),"")</f>
        <v>14.11573188</v>
      </c>
      <c r="I21">
        <f ca="1">IFERROR(IF(0=LEN(ReferenceData!$N$21),"",ReferenceData!$N$21),"")</f>
        <v>19.781221219999999</v>
      </c>
      <c r="J21">
        <f ca="1">IFERROR(IF(0=LEN(ReferenceData!$M$21),"",ReferenceData!$M$21),"")</f>
        <v>0.61429520000000004</v>
      </c>
      <c r="K21">
        <f ca="1">IFERROR(IF(0=LEN(ReferenceData!$L$21),"",ReferenceData!$L$21),"")</f>
        <v>16.035280660000002</v>
      </c>
      <c r="L21">
        <f ca="1">IFERROR(IF(0=LEN(ReferenceData!$K$21),"",ReferenceData!$K$21),"")</f>
        <v>8.1230757889999996</v>
      </c>
      <c r="M21">
        <f ca="1">IFERROR(IF(0=LEN(ReferenceData!$J$21),"",ReferenceData!$J$21),"")</f>
        <v>9.1354396280000003</v>
      </c>
      <c r="N21">
        <f ca="1">IFERROR(IF(0=LEN(ReferenceData!$I$21),"",ReferenceData!$I$21),"")</f>
        <v>7.4080868000000004</v>
      </c>
      <c r="O21">
        <f ca="1">IFERROR(IF(0=LEN(ReferenceData!$H$21),"",ReferenceData!$H$21),"")</f>
        <v>-1.004901872</v>
      </c>
      <c r="P21">
        <f ca="1">IFERROR(IF(0=LEN(ReferenceData!$G$21),"",ReferenceData!$G$21),"")</f>
        <v>7.5199450880000001</v>
      </c>
      <c r="Q21">
        <f ca="1">IFERROR(IF(0=LEN(ReferenceData!$F$21),"",ReferenceData!$F$21),"")</f>
        <v>4.162705152</v>
      </c>
    </row>
    <row r="22" spans="1:17" x14ac:dyDescent="0.25">
      <c r="A22" t="str">
        <f>IFERROR(IF(0=LEN(ReferenceData!$A$22),"",ReferenceData!$A$22),"")</f>
        <v>Sales Growth (3 Yr)</v>
      </c>
      <c r="B22" t="str">
        <f>IFERROR(IF(0=LEN(ReferenceData!$B$22),"",ReferenceData!$B$22),"")</f>
        <v>BRITBPOV Index</v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Average</v>
      </c>
      <c r="F22">
        <f ca="1">IFERROR(IF(0=LEN(ReferenceData!$Q$22),"",ReferenceData!$Q$22),"")</f>
        <v>23.005896214500002</v>
      </c>
      <c r="G22">
        <f ca="1">IFERROR(IF(0=LEN(ReferenceData!$P$22),"",ReferenceData!$P$22),"")</f>
        <v>14.935493464466667</v>
      </c>
      <c r="H22">
        <f ca="1">IFERROR(IF(0=LEN(ReferenceData!$O$22),"",ReferenceData!$O$22),"")</f>
        <v>11.060105053866668</v>
      </c>
      <c r="I22">
        <f ca="1">IFERROR(IF(0=LEN(ReferenceData!$N$22),"",ReferenceData!$N$22),"")</f>
        <v>11.924707142533332</v>
      </c>
      <c r="J22">
        <f ca="1">IFERROR(IF(0=LEN(ReferenceData!$M$22),"",ReferenceData!$M$22),"")</f>
        <v>16.71235553813333</v>
      </c>
      <c r="K22">
        <f ca="1">IFERROR(IF(0=LEN(ReferenceData!$L$22),"",ReferenceData!$L$22),"")</f>
        <v>19.634570966999998</v>
      </c>
      <c r="L22">
        <f ca="1">IFERROR(IF(0=LEN(ReferenceData!$K$22),"",ReferenceData!$K$22),"")</f>
        <v>15.319241979666664</v>
      </c>
      <c r="M22">
        <f ca="1">IFERROR(IF(0=LEN(ReferenceData!$J$22),"",ReferenceData!$J$22),"")</f>
        <v>13.224117087733333</v>
      </c>
      <c r="N22">
        <f ca="1">IFERROR(IF(0=LEN(ReferenceData!$I$22),"",ReferenceData!$I$22),"")</f>
        <v>7.7024082493333328</v>
      </c>
      <c r="O22">
        <f ca="1">IFERROR(IF(0=LEN(ReferenceData!$H$22),"",ReferenceData!$H$22),"")</f>
        <v>6.3493847076000005</v>
      </c>
      <c r="P22">
        <f ca="1">IFERROR(IF(0=LEN(ReferenceData!$G$22),"",ReferenceData!$G$22),"")</f>
        <v>6.305733188375001</v>
      </c>
      <c r="Q22">
        <f ca="1">IFERROR(IF(0=LEN(ReferenceData!$F$22),"",ReferenceData!$F$22),"")</f>
        <v>5.2886489293529406</v>
      </c>
    </row>
    <row r="23" spans="1:17" x14ac:dyDescent="0.25">
      <c r="A23" t="str">
        <f>IFERROR(IF(0=LEN(ReferenceData!$A$23),"",ReferenceData!$A$23),"")</f>
        <v xml:space="preserve">    Accenture PLC</v>
      </c>
      <c r="B23" t="str">
        <f>IFERROR(IF(0=LEN(ReferenceData!$B$23),"",ReferenceData!$B$23),"")</f>
        <v>ACN US Equity</v>
      </c>
      <c r="C23" t="str">
        <f>IFERROR(IF(0=LEN(ReferenceData!$C$23),"",ReferenceData!$C$23),"")</f>
        <v>RX552</v>
      </c>
      <c r="D23" t="str">
        <f>IFERROR(IF(0=LEN(ReferenceData!$D$23),"",ReferenceData!$D$23),"")</f>
        <v>NET_SALES_3YR_GEO_GROWTH</v>
      </c>
      <c r="E23" t="str">
        <f>IFERROR(IF(0=LEN(ReferenceData!$E$23),"",ReferenceData!$E$23),"")</f>
        <v>Dynamic</v>
      </c>
      <c r="F23">
        <f ca="1">IFERROR(IF(0=LEN(ReferenceData!$Q$23),"",ReferenceData!$Q$23),"")</f>
        <v>13.981527679999999</v>
      </c>
      <c r="G23">
        <f ca="1">IFERROR(IF(0=LEN(ReferenceData!$P$23),"",ReferenceData!$P$23),"")</f>
        <v>8.3258600539999996</v>
      </c>
      <c r="H23">
        <f ca="1">IFERROR(IF(0=LEN(ReferenceData!$O$23),"",ReferenceData!$O$23),"")</f>
        <v>2.4878948090000002</v>
      </c>
      <c r="I23">
        <f ca="1">IFERROR(IF(0=LEN(ReferenceData!$N$23),"",ReferenceData!$N$23),"")</f>
        <v>2.6160444420000002</v>
      </c>
      <c r="J23">
        <f ca="1">IFERROR(IF(0=LEN(ReferenceData!$M$23),"",ReferenceData!$M$23),"")</f>
        <v>8.7219024279999999</v>
      </c>
      <c r="K23">
        <f ca="1">IFERROR(IF(0=LEN(ReferenceData!$L$23),"",ReferenceData!$L$23),"")</f>
        <v>9.5881934540000007</v>
      </c>
      <c r="L23">
        <f ca="1">IFERROR(IF(0=LEN(ReferenceData!$K$23),"",ReferenceData!$K$23),"")</f>
        <v>5.2318976360000002</v>
      </c>
      <c r="M23">
        <f ca="1">IFERROR(IF(0=LEN(ReferenceData!$J$23),"",ReferenceData!$J$23),"")</f>
        <v>3.3943921079999999</v>
      </c>
      <c r="N23">
        <f ca="1">IFERROR(IF(0=LEN(ReferenceData!$I$23),"",ReferenceData!$I$23),"")</f>
        <v>4.613092473</v>
      </c>
      <c r="O23">
        <f ca="1">IFERROR(IF(0=LEN(ReferenceData!$H$23),"",ReferenceData!$H$23),"")</f>
        <v>4.8732685</v>
      </c>
      <c r="P23">
        <f ca="1">IFERROR(IF(0=LEN(ReferenceData!$G$23),"",ReferenceData!$G$23),"")</f>
        <v>7.5902298689999999</v>
      </c>
      <c r="Q23">
        <f ca="1">IFERROR(IF(0=LEN(ReferenceData!$F$23),"",ReferenceData!$F$23),"")</f>
        <v>7.4883835120000004</v>
      </c>
    </row>
    <row r="24" spans="1:17" x14ac:dyDescent="0.25">
      <c r="A24" t="str">
        <f>IFERROR(IF(0=LEN(ReferenceData!$A$24),"",ReferenceData!$A$24),"")</f>
        <v xml:space="preserve">    Amdocs Ltd</v>
      </c>
      <c r="B24" t="str">
        <f>IFERROR(IF(0=LEN(ReferenceData!$B$24),"",ReferenceData!$B$24),"")</f>
        <v>DOX US Equity</v>
      </c>
      <c r="C24" t="str">
        <f>IFERROR(IF(0=LEN(ReferenceData!$C$24),"",ReferenceData!$C$24),"")</f>
        <v>RX552</v>
      </c>
      <c r="D24" t="str">
        <f>IFERROR(IF(0=LEN(ReferenceData!$D$24),"",ReferenceData!$D$24),"")</f>
        <v>NET_SALES_3YR_GEO_GROWTH</v>
      </c>
      <c r="E24" t="str">
        <f>IFERROR(IF(0=LEN(ReferenceData!$E$24),"",ReferenceData!$E$24),"")</f>
        <v>Dynamic</v>
      </c>
      <c r="F24">
        <f ca="1">IFERROR(IF(0=LEN(ReferenceData!$Q$24),"",ReferenceData!$Q$24),"")</f>
        <v>15.756712889999999</v>
      </c>
      <c r="G24">
        <f ca="1">IFERROR(IF(0=LEN(ReferenceData!$P$24),"",ReferenceData!$P$24),"")</f>
        <v>4.8979733019999996</v>
      </c>
      <c r="H24">
        <f ca="1">IFERROR(IF(0=LEN(ReferenceData!$O$24),"",ReferenceData!$O$24),"")</f>
        <v>1.7105926760000001</v>
      </c>
      <c r="I24">
        <f ca="1">IFERROR(IF(0=LEN(ReferenceData!$N$24),"",ReferenceData!$N$24),"")</f>
        <v>0.164514416</v>
      </c>
      <c r="J24">
        <f ca="1">IFERROR(IF(0=LEN(ReferenceData!$M$24),"",ReferenceData!$M$24),"")</f>
        <v>4.288365733</v>
      </c>
      <c r="K24">
        <f ca="1">IFERROR(IF(0=LEN(ReferenceData!$L$24),"",ReferenceData!$L$24),"")</f>
        <v>3.886369894</v>
      </c>
      <c r="L24">
        <f ca="1">IFERROR(IF(0=LEN(ReferenceData!$K$24),"",ReferenceData!$K$24),"")</f>
        <v>3.8944255750000001</v>
      </c>
      <c r="M24">
        <f ca="1">IFERROR(IF(0=LEN(ReferenceData!$J$24),"",ReferenceData!$J$24),"")</f>
        <v>3.9165363879999999</v>
      </c>
      <c r="N24">
        <f ca="1">IFERROR(IF(0=LEN(ReferenceData!$I$24),"",ReferenceData!$I$24),"")</f>
        <v>3.5801134960000001</v>
      </c>
      <c r="O24">
        <f ca="1">IFERROR(IF(0=LEN(ReferenceData!$H$24),"",ReferenceData!$H$24),"")</f>
        <v>2.7620375199999998</v>
      </c>
      <c r="P24">
        <f ca="1">IFERROR(IF(0=LEN(ReferenceData!$G$24),"",ReferenceData!$G$24),"")</f>
        <v>2.9434392370000002</v>
      </c>
      <c r="Q24">
        <f ca="1">IFERROR(IF(0=LEN(ReferenceData!$F$24),"",ReferenceData!$F$24),"")</f>
        <v>3.1995435809999999</v>
      </c>
    </row>
    <row r="25" spans="1:17" x14ac:dyDescent="0.25">
      <c r="A25" t="str">
        <f>IFERROR(IF(0=LEN(ReferenceData!$A$25),"",ReferenceData!$A$25),"")</f>
        <v xml:space="preserve">    Atos SE</v>
      </c>
      <c r="B25" t="str">
        <f>IFERROR(IF(0=LEN(ReferenceData!$B$25),"",ReferenceData!$B$25),"")</f>
        <v>ATO FP Equity</v>
      </c>
      <c r="C25" t="str">
        <f>IFERROR(IF(0=LEN(ReferenceData!$C$25),"",ReferenceData!$C$25),"")</f>
        <v>RX552</v>
      </c>
      <c r="D25" t="str">
        <f>IFERROR(IF(0=LEN(ReferenceData!$D$25),"",ReferenceData!$D$25),"")</f>
        <v>NET_SALES_3YR_GEO_GROWTH</v>
      </c>
      <c r="E25" t="str">
        <f>IFERROR(IF(0=LEN(ReferenceData!$E$25),"",ReferenceData!$E$25),"")</f>
        <v>Dynamic</v>
      </c>
      <c r="F25">
        <f ca="1">IFERROR(IF(0=LEN(ReferenceData!$Q$25),"",ReferenceData!$Q$25),"")</f>
        <v>0.99515040099999996</v>
      </c>
      <c r="G25">
        <f ca="1">IFERROR(IF(0=LEN(ReferenceData!$P$25),"",ReferenceData!$P$25),"")</f>
        <v>-1.69559427</v>
      </c>
      <c r="H25">
        <f ca="1">IFERROR(IF(0=LEN(ReferenceData!$O$25),"",ReferenceData!$O$25),"")</f>
        <v>-4.9979410350000002</v>
      </c>
      <c r="I25">
        <f ca="1">IFERROR(IF(0=LEN(ReferenceData!$N$25),"",ReferenceData!$N$25),"")</f>
        <v>6.6023074490000004</v>
      </c>
      <c r="J25">
        <f ca="1">IFERROR(IF(0=LEN(ReferenceData!$M$25),"",ReferenceData!$M$25),"")</f>
        <v>19.931532359999999</v>
      </c>
      <c r="K25">
        <f ca="1">IFERROR(IF(0=LEN(ReferenceData!$L$25),"",ReferenceData!$L$25),"")</f>
        <v>19.718104400000001</v>
      </c>
      <c r="L25">
        <f ca="1">IFERROR(IF(0=LEN(ReferenceData!$K$25),"",ReferenceData!$K$25),"")</f>
        <v>9.9342999889999994</v>
      </c>
      <c r="M25">
        <f ca="1">IFERROR(IF(0=LEN(ReferenceData!$J$25),"",ReferenceData!$J$25),"")</f>
        <v>6.5067488009999996</v>
      </c>
      <c r="N25">
        <f ca="1">IFERROR(IF(0=LEN(ReferenceData!$I$25),"",ReferenceData!$I$25),"")</f>
        <v>12.10726584</v>
      </c>
      <c r="O25">
        <f ca="1">IFERROR(IF(0=LEN(ReferenceData!$H$25),"",ReferenceData!$H$25),"")</f>
        <v>9.8441076850000009</v>
      </c>
      <c r="P25">
        <f ca="1">IFERROR(IF(0=LEN(ReferenceData!$G$25),"",ReferenceData!$G$25),"")</f>
        <v>-0.11711806800000001</v>
      </c>
      <c r="Q25">
        <f ca="1">IFERROR(IF(0=LEN(ReferenceData!$F$25),"",ReferenceData!$F$25),"")</f>
        <v>-1.533002411</v>
      </c>
    </row>
    <row r="26" spans="1:17" x14ac:dyDescent="0.25">
      <c r="A26" t="str">
        <f>IFERROR(IF(0=LEN(ReferenceData!$A$26),"",ReferenceData!$A$26),"")</f>
        <v xml:space="preserve">    Capgemini SE</v>
      </c>
      <c r="B26" t="str">
        <f>IFERROR(IF(0=LEN(ReferenceData!$B$26),"",ReferenceData!$B$26),"")</f>
        <v>CAP FP Equity</v>
      </c>
      <c r="C26" t="str">
        <f>IFERROR(IF(0=LEN(ReferenceData!$C$26),"",ReferenceData!$C$26),"")</f>
        <v>RX552</v>
      </c>
      <c r="D26" t="str">
        <f>IFERROR(IF(0=LEN(ReferenceData!$D$26),"",ReferenceData!$D$26),"")</f>
        <v>NET_SALES_3YR_GEO_GROWTH</v>
      </c>
      <c r="E26" t="str">
        <f>IFERROR(IF(0=LEN(ReferenceData!$E$26),"",ReferenceData!$E$26),"")</f>
        <v>Dynamic</v>
      </c>
      <c r="F26">
        <f ca="1">IFERROR(IF(0=LEN(ReferenceData!$Q$26),"",ReferenceData!$Q$26),"")</f>
        <v>7.7939755789999996</v>
      </c>
      <c r="G26">
        <f ca="1">IFERROR(IF(0=LEN(ReferenceData!$P$26),"",ReferenceData!$P$26),"")</f>
        <v>2.8242472699999999</v>
      </c>
      <c r="H26">
        <f ca="1">IFERROR(IF(0=LEN(ReferenceData!$O$26),"",ReferenceData!$O$26),"")</f>
        <v>-2.2985864000000002E-2</v>
      </c>
      <c r="I26">
        <f ca="1">IFERROR(IF(0=LEN(ReferenceData!$N$26),"",ReferenceData!$N$26),"")</f>
        <v>3.6286926469999998</v>
      </c>
      <c r="J26">
        <f ca="1">IFERROR(IF(0=LEN(ReferenceData!$M$26),"",ReferenceData!$M$26),"")</f>
        <v>7.0318668549999996</v>
      </c>
      <c r="K26">
        <f ca="1">IFERROR(IF(0=LEN(ReferenceData!$L$26),"",ReferenceData!$L$26),"")</f>
        <v>5.0838374399999999</v>
      </c>
      <c r="L26">
        <f ca="1">IFERROR(IF(0=LEN(ReferenceData!$K$26),"",ReferenceData!$K$26),"")</f>
        <v>2.9390145780000001</v>
      </c>
      <c r="M26">
        <f ca="1">IFERROR(IF(0=LEN(ReferenceData!$J$26),"",ReferenceData!$J$26),"")</f>
        <v>5.0975199340000001</v>
      </c>
      <c r="N26">
        <f ca="1">IFERROR(IF(0=LEN(ReferenceData!$I$26),"",ReferenceData!$I$26),"")</f>
        <v>7.5049727669999999</v>
      </c>
      <c r="O26">
        <f ca="1">IFERROR(IF(0=LEN(ReferenceData!$H$26),"",ReferenceData!$H$26),"")</f>
        <v>5.8099479570000003</v>
      </c>
      <c r="P26">
        <f ca="1">IFERROR(IF(0=LEN(ReferenceData!$G$26),"",ReferenceData!$G$26),"")</f>
        <v>3.46506224</v>
      </c>
      <c r="Q26">
        <f ca="1">IFERROR(IF(0=LEN(ReferenceData!$F$26),"",ReferenceData!$F$26),"")</f>
        <v>4.0499441349999996</v>
      </c>
    </row>
    <row r="27" spans="1:17" x14ac:dyDescent="0.25">
      <c r="A27" t="str">
        <f>IFERROR(IF(0=LEN(ReferenceData!$A$27),"",ReferenceData!$A$27),"")</f>
        <v xml:space="preserve">    CGI Inc</v>
      </c>
      <c r="B27" t="str">
        <f>IFERROR(IF(0=LEN(ReferenceData!$B$27),"",ReferenceData!$B$27),"")</f>
        <v>GIB US Equity</v>
      </c>
      <c r="C27" t="str">
        <f>IFERROR(IF(0=LEN(ReferenceData!$C$27),"",ReferenceData!$C$27),"")</f>
        <v>RX552</v>
      </c>
      <c r="D27" t="str">
        <f>IFERROR(IF(0=LEN(ReferenceData!$D$27),"",ReferenceData!$D$27),"")</f>
        <v>NET_SALES_3YR_GEO_GROWTH</v>
      </c>
      <c r="E27" t="str">
        <f>IFERROR(IF(0=LEN(ReferenceData!$E$27),"",ReferenceData!$E$27),"")</f>
        <v>Dynamic</v>
      </c>
      <c r="F27">
        <f ca="1">IFERROR(IF(0=LEN(ReferenceData!$Q$27),"",ReferenceData!$Q$27),"")</f>
        <v>0.179430752</v>
      </c>
      <c r="G27">
        <f ca="1">IFERROR(IF(0=LEN(ReferenceData!$P$27),"",ReferenceData!$P$27),"")</f>
        <v>4.0732193759999999</v>
      </c>
      <c r="H27">
        <f ca="1">IFERROR(IF(0=LEN(ReferenceData!$O$27),"",ReferenceData!$O$27),"")</f>
        <v>0.89251934399999999</v>
      </c>
      <c r="I27">
        <f ca="1">IFERROR(IF(0=LEN(ReferenceData!$N$27),"",ReferenceData!$N$27),"")</f>
        <v>4.4582779590000001</v>
      </c>
      <c r="J27">
        <f ca="1">IFERROR(IF(0=LEN(ReferenceData!$M$27),"",ReferenceData!$M$27),"")</f>
        <v>7.654125466</v>
      </c>
      <c r="K27">
        <f ca="1">IFERROR(IF(0=LEN(ReferenceData!$L$27),"",ReferenceData!$L$27),"")</f>
        <v>39.284082179999999</v>
      </c>
      <c r="L27">
        <f ca="1">IFERROR(IF(0=LEN(ReferenceData!$K$27),"",ReferenceData!$K$27),"")</f>
        <v>35.462640810000003</v>
      </c>
      <c r="M27">
        <f ca="1">IFERROR(IF(0=LEN(ReferenceData!$J$27),"",ReferenceData!$J$27),"")</f>
        <v>29.17654975</v>
      </c>
      <c r="N27">
        <f ca="1">IFERROR(IF(0=LEN(ReferenceData!$I$27),"",ReferenceData!$I$27),"")</f>
        <v>1.9408107809999999</v>
      </c>
      <c r="O27">
        <f ca="1">IFERROR(IF(0=LEN(ReferenceData!$H$27),"",ReferenceData!$H$27),"")</f>
        <v>1.0846503599999999</v>
      </c>
      <c r="P27">
        <f ca="1">IFERROR(IF(0=LEN(ReferenceData!$G$27),"",ReferenceData!$G$27),"")</f>
        <v>3.8056291949999999</v>
      </c>
      <c r="Q27">
        <f ca="1">IFERROR(IF(0=LEN(ReferenceData!$F$27),"",ReferenceData!$F$27),"")</f>
        <v>4.2705110460000002</v>
      </c>
    </row>
    <row r="28" spans="1:17" x14ac:dyDescent="0.25">
      <c r="A28" t="str">
        <f>IFERROR(IF(0=LEN(ReferenceData!$A$28),"",ReferenceData!$A$28),"")</f>
        <v xml:space="preserve">    Cognizant Technology Solutions Corp</v>
      </c>
      <c r="B28" t="str">
        <f>IFERROR(IF(0=LEN(ReferenceData!$B$28),"",ReferenceData!$B$28),"")</f>
        <v>CTSH US Equity</v>
      </c>
      <c r="C28" t="str">
        <f>IFERROR(IF(0=LEN(ReferenceData!$C$28),"",ReferenceData!$C$28),"")</f>
        <v>RX552</v>
      </c>
      <c r="D28" t="str">
        <f>IFERROR(IF(0=LEN(ReferenceData!$D$28),"",ReferenceData!$D$28),"")</f>
        <v>NET_SALES_3YR_GEO_GROWTH</v>
      </c>
      <c r="E28" t="str">
        <f>IFERROR(IF(0=LEN(ReferenceData!$E$28),"",ReferenceData!$E$28),"")</f>
        <v>Dynamic</v>
      </c>
      <c r="F28">
        <f ca="1">IFERROR(IF(0=LEN(ReferenceData!$Q$28),"",ReferenceData!$Q$28),"")</f>
        <v>47.04255801</v>
      </c>
      <c r="G28">
        <f ca="1">IFERROR(IF(0=LEN(ReferenceData!$P$28),"",ReferenceData!$P$28),"")</f>
        <v>32.038867060000001</v>
      </c>
      <c r="H28">
        <f ca="1">IFERROR(IF(0=LEN(ReferenceData!$O$28),"",ReferenceData!$O$28),"")</f>
        <v>29.074705959999999</v>
      </c>
      <c r="I28">
        <f ca="1">IFERROR(IF(0=LEN(ReferenceData!$N$28),"",ReferenceData!$N$28),"")</f>
        <v>29.534257069999999</v>
      </c>
      <c r="J28">
        <f ca="1">IFERROR(IF(0=LEN(ReferenceData!$M$28),"",ReferenceData!$M$28),"")</f>
        <v>30.856113090000001</v>
      </c>
      <c r="K28">
        <f ca="1">IFERROR(IF(0=LEN(ReferenceData!$L$28),"",ReferenceData!$L$28),"")</f>
        <v>24.410417160000002</v>
      </c>
      <c r="L28">
        <f ca="1">IFERROR(IF(0=LEN(ReferenceData!$K$28),"",ReferenceData!$K$28),"")</f>
        <v>18.798072789999999</v>
      </c>
      <c r="M28">
        <f ca="1">IFERROR(IF(0=LEN(ReferenceData!$J$28),"",ReferenceData!$J$28),"")</f>
        <v>19.115320990000001</v>
      </c>
      <c r="N28">
        <f ca="1">IFERROR(IF(0=LEN(ReferenceData!$I$28),"",ReferenceData!$I$28),"")</f>
        <v>15.10710999</v>
      </c>
      <c r="O28">
        <f ca="1">IFERROR(IF(0=LEN(ReferenceData!$H$28),"",ReferenceData!$H$28),"")</f>
        <v>13.005038669999999</v>
      </c>
      <c r="P28">
        <f ca="1">IFERROR(IF(0=LEN(ReferenceData!$G$28),"",ReferenceData!$G$28),"")</f>
        <v>9.1036650469999998</v>
      </c>
      <c r="Q28">
        <f ca="1">IFERROR(IF(0=LEN(ReferenceData!$F$28),"",ReferenceData!$F$28),"")</f>
        <v>7.5601532569999996</v>
      </c>
    </row>
    <row r="29" spans="1:17" x14ac:dyDescent="0.25">
      <c r="A29" t="str">
        <f>IFERROR(IF(0=LEN(ReferenceData!$A$29),"",ReferenceData!$A$29),"")</f>
        <v xml:space="preserve">    Conduent Inc</v>
      </c>
      <c r="B29" t="str">
        <f>IFERROR(IF(0=LEN(ReferenceData!$B$29),"",ReferenceData!$B$29),"")</f>
        <v>CNDT US Equity</v>
      </c>
      <c r="C29" t="str">
        <f>IFERROR(IF(0=LEN(ReferenceData!$C$29),"",ReferenceData!$C$29),"")</f>
        <v>RX552</v>
      </c>
      <c r="D29" t="str">
        <f>IFERROR(IF(0=LEN(ReferenceData!$D$29),"",ReferenceData!$D$29),"")</f>
        <v>NET_SALES_3YR_GEO_GROWTH</v>
      </c>
      <c r="E29" t="str">
        <f>IFERROR(IF(0=LEN(ReferenceData!$E$29),"",ReferenceData!$E$29),"")</f>
        <v>Dynamic</v>
      </c>
      <c r="F29" t="str">
        <f ca="1">IFERROR(IF(0=LEN(ReferenceData!$Q$29),"",ReferenceData!$Q$29),"")</f>
        <v/>
      </c>
      <c r="G29" t="str">
        <f ca="1">IFERROR(IF(0=LEN(ReferenceData!$P$29),"",ReferenceData!$P$29),"")</f>
        <v/>
      </c>
      <c r="H29" t="str">
        <f ca="1">IFERROR(IF(0=LEN(ReferenceData!$O$29),"",ReferenceData!$O$29),"")</f>
        <v/>
      </c>
      <c r="I29" t="str">
        <f ca="1">IFERROR(IF(0=LEN(ReferenceData!$N$29),"",ReferenceData!$N$29),"")</f>
        <v/>
      </c>
      <c r="J29" t="str">
        <f ca="1">IFERROR(IF(0=LEN(ReferenceData!$M$29),"",ReferenceData!$M$29),"")</f>
        <v/>
      </c>
      <c r="K29" t="str">
        <f ca="1">IFERROR(IF(0=LEN(ReferenceData!$L$29),"",ReferenceData!$L$29),"")</f>
        <v/>
      </c>
      <c r="L29">
        <f ca="1">IFERROR(IF(0=LEN(ReferenceData!$K$29),"",ReferenceData!$K$29),"")</f>
        <v>3.410171976</v>
      </c>
      <c r="M29">
        <f ca="1">IFERROR(IF(0=LEN(ReferenceData!$J$29),"",ReferenceData!$J$29),"")</f>
        <v>-1.0339823450000001</v>
      </c>
      <c r="N29">
        <f ca="1">IFERROR(IF(0=LEN(ReferenceData!$I$29),"",ReferenceData!$I$29),"")</f>
        <v>-2.3364744339999999</v>
      </c>
      <c r="O29">
        <f ca="1">IFERROR(IF(0=LEN(ReferenceData!$H$29),"",ReferenceData!$H$29),"")</f>
        <v>-4.6101530689999999</v>
      </c>
      <c r="P29">
        <f ca="1">IFERROR(IF(0=LEN(ReferenceData!$G$29),"",ReferenceData!$G$29),"")</f>
        <v>-6.8015698020000004</v>
      </c>
      <c r="Q29">
        <f ca="1">IFERROR(IF(0=LEN(ReferenceData!$F$29),"",ReferenceData!$F$29),"")</f>
        <v>-11.33249601</v>
      </c>
    </row>
    <row r="30" spans="1:17" x14ac:dyDescent="0.25">
      <c r="A30" t="str">
        <f>IFERROR(IF(0=LEN(ReferenceData!$A$30),"",ReferenceData!$A$30),"")</f>
        <v xml:space="preserve">    DXC Technology Co</v>
      </c>
      <c r="B30" t="str">
        <f>IFERROR(IF(0=LEN(ReferenceData!$B$30),"",ReferenceData!$B$30),"")</f>
        <v>DXC US Equity</v>
      </c>
      <c r="C30" t="str">
        <f>IFERROR(IF(0=LEN(ReferenceData!$C$30),"",ReferenceData!$C$30),"")</f>
        <v>RX552</v>
      </c>
      <c r="D30" t="str">
        <f>IFERROR(IF(0=LEN(ReferenceData!$D$30),"",ReferenceData!$D$30),"")</f>
        <v>NET_SALES_3YR_GEO_GROWTH</v>
      </c>
      <c r="E30" t="str">
        <f>IFERROR(IF(0=LEN(ReferenceData!$E$30),"",ReferenceData!$E$30),"")</f>
        <v>Dynamic</v>
      </c>
      <c r="F30" t="str">
        <f ca="1">IFERROR(IF(0=LEN(ReferenceData!$Q$30),"",ReferenceData!$Q$30),"")</f>
        <v/>
      </c>
      <c r="G30" t="str">
        <f ca="1">IFERROR(IF(0=LEN(ReferenceData!$P$30),"",ReferenceData!$P$30),"")</f>
        <v/>
      </c>
      <c r="H30" t="str">
        <f ca="1">IFERROR(IF(0=LEN(ReferenceData!$O$30),"",ReferenceData!$O$30),"")</f>
        <v/>
      </c>
      <c r="I30" t="str">
        <f ca="1">IFERROR(IF(0=LEN(ReferenceData!$N$30),"",ReferenceData!$N$30),"")</f>
        <v/>
      </c>
      <c r="J30" t="str">
        <f ca="1">IFERROR(IF(0=LEN(ReferenceData!$M$30),"",ReferenceData!$M$30),"")</f>
        <v/>
      </c>
      <c r="K30" t="str">
        <f ca="1">IFERROR(IF(0=LEN(ReferenceData!$L$30),"",ReferenceData!$L$30),"")</f>
        <v/>
      </c>
      <c r="L30" t="str">
        <f ca="1">IFERROR(IF(0=LEN(ReferenceData!$K$30),"",ReferenceData!$K$30),"")</f>
        <v/>
      </c>
      <c r="M30" t="str">
        <f ca="1">IFERROR(IF(0=LEN(ReferenceData!$J$30),"",ReferenceData!$J$30),"")</f>
        <v/>
      </c>
      <c r="N30" t="str">
        <f ca="1">IFERROR(IF(0=LEN(ReferenceData!$I$30),"",ReferenceData!$I$30),"")</f>
        <v/>
      </c>
      <c r="O30" t="str">
        <f ca="1">IFERROR(IF(0=LEN(ReferenceData!$H$30),"",ReferenceData!$H$30),"")</f>
        <v/>
      </c>
      <c r="P30" t="str">
        <f ca="1">IFERROR(IF(0=LEN(ReferenceData!$G$30),"",ReferenceData!$G$30),"")</f>
        <v/>
      </c>
      <c r="Q30">
        <f ca="1">IFERROR(IF(0=LEN(ReferenceData!$F$30),"",ReferenceData!$F$30),"")</f>
        <v>-8.3065440190000004</v>
      </c>
    </row>
    <row r="31" spans="1:17" x14ac:dyDescent="0.25">
      <c r="A31" t="str">
        <f>IFERROR(IF(0=LEN(ReferenceData!$A$31),"",ReferenceData!$A$31),"")</f>
        <v xml:space="preserve">    EPAM Systems Inc</v>
      </c>
      <c r="B31" t="str">
        <f>IFERROR(IF(0=LEN(ReferenceData!$B$31),"",ReferenceData!$B$31),"")</f>
        <v>EPAM US Equity</v>
      </c>
      <c r="C31" t="str">
        <f>IFERROR(IF(0=LEN(ReferenceData!$C$31),"",ReferenceData!$C$31),"")</f>
        <v>RX552</v>
      </c>
      <c r="D31" t="str">
        <f>IFERROR(IF(0=LEN(ReferenceData!$D$31),"",ReferenceData!$D$31),"")</f>
        <v>NET_SALES_3YR_GEO_GROWTH</v>
      </c>
      <c r="E31" t="str">
        <f>IFERROR(IF(0=LEN(ReferenceData!$E$31),"",ReferenceData!$E$31),"")</f>
        <v>Dynamic</v>
      </c>
      <c r="F31" t="str">
        <f ca="1">IFERROR(IF(0=LEN(ReferenceData!$Q$31),"",ReferenceData!$Q$31),"")</f>
        <v/>
      </c>
      <c r="G31">
        <f ca="1">IFERROR(IF(0=LEN(ReferenceData!$P$31),"",ReferenceData!$P$31),"")</f>
        <v>29.028105849999999</v>
      </c>
      <c r="H31">
        <f ca="1">IFERROR(IF(0=LEN(ReferenceData!$O$31),"",ReferenceData!$O$31),"")</f>
        <v>24.827640330000001</v>
      </c>
      <c r="I31">
        <f ca="1">IFERROR(IF(0=LEN(ReferenceData!$N$31),"",ReferenceData!$N$31),"")</f>
        <v>27.70271653</v>
      </c>
      <c r="J31">
        <f ca="1">IFERROR(IF(0=LEN(ReferenceData!$M$31),"",ReferenceData!$M$31),"")</f>
        <v>42.492272309999997</v>
      </c>
      <c r="K31">
        <f ca="1">IFERROR(IF(0=LEN(ReferenceData!$L$31),"",ReferenceData!$L$31),"")</f>
        <v>35.76630497</v>
      </c>
      <c r="L31">
        <f ca="1">IFERROR(IF(0=LEN(ReferenceData!$K$31),"",ReferenceData!$K$31),"")</f>
        <v>29.70861326</v>
      </c>
      <c r="M31">
        <f ca="1">IFERROR(IF(0=LEN(ReferenceData!$J$31),"",ReferenceData!$J$31),"")</f>
        <v>28.205351889999999</v>
      </c>
      <c r="N31">
        <f ca="1">IFERROR(IF(0=LEN(ReferenceData!$I$31),"",ReferenceData!$I$31),"")</f>
        <v>27.852029470000002</v>
      </c>
      <c r="O31">
        <f ca="1">IFERROR(IF(0=LEN(ReferenceData!$H$31),"",ReferenceData!$H$31),"")</f>
        <v>25.715187350000001</v>
      </c>
      <c r="P31">
        <f ca="1">IFERROR(IF(0=LEN(ReferenceData!$G$31),"",ReferenceData!$G$31),"")</f>
        <v>26.32787634</v>
      </c>
      <c r="Q31">
        <f ca="1">IFERROR(IF(0=LEN(ReferenceData!$F$31),"",ReferenceData!$F$31),"")</f>
        <v>25.511230640000001</v>
      </c>
    </row>
    <row r="32" spans="1:17" x14ac:dyDescent="0.25">
      <c r="A32" t="str">
        <f>IFERROR(IF(0=LEN(ReferenceData!$A$32),"",ReferenceData!$A$32),"")</f>
        <v xml:space="preserve">    Genpact Ltd</v>
      </c>
      <c r="B32" t="str">
        <f>IFERROR(IF(0=LEN(ReferenceData!$B$32),"",ReferenceData!$B$32),"")</f>
        <v>G US Equity</v>
      </c>
      <c r="C32" t="str">
        <f>IFERROR(IF(0=LEN(ReferenceData!$C$32),"",ReferenceData!$C$32),"")</f>
        <v>RX552</v>
      </c>
      <c r="D32" t="str">
        <f>IFERROR(IF(0=LEN(ReferenceData!$D$32),"",ReferenceData!$D$32),"")</f>
        <v>NET_SALES_3YR_GEO_GROWTH</v>
      </c>
      <c r="E32" t="str">
        <f>IFERROR(IF(0=LEN(ReferenceData!$E$32),"",ReferenceData!$E$32),"")</f>
        <v>Dynamic</v>
      </c>
      <c r="F32">
        <f ca="1">IFERROR(IF(0=LEN(ReferenceData!$Q$32),"",ReferenceData!$Q$32),"")</f>
        <v>28.382291519999999</v>
      </c>
      <c r="G32">
        <f ca="1">IFERROR(IF(0=LEN(ReferenceData!$P$32),"",ReferenceData!$P$32),"")</f>
        <v>22.250485860000001</v>
      </c>
      <c r="H32">
        <f ca="1">IFERROR(IF(0=LEN(ReferenceData!$O$32),"",ReferenceData!$O$32),"")</f>
        <v>15.21463144</v>
      </c>
      <c r="I32">
        <f ca="1">IFERROR(IF(0=LEN(ReferenceData!$N$32),"",ReferenceData!$N$32),"")</f>
        <v>15.42072705</v>
      </c>
      <c r="J32">
        <f ca="1">IFERROR(IF(0=LEN(ReferenceData!$M$32),"",ReferenceData!$M$32),"")</f>
        <v>19.30338862</v>
      </c>
      <c r="K32">
        <f ca="1">IFERROR(IF(0=LEN(ReferenceData!$L$32),"",ReferenceData!$L$32),"")</f>
        <v>19.194955050000001</v>
      </c>
      <c r="L32">
        <f ca="1">IFERROR(IF(0=LEN(ReferenceData!$K$32),"",ReferenceData!$K$32),"")</f>
        <v>12.511390159999999</v>
      </c>
      <c r="M32">
        <f ca="1">IFERROR(IF(0=LEN(ReferenceData!$J$32),"",ReferenceData!$J$32),"")</f>
        <v>8.9695512720000004</v>
      </c>
      <c r="N32">
        <f ca="1">IFERROR(IF(0=LEN(ReferenceData!$I$32),"",ReferenceData!$I$32),"")</f>
        <v>6.4367053619999997</v>
      </c>
      <c r="O32">
        <f ca="1">IFERROR(IF(0=LEN(ReferenceData!$H$32),"",ReferenceData!$H$32),"")</f>
        <v>6.2866165909999996</v>
      </c>
      <c r="P32">
        <f ca="1">IFERROR(IF(0=LEN(ReferenceData!$G$32),"",ReferenceData!$G$32),"")</f>
        <v>6.8329961700000004</v>
      </c>
      <c r="Q32">
        <f ca="1">IFERROR(IF(0=LEN(ReferenceData!$F$32),"",ReferenceData!$F$32),"")</f>
        <v>11.04941243</v>
      </c>
    </row>
    <row r="33" spans="1:17" x14ac:dyDescent="0.25">
      <c r="A33" t="str">
        <f>IFERROR(IF(0=LEN(ReferenceData!$A$33),"",ReferenceData!$A$33),"")</f>
        <v xml:space="preserve">    HCL Technologies Ltd</v>
      </c>
      <c r="B33" t="str">
        <f>IFERROR(IF(0=LEN(ReferenceData!$B$33),"",ReferenceData!$B$33),"")</f>
        <v>HCLT IN Equity</v>
      </c>
      <c r="C33" t="str">
        <f>IFERROR(IF(0=LEN(ReferenceData!$C$33),"",ReferenceData!$C$33),"")</f>
        <v>RX552</v>
      </c>
      <c r="D33" t="str">
        <f>IFERROR(IF(0=LEN(ReferenceData!$D$33),"",ReferenceData!$D$33),"")</f>
        <v>NET_SALES_3YR_GEO_GROWTH</v>
      </c>
      <c r="E33" t="str">
        <f>IFERROR(IF(0=LEN(ReferenceData!$E$33),"",ReferenceData!$E$33),"")</f>
        <v>Dynamic</v>
      </c>
      <c r="F33">
        <f ca="1">IFERROR(IF(0=LEN(ReferenceData!$Q$33),"",ReferenceData!$Q$33),"")</f>
        <v>30.796087719999999</v>
      </c>
      <c r="G33">
        <f ca="1">IFERROR(IF(0=LEN(ReferenceData!$P$33),"",ReferenceData!$P$33),"")</f>
        <v>25.98798729</v>
      </c>
      <c r="H33">
        <f ca="1">IFERROR(IF(0=LEN(ReferenceData!$O$33),"",ReferenceData!$O$33),"")</f>
        <v>27.649673750000002</v>
      </c>
      <c r="I33">
        <f ca="1">IFERROR(IF(0=LEN(ReferenceData!$N$33),"",ReferenceData!$N$33),"")</f>
        <v>26.750607760000001</v>
      </c>
      <c r="J33">
        <f ca="1">IFERROR(IF(0=LEN(ReferenceData!$M$33),"",ReferenceData!$M$33),"")</f>
        <v>28.216582500000001</v>
      </c>
      <c r="K33">
        <f ca="1">IFERROR(IF(0=LEN(ReferenceData!$L$33),"",ReferenceData!$L$33),"")</f>
        <v>15.595081950000001</v>
      </c>
      <c r="L33" t="str">
        <f ca="1">IFERROR(IF(0=LEN(ReferenceData!$K$33),"",ReferenceData!$K$33),"")</f>
        <v/>
      </c>
      <c r="M33" t="str">
        <f ca="1">IFERROR(IF(0=LEN(ReferenceData!$J$33),"",ReferenceData!$J$33),"")</f>
        <v/>
      </c>
      <c r="N33" t="str">
        <f ca="1">IFERROR(IF(0=LEN(ReferenceData!$I$33),"",ReferenceData!$I$33),"")</f>
        <v/>
      </c>
      <c r="O33" t="str">
        <f ca="1">IFERROR(IF(0=LEN(ReferenceData!$H$33),"",ReferenceData!$H$33),"")</f>
        <v/>
      </c>
      <c r="P33">
        <f ca="1">IFERROR(IF(0=LEN(ReferenceData!$G$33),"",ReferenceData!$G$33),"")</f>
        <v>11.45231126</v>
      </c>
      <c r="Q33">
        <f ca="1">IFERROR(IF(0=LEN(ReferenceData!$F$33),"",ReferenceData!$F$33),"")</f>
        <v>11.8763953</v>
      </c>
    </row>
    <row r="34" spans="1:17" x14ac:dyDescent="0.25">
      <c r="A34" t="str">
        <f>IFERROR(IF(0=LEN(ReferenceData!$A$34),"",ReferenceData!$A$34),"")</f>
        <v xml:space="preserve">    Indra Sistemas SA</v>
      </c>
      <c r="B34" t="str">
        <f>IFERROR(IF(0=LEN(ReferenceData!$B$34),"",ReferenceData!$B$34),"")</f>
        <v>IDR SM Equity</v>
      </c>
      <c r="C34" t="str">
        <f>IFERROR(IF(0=LEN(ReferenceData!$C$34),"",ReferenceData!$C$34),"")</f>
        <v>RX552</v>
      </c>
      <c r="D34" t="str">
        <f>IFERROR(IF(0=LEN(ReferenceData!$D$34),"",ReferenceData!$D$34),"")</f>
        <v>NET_SALES_3YR_GEO_GROWTH</v>
      </c>
      <c r="E34" t="str">
        <f>IFERROR(IF(0=LEN(ReferenceData!$E$34),"",ReferenceData!$E$34),"")</f>
        <v>Dynamic</v>
      </c>
      <c r="F34">
        <f ca="1">IFERROR(IF(0=LEN(ReferenceData!$Q$34),"",ReferenceData!$Q$34),"")</f>
        <v>25.55562922</v>
      </c>
      <c r="G34">
        <f ca="1">IFERROR(IF(0=LEN(ReferenceData!$P$34),"",ReferenceData!$P$34),"")</f>
        <v>21.33972206</v>
      </c>
      <c r="H34">
        <f ca="1">IFERROR(IF(0=LEN(ReferenceData!$O$34),"",ReferenceData!$O$34),"")</f>
        <v>5.6619540580000001</v>
      </c>
      <c r="I34">
        <f ca="1">IFERROR(IF(0=LEN(ReferenceData!$N$34),"",ReferenceData!$N$34),"")</f>
        <v>4.1527049659999999</v>
      </c>
      <c r="J34">
        <f ca="1">IFERROR(IF(0=LEN(ReferenceData!$M$34),"",ReferenceData!$M$34),"")</f>
        <v>5.3785696559999998</v>
      </c>
      <c r="K34">
        <f ca="1">IFERROR(IF(0=LEN(ReferenceData!$L$34),"",ReferenceData!$L$34),"")</f>
        <v>4.4529849180000003</v>
      </c>
      <c r="L34">
        <f ca="1">IFERROR(IF(0=LEN(ReferenceData!$K$34),"",ReferenceData!$K$34),"")</f>
        <v>3.001097659</v>
      </c>
      <c r="M34">
        <f ca="1">IFERROR(IF(0=LEN(ReferenceData!$J$34),"",ReferenceData!$J$34),"")</f>
        <v>-1.0373196920000001</v>
      </c>
      <c r="N34">
        <f ca="1">IFERROR(IF(0=LEN(ReferenceData!$I$34),"",ReferenceData!$I$34),"")</f>
        <v>-2.3993873200000002</v>
      </c>
      <c r="O34">
        <f ca="1">IFERROR(IF(0=LEN(ReferenceData!$H$34),"",ReferenceData!$H$34),"")</f>
        <v>0.82343538000000005</v>
      </c>
      <c r="P34">
        <f ca="1">IFERROR(IF(0=LEN(ReferenceData!$G$34),"",ReferenceData!$G$34),"")</f>
        <v>2.8788430470000002</v>
      </c>
      <c r="Q34">
        <f ca="1">IFERROR(IF(0=LEN(ReferenceData!$F$34),"",ReferenceData!$F$34),"")</f>
        <v>5.7487867359999996</v>
      </c>
    </row>
    <row r="35" spans="1:17" x14ac:dyDescent="0.25">
      <c r="A35" t="str">
        <f>IFERROR(IF(0=LEN(ReferenceData!$A$35),"",ReferenceData!$A$35),"")</f>
        <v xml:space="preserve">    Infosys Ltd</v>
      </c>
      <c r="B35" t="str">
        <f>IFERROR(IF(0=LEN(ReferenceData!$B$35),"",ReferenceData!$B$35),"")</f>
        <v>INFY US Equity</v>
      </c>
      <c r="C35" t="str">
        <f>IFERROR(IF(0=LEN(ReferenceData!$C$35),"",ReferenceData!$C$35),"")</f>
        <v>RX552</v>
      </c>
      <c r="D35" t="str">
        <f>IFERROR(IF(0=LEN(ReferenceData!$D$35),"",ReferenceData!$D$35),"")</f>
        <v>NET_SALES_3YR_GEO_GROWTH</v>
      </c>
      <c r="E35" t="str">
        <f>IFERROR(IF(0=LEN(ReferenceData!$E$35),"",ReferenceData!$E$35),"")</f>
        <v>Dynamic</v>
      </c>
      <c r="F35">
        <f ca="1">IFERROR(IF(0=LEN(ReferenceData!$Q$35),"",ReferenceData!$Q$35),"")</f>
        <v>31.586807490000002</v>
      </c>
      <c r="G35">
        <f ca="1">IFERROR(IF(0=LEN(ReferenceData!$P$35),"",ReferenceData!$P$35),"")</f>
        <v>17.85396725</v>
      </c>
      <c r="H35">
        <f ca="1">IFERROR(IF(0=LEN(ReferenceData!$O$35),"",ReferenceData!$O$35),"")</f>
        <v>18.108196159999999</v>
      </c>
      <c r="I35">
        <f ca="1">IFERROR(IF(0=LEN(ReferenceData!$N$35),"",ReferenceData!$N$35),"")</f>
        <v>15.855344990000001</v>
      </c>
      <c r="J35">
        <f ca="1">IFERROR(IF(0=LEN(ReferenceData!$M$35),"",ReferenceData!$M$35),"")</f>
        <v>21.063196479999998</v>
      </c>
      <c r="K35">
        <f ca="1">IFERROR(IF(0=LEN(ReferenceData!$L$35),"",ReferenceData!$L$35),"")</f>
        <v>22.158887589999999</v>
      </c>
      <c r="L35">
        <f ca="1">IFERROR(IF(0=LEN(ReferenceData!$K$35),"",ReferenceData!$K$35),"")</f>
        <v>16.485370400000001</v>
      </c>
      <c r="M35">
        <f ca="1">IFERROR(IF(0=LEN(ReferenceData!$J$35),"",ReferenceData!$J$35),"")</f>
        <v>15.664902189999999</v>
      </c>
      <c r="N35">
        <f ca="1">IFERROR(IF(0=LEN(ReferenceData!$I$35),"",ReferenceData!$I$35),"")</f>
        <v>10.957111279999999</v>
      </c>
      <c r="O35">
        <f ca="1">IFERROR(IF(0=LEN(ReferenceData!$H$35),"",ReferenceData!$H$35),"")</f>
        <v>9.7692949969999994</v>
      </c>
      <c r="P35">
        <f ca="1">IFERROR(IF(0=LEN(ReferenceData!$G$35),"",ReferenceData!$G$35),"")</f>
        <v>9.8082030509999996</v>
      </c>
      <c r="Q35">
        <f ca="1">IFERROR(IF(0=LEN(ReferenceData!$F$35),"",ReferenceData!$F$35),"")</f>
        <v>9.8545106029999996</v>
      </c>
    </row>
    <row r="36" spans="1:17" x14ac:dyDescent="0.25">
      <c r="A36" t="str">
        <f>IFERROR(IF(0=LEN(ReferenceData!$A$36),"",ReferenceData!$A$36),"")</f>
        <v xml:space="preserve">    International Business Machines Corp</v>
      </c>
      <c r="B36" t="str">
        <f>IFERROR(IF(0=LEN(ReferenceData!$B$36),"",ReferenceData!$B$36),"")</f>
        <v>IBM US Equity</v>
      </c>
      <c r="C36" t="str">
        <f>IFERROR(IF(0=LEN(ReferenceData!$C$36),"",ReferenceData!$C$36),"")</f>
        <v>RX552</v>
      </c>
      <c r="D36" t="str">
        <f>IFERROR(IF(0=LEN(ReferenceData!$D$36),"",ReferenceData!$D$36),"")</f>
        <v>NET_SALES_3YR_GEO_GROWTH</v>
      </c>
      <c r="E36" t="str">
        <f>IFERROR(IF(0=LEN(ReferenceData!$E$36),"",ReferenceData!$E$36),"")</f>
        <v>Dynamic</v>
      </c>
      <c r="F36">
        <f ca="1">IFERROR(IF(0=LEN(ReferenceData!$Q$36),"",ReferenceData!$Q$36),"")</f>
        <v>4.3762497509999996</v>
      </c>
      <c r="G36">
        <f ca="1">IFERROR(IF(0=LEN(ReferenceData!$P$36),"",ReferenceData!$P$36),"")</f>
        <v>1.5558509149999999</v>
      </c>
      <c r="H36">
        <f ca="1">IFERROR(IF(0=LEN(ReferenceData!$O$36),"",ReferenceData!$O$36),"")</f>
        <v>0.36444401999999998</v>
      </c>
      <c r="I36">
        <f ca="1">IFERROR(IF(0=LEN(ReferenceData!$N$36),"",ReferenceData!$N$36),"")</f>
        <v>1.045986463</v>
      </c>
      <c r="J36">
        <f ca="1">IFERROR(IF(0=LEN(ReferenceData!$M$36),"",ReferenceData!$M$36),"")</f>
        <v>2.4181326539999999</v>
      </c>
      <c r="K36">
        <f ca="1">IFERROR(IF(0=LEN(ReferenceData!$L$36),"",ReferenceData!$L$36),"")</f>
        <v>-0.50418995099999997</v>
      </c>
      <c r="L36">
        <f ca="1">IFERROR(IF(0=LEN(ReferenceData!$K$36),"",ReferenceData!$K$36),"")</f>
        <v>-4.612638102</v>
      </c>
      <c r="M36">
        <f ca="1">IFERROR(IF(0=LEN(ReferenceData!$J$36),"",ReferenceData!$J$36),"")</f>
        <v>-7.3785789399999997</v>
      </c>
      <c r="N36">
        <f ca="1">IFERROR(IF(0=LEN(ReferenceData!$I$36),"",ReferenceData!$I$36),"")</f>
        <v>-6.6888507859999997</v>
      </c>
      <c r="O36">
        <f ca="1">IFERROR(IF(0=LEN(ReferenceData!$H$36),"",ReferenceData!$H$36),"")</f>
        <v>-5.1672275279999997</v>
      </c>
      <c r="P36">
        <f ca="1">IFERROR(IF(0=LEN(ReferenceData!$G$36),"",ReferenceData!$G$36),"")</f>
        <v>-0.88455428899999999</v>
      </c>
      <c r="Q36">
        <f ca="1">IFERROR(IF(0=LEN(ReferenceData!$F$36),"",ReferenceData!$F$36),"")</f>
        <v>-1.169801621</v>
      </c>
    </row>
    <row r="37" spans="1:17" x14ac:dyDescent="0.25">
      <c r="A37" t="str">
        <f>IFERROR(IF(0=LEN(ReferenceData!$A$37),"",ReferenceData!$A$37),"")</f>
        <v xml:space="preserve">    Tata Consultancy Services Ltd</v>
      </c>
      <c r="B37" t="str">
        <f>IFERROR(IF(0=LEN(ReferenceData!$B$37),"",ReferenceData!$B$37),"")</f>
        <v>TCS IN Equity</v>
      </c>
      <c r="C37" t="str">
        <f>IFERROR(IF(0=LEN(ReferenceData!$C$37),"",ReferenceData!$C$37),"")</f>
        <v>RX552</v>
      </c>
      <c r="D37" t="str">
        <f>IFERROR(IF(0=LEN(ReferenceData!$D$37),"",ReferenceData!$D$37),"")</f>
        <v>NET_SALES_3YR_GEO_GROWTH</v>
      </c>
      <c r="E37" t="str">
        <f>IFERROR(IF(0=LEN(ReferenceData!$E$37),"",ReferenceData!$E$37),"")</f>
        <v>Dynamic</v>
      </c>
      <c r="F37">
        <f ca="1">IFERROR(IF(0=LEN(ReferenceData!$Q$37),"",ReferenceData!$Q$37),"")</f>
        <v>28.03239602</v>
      </c>
      <c r="G37">
        <f ca="1">IFERROR(IF(0=LEN(ReferenceData!$P$37),"",ReferenceData!$P$37),"")</f>
        <v>17.133353329999998</v>
      </c>
      <c r="H37">
        <f ca="1">IFERROR(IF(0=LEN(ReferenceData!$O$37),"",ReferenceData!$O$37),"")</f>
        <v>18.169004470000001</v>
      </c>
      <c r="I37">
        <f ca="1">IFERROR(IF(0=LEN(ReferenceData!$N$37),"",ReferenceData!$N$37),"")</f>
        <v>20.689465909999999</v>
      </c>
      <c r="J37">
        <f ca="1">IFERROR(IF(0=LEN(ReferenceData!$M$37),"",ReferenceData!$M$37),"")</f>
        <v>28.009667660000002</v>
      </c>
      <c r="K37">
        <f ca="1">IFERROR(IF(0=LEN(ReferenceData!$L$37),"",ReferenceData!$L$37),"")</f>
        <v>29.898148249999998</v>
      </c>
      <c r="L37">
        <f ca="1">IFERROR(IF(0=LEN(ReferenceData!$K$37),"",ReferenceData!$K$37),"")</f>
        <v>24.629184949999999</v>
      </c>
      <c r="M37">
        <f ca="1">IFERROR(IF(0=LEN(ReferenceData!$J$37),"",ReferenceData!$J$37),"")</f>
        <v>19.926522179999999</v>
      </c>
      <c r="N37">
        <f ca="1">IFERROR(IF(0=LEN(ReferenceData!$I$37),"",ReferenceData!$I$37),"")</f>
        <v>12.975590370000001</v>
      </c>
      <c r="O37">
        <f ca="1">IFERROR(IF(0=LEN(ReferenceData!$H$37),"",ReferenceData!$H$37),"")</f>
        <v>9.1573408300000008</v>
      </c>
      <c r="P37">
        <f ca="1">IFERROR(IF(0=LEN(ReferenceData!$G$37),"",ReferenceData!$G$37),"")</f>
        <v>10.468399359999999</v>
      </c>
      <c r="Q37">
        <f ca="1">IFERROR(IF(0=LEN(ReferenceData!$F$37),"",ReferenceData!$F$37),"")</f>
        <v>9.9851115929999992</v>
      </c>
    </row>
    <row r="38" spans="1:17" x14ac:dyDescent="0.25">
      <c r="A38" t="str">
        <f>IFERROR(IF(0=LEN(ReferenceData!$A$38),"",ReferenceData!$A$38),"")</f>
        <v xml:space="preserve">    Tech Mahindra Ltd</v>
      </c>
      <c r="B38" t="str">
        <f>IFERROR(IF(0=LEN(ReferenceData!$B$38),"",ReferenceData!$B$38),"")</f>
        <v>TECHM IN Equity</v>
      </c>
      <c r="C38" t="str">
        <f>IFERROR(IF(0=LEN(ReferenceData!$C$38),"",ReferenceData!$C$38),"")</f>
        <v>RX552</v>
      </c>
      <c r="D38" t="str">
        <f>IFERROR(IF(0=LEN(ReferenceData!$D$38),"",ReferenceData!$D$38),"")</f>
        <v>NET_SALES_3YR_GEO_GROWTH</v>
      </c>
      <c r="E38" t="str">
        <f>IFERROR(IF(0=LEN(ReferenceData!$E$38),"",ReferenceData!$E$38),"")</f>
        <v>Dynamic</v>
      </c>
      <c r="F38">
        <f ca="1">IFERROR(IF(0=LEN(ReferenceData!$Q$38),"",ReferenceData!$Q$38),"")</f>
        <v>53.275777040000001</v>
      </c>
      <c r="G38">
        <f ca="1">IFERROR(IF(0=LEN(ReferenceData!$P$38),"",ReferenceData!$P$38),"")</f>
        <v>16.45054592</v>
      </c>
      <c r="H38">
        <f ca="1">IFERROR(IF(0=LEN(ReferenceData!$O$38),"",ReferenceData!$O$38),"")</f>
        <v>10.92498788</v>
      </c>
      <c r="I38">
        <f ca="1">IFERROR(IF(0=LEN(ReferenceData!$N$38),"",ReferenceData!$N$38),"")</f>
        <v>7.1318924160000003</v>
      </c>
      <c r="J38">
        <f ca="1">IFERROR(IF(0=LEN(ReferenceData!$M$38),"",ReferenceData!$M$38),"")</f>
        <v>14.11282462</v>
      </c>
      <c r="K38">
        <f ca="1">IFERROR(IF(0=LEN(ReferenceData!$L$38),"",ReferenceData!$L$38),"")</f>
        <v>54.158519339999998</v>
      </c>
      <c r="L38">
        <f ca="1">IFERROR(IF(0=LEN(ReferenceData!$K$38),"",ReferenceData!$K$38),"")</f>
        <v>60.320717989999999</v>
      </c>
      <c r="M38">
        <f ca="1">IFERROR(IF(0=LEN(ReferenceData!$J$38),"",ReferenceData!$J$38),"")</f>
        <v>56.795182840000002</v>
      </c>
      <c r="N38">
        <f ca="1">IFERROR(IF(0=LEN(ReferenceData!$I$38),"",ReferenceData!$I$38),"")</f>
        <v>15.66615191</v>
      </c>
      <c r="O38">
        <f ca="1">IFERROR(IF(0=LEN(ReferenceData!$H$38),"",ReferenceData!$H$38),"")</f>
        <v>10.80268609</v>
      </c>
      <c r="P38">
        <f ca="1">IFERROR(IF(0=LEN(ReferenceData!$G$38),"",ReferenceData!$G$38),"")</f>
        <v>9.4548689180000007</v>
      </c>
      <c r="Q38">
        <f ca="1">IFERROR(IF(0=LEN(ReferenceData!$F$38),"",ReferenceData!$F$38),"")</f>
        <v>8.1553756029999995</v>
      </c>
    </row>
    <row r="39" spans="1:17" x14ac:dyDescent="0.25">
      <c r="A39" t="str">
        <f>IFERROR(IF(0=LEN(ReferenceData!$A$39),"",ReferenceData!$A$39),"")</f>
        <v xml:space="preserve">    Wipro Ltd</v>
      </c>
      <c r="B39" t="str">
        <f>IFERROR(IF(0=LEN(ReferenceData!$B$39),"",ReferenceData!$B$39),"")</f>
        <v>WIT US Equity</v>
      </c>
      <c r="C39" t="str">
        <f>IFERROR(IF(0=LEN(ReferenceData!$C$39),"",ReferenceData!$C$39),"")</f>
        <v>RX552</v>
      </c>
      <c r="D39" t="str">
        <f>IFERROR(IF(0=LEN(ReferenceData!$D$39),"",ReferenceData!$D$39),"")</f>
        <v>NET_SALES_3YR_GEO_GROWTH</v>
      </c>
      <c r="E39" t="str">
        <f>IFERROR(IF(0=LEN(ReferenceData!$E$39),"",ReferenceData!$E$39),"")</f>
        <v>Dynamic</v>
      </c>
      <c r="F39">
        <f ca="1">IFERROR(IF(0=LEN(ReferenceData!$Q$39),"",ReferenceData!$Q$39),"")</f>
        <v>34.327952930000002</v>
      </c>
      <c r="G39">
        <f ca="1">IFERROR(IF(0=LEN(ReferenceData!$P$39),"",ReferenceData!$P$39),"")</f>
        <v>21.967810700000001</v>
      </c>
      <c r="H39">
        <f ca="1">IFERROR(IF(0=LEN(ReferenceData!$O$39),"",ReferenceData!$O$39),"")</f>
        <v>15.836257809999999</v>
      </c>
      <c r="I39">
        <f ca="1">IFERROR(IF(0=LEN(ReferenceData!$N$39),"",ReferenceData!$N$39),"")</f>
        <v>13.117067069999999</v>
      </c>
      <c r="J39">
        <f ca="1">IFERROR(IF(0=LEN(ReferenceData!$M$39),"",ReferenceData!$M$39),"")</f>
        <v>11.20679264</v>
      </c>
      <c r="K39">
        <f ca="1">IFERROR(IF(0=LEN(ReferenceData!$L$39),"",ReferenceData!$L$39),"")</f>
        <v>11.82686786</v>
      </c>
      <c r="L39">
        <f ca="1">IFERROR(IF(0=LEN(ReferenceData!$K$39),"",ReferenceData!$K$39),"")</f>
        <v>8.0743700240000003</v>
      </c>
      <c r="M39">
        <f ca="1">IFERROR(IF(0=LEN(ReferenceData!$J$39),"",ReferenceData!$J$39),"")</f>
        <v>11.043058950000001</v>
      </c>
      <c r="N39">
        <f ca="1">IFERROR(IF(0=LEN(ReferenceData!$I$39),"",ReferenceData!$I$39),"")</f>
        <v>8.2198825410000005</v>
      </c>
      <c r="O39">
        <f ca="1">IFERROR(IF(0=LEN(ReferenceData!$H$39),"",ReferenceData!$H$39),"")</f>
        <v>5.0845392809999996</v>
      </c>
      <c r="P39">
        <f ca="1">IFERROR(IF(0=LEN(ReferenceData!$G$39),"",ReferenceData!$G$39),"")</f>
        <v>4.5634494390000002</v>
      </c>
      <c r="Q39">
        <f ca="1">IFERROR(IF(0=LEN(ReferenceData!$F$39),"",ReferenceData!$F$39),"")</f>
        <v>3.499517424</v>
      </c>
    </row>
    <row r="40" spans="1:17" x14ac:dyDescent="0.25">
      <c r="A40" t="str">
        <f>IFERROR(IF(0=LEN(ReferenceData!$A$40),"",ReferenceData!$A$40),"")</f>
        <v>EBITDA Growth (1 Yr)</v>
      </c>
      <c r="B40" t="str">
        <f>IFERROR(IF(0=LEN(ReferenceData!$B$40),"",ReferenceData!$B$40),"")</f>
        <v>BRITBPOV Index</v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Average</v>
      </c>
      <c r="F40">
        <f ca="1">IFERROR(IF(0=LEN(ReferenceData!$Q$40),"",ReferenceData!$Q$40),"")</f>
        <v>19.897682178500002</v>
      </c>
      <c r="G40">
        <f ca="1">IFERROR(IF(0=LEN(ReferenceData!$P$40),"",ReferenceData!$P$40),"")</f>
        <v>-0.2796322160666655</v>
      </c>
      <c r="H40">
        <f ca="1">IFERROR(IF(0=LEN(ReferenceData!$O$40),"",ReferenceData!$O$40),"")</f>
        <v>20.247055099333327</v>
      </c>
      <c r="I40">
        <f ca="1">IFERROR(IF(0=LEN(ReferenceData!$N$40),"",ReferenceData!$N$40),"")</f>
        <v>21.002509346133333</v>
      </c>
      <c r="J40">
        <f ca="1">IFERROR(IF(0=LEN(ReferenceData!$M$40),"",ReferenceData!$M$40),"")</f>
        <v>13.221683896999997</v>
      </c>
      <c r="K40">
        <f ca="1">IFERROR(IF(0=LEN(ReferenceData!$L$40),"",ReferenceData!$L$40),"")</f>
        <v>33.965887448000004</v>
      </c>
      <c r="L40">
        <f ca="1">IFERROR(IF(0=LEN(ReferenceData!$K$40),"",ReferenceData!$K$40),"")</f>
        <v>-0.19403004619999956</v>
      </c>
      <c r="M40">
        <f ca="1">IFERROR(IF(0=LEN(ReferenceData!$J$40),"",ReferenceData!$J$40),"")</f>
        <v>4.8497405495000008</v>
      </c>
      <c r="N40">
        <f ca="1">IFERROR(IF(0=LEN(ReferenceData!$I$40),"",ReferenceData!$I$40),"")</f>
        <v>7.7559166282142851</v>
      </c>
      <c r="O40">
        <f ca="1">IFERROR(IF(0=LEN(ReferenceData!$H$40),"",ReferenceData!$H$40),"")</f>
        <v>9.7721743972499997</v>
      </c>
      <c r="P40">
        <f ca="1">IFERROR(IF(0=LEN(ReferenceData!$G$40),"",ReferenceData!$G$40),"")</f>
        <v>5.6990587842352953</v>
      </c>
      <c r="Q40">
        <f ca="1">IFERROR(IF(0=LEN(ReferenceData!$F$40),"",ReferenceData!$F$40),"")</f>
        <v>15.509857617533333</v>
      </c>
    </row>
    <row r="41" spans="1:17" x14ac:dyDescent="0.25">
      <c r="A41" t="str">
        <f>IFERROR(IF(0=LEN(ReferenceData!$A$41),"",ReferenceData!$A$41),"")</f>
        <v xml:space="preserve">    Accenture PLC</v>
      </c>
      <c r="B41" t="str">
        <f>IFERROR(IF(0=LEN(ReferenceData!$B$41),"",ReferenceData!$B$41),"")</f>
        <v>ACN US Equity</v>
      </c>
      <c r="C41" t="str">
        <f>IFERROR(IF(0=LEN(ReferenceData!$C$41),"",ReferenceData!$C$41),"")</f>
        <v>RR128</v>
      </c>
      <c r="D41" t="str">
        <f>IFERROR(IF(0=LEN(ReferenceData!$D$41),"",ReferenceData!$D$41),"")</f>
        <v>EBITDA_GROWTH</v>
      </c>
      <c r="E41" t="str">
        <f>IFERROR(IF(0=LEN(ReferenceData!$E$41),"",ReferenceData!$E$41),"")</f>
        <v>Dynamic</v>
      </c>
      <c r="F41">
        <f ca="1">IFERROR(IF(0=LEN(ReferenceData!$Q$41),"",ReferenceData!$Q$41),"")</f>
        <v>19.2666757</v>
      </c>
      <c r="G41">
        <f ca="1">IFERROR(IF(0=LEN(ReferenceData!$P$41),"",ReferenceData!$P$41),"")</f>
        <v>-10.292511879999999</v>
      </c>
      <c r="H41">
        <f ca="1">IFERROR(IF(0=LEN(ReferenceData!$O$41),"",ReferenceData!$O$41),"")</f>
        <v>7.8625444560000002</v>
      </c>
      <c r="I41">
        <f ca="1">IFERROR(IF(0=LEN(ReferenceData!$N$41),"",ReferenceData!$N$41),"")</f>
        <v>17.529848510000001</v>
      </c>
      <c r="J41">
        <f ca="1">IFERROR(IF(0=LEN(ReferenceData!$M$41),"",ReferenceData!$M$41),"")</f>
        <v>12.083701810000001</v>
      </c>
      <c r="K41">
        <f ca="1">IFERROR(IF(0=LEN(ReferenceData!$L$41),"",ReferenceData!$L$41),"")</f>
        <v>10.45028625</v>
      </c>
      <c r="L41">
        <f ca="1">IFERROR(IF(0=LEN(ReferenceData!$K$41),"",ReferenceData!$K$41),"")</f>
        <v>-0.21195496599999999</v>
      </c>
      <c r="M41">
        <f ca="1">IFERROR(IF(0=LEN(ReferenceData!$J$41),"",ReferenceData!$J$41),"")</f>
        <v>3.2621150499999998</v>
      </c>
      <c r="N41">
        <f ca="1">IFERROR(IF(0=LEN(ReferenceData!$I$41),"",ReferenceData!$I$41),"")</f>
        <v>9.0067637559999998</v>
      </c>
      <c r="O41">
        <f ca="1">IFERROR(IF(0=LEN(ReferenceData!$H$41),"",ReferenceData!$H$41),"")</f>
        <v>-1.8972661239999999</v>
      </c>
      <c r="P41">
        <f ca="1">IFERROR(IF(0=LEN(ReferenceData!$G$41),"",ReferenceData!$G$41),"")</f>
        <v>25.599100400000001</v>
      </c>
      <c r="Q41">
        <f ca="1">IFERROR(IF(0=LEN(ReferenceData!$F$41),"",ReferenceData!$F$41),"")</f>
        <v>5.4541938349999999</v>
      </c>
    </row>
    <row r="42" spans="1:17" x14ac:dyDescent="0.25">
      <c r="A42" t="str">
        <f>IFERROR(IF(0=LEN(ReferenceData!$A$42),"",ReferenceData!$A$42),"")</f>
        <v xml:space="preserve">    Amdocs Ltd</v>
      </c>
      <c r="B42" t="str">
        <f>IFERROR(IF(0=LEN(ReferenceData!$B$42),"",ReferenceData!$B$42),"")</f>
        <v>DOX US Equity</v>
      </c>
      <c r="C42" t="str">
        <f>IFERROR(IF(0=LEN(ReferenceData!$C$42),"",ReferenceData!$C$42),"")</f>
        <v>RR128</v>
      </c>
      <c r="D42" t="str">
        <f>IFERROR(IF(0=LEN(ReferenceData!$D$42),"",ReferenceData!$D$42),"")</f>
        <v>EBITDA_GROWTH</v>
      </c>
      <c r="E42" t="str">
        <f>IFERROR(IF(0=LEN(ReferenceData!$E$42),"",ReferenceData!$E$42),"")</f>
        <v>Dynamic</v>
      </c>
      <c r="F42">
        <f ca="1">IFERROR(IF(0=LEN(ReferenceData!$Q$42),"",ReferenceData!$Q$42),"")</f>
        <v>15.729948520000001</v>
      </c>
      <c r="G42">
        <f ca="1">IFERROR(IF(0=LEN(ReferenceData!$P$42),"",ReferenceData!$P$42),"")</f>
        <v>-7.6728894289999996</v>
      </c>
      <c r="H42">
        <f ca="1">IFERROR(IF(0=LEN(ReferenceData!$O$42),"",ReferenceData!$O$42),"")</f>
        <v>7.2395205130000004</v>
      </c>
      <c r="I42">
        <f ca="1">IFERROR(IF(0=LEN(ReferenceData!$N$42),"",ReferenceData!$N$42),"")</f>
        <v>-3.3860346680000002</v>
      </c>
      <c r="J42">
        <f ca="1">IFERROR(IF(0=LEN(ReferenceData!$M$42),"",ReferenceData!$M$42),"")</f>
        <v>2.7729366839999998</v>
      </c>
      <c r="K42">
        <f ca="1">IFERROR(IF(0=LEN(ReferenceData!$L$42),"",ReferenceData!$L$42),"")</f>
        <v>3.3619781889999998</v>
      </c>
      <c r="L42">
        <f ca="1">IFERROR(IF(0=LEN(ReferenceData!$K$42),"",ReferenceData!$K$42),"")</f>
        <v>5.799514083</v>
      </c>
      <c r="M42">
        <f ca="1">IFERROR(IF(0=LEN(ReferenceData!$J$42),"",ReferenceData!$J$42),"")</f>
        <v>4.9091765130000002</v>
      </c>
      <c r="N42">
        <f ca="1">IFERROR(IF(0=LEN(ReferenceData!$I$42),"",ReferenceData!$I$42),"")</f>
        <v>0.60644841900000002</v>
      </c>
      <c r="O42">
        <f ca="1">IFERROR(IF(0=LEN(ReferenceData!$H$42),"",ReferenceData!$H$42),"")</f>
        <v>5.3654170480000003</v>
      </c>
      <c r="P42">
        <f ca="1">IFERROR(IF(0=LEN(ReferenceData!$G$42),"",ReferenceData!$G$42),"")</f>
        <v>-12.65838862</v>
      </c>
      <c r="Q42">
        <f ca="1">IFERROR(IF(0=LEN(ReferenceData!$F$42),"",ReferenceData!$F$42),"")</f>
        <v>21.263550949999999</v>
      </c>
    </row>
    <row r="43" spans="1:17" x14ac:dyDescent="0.25">
      <c r="A43" t="str">
        <f>IFERROR(IF(0=LEN(ReferenceData!$A$43),"",ReferenceData!$A$43),"")</f>
        <v xml:space="preserve">    Atos SE</v>
      </c>
      <c r="B43" t="str">
        <f>IFERROR(IF(0=LEN(ReferenceData!$B$43),"",ReferenceData!$B$43),"")</f>
        <v>ATO FP Equity</v>
      </c>
      <c r="C43" t="str">
        <f>IFERROR(IF(0=LEN(ReferenceData!$C$43),"",ReferenceData!$C$43),"")</f>
        <v>RR128</v>
      </c>
      <c r="D43" t="str">
        <f>IFERROR(IF(0=LEN(ReferenceData!$D$43),"",ReferenceData!$D$43),"")</f>
        <v>EBITDA_GROWTH</v>
      </c>
      <c r="E43" t="str">
        <f>IFERROR(IF(0=LEN(ReferenceData!$E$43),"",ReferenceData!$E$43),"")</f>
        <v>Dynamic</v>
      </c>
      <c r="F43">
        <f ca="1">IFERROR(IF(0=LEN(ReferenceData!$Q$43),"",ReferenceData!$Q$43),"")</f>
        <v>0.63825406600000001</v>
      </c>
      <c r="G43">
        <f ca="1">IFERROR(IF(0=LEN(ReferenceData!$P$43),"",ReferenceData!$P$43),"")</f>
        <v>-48.179214399999999</v>
      </c>
      <c r="H43">
        <f ca="1">IFERROR(IF(0=LEN(ReferenceData!$O$43),"",ReferenceData!$O$43),"")</f>
        <v>63.363600470000002</v>
      </c>
      <c r="I43">
        <f ca="1">IFERROR(IF(0=LEN(ReferenceData!$N$43),"",ReferenceData!$N$43),"")</f>
        <v>56.234896089999999</v>
      </c>
      <c r="J43">
        <f ca="1">IFERROR(IF(0=LEN(ReferenceData!$M$43),"",ReferenceData!$M$43),"")</f>
        <v>18.979118329999999</v>
      </c>
      <c r="K43">
        <f ca="1">IFERROR(IF(0=LEN(ReferenceData!$L$43),"",ReferenceData!$L$43),"")</f>
        <v>2.7171086839999998</v>
      </c>
      <c r="L43">
        <f ca="1">IFERROR(IF(0=LEN(ReferenceData!$K$43),"",ReferenceData!$K$43),"")</f>
        <v>1.759270978</v>
      </c>
      <c r="M43">
        <f ca="1">IFERROR(IF(0=LEN(ReferenceData!$J$43),"",ReferenceData!$J$43),"")</f>
        <v>32.686567160000003</v>
      </c>
      <c r="N43">
        <f ca="1">IFERROR(IF(0=LEN(ReferenceData!$I$43),"",ReferenceData!$I$43),"")</f>
        <v>26.284214469999998</v>
      </c>
      <c r="O43">
        <f ca="1">IFERROR(IF(0=LEN(ReferenceData!$H$43),"",ReferenceData!$H$43),"")</f>
        <v>6.294536817</v>
      </c>
      <c r="P43">
        <f ca="1">IFERROR(IF(0=LEN(ReferenceData!$G$43),"",ReferenceData!$G$43),"")</f>
        <v>-24.790502790000001</v>
      </c>
      <c r="Q43">
        <f ca="1">IFERROR(IF(0=LEN(ReferenceData!$F$43),"",ReferenceData!$F$43),"")</f>
        <v>38.254410399999998</v>
      </c>
    </row>
    <row r="44" spans="1:17" x14ac:dyDescent="0.25">
      <c r="A44" t="str">
        <f>IFERROR(IF(0=LEN(ReferenceData!$A$44),"",ReferenceData!$A$44),"")</f>
        <v xml:space="preserve">    Capgemini SE</v>
      </c>
      <c r="B44" t="str">
        <f>IFERROR(IF(0=LEN(ReferenceData!$B$44),"",ReferenceData!$B$44),"")</f>
        <v>CAP FP Equity</v>
      </c>
      <c r="C44" t="str">
        <f>IFERROR(IF(0=LEN(ReferenceData!$C$44),"",ReferenceData!$C$44),"")</f>
        <v>RR128</v>
      </c>
      <c r="D44" t="str">
        <f>IFERROR(IF(0=LEN(ReferenceData!$D$44),"",ReferenceData!$D$44),"")</f>
        <v>EBITDA_GROWTH</v>
      </c>
      <c r="E44" t="str">
        <f>IFERROR(IF(0=LEN(ReferenceData!$E$44),"",ReferenceData!$E$44),"")</f>
        <v>Dynamic</v>
      </c>
      <c r="F44">
        <f ca="1">IFERROR(IF(0=LEN(ReferenceData!$Q$44),"",ReferenceData!$Q$44),"")</f>
        <v>17.625899279999999</v>
      </c>
      <c r="G44">
        <f ca="1">IFERROR(IF(0=LEN(ReferenceData!$P$44),"",ReferenceData!$P$44),"")</f>
        <v>-49.337410810000002</v>
      </c>
      <c r="H44">
        <f ca="1">IFERROR(IF(0=LEN(ReferenceData!$O$44),"",ReferenceData!$O$44),"")</f>
        <v>33.802816900000003</v>
      </c>
      <c r="I44">
        <f ca="1">IFERROR(IF(0=LEN(ReferenceData!$N$44),"",ReferenceData!$N$44),"")</f>
        <v>17.7443609</v>
      </c>
      <c r="J44">
        <f ca="1">IFERROR(IF(0=LEN(ReferenceData!$M$44),"",ReferenceData!$M$44),"")</f>
        <v>6.5134099619999999</v>
      </c>
      <c r="K44">
        <f ca="1">IFERROR(IF(0=LEN(ReferenceData!$L$44),"",ReferenceData!$L$44),"")</f>
        <v>11.270983210000001</v>
      </c>
      <c r="L44">
        <f ca="1">IFERROR(IF(0=LEN(ReferenceData!$K$44),"",ReferenceData!$K$44),"")</f>
        <v>13.900862070000001</v>
      </c>
      <c r="M44">
        <f ca="1">IFERROR(IF(0=LEN(ReferenceData!$J$44),"",ReferenceData!$J$44),"")</f>
        <v>21.66508988</v>
      </c>
      <c r="N44">
        <f ca="1">IFERROR(IF(0=LEN(ReferenceData!$I$44),"",ReferenceData!$I$44),"")</f>
        <v>12.519440120000001</v>
      </c>
      <c r="O44">
        <f ca="1">IFERROR(IF(0=LEN(ReferenceData!$H$44),"",ReferenceData!$H$44),"")</f>
        <v>2.5570145129999999</v>
      </c>
      <c r="P44">
        <f ca="1">IFERROR(IF(0=LEN(ReferenceData!$G$44),"",ReferenceData!$G$44),"")</f>
        <v>4.6495956869999997</v>
      </c>
      <c r="Q44">
        <f ca="1">IFERROR(IF(0=LEN(ReferenceData!$F$44),"",ReferenceData!$F$44),"")</f>
        <v>27.366387639999999</v>
      </c>
    </row>
    <row r="45" spans="1:17" x14ac:dyDescent="0.25">
      <c r="A45" t="str">
        <f>IFERROR(IF(0=LEN(ReferenceData!$A$45),"",ReferenceData!$A$45),"")</f>
        <v xml:space="preserve">    CGI Inc</v>
      </c>
      <c r="B45" t="str">
        <f>IFERROR(IF(0=LEN(ReferenceData!$B$45),"",ReferenceData!$B$45),"")</f>
        <v>GIB US Equity</v>
      </c>
      <c r="C45" t="str">
        <f>IFERROR(IF(0=LEN(ReferenceData!$C$45),"",ReferenceData!$C$45),"")</f>
        <v>RR128</v>
      </c>
      <c r="D45" t="str">
        <f>IFERROR(IF(0=LEN(ReferenceData!$D$45),"",ReferenceData!$D$45),"")</f>
        <v>EBITDA_GROWTH</v>
      </c>
      <c r="E45" t="str">
        <f>IFERROR(IF(0=LEN(ReferenceData!$E$45),"",ReferenceData!$E$45),"")</f>
        <v>Dynamic</v>
      </c>
      <c r="F45">
        <f ca="1">IFERROR(IF(0=LEN(ReferenceData!$Q$45),"",ReferenceData!$Q$45),"")</f>
        <v>2.4090656030000002</v>
      </c>
      <c r="G45">
        <f ca="1">IFERROR(IF(0=LEN(ReferenceData!$P$45),"",ReferenceData!$P$45),"")</f>
        <v>9.5509917469999994</v>
      </c>
      <c r="H45">
        <f ca="1">IFERROR(IF(0=LEN(ReferenceData!$O$45),"",ReferenceData!$O$45),"")</f>
        <v>4.9079799910000004</v>
      </c>
      <c r="I45">
        <f ca="1">IFERROR(IF(0=LEN(ReferenceData!$N$45),"",ReferenceData!$N$45),"")</f>
        <v>5.9620279539999999</v>
      </c>
      <c r="J45">
        <f ca="1">IFERROR(IF(0=LEN(ReferenceData!$M$45),"",ReferenceData!$M$45),"")</f>
        <v>-30.643410509999999</v>
      </c>
      <c r="K45">
        <f ca="1">IFERROR(IF(0=LEN(ReferenceData!$L$45),"",ReferenceData!$L$45),"")</f>
        <v>124.09467069999999</v>
      </c>
      <c r="L45">
        <f ca="1">IFERROR(IF(0=LEN(ReferenceData!$K$45),"",ReferenceData!$K$45),"")</f>
        <v>44.192563120000003</v>
      </c>
      <c r="M45">
        <f ca="1">IFERROR(IF(0=LEN(ReferenceData!$J$45),"",ReferenceData!$J$45),"")</f>
        <v>10.04213916</v>
      </c>
      <c r="N45">
        <f ca="1">IFERROR(IF(0=LEN(ReferenceData!$I$45),"",ReferenceData!$I$45),"")</f>
        <v>4.1543878779999996</v>
      </c>
      <c r="O45">
        <f ca="1">IFERROR(IF(0=LEN(ReferenceData!$H$45),"",ReferenceData!$H$45),"")</f>
        <v>-3.4975521070000002</v>
      </c>
      <c r="P45">
        <f ca="1">IFERROR(IF(0=LEN(ReferenceData!$G$45),"",ReferenceData!$G$45),"")</f>
        <v>5.0471223050000003</v>
      </c>
      <c r="Q45">
        <f ca="1">IFERROR(IF(0=LEN(ReferenceData!$F$45),"",ReferenceData!$F$45),"")</f>
        <v>9.3004020740000009</v>
      </c>
    </row>
    <row r="46" spans="1:17" x14ac:dyDescent="0.25">
      <c r="A46" t="str">
        <f>IFERROR(IF(0=LEN(ReferenceData!$A$46),"",ReferenceData!$A$46),"")</f>
        <v xml:space="preserve">    Cognizant Technology Solutions Corp</v>
      </c>
      <c r="B46" t="str">
        <f>IFERROR(IF(0=LEN(ReferenceData!$B$46),"",ReferenceData!$B$46),"")</f>
        <v>CTSH US Equity</v>
      </c>
      <c r="C46" t="str">
        <f>IFERROR(IF(0=LEN(ReferenceData!$C$46),"",ReferenceData!$C$46),"")</f>
        <v>RR128</v>
      </c>
      <c r="D46" t="str">
        <f>IFERROR(IF(0=LEN(ReferenceData!$D$46),"",ReferenceData!$D$46),"")</f>
        <v>EBITDA_GROWTH</v>
      </c>
      <c r="E46" t="str">
        <f>IFERROR(IF(0=LEN(ReferenceData!$E$46),"",ReferenceData!$E$46),"")</f>
        <v>Dynamic</v>
      </c>
      <c r="F46">
        <f ca="1">IFERROR(IF(0=LEN(ReferenceData!$Q$46),"",ReferenceData!$Q$46),"")</f>
        <v>35.832031970000003</v>
      </c>
      <c r="G46">
        <f ca="1">IFERROR(IF(0=LEN(ReferenceData!$P$46),"",ReferenceData!$P$46),"")</f>
        <v>19.678866280000001</v>
      </c>
      <c r="H46">
        <f ca="1">IFERROR(IF(0=LEN(ReferenceData!$O$46),"",ReferenceData!$O$46),"")</f>
        <v>37.318484840000004</v>
      </c>
      <c r="I46">
        <f ca="1">IFERROR(IF(0=LEN(ReferenceData!$N$46),"",ReferenceData!$N$46),"")</f>
        <v>29.692579609999999</v>
      </c>
      <c r="J46">
        <f ca="1">IFERROR(IF(0=LEN(ReferenceData!$M$46),"",ReferenceData!$M$46),"")</f>
        <v>20.421403999999999</v>
      </c>
      <c r="K46">
        <f ca="1">IFERROR(IF(0=LEN(ReferenceData!$L$46),"",ReferenceData!$L$46),"")</f>
        <v>22.380579730000001</v>
      </c>
      <c r="L46">
        <f ca="1">IFERROR(IF(0=LEN(ReferenceData!$K$46),"",ReferenceData!$K$46),"")</f>
        <v>12.657710030000001</v>
      </c>
      <c r="M46">
        <f ca="1">IFERROR(IF(0=LEN(ReferenceData!$J$46),"",ReferenceData!$J$46),"")</f>
        <v>18.107978979999999</v>
      </c>
      <c r="N46">
        <f ca="1">IFERROR(IF(0=LEN(ReferenceData!$I$46),"",ReferenceData!$I$46),"")</f>
        <v>7.928802589</v>
      </c>
      <c r="O46">
        <f ca="1">IFERROR(IF(0=LEN(ReferenceData!$H$46),"",ReferenceData!$H$46),"")</f>
        <v>9.5952023989999997</v>
      </c>
      <c r="P46">
        <f ca="1">IFERROR(IF(0=LEN(ReferenceData!$G$46),"",ReferenceData!$G$46),"")</f>
        <v>12.824897399999999</v>
      </c>
      <c r="Q46">
        <f ca="1">IFERROR(IF(0=LEN(ReferenceData!$F$46),"",ReferenceData!$F$46),"")</f>
        <v>-2.243103971</v>
      </c>
    </row>
    <row r="47" spans="1:17" x14ac:dyDescent="0.25">
      <c r="A47" t="str">
        <f>IFERROR(IF(0=LEN(ReferenceData!$A$47),"",ReferenceData!$A$47),"")</f>
        <v xml:space="preserve">    Conduent Inc</v>
      </c>
      <c r="B47" t="str">
        <f>IFERROR(IF(0=LEN(ReferenceData!$B$47),"",ReferenceData!$B$47),"")</f>
        <v>CNDT US Equity</v>
      </c>
      <c r="C47" t="str">
        <f>IFERROR(IF(0=LEN(ReferenceData!$C$47),"",ReferenceData!$C$47),"")</f>
        <v>RR128</v>
      </c>
      <c r="D47" t="str">
        <f>IFERROR(IF(0=LEN(ReferenceData!$D$47),"",ReferenceData!$D$47),"")</f>
        <v>EBITDA_GROWTH</v>
      </c>
      <c r="E47" t="str">
        <f>IFERROR(IF(0=LEN(ReferenceData!$E$47),"",ReferenceData!$E$47),"")</f>
        <v>Dynamic</v>
      </c>
      <c r="F47" t="str">
        <f ca="1">IFERROR(IF(0=LEN(ReferenceData!$Q$47),"",ReferenceData!$Q$47),"")</f>
        <v/>
      </c>
      <c r="G47" t="str">
        <f ca="1">IFERROR(IF(0=LEN(ReferenceData!$P$47),"",ReferenceData!$P$47),"")</f>
        <v/>
      </c>
      <c r="H47" t="str">
        <f ca="1">IFERROR(IF(0=LEN(ReferenceData!$O$47),"",ReferenceData!$O$47),"")</f>
        <v/>
      </c>
      <c r="I47" t="str">
        <f ca="1">IFERROR(IF(0=LEN(ReferenceData!$N$47),"",ReferenceData!$N$47),"")</f>
        <v/>
      </c>
      <c r="J47" t="str">
        <f ca="1">IFERROR(IF(0=LEN(ReferenceData!$M$47),"",ReferenceData!$M$47),"")</f>
        <v/>
      </c>
      <c r="K47" t="str">
        <f ca="1">IFERROR(IF(0=LEN(ReferenceData!$L$47),"",ReferenceData!$L$47),"")</f>
        <v/>
      </c>
      <c r="L47">
        <f ca="1">IFERROR(IF(0=LEN(ReferenceData!$K$47),"",ReferenceData!$K$47),"")</f>
        <v>-6.4102564099999997</v>
      </c>
      <c r="M47">
        <f ca="1">IFERROR(IF(0=LEN(ReferenceData!$J$47),"",ReferenceData!$J$47),"")</f>
        <v>-86.828240249999993</v>
      </c>
      <c r="N47" t="str">
        <f ca="1">IFERROR(IF(0=LEN(ReferenceData!$I$47),"",ReferenceData!$I$47),"")</f>
        <v/>
      </c>
      <c r="O47" t="str">
        <f ca="1">IFERROR(IF(0=LEN(ReferenceData!$H$47),"",ReferenceData!$H$47),"")</f>
        <v/>
      </c>
      <c r="P47">
        <f ca="1">IFERROR(IF(0=LEN(ReferenceData!$G$47),"",ReferenceData!$G$47),"")</f>
        <v>-70.114942529999993</v>
      </c>
      <c r="Q47" t="str">
        <f ca="1">IFERROR(IF(0=LEN(ReferenceData!$F$47),"",ReferenceData!$F$47),"")</f>
        <v/>
      </c>
    </row>
    <row r="48" spans="1:17" x14ac:dyDescent="0.25">
      <c r="A48" t="str">
        <f>IFERROR(IF(0=LEN(ReferenceData!$A$48),"",ReferenceData!$A$48),"")</f>
        <v xml:space="preserve">    DXC Technology Co</v>
      </c>
      <c r="B48" t="str">
        <f>IFERROR(IF(0=LEN(ReferenceData!$B$48),"",ReferenceData!$B$48),"")</f>
        <v>DXC US Equity</v>
      </c>
      <c r="C48" t="str">
        <f>IFERROR(IF(0=LEN(ReferenceData!$C$48),"",ReferenceData!$C$48),"")</f>
        <v>RR128</v>
      </c>
      <c r="D48" t="str">
        <f>IFERROR(IF(0=LEN(ReferenceData!$D$48),"",ReferenceData!$D$48),"")</f>
        <v>EBITDA_GROWTH</v>
      </c>
      <c r="E48" t="str">
        <f>IFERROR(IF(0=LEN(ReferenceData!$E$48),"",ReferenceData!$E$48),"")</f>
        <v>Dynamic</v>
      </c>
      <c r="F48" t="str">
        <f ca="1">IFERROR(IF(0=LEN(ReferenceData!$Q$48),"",ReferenceData!$Q$48),"")</f>
        <v/>
      </c>
      <c r="G48" t="str">
        <f ca="1">IFERROR(IF(0=LEN(ReferenceData!$P$48),"",ReferenceData!$P$48),"")</f>
        <v/>
      </c>
      <c r="H48" t="str">
        <f ca="1">IFERROR(IF(0=LEN(ReferenceData!$O$48),"",ReferenceData!$O$48),"")</f>
        <v/>
      </c>
      <c r="I48" t="str">
        <f ca="1">IFERROR(IF(0=LEN(ReferenceData!$N$48),"",ReferenceData!$N$48),"")</f>
        <v/>
      </c>
      <c r="J48" t="str">
        <f ca="1">IFERROR(IF(0=LEN(ReferenceData!$M$48),"",ReferenceData!$M$48),"")</f>
        <v/>
      </c>
      <c r="K48" t="str">
        <f ca="1">IFERROR(IF(0=LEN(ReferenceData!$L$48),"",ReferenceData!$L$48),"")</f>
        <v/>
      </c>
      <c r="L48" t="str">
        <f ca="1">IFERROR(IF(0=LEN(ReferenceData!$K$48),"",ReferenceData!$K$48),"")</f>
        <v/>
      </c>
      <c r="M48" t="str">
        <f ca="1">IFERROR(IF(0=LEN(ReferenceData!$J$48),"",ReferenceData!$J$48),"")</f>
        <v/>
      </c>
      <c r="N48" t="str">
        <f ca="1">IFERROR(IF(0=LEN(ReferenceData!$I$48),"",ReferenceData!$I$48),"")</f>
        <v/>
      </c>
      <c r="O48">
        <f ca="1">IFERROR(IF(0=LEN(ReferenceData!$H$48),"",ReferenceData!$H$48),"")</f>
        <v>74.655511809999993</v>
      </c>
      <c r="P48">
        <f ca="1">IFERROR(IF(0=LEN(ReferenceData!$G$48),"",ReferenceData!$G$48),"")</f>
        <v>5.4945054950000003</v>
      </c>
      <c r="Q48" t="str">
        <f ca="1">IFERROR(IF(0=LEN(ReferenceData!$F$48),"",ReferenceData!$F$48),"")</f>
        <v/>
      </c>
    </row>
    <row r="49" spans="1:17" x14ac:dyDescent="0.25">
      <c r="A49" t="str">
        <f>IFERROR(IF(0=LEN(ReferenceData!$A$49),"",ReferenceData!$A$49),"")</f>
        <v xml:space="preserve">    EPAM Systems Inc</v>
      </c>
      <c r="B49" t="str">
        <f>IFERROR(IF(0=LEN(ReferenceData!$B$49),"",ReferenceData!$B$49),"")</f>
        <v>EPAM US Equity</v>
      </c>
      <c r="C49" t="str">
        <f>IFERROR(IF(0=LEN(ReferenceData!$C$49),"",ReferenceData!$C$49),"")</f>
        <v>RR128</v>
      </c>
      <c r="D49" t="str">
        <f>IFERROR(IF(0=LEN(ReferenceData!$D$49),"",ReferenceData!$D$49),"")</f>
        <v>EBITDA_GROWTH</v>
      </c>
      <c r="E49" t="str">
        <f>IFERROR(IF(0=LEN(ReferenceData!$E$49),"",ReferenceData!$E$49),"")</f>
        <v>Dynamic</v>
      </c>
      <c r="F49">
        <f ca="1">IFERROR(IF(0=LEN(ReferenceData!$Q$49),"",ReferenceData!$Q$49),"")</f>
        <v>-14.27112876</v>
      </c>
      <c r="G49">
        <f ca="1">IFERROR(IF(0=LEN(ReferenceData!$P$49),"",ReferenceData!$P$49),"")</f>
        <v>42.913854700000002</v>
      </c>
      <c r="H49">
        <f ca="1">IFERROR(IF(0=LEN(ReferenceData!$O$49),"",ReferenceData!$O$49),"")</f>
        <v>80.703703700000005</v>
      </c>
      <c r="I49">
        <f ca="1">IFERROR(IF(0=LEN(ReferenceData!$N$49),"",ReferenceData!$N$49),"")</f>
        <v>60.242877640000003</v>
      </c>
      <c r="J49">
        <f ca="1">IFERROR(IF(0=LEN(ReferenceData!$M$49),"",ReferenceData!$M$49),"")</f>
        <v>22.93032328</v>
      </c>
      <c r="K49">
        <f ca="1">IFERROR(IF(0=LEN(ReferenceData!$L$49),"",ReferenceData!$L$49),"")</f>
        <v>19.151232960000002</v>
      </c>
      <c r="L49">
        <f ca="1">IFERROR(IF(0=LEN(ReferenceData!$K$49),"",ReferenceData!$K$49),"")</f>
        <v>13.15642976</v>
      </c>
      <c r="M49">
        <f ca="1">IFERROR(IF(0=LEN(ReferenceData!$J$49),"",ReferenceData!$J$49),"")</f>
        <v>18.999479099999999</v>
      </c>
      <c r="N49">
        <f ca="1">IFERROR(IF(0=LEN(ReferenceData!$I$49),"",ReferenceData!$I$49),"")</f>
        <v>27.334997810000001</v>
      </c>
      <c r="O49">
        <f ca="1">IFERROR(IF(0=LEN(ReferenceData!$H$49),"",ReferenceData!$H$49),"")</f>
        <v>28.28122712</v>
      </c>
      <c r="P49">
        <f ca="1">IFERROR(IF(0=LEN(ReferenceData!$G$49),"",ReferenceData!$G$49),"")</f>
        <v>40.145304400000001</v>
      </c>
      <c r="Q49">
        <f ca="1">IFERROR(IF(0=LEN(ReferenceData!$F$49),"",ReferenceData!$F$49),"")</f>
        <v>45.503250659999999</v>
      </c>
    </row>
    <row r="50" spans="1:17" x14ac:dyDescent="0.25">
      <c r="A50" t="str">
        <f>IFERROR(IF(0=LEN(ReferenceData!$A$50),"",ReferenceData!$A$50),"")</f>
        <v xml:space="preserve">    Genpact Ltd</v>
      </c>
      <c r="B50" t="str">
        <f>IFERROR(IF(0=LEN(ReferenceData!$B$50),"",ReferenceData!$B$50),"")</f>
        <v>G US Equity</v>
      </c>
      <c r="C50" t="str">
        <f>IFERROR(IF(0=LEN(ReferenceData!$C$50),"",ReferenceData!$C$50),"")</f>
        <v>RR128</v>
      </c>
      <c r="D50" t="str">
        <f>IFERROR(IF(0=LEN(ReferenceData!$D$50),"",ReferenceData!$D$50),"")</f>
        <v>EBITDA_GROWTH</v>
      </c>
      <c r="E50" t="str">
        <f>IFERROR(IF(0=LEN(ReferenceData!$E$50),"",ReferenceData!$E$50),"")</f>
        <v>Dynamic</v>
      </c>
      <c r="F50" t="str">
        <f ca="1">IFERROR(IF(0=LEN(ReferenceData!$Q$50),"",ReferenceData!$Q$50),"")</f>
        <v/>
      </c>
      <c r="G50">
        <f ca="1">IFERROR(IF(0=LEN(ReferenceData!$P$50),"",ReferenceData!$P$50),"")</f>
        <v>7.0812608790000002</v>
      </c>
      <c r="H50">
        <f ca="1">IFERROR(IF(0=LEN(ReferenceData!$O$50),"",ReferenceData!$O$50),"")</f>
        <v>4.2408600019999998</v>
      </c>
      <c r="I50">
        <f ca="1">IFERROR(IF(0=LEN(ReferenceData!$N$50),"",ReferenceData!$N$50),"")</f>
        <v>16.948258070000001</v>
      </c>
      <c r="J50">
        <f ca="1">IFERROR(IF(0=LEN(ReferenceData!$M$50),"",ReferenceData!$M$50),"")</f>
        <v>16.627252460000001</v>
      </c>
      <c r="K50">
        <f ca="1">IFERROR(IF(0=LEN(ReferenceData!$L$50),"",ReferenceData!$L$50),"")</f>
        <v>12.29072058</v>
      </c>
      <c r="L50">
        <f ca="1">IFERROR(IF(0=LEN(ReferenceData!$K$50),"",ReferenceData!$K$50),"")</f>
        <v>-3.1993305470000002</v>
      </c>
      <c r="M50">
        <f ca="1">IFERROR(IF(0=LEN(ReferenceData!$J$50),"",ReferenceData!$J$50),"")</f>
        <v>11.602941879999999</v>
      </c>
      <c r="N50">
        <f ca="1">IFERROR(IF(0=LEN(ReferenceData!$I$50),"",ReferenceData!$I$50),"")</f>
        <v>1.4271291230000001</v>
      </c>
      <c r="O50">
        <f ca="1">IFERROR(IF(0=LEN(ReferenceData!$H$50),"",ReferenceData!$H$50),"")</f>
        <v>0.76889975499999996</v>
      </c>
      <c r="P50">
        <f ca="1">IFERROR(IF(0=LEN(ReferenceData!$G$50),"",ReferenceData!$G$50),"")</f>
        <v>6.0244865010000002</v>
      </c>
      <c r="Q50">
        <f ca="1">IFERROR(IF(0=LEN(ReferenceData!$F$50),"",ReferenceData!$F$50),"")</f>
        <v>39.979418860000003</v>
      </c>
    </row>
    <row r="51" spans="1:17" x14ac:dyDescent="0.25">
      <c r="A51" t="str">
        <f>IFERROR(IF(0=LEN(ReferenceData!$A$51),"",ReferenceData!$A$51),"")</f>
        <v xml:space="preserve">    HCL Technologies Ltd</v>
      </c>
      <c r="B51" t="str">
        <f>IFERROR(IF(0=LEN(ReferenceData!$B$51),"",ReferenceData!$B$51),"")</f>
        <v>HCLT IN Equity</v>
      </c>
      <c r="C51" t="str">
        <f>IFERROR(IF(0=LEN(ReferenceData!$C$51),"",ReferenceData!$C$51),"")</f>
        <v>RR128</v>
      </c>
      <c r="D51" t="str">
        <f>IFERROR(IF(0=LEN(ReferenceData!$D$51),"",ReferenceData!$D$51),"")</f>
        <v>EBITDA_GROWTH</v>
      </c>
      <c r="E51" t="str">
        <f>IFERROR(IF(0=LEN(ReferenceData!$E$51),"",ReferenceData!$E$51),"")</f>
        <v>Dynamic</v>
      </c>
      <c r="F51">
        <f ca="1">IFERROR(IF(0=LEN(ReferenceData!$Q$51),"",ReferenceData!$Q$51),"")</f>
        <v>21.48939919</v>
      </c>
      <c r="G51">
        <f ca="1">IFERROR(IF(0=LEN(ReferenceData!$P$51),"",ReferenceData!$P$51),"")</f>
        <v>-6.1896935129999999</v>
      </c>
      <c r="H51">
        <f ca="1">IFERROR(IF(0=LEN(ReferenceData!$O$51),"",ReferenceData!$O$51),"")</f>
        <v>27.131343529999999</v>
      </c>
      <c r="I51">
        <f ca="1">IFERROR(IF(0=LEN(ReferenceData!$N$51),"",ReferenceData!$N$51),"")</f>
        <v>51.184000390000001</v>
      </c>
      <c r="J51">
        <f ca="1">IFERROR(IF(0=LEN(ReferenceData!$M$51),"",ReferenceData!$M$51),"")</f>
        <v>51.781864980000002</v>
      </c>
      <c r="K51">
        <f ca="1">IFERROR(IF(0=LEN(ReferenceData!$L$51),"",ReferenceData!$L$51),"")</f>
        <v>36.645543799999999</v>
      </c>
      <c r="L51" t="str">
        <f ca="1">IFERROR(IF(0=LEN(ReferenceData!$K$51),"",ReferenceData!$K$51),"")</f>
        <v/>
      </c>
      <c r="M51" t="str">
        <f ca="1">IFERROR(IF(0=LEN(ReferenceData!$J$51),"",ReferenceData!$J$51),"")</f>
        <v/>
      </c>
      <c r="N51">
        <f ca="1">IFERROR(IF(0=LEN(ReferenceData!$I$51),"",ReferenceData!$I$51),"")</f>
        <v>18.63755656</v>
      </c>
      <c r="O51">
        <f ca="1">IFERROR(IF(0=LEN(ReferenceData!$H$51),"",ReferenceData!$H$51),"")</f>
        <v>8.2968524000000006</v>
      </c>
      <c r="P51">
        <f ca="1">IFERROR(IF(0=LEN(ReferenceData!$G$51),"",ReferenceData!$G$51),"")</f>
        <v>14.075349429999999</v>
      </c>
      <c r="Q51">
        <f ca="1">IFERROR(IF(0=LEN(ReferenceData!$F$51),"",ReferenceData!$F$51),"")</f>
        <v>17.835067089999999</v>
      </c>
    </row>
    <row r="52" spans="1:17" x14ac:dyDescent="0.25">
      <c r="A52" t="str">
        <f>IFERROR(IF(0=LEN(ReferenceData!$A$52),"",ReferenceData!$A$52),"")</f>
        <v xml:space="preserve">    Indra Sistemas SA</v>
      </c>
      <c r="B52" t="str">
        <f>IFERROR(IF(0=LEN(ReferenceData!$B$52),"",ReferenceData!$B$52),"")</f>
        <v>IDR SM Equity</v>
      </c>
      <c r="C52" t="str">
        <f>IFERROR(IF(0=LEN(ReferenceData!$C$52),"",ReferenceData!$C$52),"")</f>
        <v>RR128</v>
      </c>
      <c r="D52" t="str">
        <f>IFERROR(IF(0=LEN(ReferenceData!$D$52),"",ReferenceData!$D$52),"")</f>
        <v>EBITDA_GROWTH</v>
      </c>
      <c r="E52" t="str">
        <f>IFERROR(IF(0=LEN(ReferenceData!$E$52),"",ReferenceData!$E$52),"")</f>
        <v>Dynamic</v>
      </c>
      <c r="F52">
        <f ca="1">IFERROR(IF(0=LEN(ReferenceData!$Q$52),"",ReferenceData!$Q$52),"")</f>
        <v>20.077845499999999</v>
      </c>
      <c r="G52">
        <f ca="1">IFERROR(IF(0=LEN(ReferenceData!$P$52),"",ReferenceData!$P$52),"")</f>
        <v>8.5504011389999999</v>
      </c>
      <c r="H52">
        <f ca="1">IFERROR(IF(0=LEN(ReferenceData!$O$52),"",ReferenceData!$O$52),"")</f>
        <v>-8.5358112479999999</v>
      </c>
      <c r="I52">
        <f ca="1">IFERROR(IF(0=LEN(ReferenceData!$N$52),"",ReferenceData!$N$52),"")</f>
        <v>5.1116128889999999</v>
      </c>
      <c r="J52">
        <f ca="1">IFERROR(IF(0=LEN(ReferenceData!$M$52),"",ReferenceData!$M$52),"")</f>
        <v>-21.924258439999999</v>
      </c>
      <c r="K52">
        <f ca="1">IFERROR(IF(0=LEN(ReferenceData!$L$52),"",ReferenceData!$L$52),"")</f>
        <v>-0.66304045700000003</v>
      </c>
      <c r="L52">
        <f ca="1">IFERROR(IF(0=LEN(ReferenceData!$K$52),"",ReferenceData!$K$52),"")</f>
        <v>-91.303756989999997</v>
      </c>
      <c r="M52" t="str">
        <f ca="1">IFERROR(IF(0=LEN(ReferenceData!$J$52),"",ReferenceData!$J$52),"")</f>
        <v/>
      </c>
      <c r="N52" t="str">
        <f ca="1">IFERROR(IF(0=LEN(ReferenceData!$I$52),"",ReferenceData!$I$52),"")</f>
        <v/>
      </c>
      <c r="O52">
        <f ca="1">IFERROR(IF(0=LEN(ReferenceData!$H$52),"",ReferenceData!$H$52),"")</f>
        <v>16.078038150000001</v>
      </c>
      <c r="P52">
        <f ca="1">IFERROR(IF(0=LEN(ReferenceData!$G$52),"",ReferenceData!$G$52),"")</f>
        <v>10.05994276</v>
      </c>
      <c r="Q52">
        <f ca="1">IFERROR(IF(0=LEN(ReferenceData!$F$52),"",ReferenceData!$F$52),"")</f>
        <v>18.15696887</v>
      </c>
    </row>
    <row r="53" spans="1:17" x14ac:dyDescent="0.25">
      <c r="A53" t="str">
        <f>IFERROR(IF(0=LEN(ReferenceData!$A$53),"",ReferenceData!$A$53),"")</f>
        <v xml:space="preserve">    Infosys Ltd</v>
      </c>
      <c r="B53" t="str">
        <f>IFERROR(IF(0=LEN(ReferenceData!$B$53),"",ReferenceData!$B$53),"")</f>
        <v>INFY US Equity</v>
      </c>
      <c r="C53" t="str">
        <f>IFERROR(IF(0=LEN(ReferenceData!$C$53),"",ReferenceData!$C$53),"")</f>
        <v>RR128</v>
      </c>
      <c r="D53" t="str">
        <f>IFERROR(IF(0=LEN(ReferenceData!$D$53),"",ReferenceData!$D$53),"")</f>
        <v>EBITDA_GROWTH</v>
      </c>
      <c r="E53" t="str">
        <f>IFERROR(IF(0=LEN(ReferenceData!$E$53),"",ReferenceData!$E$53),"")</f>
        <v>Dynamic</v>
      </c>
      <c r="F53">
        <f ca="1">IFERROR(IF(0=LEN(ReferenceData!$Q$53),"",ReferenceData!$Q$53),"")</f>
        <v>45.742649870000001</v>
      </c>
      <c r="G53">
        <f ca="1">IFERROR(IF(0=LEN(ReferenceData!$P$53),"",ReferenceData!$P$53),"")</f>
        <v>2.4626670160000002</v>
      </c>
      <c r="H53">
        <f ca="1">IFERROR(IF(0=LEN(ReferenceData!$O$53),"",ReferenceData!$O$53),"")</f>
        <v>14.11403733</v>
      </c>
      <c r="I53">
        <f ca="1">IFERROR(IF(0=LEN(ReferenceData!$N$53),"",ReferenceData!$N$53),"")</f>
        <v>19.471207710000002</v>
      </c>
      <c r="J53">
        <f ca="1">IFERROR(IF(0=LEN(ReferenceData!$M$53),"",ReferenceData!$M$53),"")</f>
        <v>5.9639909979999999</v>
      </c>
      <c r="K53">
        <f ca="1">IFERROR(IF(0=LEN(ReferenceData!$L$53),"",ReferenceData!$L$53),"")</f>
        <v>16.68141593</v>
      </c>
      <c r="L53">
        <f ca="1">IFERROR(IF(0=LEN(ReferenceData!$K$53),"",ReferenceData!$K$53),"")</f>
        <v>9.4122108460000007</v>
      </c>
      <c r="M53">
        <f ca="1">IFERROR(IF(0=LEN(ReferenceData!$J$53),"",ReferenceData!$J$53),"")</f>
        <v>18.390406209999998</v>
      </c>
      <c r="N53">
        <f ca="1">IFERROR(IF(0=LEN(ReferenceData!$I$53),"",ReferenceData!$I$53),"")</f>
        <v>8.9290942090000005</v>
      </c>
      <c r="O53">
        <f ca="1">IFERROR(IF(0=LEN(ReferenceData!$H$53),"",ReferenceData!$H$53),"")</f>
        <v>2.1877015700000002</v>
      </c>
      <c r="P53">
        <f ca="1">IFERROR(IF(0=LEN(ReferenceData!$G$53),"",ReferenceData!$G$53),"")</f>
        <v>9.8890116250000002</v>
      </c>
      <c r="Q53">
        <f ca="1">IFERROR(IF(0=LEN(ReferenceData!$F$53),"",ReferenceData!$F$53),"")</f>
        <v>6.586568379</v>
      </c>
    </row>
    <row r="54" spans="1:17" x14ac:dyDescent="0.25">
      <c r="A54" t="str">
        <f>IFERROR(IF(0=LEN(ReferenceData!$A$54),"",ReferenceData!$A$54),"")</f>
        <v xml:space="preserve">    International Business Machines Corp</v>
      </c>
      <c r="B54" t="str">
        <f>IFERROR(IF(0=LEN(ReferenceData!$B$54),"",ReferenceData!$B$54),"")</f>
        <v>IBM US Equity</v>
      </c>
      <c r="C54" t="str">
        <f>IFERROR(IF(0=LEN(ReferenceData!$C$54),"",ReferenceData!$C$54),"")</f>
        <v>RR128</v>
      </c>
      <c r="D54" t="str">
        <f>IFERROR(IF(0=LEN(ReferenceData!$D$54),"",ReferenceData!$D$54),"")</f>
        <v>EBITDA_GROWTH</v>
      </c>
      <c r="E54" t="str">
        <f>IFERROR(IF(0=LEN(ReferenceData!$E$54),"",ReferenceData!$E$54),"")</f>
        <v>Dynamic</v>
      </c>
      <c r="F54">
        <f ca="1">IFERROR(IF(0=LEN(ReferenceData!$Q$54),"",ReferenceData!$Q$54),"")</f>
        <v>14.270449320000001</v>
      </c>
      <c r="G54">
        <f ca="1">IFERROR(IF(0=LEN(ReferenceData!$P$54),"",ReferenceData!$P$54),"")</f>
        <v>2.8941462499999999</v>
      </c>
      <c r="H54">
        <f ca="1">IFERROR(IF(0=LEN(ReferenceData!$O$54),"",ReferenceData!$O$54),"")</f>
        <v>4.4213204890000002</v>
      </c>
      <c r="I54">
        <f ca="1">IFERROR(IF(0=LEN(ReferenceData!$N$54),"",ReferenceData!$N$54),"")</f>
        <v>9.2297650129999997</v>
      </c>
      <c r="J54">
        <f ca="1">IFERROR(IF(0=LEN(ReferenceData!$M$54),"",ReferenceData!$M$54),"")</f>
        <v>2.6174256009999999</v>
      </c>
      <c r="K54">
        <f ca="1">IFERROR(IF(0=LEN(ReferenceData!$L$54),"",ReferenceData!$L$54),"")</f>
        <v>-6.1728395059999999</v>
      </c>
      <c r="L54">
        <f ca="1">IFERROR(IF(0=LEN(ReferenceData!$K$54),"",ReferenceData!$K$54),"")</f>
        <v>-7.8037073819999998</v>
      </c>
      <c r="M54">
        <f ca="1">IFERROR(IF(0=LEN(ReferenceData!$J$54),"",ReferenceData!$J$54),"")</f>
        <v>-15.348711959999999</v>
      </c>
      <c r="N54">
        <f ca="1">IFERROR(IF(0=LEN(ReferenceData!$I$54),"",ReferenceData!$I$54),"")</f>
        <v>-15.94210582</v>
      </c>
      <c r="O54">
        <f ca="1">IFERROR(IF(0=LEN(ReferenceData!$H$54),"",ReferenceData!$H$54),"")</f>
        <v>2.2642699460000002</v>
      </c>
      <c r="P54">
        <f ca="1">IFERROR(IF(0=LEN(ReferenceData!$G$54),"",ReferenceData!$G$54),"")</f>
        <v>2.8123843590000002</v>
      </c>
      <c r="Q54">
        <f ca="1">IFERROR(IF(0=LEN(ReferenceData!$F$54),"",ReferenceData!$F$54),"")</f>
        <v>5.428914217</v>
      </c>
    </row>
    <row r="55" spans="1:17" x14ac:dyDescent="0.25">
      <c r="A55" t="str">
        <f>IFERROR(IF(0=LEN(ReferenceData!$A$55),"",ReferenceData!$A$55),"")</f>
        <v xml:space="preserve">    Tata Consultancy Services Ltd</v>
      </c>
      <c r="B55" t="str">
        <f>IFERROR(IF(0=LEN(ReferenceData!$B$55),"",ReferenceData!$B$55),"")</f>
        <v>TCS IN Equity</v>
      </c>
      <c r="C55" t="str">
        <f>IFERROR(IF(0=LEN(ReferenceData!$C$55),"",ReferenceData!$C$55),"")</f>
        <v>RR128</v>
      </c>
      <c r="D55" t="str">
        <f>IFERROR(IF(0=LEN(ReferenceData!$D$55),"",ReferenceData!$D$55),"")</f>
        <v>EBITDA_GROWTH</v>
      </c>
      <c r="E55" t="str">
        <f>IFERROR(IF(0=LEN(ReferenceData!$E$55),"",ReferenceData!$E$55),"")</f>
        <v>Dynamic</v>
      </c>
      <c r="F55">
        <f ca="1">IFERROR(IF(0=LEN(ReferenceData!$Q$55),"",ReferenceData!$Q$55),"")</f>
        <v>24.445231289999999</v>
      </c>
      <c r="G55">
        <f ca="1">IFERROR(IF(0=LEN(ReferenceData!$P$55),"",ReferenceData!$P$55),"")</f>
        <v>21.26628358</v>
      </c>
      <c r="H55">
        <f ca="1">IFERROR(IF(0=LEN(ReferenceData!$O$55),"",ReferenceData!$O$55),"")</f>
        <v>28.567435920000001</v>
      </c>
      <c r="I55">
        <f ca="1">IFERROR(IF(0=LEN(ReferenceData!$N$55),"",ReferenceData!$N$55),"")</f>
        <v>29.13620603</v>
      </c>
      <c r="J55">
        <f ca="1">IFERROR(IF(0=LEN(ReferenceData!$M$55),"",ReferenceData!$M$55),"")</f>
        <v>24.970714170000001</v>
      </c>
      <c r="K55">
        <f ca="1">IFERROR(IF(0=LEN(ReferenceData!$L$55),"",ReferenceData!$L$55),"")</f>
        <v>39.314497690000003</v>
      </c>
      <c r="L55">
        <f ca="1">IFERROR(IF(0=LEN(ReferenceData!$K$55),"",ReferenceData!$K$55),"")</f>
        <v>-1.853597435</v>
      </c>
      <c r="M55">
        <f ca="1">IFERROR(IF(0=LEN(ReferenceData!$J$55),"",ReferenceData!$J$55),"")</f>
        <v>24.371816509999999</v>
      </c>
      <c r="N55">
        <f ca="1">IFERROR(IF(0=LEN(ReferenceData!$I$55),"",ReferenceData!$I$55),"")</f>
        <v>5.3230327920000002</v>
      </c>
      <c r="O55">
        <f ca="1">IFERROR(IF(0=LEN(ReferenceData!$H$55),"",ReferenceData!$H$55),"")</f>
        <v>0.63445885300000004</v>
      </c>
      <c r="P55">
        <f ca="1">IFERROR(IF(0=LEN(ReferenceData!$G$55),"",ReferenceData!$G$55),"")</f>
        <v>21.497109120000001</v>
      </c>
      <c r="Q55">
        <f ca="1">IFERROR(IF(0=LEN(ReferenceData!$F$55),"",ReferenceData!$F$55),"")</f>
        <v>6.588872576</v>
      </c>
    </row>
    <row r="56" spans="1:17" x14ac:dyDescent="0.25">
      <c r="A56" t="str">
        <f>IFERROR(IF(0=LEN(ReferenceData!$A$56),"",ReferenceData!$A$56),"")</f>
        <v xml:space="preserve">    Tech Mahindra Ltd</v>
      </c>
      <c r="B56" t="str">
        <f>IFERROR(IF(0=LEN(ReferenceData!$B$56),"",ReferenceData!$B$56),"")</f>
        <v>TECHM IN Equity</v>
      </c>
      <c r="C56" t="str">
        <f>IFERROR(IF(0=LEN(ReferenceData!$C$56),"",ReferenceData!$C$56),"")</f>
        <v>RR128</v>
      </c>
      <c r="D56" t="str">
        <f>IFERROR(IF(0=LEN(ReferenceData!$D$56),"",ReferenceData!$D$56),"")</f>
        <v>EBITDA_GROWTH</v>
      </c>
      <c r="E56" t="str">
        <f>IFERROR(IF(0=LEN(ReferenceData!$E$56),"",ReferenceData!$E$56),"")</f>
        <v>Dynamic</v>
      </c>
      <c r="F56">
        <f ca="1">IFERROR(IF(0=LEN(ReferenceData!$Q$56),"",ReferenceData!$Q$56),"")</f>
        <v>52.207453119999997</v>
      </c>
      <c r="G56">
        <f ca="1">IFERROR(IF(0=LEN(ReferenceData!$P$56),"",ReferenceData!$P$56),"")</f>
        <v>-11.68810916</v>
      </c>
      <c r="H56">
        <f ca="1">IFERROR(IF(0=LEN(ReferenceData!$O$56),"",ReferenceData!$O$56),"")</f>
        <v>-11.416210489999999</v>
      </c>
      <c r="I56">
        <f ca="1">IFERROR(IF(0=LEN(ReferenceData!$N$56),"",ReferenceData!$N$56),"")</f>
        <v>-8.3624040669999999</v>
      </c>
      <c r="J56">
        <f ca="1">IFERROR(IF(0=LEN(ReferenceData!$M$56),"",ReferenceData!$M$56),"")</f>
        <v>54.905373070000003</v>
      </c>
      <c r="K56">
        <f ca="1">IFERROR(IF(0=LEN(ReferenceData!$L$56),"",ReferenceData!$L$56),"")</f>
        <v>193.7649207</v>
      </c>
      <c r="L56">
        <f ca="1">IFERROR(IF(0=LEN(ReferenceData!$K$56),"",ReferenceData!$K$56),"")</f>
        <v>-0.73856302900000004</v>
      </c>
      <c r="M56">
        <f ca="1">IFERROR(IF(0=LEN(ReferenceData!$J$56),"",ReferenceData!$J$56),"")</f>
        <v>2.8341640780000001</v>
      </c>
      <c r="N56">
        <f ca="1">IFERROR(IF(0=LEN(ReferenceData!$I$56),"",ReferenceData!$I$56),"")</f>
        <v>-2.0184517400000002</v>
      </c>
      <c r="O56">
        <f ca="1">IFERROR(IF(0=LEN(ReferenceData!$H$56),"",ReferenceData!$H$56),"")</f>
        <v>12.551381320000001</v>
      </c>
      <c r="P56">
        <f ca="1">IFERROR(IF(0=LEN(ReferenceData!$G$56),"",ReferenceData!$G$56),"")</f>
        <v>34.552828269999999</v>
      </c>
      <c r="Q56">
        <f ca="1">IFERROR(IF(0=LEN(ReferenceData!$F$56),"",ReferenceData!$F$56),"")</f>
        <v>-13.071388219999999</v>
      </c>
    </row>
    <row r="57" spans="1:17" x14ac:dyDescent="0.25">
      <c r="A57" t="str">
        <f>IFERROR(IF(0=LEN(ReferenceData!$A$57),"",ReferenceData!$A$57),"")</f>
        <v xml:space="preserve">    Wipro Ltd</v>
      </c>
      <c r="B57" t="str">
        <f>IFERROR(IF(0=LEN(ReferenceData!$B$57),"",ReferenceData!$B$57),"")</f>
        <v>WIT US Equity</v>
      </c>
      <c r="C57" t="str">
        <f>IFERROR(IF(0=LEN(ReferenceData!$C$57),"",ReferenceData!$C$57),"")</f>
        <v>RR128</v>
      </c>
      <c r="D57" t="str">
        <f>IFERROR(IF(0=LEN(ReferenceData!$D$57),"",ReferenceData!$D$57),"")</f>
        <v>EBITDA_GROWTH</v>
      </c>
      <c r="E57" t="str">
        <f>IFERROR(IF(0=LEN(ReferenceData!$E$57),"",ReferenceData!$E$57),"")</f>
        <v>Dynamic</v>
      </c>
      <c r="F57">
        <f ca="1">IFERROR(IF(0=LEN(ReferenceData!$Q$57),"",ReferenceData!$Q$57),"")</f>
        <v>23.10377583</v>
      </c>
      <c r="G57">
        <f ca="1">IFERROR(IF(0=LEN(ReferenceData!$P$57),"",ReferenceData!$P$57),"")</f>
        <v>14.766874359999999</v>
      </c>
      <c r="H57">
        <f ca="1">IFERROR(IF(0=LEN(ReferenceData!$O$57),"",ReferenceData!$O$57),"")</f>
        <v>9.9842000869999996</v>
      </c>
      <c r="I57">
        <f ca="1">IFERROR(IF(0=LEN(ReferenceData!$N$57),"",ReferenceData!$N$57),"")</f>
        <v>8.2984381210000002</v>
      </c>
      <c r="J57">
        <f ca="1">IFERROR(IF(0=LEN(ReferenceData!$M$57),"",ReferenceData!$M$57),"")</f>
        <v>10.32541206</v>
      </c>
      <c r="K57">
        <f ca="1">IFERROR(IF(0=LEN(ReferenceData!$L$57),"",ReferenceData!$L$57),"")</f>
        <v>24.20025326</v>
      </c>
      <c r="L57">
        <f ca="1">IFERROR(IF(0=LEN(ReferenceData!$K$57),"",ReferenceData!$K$57),"")</f>
        <v>7.7321551790000003</v>
      </c>
      <c r="M57">
        <f ca="1">IFERROR(IF(0=LEN(ReferenceData!$J$57),"",ReferenceData!$J$57),"")</f>
        <v>3.2014453820000002</v>
      </c>
      <c r="N57">
        <f ca="1">IFERROR(IF(0=LEN(ReferenceData!$I$57),"",ReferenceData!$I$57),"")</f>
        <v>4.3915226289999998</v>
      </c>
      <c r="O57">
        <f ca="1">IFERROR(IF(0=LEN(ReferenceData!$H$57),"",ReferenceData!$H$57),"")</f>
        <v>-7.780903114</v>
      </c>
      <c r="P57">
        <f ca="1">IFERROR(IF(0=LEN(ReferenceData!$G$57),"",ReferenceData!$G$57),"")</f>
        <v>11.77619552</v>
      </c>
      <c r="Q57">
        <f ca="1">IFERROR(IF(0=LEN(ReferenceData!$F$57),"",ReferenceData!$F$57),"")</f>
        <v>6.244350903</v>
      </c>
    </row>
    <row r="58" spans="1:17" x14ac:dyDescent="0.25">
      <c r="A58" t="str">
        <f>IFERROR(IF(0=LEN(ReferenceData!$A$58),"",ReferenceData!$A$58),"")</f>
        <v>EPS Before XO Growth (1 Yr)</v>
      </c>
      <c r="B58" t="str">
        <f>IFERROR(IF(0=LEN(ReferenceData!$B$58),"",ReferenceData!$B$58),"")</f>
        <v>BRITBPOV Index</v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Average</v>
      </c>
      <c r="F58">
        <f ca="1">IFERROR(IF(0=LEN(ReferenceData!$Q$58),"",ReferenceData!$Q$58),"")</f>
        <v>44.127218560133329</v>
      </c>
      <c r="G58">
        <f ca="1">IFERROR(IF(0=LEN(ReferenceData!$P$58),"",ReferenceData!$P$58),"")</f>
        <v>-6.6177062871333323</v>
      </c>
      <c r="H58">
        <f ca="1">IFERROR(IF(0=LEN(ReferenceData!$O$58),"",ReferenceData!$O$58),"")</f>
        <v>210.45396240513338</v>
      </c>
      <c r="I58">
        <f ca="1">IFERROR(IF(0=LEN(ReferenceData!$N$58),"",ReferenceData!$N$58),"")</f>
        <v>18.229316149666666</v>
      </c>
      <c r="J58">
        <f ca="1">IFERROR(IF(0=LEN(ReferenceData!$M$58),"",ReferenceData!$M$58),"")</f>
        <v>12.71668963066667</v>
      </c>
      <c r="K58">
        <f ca="1">IFERROR(IF(0=LEN(ReferenceData!$L$58),"",ReferenceData!$L$58),"")</f>
        <v>30.269210079399997</v>
      </c>
      <c r="L58">
        <f ca="1">IFERROR(IF(0=LEN(ReferenceData!$K$58),"",ReferenceData!$K$58),"")</f>
        <v>10.182551499307692</v>
      </c>
      <c r="M58">
        <f ca="1">IFERROR(IF(0=LEN(ReferenceData!$J$58),"",ReferenceData!$J$58),"")</f>
        <v>-23.869647509142858</v>
      </c>
      <c r="N58">
        <f ca="1">IFERROR(IF(0=LEN(ReferenceData!$I$58),"",ReferenceData!$I$58),"")</f>
        <v>-6.2191400596666675</v>
      </c>
      <c r="O58">
        <f ca="1">IFERROR(IF(0=LEN(ReferenceData!$H$58),"",ReferenceData!$H$58),"")</f>
        <v>1.9650384296666668</v>
      </c>
      <c r="P58">
        <f ca="1">IFERROR(IF(0=LEN(ReferenceData!$G$58),"",ReferenceData!$G$58),"")</f>
        <v>21.845311264999999</v>
      </c>
      <c r="Q58">
        <f ca="1">IFERROR(IF(0=LEN(ReferenceData!$F$58),"",ReferenceData!$F$58),"")</f>
        <v>-15.608750856874998</v>
      </c>
    </row>
    <row r="59" spans="1:17" x14ac:dyDescent="0.25">
      <c r="A59" t="str">
        <f>IFERROR(IF(0=LEN(ReferenceData!$A$59),"",ReferenceData!$A$59),"")</f>
        <v xml:space="preserve">    Accenture PLC</v>
      </c>
      <c r="B59" t="str">
        <f>IFERROR(IF(0=LEN(ReferenceData!$B$59),"",ReferenceData!$B$59),"")</f>
        <v>ACN US Equity</v>
      </c>
      <c r="C59" t="str">
        <f>IFERROR(IF(0=LEN(ReferenceData!$C$59),"",ReferenceData!$C$59),"")</f>
        <v>RR062</v>
      </c>
      <c r="D59" t="str">
        <f>IFERROR(IF(0=LEN(ReferenceData!$D$59),"",ReferenceData!$D$59),"")</f>
        <v>EPS_GROWTH</v>
      </c>
      <c r="E59" t="str">
        <f>IFERROR(IF(0=LEN(ReferenceData!$E$59),"",ReferenceData!$E$59),"")</f>
        <v>Dynamic</v>
      </c>
      <c r="F59">
        <f ca="1">IFERROR(IF(0=LEN(ReferenceData!$Q$59),"",ReferenceData!$Q$59),"")</f>
        <v>34.466019420000002</v>
      </c>
      <c r="G59">
        <f ca="1">IFERROR(IF(0=LEN(ReferenceData!$P$59),"",ReferenceData!$P$59),"")</f>
        <v>-7.9422382669999996</v>
      </c>
      <c r="H59">
        <f ca="1">IFERROR(IF(0=LEN(ReferenceData!$O$59),"",ReferenceData!$O$59),"")</f>
        <v>9.4117647059999996</v>
      </c>
      <c r="I59">
        <f ca="1">IFERROR(IF(0=LEN(ReferenceData!$N$59),"",ReferenceData!$N$59),"")</f>
        <v>26.523297490000001</v>
      </c>
      <c r="J59">
        <f ca="1">IFERROR(IF(0=LEN(ReferenceData!$M$59),"",ReferenceData!$M$59),"")</f>
        <v>12.46458924</v>
      </c>
      <c r="K59">
        <f ca="1">IFERROR(IF(0=LEN(ReferenceData!$L$59),"",ReferenceData!$L$59),"")</f>
        <v>27.959697729999998</v>
      </c>
      <c r="L59">
        <f ca="1">IFERROR(IF(0=LEN(ReferenceData!$K$59),"",ReferenceData!$K$59),"")</f>
        <v>-8.6614173230000002</v>
      </c>
      <c r="M59">
        <f ca="1">IFERROR(IF(0=LEN(ReferenceData!$J$59),"",ReferenceData!$J$59),"")</f>
        <v>4.9568965519999999</v>
      </c>
      <c r="N59">
        <f ca="1">IFERROR(IF(0=LEN(ReferenceData!$I$59),"",ReferenceData!$I$59),"")</f>
        <v>35.112936339999997</v>
      </c>
      <c r="O59">
        <f ca="1">IFERROR(IF(0=LEN(ReferenceData!$H$59),"",ReferenceData!$H$59),"")</f>
        <v>-15.501519760000001</v>
      </c>
      <c r="P59">
        <f ca="1">IFERROR(IF(0=LEN(ReferenceData!$G$59),"",ReferenceData!$G$59),"")</f>
        <v>16.187050360000001</v>
      </c>
      <c r="Q59">
        <f ca="1">IFERROR(IF(0=LEN(ReferenceData!$F$59),"",ReferenceData!$F$59),"")</f>
        <v>15.94427245</v>
      </c>
    </row>
    <row r="60" spans="1:17" x14ac:dyDescent="0.25">
      <c r="A60" t="str">
        <f>IFERROR(IF(0=LEN(ReferenceData!$A$60),"",ReferenceData!$A$60),"")</f>
        <v xml:space="preserve">    Amdocs Ltd</v>
      </c>
      <c r="B60" t="str">
        <f>IFERROR(IF(0=LEN(ReferenceData!$B$60),"",ReferenceData!$B$60),"")</f>
        <v>DOX US Equity</v>
      </c>
      <c r="C60" t="str">
        <f>IFERROR(IF(0=LEN(ReferenceData!$C$60),"",ReferenceData!$C$60),"")</f>
        <v>RR062</v>
      </c>
      <c r="D60" t="str">
        <f>IFERROR(IF(0=LEN(ReferenceData!$D$60),"",ReferenceData!$D$60),"")</f>
        <v>EPS_GROWTH</v>
      </c>
      <c r="E60" t="str">
        <f>IFERROR(IF(0=LEN(ReferenceData!$E$60),"",ReferenceData!$E$60),"")</f>
        <v>Dynamic</v>
      </c>
      <c r="F60">
        <f ca="1">IFERROR(IF(0=LEN(ReferenceData!$Q$60),"",ReferenceData!$Q$60),"")</f>
        <v>3.9772727269999999</v>
      </c>
      <c r="G60">
        <f ca="1">IFERROR(IF(0=LEN(ReferenceData!$P$60),"",ReferenceData!$P$60),"")</f>
        <v>-12.02185792</v>
      </c>
      <c r="H60">
        <f ca="1">IFERROR(IF(0=LEN(ReferenceData!$O$60),"",ReferenceData!$O$60),"")</f>
        <v>5.590062112</v>
      </c>
      <c r="I60">
        <f ca="1">IFERROR(IF(0=LEN(ReferenceData!$N$60),"",ReferenceData!$N$60),"")</f>
        <v>10</v>
      </c>
      <c r="J60">
        <f ca="1">IFERROR(IF(0=LEN(ReferenceData!$M$60),"",ReferenceData!$M$60),"")</f>
        <v>24.59893048</v>
      </c>
      <c r="K60">
        <f ca="1">IFERROR(IF(0=LEN(ReferenceData!$L$60),"",ReferenceData!$L$60),"")</f>
        <v>9.871244635</v>
      </c>
      <c r="L60">
        <f ca="1">IFERROR(IF(0=LEN(ReferenceData!$K$60),"",ReferenceData!$K$60),"")</f>
        <v>3.515625</v>
      </c>
      <c r="M60">
        <f ca="1">IFERROR(IF(0=LEN(ReferenceData!$J$60),"",ReferenceData!$J$60),"")</f>
        <v>9.0566037739999992</v>
      </c>
      <c r="N60">
        <f ca="1">IFERROR(IF(0=LEN(ReferenceData!$I$60),"",ReferenceData!$I$60),"")</f>
        <v>-5.1903114190000004</v>
      </c>
      <c r="O60">
        <f ca="1">IFERROR(IF(0=LEN(ReferenceData!$H$60),"",ReferenceData!$H$60),"")</f>
        <v>9.1240875910000003</v>
      </c>
      <c r="P60">
        <f ca="1">IFERROR(IF(0=LEN(ReferenceData!$G$60),"",ReferenceData!$G$60),"")</f>
        <v>-16.72240803</v>
      </c>
      <c r="Q60">
        <f ca="1">IFERROR(IF(0=LEN(ReferenceData!$F$60),"",ReferenceData!$F$60),"")</f>
        <v>39.155943780000001</v>
      </c>
    </row>
    <row r="61" spans="1:17" x14ac:dyDescent="0.25">
      <c r="A61" t="str">
        <f>IFERROR(IF(0=LEN(ReferenceData!$A$61),"",ReferenceData!$A$61),"")</f>
        <v xml:space="preserve">    Atos SE</v>
      </c>
      <c r="B61" t="str">
        <f>IFERROR(IF(0=LEN(ReferenceData!$B$61),"",ReferenceData!$B$61),"")</f>
        <v>ATO FP Equity</v>
      </c>
      <c r="C61" t="str">
        <f>IFERROR(IF(0=LEN(ReferenceData!$C$61),"",ReferenceData!$C$61),"")</f>
        <v>RR062</v>
      </c>
      <c r="D61" t="str">
        <f>IFERROR(IF(0=LEN(ReferenceData!$D$61),"",ReferenceData!$D$61),"")</f>
        <v>EPS_GROWTH</v>
      </c>
      <c r="E61" t="str">
        <f>IFERROR(IF(0=LEN(ReferenceData!$E$61),"",ReferenceData!$E$61),"")</f>
        <v>Dynamic</v>
      </c>
      <c r="F61">
        <f ca="1">IFERROR(IF(0=LEN(ReferenceData!$Q$61),"",ReferenceData!$Q$61),"")</f>
        <v>-54.285714290000001</v>
      </c>
      <c r="G61">
        <f ca="1">IFERROR(IF(0=LEN(ReferenceData!$P$61),"",ReferenceData!$P$61),"")</f>
        <v>-81.25</v>
      </c>
      <c r="H61">
        <f ca="1">IFERROR(IF(0=LEN(ReferenceData!$O$61),"",ReferenceData!$O$61),"")</f>
        <v>2683.333333</v>
      </c>
      <c r="I61">
        <f ca="1">IFERROR(IF(0=LEN(ReferenceData!$N$61),"",ReferenceData!$N$61),"")</f>
        <v>43.11377246</v>
      </c>
      <c r="J61">
        <f ca="1">IFERROR(IF(0=LEN(ReferenceData!$M$61),"",ReferenceData!$M$61),"")</f>
        <v>11.297071130000001</v>
      </c>
      <c r="K61">
        <f ca="1">IFERROR(IF(0=LEN(ReferenceData!$L$61),"",ReferenceData!$L$61),"")</f>
        <v>12.03007519</v>
      </c>
      <c r="L61">
        <f ca="1">IFERROR(IF(0=LEN(ReferenceData!$K$61),"",ReferenceData!$K$61),"")</f>
        <v>-10.402684560000001</v>
      </c>
      <c r="M61">
        <f ca="1">IFERROR(IF(0=LEN(ReferenceData!$J$61),"",ReferenceData!$J$61),"")</f>
        <v>50.187265920000002</v>
      </c>
      <c r="N61">
        <f ca="1">IFERROR(IF(0=LEN(ReferenceData!$I$61),"",ReferenceData!$I$61),"")</f>
        <v>39.1521197</v>
      </c>
      <c r="O61">
        <f ca="1">IFERROR(IF(0=LEN(ReferenceData!$H$61),"",ReferenceData!$H$61),"")</f>
        <v>2.508960573</v>
      </c>
      <c r="P61">
        <f ca="1">IFERROR(IF(0=LEN(ReferenceData!$G$61),"",ReferenceData!$G$61),"")</f>
        <v>-19.0291958</v>
      </c>
      <c r="Q61">
        <f ca="1">IFERROR(IF(0=LEN(ReferenceData!$F$61),"",ReferenceData!$F$61),"")</f>
        <v>-35.028014499999998</v>
      </c>
    </row>
    <row r="62" spans="1:17" x14ac:dyDescent="0.25">
      <c r="A62" t="str">
        <f>IFERROR(IF(0=LEN(ReferenceData!$A$62),"",ReferenceData!$A$62),"")</f>
        <v xml:space="preserve">    Capgemini SE</v>
      </c>
      <c r="B62" t="str">
        <f>IFERROR(IF(0=LEN(ReferenceData!$B$62),"",ReferenceData!$B$62),"")</f>
        <v>CAP FP Equity</v>
      </c>
      <c r="C62" t="str">
        <f>IFERROR(IF(0=LEN(ReferenceData!$C$62),"",ReferenceData!$C$62),"")</f>
        <v>RR062</v>
      </c>
      <c r="D62" t="str">
        <f>IFERROR(IF(0=LEN(ReferenceData!$D$62),"",ReferenceData!$D$62),"")</f>
        <v>EPS_GROWTH</v>
      </c>
      <c r="E62" t="str">
        <f>IFERROR(IF(0=LEN(ReferenceData!$E$62),"",ReferenceData!$E$62),"")</f>
        <v>Dynamic</v>
      </c>
      <c r="F62">
        <f ca="1">IFERROR(IF(0=LEN(ReferenceData!$Q$62),"",ReferenceData!$Q$62),"")</f>
        <v>3.2894736839999998</v>
      </c>
      <c r="G62">
        <f ca="1">IFERROR(IF(0=LEN(ReferenceData!$P$62),"",ReferenceData!$P$62),"")</f>
        <v>-60.828025480000001</v>
      </c>
      <c r="H62">
        <f ca="1">IFERROR(IF(0=LEN(ReferenceData!$O$62),"",ReferenceData!$O$62),"")</f>
        <v>48.780487800000003</v>
      </c>
      <c r="I62">
        <f ca="1">IFERROR(IF(0=LEN(ReferenceData!$N$62),"",ReferenceData!$N$62),"")</f>
        <v>43.715846990000003</v>
      </c>
      <c r="J62">
        <f ca="1">IFERROR(IF(0=LEN(ReferenceData!$M$62),"",ReferenceData!$M$62),"")</f>
        <v>-14.06844106</v>
      </c>
      <c r="K62">
        <f ca="1">IFERROR(IF(0=LEN(ReferenceData!$L$62),"",ReferenceData!$L$62),"")</f>
        <v>23.893805310000001</v>
      </c>
      <c r="L62">
        <f ca="1">IFERROR(IF(0=LEN(ReferenceData!$K$62),"",ReferenceData!$K$62),"")</f>
        <v>31.428571430000002</v>
      </c>
      <c r="M62">
        <f ca="1">IFERROR(IF(0=LEN(ReferenceData!$J$62),"",ReferenceData!$J$62),"")</f>
        <v>81.25</v>
      </c>
      <c r="N62">
        <f ca="1">IFERROR(IF(0=LEN(ReferenceData!$I$62),"",ReferenceData!$I$62),"")</f>
        <v>-18.44077961</v>
      </c>
      <c r="O62">
        <f ca="1">IFERROR(IF(0=LEN(ReferenceData!$H$62),"",ReferenceData!$H$62),"")</f>
        <v>-10.29411765</v>
      </c>
      <c r="P62">
        <f ca="1">IFERROR(IF(0=LEN(ReferenceData!$G$62),"",ReferenceData!$G$62),"")</f>
        <v>-10.45081967</v>
      </c>
      <c r="Q62">
        <f ca="1">IFERROR(IF(0=LEN(ReferenceData!$F$62),"",ReferenceData!$F$62),"")</f>
        <v>17.848970250000001</v>
      </c>
    </row>
    <row r="63" spans="1:17" x14ac:dyDescent="0.25">
      <c r="A63" t="str">
        <f>IFERROR(IF(0=LEN(ReferenceData!$A$63),"",ReferenceData!$A$63),"")</f>
        <v xml:space="preserve">    CGI Inc</v>
      </c>
      <c r="B63" t="str">
        <f>IFERROR(IF(0=LEN(ReferenceData!$B$63),"",ReferenceData!$B$63),"")</f>
        <v>GIB US Equity</v>
      </c>
      <c r="C63" t="str">
        <f>IFERROR(IF(0=LEN(ReferenceData!$C$63),"",ReferenceData!$C$63),"")</f>
        <v>RR062</v>
      </c>
      <c r="D63" t="str">
        <f>IFERROR(IF(0=LEN(ReferenceData!$D$63),"",ReferenceData!$D$63),"")</f>
        <v>EPS_GROWTH</v>
      </c>
      <c r="E63" t="str">
        <f>IFERROR(IF(0=LEN(ReferenceData!$E$63),"",ReferenceData!$E$63),"")</f>
        <v>Dynamic</v>
      </c>
      <c r="F63">
        <f ca="1">IFERROR(IF(0=LEN(ReferenceData!$Q$63),"",ReferenceData!$Q$63),"")</f>
        <v>32.3943662</v>
      </c>
      <c r="G63">
        <f ca="1">IFERROR(IF(0=LEN(ReferenceData!$P$63),"",ReferenceData!$P$63),"")</f>
        <v>9.5744680849999995</v>
      </c>
      <c r="H63">
        <f ca="1">IFERROR(IF(0=LEN(ReferenceData!$O$63),"",ReferenceData!$O$63),"")</f>
        <v>23.30097087</v>
      </c>
      <c r="I63">
        <f ca="1">IFERROR(IF(0=LEN(ReferenceData!$N$63),"",ReferenceData!$N$63),"")</f>
        <v>29.921259840000001</v>
      </c>
      <c r="J63">
        <f ca="1">IFERROR(IF(0=LEN(ReferenceData!$M$63),"",ReferenceData!$M$63),"")</f>
        <v>-69.696969699999997</v>
      </c>
      <c r="K63">
        <f ca="1">IFERROR(IF(0=LEN(ReferenceData!$L$63),"",ReferenceData!$L$63),"")</f>
        <v>196</v>
      </c>
      <c r="L63">
        <f ca="1">IFERROR(IF(0=LEN(ReferenceData!$K$63),"",ReferenceData!$K$63),"")</f>
        <v>87.837837840000006</v>
      </c>
      <c r="M63">
        <f ca="1">IFERROR(IF(0=LEN(ReferenceData!$J$63),"",ReferenceData!$J$63),"")</f>
        <v>12.94964029</v>
      </c>
      <c r="N63">
        <f ca="1">IFERROR(IF(0=LEN(ReferenceData!$I$63),"",ReferenceData!$I$63),"")</f>
        <v>11.783439489999999</v>
      </c>
      <c r="O63">
        <f ca="1">IFERROR(IF(0=LEN(ReferenceData!$H$63),"",ReferenceData!$H$63),"")</f>
        <v>-0.85470085500000004</v>
      </c>
      <c r="P63">
        <f ca="1">IFERROR(IF(0=LEN(ReferenceData!$G$63),"",ReferenceData!$G$63),"")</f>
        <v>15.51724138</v>
      </c>
      <c r="Q63">
        <f ca="1">IFERROR(IF(0=LEN(ReferenceData!$F$63),"",ReferenceData!$F$63),"")</f>
        <v>15.174129349999999</v>
      </c>
    </row>
    <row r="64" spans="1:17" x14ac:dyDescent="0.25">
      <c r="A64" t="str">
        <f>IFERROR(IF(0=LEN(ReferenceData!$A$64),"",ReferenceData!$A$64),"")</f>
        <v xml:space="preserve">    Cognizant Technology Solutions Corp</v>
      </c>
      <c r="B64" t="str">
        <f>IFERROR(IF(0=LEN(ReferenceData!$B$64),"",ReferenceData!$B$64),"")</f>
        <v>CTSH US Equity</v>
      </c>
      <c r="C64" t="str">
        <f>IFERROR(IF(0=LEN(ReferenceData!$C$64),"",ReferenceData!$C$64),"")</f>
        <v>RR062</v>
      </c>
      <c r="D64" t="str">
        <f>IFERROR(IF(0=LEN(ReferenceData!$D$64),"",ReferenceData!$D$64),"")</f>
        <v>EPS_GROWTH</v>
      </c>
      <c r="E64" t="str">
        <f>IFERROR(IF(0=LEN(ReferenceData!$E$64),"",ReferenceData!$E$64),"")</f>
        <v>Dynamic</v>
      </c>
      <c r="F64">
        <f ca="1">IFERROR(IF(0=LEN(ReferenceData!$Q$64),"",ReferenceData!$Q$64),"")</f>
        <v>22.131147540000001</v>
      </c>
      <c r="G64">
        <f ca="1">IFERROR(IF(0=LEN(ReferenceData!$P$64),"",ReferenceData!$P$64),"")</f>
        <v>22.147651010000001</v>
      </c>
      <c r="H64">
        <f ca="1">IFERROR(IF(0=LEN(ReferenceData!$O$64),"",ReferenceData!$O$64),"")</f>
        <v>34.065934069999997</v>
      </c>
      <c r="I64">
        <f ca="1">IFERROR(IF(0=LEN(ReferenceData!$N$64),"",ReferenceData!$N$64),"")</f>
        <v>19.262295080000001</v>
      </c>
      <c r="J64">
        <f ca="1">IFERROR(IF(0=LEN(ReferenceData!$M$64),"",ReferenceData!$M$64),"")</f>
        <v>19.931271479999999</v>
      </c>
      <c r="K64">
        <f ca="1">IFERROR(IF(0=LEN(ReferenceData!$L$64),"",ReferenceData!$L$64),"")</f>
        <v>16.618911170000001</v>
      </c>
      <c r="L64">
        <f ca="1">IFERROR(IF(0=LEN(ReferenceData!$K$64),"",ReferenceData!$K$64),"")</f>
        <v>16.461916460000001</v>
      </c>
      <c r="M64">
        <f ca="1">IFERROR(IF(0=LEN(ReferenceData!$J$64),"",ReferenceData!$J$64),"")</f>
        <v>12.658227849999999</v>
      </c>
      <c r="N64">
        <f ca="1">IFERROR(IF(0=LEN(ReferenceData!$I$64),"",ReferenceData!$I$64),"")</f>
        <v>-4.1198501869999999</v>
      </c>
      <c r="O64">
        <f ca="1">IFERROR(IF(0=LEN(ReferenceData!$H$64),"",ReferenceData!$H$64),"")</f>
        <v>-0.78125</v>
      </c>
      <c r="P64">
        <f ca="1">IFERROR(IF(0=LEN(ReferenceData!$G$64),"",ReferenceData!$G$64),"")</f>
        <v>42.125984250000002</v>
      </c>
      <c r="Q64">
        <f ca="1">IFERROR(IF(0=LEN(ReferenceData!$F$64),"",ReferenceData!$F$64),"")</f>
        <v>-8.5872576180000006</v>
      </c>
    </row>
    <row r="65" spans="1:17" x14ac:dyDescent="0.25">
      <c r="A65" t="str">
        <f>IFERROR(IF(0=LEN(ReferenceData!$A$65),"",ReferenceData!$A$65),"")</f>
        <v xml:space="preserve">    Conduent Inc</v>
      </c>
      <c r="B65" t="str">
        <f>IFERROR(IF(0=LEN(ReferenceData!$B$65),"",ReferenceData!$B$65),"")</f>
        <v>CNDT US Equity</v>
      </c>
      <c r="C65" t="str">
        <f>IFERROR(IF(0=LEN(ReferenceData!$C$65),"",ReferenceData!$C$65),"")</f>
        <v>RR062</v>
      </c>
      <c r="D65" t="str">
        <f>IFERROR(IF(0=LEN(ReferenceData!$D$65),"",ReferenceData!$D$65),"")</f>
        <v>EPS_GROWTH</v>
      </c>
      <c r="E65" t="str">
        <f>IFERROR(IF(0=LEN(ReferenceData!$E$65),"",ReferenceData!$E$65),"")</f>
        <v>Dynamic</v>
      </c>
      <c r="F65" t="str">
        <f ca="1">IFERROR(IF(0=LEN(ReferenceData!$Q$65),"",ReferenceData!$Q$65),"")</f>
        <v/>
      </c>
      <c r="G65" t="str">
        <f ca="1">IFERROR(IF(0=LEN(ReferenceData!$P$65),"",ReferenceData!$P$65),"")</f>
        <v/>
      </c>
      <c r="H65" t="str">
        <f ca="1">IFERROR(IF(0=LEN(ReferenceData!$O$65),"",ReferenceData!$O$65),"")</f>
        <v/>
      </c>
      <c r="I65" t="str">
        <f ca="1">IFERROR(IF(0=LEN(ReferenceData!$N$65),"",ReferenceData!$N$65),"")</f>
        <v/>
      </c>
      <c r="J65" t="str">
        <f ca="1">IFERROR(IF(0=LEN(ReferenceData!$M$65),"",ReferenceData!$M$65),"")</f>
        <v/>
      </c>
      <c r="K65" t="str">
        <f ca="1">IFERROR(IF(0=LEN(ReferenceData!$L$65),"",ReferenceData!$L$65),"")</f>
        <v/>
      </c>
      <c r="L65" t="str">
        <f ca="1">IFERROR(IF(0=LEN(ReferenceData!$K$65),"",ReferenceData!$K$65),"")</f>
        <v/>
      </c>
      <c r="M65" t="str">
        <f ca="1">IFERROR(IF(0=LEN(ReferenceData!$J$65),"",ReferenceData!$J$65),"")</f>
        <v/>
      </c>
      <c r="N65">
        <f ca="1">IFERROR(IF(0=LEN(ReferenceData!$I$65),"",ReferenceData!$I$65),"")</f>
        <v>-193.9393939</v>
      </c>
      <c r="O65" t="str">
        <f ca="1">IFERROR(IF(0=LEN(ReferenceData!$H$65),"",ReferenceData!$H$65),"")</f>
        <v/>
      </c>
      <c r="P65" t="str">
        <f ca="1">IFERROR(IF(0=LEN(ReferenceData!$G$65),"",ReferenceData!$G$65),"")</f>
        <v/>
      </c>
      <c r="Q65">
        <f ca="1">IFERROR(IF(0=LEN(ReferenceData!$F$65),"",ReferenceData!$F$65),"")</f>
        <v>-350.97087379999999</v>
      </c>
    </row>
    <row r="66" spans="1:17" x14ac:dyDescent="0.25">
      <c r="A66" t="str">
        <f>IFERROR(IF(0=LEN(ReferenceData!$A$66),"",ReferenceData!$A$66),"")</f>
        <v xml:space="preserve">    DXC Technology Co</v>
      </c>
      <c r="B66" t="str">
        <f>IFERROR(IF(0=LEN(ReferenceData!$B$66),"",ReferenceData!$B$66),"")</f>
        <v>DXC US Equity</v>
      </c>
      <c r="C66" t="str">
        <f>IFERROR(IF(0=LEN(ReferenceData!$C$66),"",ReferenceData!$C$66),"")</f>
        <v>RR062</v>
      </c>
      <c r="D66" t="str">
        <f>IFERROR(IF(0=LEN(ReferenceData!$D$66),"",ReferenceData!$D$66),"")</f>
        <v>EPS_GROWTH</v>
      </c>
      <c r="E66" t="str">
        <f>IFERROR(IF(0=LEN(ReferenceData!$E$66),"",ReferenceData!$E$66),"")</f>
        <v>Dynamic</v>
      </c>
      <c r="F66" t="str">
        <f ca="1">IFERROR(IF(0=LEN(ReferenceData!$Q$66),"",ReferenceData!$Q$66),"")</f>
        <v/>
      </c>
      <c r="G66" t="str">
        <f ca="1">IFERROR(IF(0=LEN(ReferenceData!$P$66),"",ReferenceData!$P$66),"")</f>
        <v/>
      </c>
      <c r="H66" t="str">
        <f ca="1">IFERROR(IF(0=LEN(ReferenceData!$O$66),"",ReferenceData!$O$66),"")</f>
        <v/>
      </c>
      <c r="I66" t="str">
        <f ca="1">IFERROR(IF(0=LEN(ReferenceData!$N$66),"",ReferenceData!$N$66),"")</f>
        <v/>
      </c>
      <c r="J66" t="str">
        <f ca="1">IFERROR(IF(0=LEN(ReferenceData!$M$66),"",ReferenceData!$M$66),"")</f>
        <v/>
      </c>
      <c r="K66" t="str">
        <f ca="1">IFERROR(IF(0=LEN(ReferenceData!$L$66),"",ReferenceData!$L$66),"")</f>
        <v/>
      </c>
      <c r="L66" t="str">
        <f ca="1">IFERROR(IF(0=LEN(ReferenceData!$K$66),"",ReferenceData!$K$66),"")</f>
        <v/>
      </c>
      <c r="M66" t="str">
        <f ca="1">IFERROR(IF(0=LEN(ReferenceData!$J$66),"",ReferenceData!$J$66),"")</f>
        <v/>
      </c>
      <c r="N66" t="str">
        <f ca="1">IFERROR(IF(0=LEN(ReferenceData!$I$66),"",ReferenceData!$I$66),"")</f>
        <v/>
      </c>
      <c r="O66" t="str">
        <f ca="1">IFERROR(IF(0=LEN(ReferenceData!$H$66),"",ReferenceData!$H$66),"")</f>
        <v/>
      </c>
      <c r="P66">
        <f ca="1">IFERROR(IF(0=LEN(ReferenceData!$G$66),"",ReferenceData!$G$66),"")</f>
        <v>-17.29323308</v>
      </c>
      <c r="Q66" t="str">
        <f ca="1">IFERROR(IF(0=LEN(ReferenceData!$F$66),"",ReferenceData!$F$66),"")</f>
        <v/>
      </c>
    </row>
    <row r="67" spans="1:17" x14ac:dyDescent="0.25">
      <c r="A67" t="str">
        <f>IFERROR(IF(0=LEN(ReferenceData!$A$67),"",ReferenceData!$A$67),"")</f>
        <v xml:space="preserve">    EPAM Systems Inc</v>
      </c>
      <c r="B67" t="str">
        <f>IFERROR(IF(0=LEN(ReferenceData!$B$67),"",ReferenceData!$B$67),"")</f>
        <v>EPAM US Equity</v>
      </c>
      <c r="C67" t="str">
        <f>IFERROR(IF(0=LEN(ReferenceData!$C$67),"",ReferenceData!$C$67),"")</f>
        <v>RR062</v>
      </c>
      <c r="D67" t="str">
        <f>IFERROR(IF(0=LEN(ReferenceData!$D$67),"",ReferenceData!$D$67),"")</f>
        <v>EPS_GROWTH</v>
      </c>
      <c r="E67" t="str">
        <f>IFERROR(IF(0=LEN(ReferenceData!$E$67),"",ReferenceData!$E$67),"")</f>
        <v>Dynamic</v>
      </c>
      <c r="F67">
        <f ca="1">IFERROR(IF(0=LEN(ReferenceData!$Q$67),"",ReferenceData!$Q$67),"")</f>
        <v>-64.788732390000007</v>
      </c>
      <c r="G67">
        <f ca="1">IFERROR(IF(0=LEN(ReferenceData!$P$67),"",ReferenceData!$P$67),"")</f>
        <v>-6.5</v>
      </c>
      <c r="H67">
        <f ca="1">IFERROR(IF(0=LEN(ReferenceData!$O$67),"",ReferenceData!$O$67),"")</f>
        <v>258.82352939999998</v>
      </c>
      <c r="I67">
        <f ca="1">IFERROR(IF(0=LEN(ReferenceData!$N$67),"",ReferenceData!$N$67),"")</f>
        <v>-89.742876300000006</v>
      </c>
      <c r="J67">
        <f ca="1">IFERROR(IF(0=LEN(ReferenceData!$M$67),"",ReferenceData!$M$67),"")</f>
        <v>84.525167339999996</v>
      </c>
      <c r="K67">
        <f ca="1">IFERROR(IF(0=LEN(ReferenceData!$L$67),"",ReferenceData!$L$67),"")</f>
        <v>6.2992125980000004</v>
      </c>
      <c r="L67">
        <f ca="1">IFERROR(IF(0=LEN(ReferenceData!$K$67),"",ReferenceData!$K$67),"")</f>
        <v>9.6296296300000002</v>
      </c>
      <c r="M67">
        <f ca="1">IFERROR(IF(0=LEN(ReferenceData!$J$67),"",ReferenceData!$J$67),"")</f>
        <v>16.89189189</v>
      </c>
      <c r="N67">
        <f ca="1">IFERROR(IF(0=LEN(ReferenceData!$I$67),"",ReferenceData!$I$67),"")</f>
        <v>13.872832369999999</v>
      </c>
      <c r="O67">
        <f ca="1">IFERROR(IF(0=LEN(ReferenceData!$H$67),"",ReferenceData!$H$67),"")</f>
        <v>-28.934010149999999</v>
      </c>
      <c r="P67">
        <f ca="1">IFERROR(IF(0=LEN(ReferenceData!$G$67),"",ReferenceData!$G$67),"")</f>
        <v>220</v>
      </c>
      <c r="Q67">
        <f ca="1">IFERROR(IF(0=LEN(ReferenceData!$F$67),"",ReferenceData!$F$67),"")</f>
        <v>6.4732142860000002</v>
      </c>
    </row>
    <row r="68" spans="1:17" x14ac:dyDescent="0.25">
      <c r="A68" t="str">
        <f>IFERROR(IF(0=LEN(ReferenceData!$A$68),"",ReferenceData!$A$68),"")</f>
        <v xml:space="preserve">    Genpact Ltd</v>
      </c>
      <c r="B68" t="str">
        <f>IFERROR(IF(0=LEN(ReferenceData!$B$68),"",ReferenceData!$B$68),"")</f>
        <v>G US Equity</v>
      </c>
      <c r="C68" t="str">
        <f>IFERROR(IF(0=LEN(ReferenceData!$C$68),"",ReferenceData!$C$68),"")</f>
        <v>RR062</v>
      </c>
      <c r="D68" t="str">
        <f>IFERROR(IF(0=LEN(ReferenceData!$D$68),"",ReferenceData!$D$68),"")</f>
        <v>EPS_GROWTH</v>
      </c>
      <c r="E68" t="str">
        <f>IFERROR(IF(0=LEN(ReferenceData!$E$68),"",ReferenceData!$E$68),"")</f>
        <v>Dynamic</v>
      </c>
      <c r="F68">
        <f ca="1">IFERROR(IF(0=LEN(ReferenceData!$Q$68),"",ReferenceData!$Q$68),"")</f>
        <v>353.84615380000002</v>
      </c>
      <c r="G68">
        <f ca="1">IFERROR(IF(0=LEN(ReferenceData!$P$68),"",ReferenceData!$P$68),"")</f>
        <v>0</v>
      </c>
      <c r="H68">
        <f ca="1">IFERROR(IF(0=LEN(ReferenceData!$O$68),"",ReferenceData!$O$68),"")</f>
        <v>10.16949153</v>
      </c>
      <c r="I68">
        <f ca="1">IFERROR(IF(0=LEN(ReferenceData!$N$68),"",ReferenceData!$N$68),"")</f>
        <v>27.69230769</v>
      </c>
      <c r="J68">
        <f ca="1">IFERROR(IF(0=LEN(ReferenceData!$M$68),"",ReferenceData!$M$68),"")</f>
        <v>-3.6144578310000002</v>
      </c>
      <c r="K68">
        <f ca="1">IFERROR(IF(0=LEN(ReferenceData!$L$68),"",ReferenceData!$L$68),"")</f>
        <v>25</v>
      </c>
      <c r="L68">
        <f ca="1">IFERROR(IF(0=LEN(ReferenceData!$K$68),"",ReferenceData!$K$68),"")</f>
        <v>-13</v>
      </c>
      <c r="M68">
        <f ca="1">IFERROR(IF(0=LEN(ReferenceData!$J$68),"",ReferenceData!$J$68),"")</f>
        <v>27.586206900000001</v>
      </c>
      <c r="N68">
        <f ca="1">IFERROR(IF(0=LEN(ReferenceData!$I$68),"",ReferenceData!$I$68),"")</f>
        <v>17.11711712</v>
      </c>
      <c r="O68">
        <f ca="1">IFERROR(IF(0=LEN(ReferenceData!$H$68),"",ReferenceData!$H$68),"")</f>
        <v>4.615384615</v>
      </c>
      <c r="P68">
        <f ca="1">IFERROR(IF(0=LEN(ReferenceData!$G$68),"",ReferenceData!$G$68),"")</f>
        <v>8.8235294119999992</v>
      </c>
      <c r="Q68">
        <f ca="1">IFERROR(IF(0=LEN(ReferenceData!$F$68),"",ReferenceData!$F$68),"")</f>
        <v>8.1081081079999997</v>
      </c>
    </row>
    <row r="69" spans="1:17" x14ac:dyDescent="0.25">
      <c r="A69" t="str">
        <f>IFERROR(IF(0=LEN(ReferenceData!$A$69),"",ReferenceData!$A$69),"")</f>
        <v xml:space="preserve">    HCL Technologies Ltd</v>
      </c>
      <c r="B69" t="str">
        <f>IFERROR(IF(0=LEN(ReferenceData!$B$69),"",ReferenceData!$B$69),"")</f>
        <v>HCLT IN Equity</v>
      </c>
      <c r="C69" t="str">
        <f>IFERROR(IF(0=LEN(ReferenceData!$C$69),"",ReferenceData!$C$69),"")</f>
        <v>RR062</v>
      </c>
      <c r="D69" t="str">
        <f>IFERROR(IF(0=LEN(ReferenceData!$D$69),"",ReferenceData!$D$69),"")</f>
        <v>EPS_GROWTH</v>
      </c>
      <c r="E69" t="str">
        <f>IFERROR(IF(0=LEN(ReferenceData!$E$69),"",ReferenceData!$E$69),"")</f>
        <v>Dynamic</v>
      </c>
      <c r="F69">
        <f ca="1">IFERROR(IF(0=LEN(ReferenceData!$Q$69),"",ReferenceData!$Q$69),"")</f>
        <v>24.617875900000001</v>
      </c>
      <c r="G69">
        <f ca="1">IFERROR(IF(0=LEN(ReferenceData!$P$69),"",ReferenceData!$P$69),"")</f>
        <v>-5.2231237320000004</v>
      </c>
      <c r="H69">
        <f ca="1">IFERROR(IF(0=LEN(ReferenceData!$O$69),"",ReferenceData!$O$69),"")</f>
        <v>28.892455859999998</v>
      </c>
      <c r="I69">
        <f ca="1">IFERROR(IF(0=LEN(ReferenceData!$N$69),"",ReferenceData!$N$69),"")</f>
        <v>45.537567459999998</v>
      </c>
      <c r="J69">
        <f ca="1">IFERROR(IF(0=LEN(ReferenceData!$M$69),"",ReferenceData!$M$69),"")</f>
        <v>65.858528239999998</v>
      </c>
      <c r="K69">
        <f ca="1">IFERROR(IF(0=LEN(ReferenceData!$L$69),"",ReferenceData!$L$69),"")</f>
        <v>39.525988230000003</v>
      </c>
      <c r="L69" t="str">
        <f ca="1">IFERROR(IF(0=LEN(ReferenceData!$K$69),"",ReferenceData!$K$69),"")</f>
        <v/>
      </c>
      <c r="M69" t="str">
        <f ca="1">IFERROR(IF(0=LEN(ReferenceData!$J$69),"",ReferenceData!$J$69),"")</f>
        <v/>
      </c>
      <c r="N69">
        <f ca="1">IFERROR(IF(0=LEN(ReferenceData!$I$69),"",ReferenceData!$I$69),"")</f>
        <v>16.030446269999999</v>
      </c>
      <c r="O69">
        <f ca="1">IFERROR(IF(0=LEN(ReferenceData!$H$69),"",ReferenceData!$H$69),"")</f>
        <v>3.1493452679999998</v>
      </c>
      <c r="P69">
        <f ca="1">IFERROR(IF(0=LEN(ReferenceData!$G$69),"",ReferenceData!$G$69),"")</f>
        <v>8.5725696330000005</v>
      </c>
      <c r="Q69">
        <f ca="1">IFERROR(IF(0=LEN(ReferenceData!$F$69),"",ReferenceData!$F$69),"")</f>
        <v>9.2879770990000008</v>
      </c>
    </row>
    <row r="70" spans="1:17" x14ac:dyDescent="0.25">
      <c r="A70" t="str">
        <f>IFERROR(IF(0=LEN(ReferenceData!$A$70),"",ReferenceData!$A$70),"")</f>
        <v xml:space="preserve">    Indra Sistemas SA</v>
      </c>
      <c r="B70" t="str">
        <f>IFERROR(IF(0=LEN(ReferenceData!$B$70),"",ReferenceData!$B$70),"")</f>
        <v>IDR SM Equity</v>
      </c>
      <c r="C70" t="str">
        <f>IFERROR(IF(0=LEN(ReferenceData!$C$70),"",ReferenceData!$C$70),"")</f>
        <v>RR062</v>
      </c>
      <c r="D70" t="str">
        <f>IFERROR(IF(0=LEN(ReferenceData!$D$70),"",ReferenceData!$D$70),"")</f>
        <v>EPS_GROWTH</v>
      </c>
      <c r="E70" t="str">
        <f>IFERROR(IF(0=LEN(ReferenceData!$E$70),"",ReferenceData!$E$70),"")</f>
        <v>Dynamic</v>
      </c>
      <c r="F70">
        <f ca="1">IFERROR(IF(0=LEN(ReferenceData!$Q$70),"",ReferenceData!$Q$70),"")</f>
        <v>24.456581100000001</v>
      </c>
      <c r="G70">
        <f ca="1">IFERROR(IF(0=LEN(ReferenceData!$P$70),"",ReferenceData!$P$70),"")</f>
        <v>6.5861857119999998</v>
      </c>
      <c r="H70">
        <f ca="1">IFERROR(IF(0=LEN(ReferenceData!$O$70),"",ReferenceData!$O$70),"")</f>
        <v>-4.4417893639999999</v>
      </c>
      <c r="I70">
        <f ca="1">IFERROR(IF(0=LEN(ReferenceData!$N$70),"",ReferenceData!$N$70),"")</f>
        <v>-4.1040930629999997</v>
      </c>
      <c r="J70">
        <f ca="1">IFERROR(IF(0=LEN(ReferenceData!$M$70),"",ReferenceData!$M$70),"")</f>
        <v>-26.68671689</v>
      </c>
      <c r="K70">
        <f ca="1">IFERROR(IF(0=LEN(ReferenceData!$L$70),"",ReferenceData!$L$70),"")</f>
        <v>-13.460385860000001</v>
      </c>
      <c r="L70" t="str">
        <f ca="1">IFERROR(IF(0=LEN(ReferenceData!$K$70),"",ReferenceData!$K$70),"")</f>
        <v/>
      </c>
      <c r="M70">
        <f ca="1">IFERROR(IF(0=LEN(ReferenceData!$J$70),"",ReferenceData!$J$70),"")</f>
        <v>-597.5753254</v>
      </c>
      <c r="N70" t="str">
        <f ca="1">IFERROR(IF(0=LEN(ReferenceData!$I$70),"",ReferenceData!$I$70),"")</f>
        <v/>
      </c>
      <c r="O70">
        <f ca="1">IFERROR(IF(0=LEN(ReferenceData!$H$70),"",ReferenceData!$H$70),"")</f>
        <v>72.786885249999997</v>
      </c>
      <c r="P70">
        <f ca="1">IFERROR(IF(0=LEN(ReferenceData!$G$70),"",ReferenceData!$G$70),"")</f>
        <v>-7.8747628079999998</v>
      </c>
      <c r="Q70">
        <f ca="1">IFERROR(IF(0=LEN(ReferenceData!$F$70),"",ReferenceData!$F$70),"")</f>
        <v>1.265264087</v>
      </c>
    </row>
    <row r="71" spans="1:17" x14ac:dyDescent="0.25">
      <c r="A71" t="str">
        <f>IFERROR(IF(0=LEN(ReferenceData!$A$71),"",ReferenceData!$A$71),"")</f>
        <v xml:space="preserve">    Infosys Ltd</v>
      </c>
      <c r="B71" t="str">
        <f>IFERROR(IF(0=LEN(ReferenceData!$B$71),"",ReferenceData!$B$71),"")</f>
        <v>INFY US Equity</v>
      </c>
      <c r="C71" t="str">
        <f>IFERROR(IF(0=LEN(ReferenceData!$C$71),"",ReferenceData!$C$71),"")</f>
        <v>RR062</v>
      </c>
      <c r="D71" t="str">
        <f>IFERROR(IF(0=LEN(ReferenceData!$D$71),"",ReferenceData!$D$71),"")</f>
        <v>EPS_GROWTH</v>
      </c>
      <c r="E71" t="str">
        <f>IFERROR(IF(0=LEN(ReferenceData!$E$71),"",ReferenceData!$E$71),"")</f>
        <v>Dynamic</v>
      </c>
      <c r="F71">
        <f ca="1">IFERROR(IF(0=LEN(ReferenceData!$Q$71),"",ReferenceData!$Q$71),"")</f>
        <v>28.28561096</v>
      </c>
      <c r="G71">
        <f ca="1">IFERROR(IF(0=LEN(ReferenceData!$P$71),"",ReferenceData!$P$71),"")</f>
        <v>4.225621415</v>
      </c>
      <c r="H71">
        <f ca="1">IFERROR(IF(0=LEN(ReferenceData!$O$71),"",ReferenceData!$O$71),"")</f>
        <v>9.7596771229999995</v>
      </c>
      <c r="I71">
        <f ca="1">IFERROR(IF(0=LEN(ReferenceData!$N$71),"",ReferenceData!$N$71),"")</f>
        <v>21.636302860000001</v>
      </c>
      <c r="J71">
        <f ca="1">IFERROR(IF(0=LEN(ReferenceData!$M$71),"",ReferenceData!$M$71),"")</f>
        <v>13.27378908</v>
      </c>
      <c r="K71">
        <f ca="1">IFERROR(IF(0=LEN(ReferenceData!$L$71),"",ReferenceData!$L$71),"")</f>
        <v>13.028446649999999</v>
      </c>
      <c r="L71">
        <f ca="1">IFERROR(IF(0=LEN(ReferenceData!$K$71),"",ReferenceData!$K$71),"")</f>
        <v>15.7821304</v>
      </c>
      <c r="M71">
        <f ca="1">IFERROR(IF(0=LEN(ReferenceData!$J$71),"",ReferenceData!$J$71),"")</f>
        <v>9.4178717089999999</v>
      </c>
      <c r="N71">
        <f ca="1">IFERROR(IF(0=LEN(ReferenceData!$I$71),"",ReferenceData!$I$71),"")</f>
        <v>6.4046086070000001</v>
      </c>
      <c r="O71">
        <f ca="1">IFERROR(IF(0=LEN(ReferenceData!$H$71),"",ReferenceData!$H$71),"")</f>
        <v>13.16878981</v>
      </c>
      <c r="P71">
        <f ca="1">IFERROR(IF(0=LEN(ReferenceData!$G$71),"",ReferenceData!$G$71),"")</f>
        <v>-0.26734205700000002</v>
      </c>
      <c r="Q71">
        <f ca="1">IFERROR(IF(0=LEN(ReferenceData!$F$71),"",ReferenceData!$F$71),"")</f>
        <v>9.9604966140000002</v>
      </c>
    </row>
    <row r="72" spans="1:17" x14ac:dyDescent="0.25">
      <c r="A72" t="str">
        <f>IFERROR(IF(0=LEN(ReferenceData!$A$72),"",ReferenceData!$A$72),"")</f>
        <v xml:space="preserve">    International Business Machines Corp</v>
      </c>
      <c r="B72" t="str">
        <f>IFERROR(IF(0=LEN(ReferenceData!$B$72),"",ReferenceData!$B$72),"")</f>
        <v>IBM US Equity</v>
      </c>
      <c r="C72" t="str">
        <f>IFERROR(IF(0=LEN(ReferenceData!$C$72),"",ReferenceData!$C$72),"")</f>
        <v>RR062</v>
      </c>
      <c r="D72" t="str">
        <f>IFERROR(IF(0=LEN(ReferenceData!$D$72),"",ReferenceData!$D$72),"")</f>
        <v>EPS_GROWTH</v>
      </c>
      <c r="E72" t="str">
        <f>IFERROR(IF(0=LEN(ReferenceData!$E$72),"",ReferenceData!$E$72),"")</f>
        <v>Dynamic</v>
      </c>
      <c r="F72">
        <f ca="1">IFERROR(IF(0=LEN(ReferenceData!$Q$72),"",ReferenceData!$Q$72),"")</f>
        <v>23.90710383</v>
      </c>
      <c r="G72">
        <f ca="1">IFERROR(IF(0=LEN(ReferenceData!$P$72),"",ReferenceData!$P$72),"")</f>
        <v>11.57662624</v>
      </c>
      <c r="H72">
        <f ca="1">IFERROR(IF(0=LEN(ReferenceData!$O$72),"",ReferenceData!$O$72),"")</f>
        <v>15.51383399</v>
      </c>
      <c r="I72">
        <f ca="1">IFERROR(IF(0=LEN(ReferenceData!$N$72),"",ReferenceData!$N$72),"")</f>
        <v>13.344739089999999</v>
      </c>
      <c r="J72">
        <f ca="1">IFERROR(IF(0=LEN(ReferenceData!$M$72),"",ReferenceData!$M$72),"")</f>
        <v>12.301886789999999</v>
      </c>
      <c r="K72">
        <f ca="1">IFERROR(IF(0=LEN(ReferenceData!$L$72),"",ReferenceData!$L$72),"")</f>
        <v>3.6290322580000001</v>
      </c>
      <c r="L72">
        <f ca="1">IFERROR(IF(0=LEN(ReferenceData!$K$72),"",ReferenceData!$K$72),"")</f>
        <v>1.6861219199999999</v>
      </c>
      <c r="M72">
        <f ca="1">IFERROR(IF(0=LEN(ReferenceData!$J$72),"",ReferenceData!$J$72),"")</f>
        <v>-12.882653060000001</v>
      </c>
      <c r="N72">
        <f ca="1">IFERROR(IF(0=LEN(ReferenceData!$I$72),"",ReferenceData!$I$72),"")</f>
        <v>-8.9311859439999992</v>
      </c>
      <c r="O72">
        <f ca="1">IFERROR(IF(0=LEN(ReferenceData!$H$72),"",ReferenceData!$H$72),"")</f>
        <v>-50.401929260000003</v>
      </c>
      <c r="P72">
        <f ca="1">IFERROR(IF(0=LEN(ReferenceData!$G$72),"",ReferenceData!$G$72),"")</f>
        <v>54.943273910000002</v>
      </c>
      <c r="Q72">
        <f ca="1">IFERROR(IF(0=LEN(ReferenceData!$F$72),"",ReferenceData!$F$72),"")</f>
        <v>11.19246862</v>
      </c>
    </row>
    <row r="73" spans="1:17" x14ac:dyDescent="0.25">
      <c r="A73" t="str">
        <f>IFERROR(IF(0=LEN(ReferenceData!$A$73),"",ReferenceData!$A$73),"")</f>
        <v xml:space="preserve">    Tata Consultancy Services Ltd</v>
      </c>
      <c r="B73" t="str">
        <f>IFERROR(IF(0=LEN(ReferenceData!$B$73),"",ReferenceData!$B$73),"")</f>
        <v>TCS IN Equity</v>
      </c>
      <c r="C73" t="str">
        <f>IFERROR(IF(0=LEN(ReferenceData!$C$73),"",ReferenceData!$C$73),"")</f>
        <v>RR062</v>
      </c>
      <c r="D73" t="str">
        <f>IFERROR(IF(0=LEN(ReferenceData!$D$73),"",ReferenceData!$D$73),"")</f>
        <v>EPS_GROWTH</v>
      </c>
      <c r="E73" t="str">
        <f>IFERROR(IF(0=LEN(ReferenceData!$E$73),"",ReferenceData!$E$73),"")</f>
        <v>Dynamic</v>
      </c>
      <c r="F73">
        <f ca="1">IFERROR(IF(0=LEN(ReferenceData!$Q$73),"",ReferenceData!$Q$73),"")</f>
        <v>4.4197819310000002</v>
      </c>
      <c r="G73">
        <f ca="1">IFERROR(IF(0=LEN(ReferenceData!$P$73),"",ReferenceData!$P$73),"")</f>
        <v>33.022562000000001</v>
      </c>
      <c r="H73">
        <f ca="1">IFERROR(IF(0=LEN(ReferenceData!$O$73),"",ReferenceData!$O$73),"")</f>
        <v>29.716848890000001</v>
      </c>
      <c r="I73">
        <f ca="1">IFERROR(IF(0=LEN(ReferenceData!$N$73),"",ReferenceData!$N$73),"")</f>
        <v>14.696347530000001</v>
      </c>
      <c r="J73">
        <f ca="1">IFERROR(IF(0=LEN(ReferenceData!$M$73),"",ReferenceData!$M$73),"")</f>
        <v>33.766723200000001</v>
      </c>
      <c r="K73">
        <f ca="1">IFERROR(IF(0=LEN(ReferenceData!$L$73),"",ReferenceData!$L$73),"")</f>
        <v>37.484152700000003</v>
      </c>
      <c r="L73">
        <f ca="1">IFERROR(IF(0=LEN(ReferenceData!$K$73),"",ReferenceData!$K$73),"")</f>
        <v>2.7766393439999999</v>
      </c>
      <c r="M73">
        <f ca="1">IFERROR(IF(0=LEN(ReferenceData!$J$73),"",ReferenceData!$J$73),"")</f>
        <v>22.789353009999999</v>
      </c>
      <c r="N73">
        <f ca="1">IFERROR(IF(0=LEN(ReferenceData!$I$73),"",ReferenceData!$I$73),"")</f>
        <v>8.3137127549999992</v>
      </c>
      <c r="O73">
        <f ca="1">IFERROR(IF(0=LEN(ReferenceData!$H$73),"",ReferenceData!$H$73),"")</f>
        <v>0.584663818</v>
      </c>
      <c r="P73">
        <f ca="1">IFERROR(IF(0=LEN(ReferenceData!$G$73),"",ReferenceData!$G$73),"")</f>
        <v>23.779715329999998</v>
      </c>
      <c r="Q73">
        <f ca="1">IFERROR(IF(0=LEN(ReferenceData!$F$73),"",ReferenceData!$F$73),"")</f>
        <v>3.7808549070000002</v>
      </c>
    </row>
    <row r="74" spans="1:17" x14ac:dyDescent="0.25">
      <c r="A74" t="str">
        <f>IFERROR(IF(0=LEN(ReferenceData!$A$74),"",ReferenceData!$A$74),"")</f>
        <v xml:space="preserve">    Tech Mahindra Ltd</v>
      </c>
      <c r="B74" t="str">
        <f>IFERROR(IF(0=LEN(ReferenceData!$B$74),"",ReferenceData!$B$74),"")</f>
        <v>TECHM IN Equity</v>
      </c>
      <c r="C74" t="str">
        <f>IFERROR(IF(0=LEN(ReferenceData!$C$74),"",ReferenceData!$C$74),"")</f>
        <v>RR062</v>
      </c>
      <c r="D74" t="str">
        <f>IFERROR(IF(0=LEN(ReferenceData!$D$74),"",ReferenceData!$D$74),"")</f>
        <v>EPS_GROWTH</v>
      </c>
      <c r="E74" t="str">
        <f>IFERROR(IF(0=LEN(ReferenceData!$E$74),"",ReferenceData!$E$74),"")</f>
        <v>Dynamic</v>
      </c>
      <c r="F74">
        <f ca="1">IFERROR(IF(0=LEN(ReferenceData!$Q$74),"",ReferenceData!$Q$74),"")</f>
        <v>206.66790739999999</v>
      </c>
      <c r="G74">
        <f ca="1">IFERROR(IF(0=LEN(ReferenceData!$P$74),"",ReferenceData!$P$74),"")</f>
        <v>-31.171322379999999</v>
      </c>
      <c r="H74">
        <f ca="1">IFERROR(IF(0=LEN(ReferenceData!$O$74),"",ReferenceData!$O$74),"")</f>
        <v>-10.12018812</v>
      </c>
      <c r="I74">
        <f ca="1">IFERROR(IF(0=LEN(ReferenceData!$N$74),"",ReferenceData!$N$74),"")</f>
        <v>67.151162790000001</v>
      </c>
      <c r="J74">
        <f ca="1">IFERROR(IF(0=LEN(ReferenceData!$M$74),"",ReferenceData!$M$74),"")</f>
        <v>16.927536230000001</v>
      </c>
      <c r="K74">
        <f ca="1">IFERROR(IF(0=LEN(ReferenceData!$L$74),"",ReferenceData!$L$74),"")</f>
        <v>29.152206249999999</v>
      </c>
      <c r="L74">
        <f ca="1">IFERROR(IF(0=LEN(ReferenceData!$K$74),"",ReferenceData!$K$74),"")</f>
        <v>-15.669865639999999</v>
      </c>
      <c r="M74">
        <f ca="1">IFERROR(IF(0=LEN(ReferenceData!$J$74),"",ReferenceData!$J$74),"")</f>
        <v>25.67370721</v>
      </c>
      <c r="N74">
        <f ca="1">IFERROR(IF(0=LEN(ReferenceData!$I$74),"",ReferenceData!$I$74),"")</f>
        <v>-6.8675746159999997</v>
      </c>
      <c r="O74">
        <f ca="1">IFERROR(IF(0=LEN(ReferenceData!$H$74),"",ReferenceData!$H$74),"")</f>
        <v>33.851897950000001</v>
      </c>
      <c r="P74">
        <f ca="1">IFERROR(IF(0=LEN(ReferenceData!$G$74),"",ReferenceData!$G$74),"")</f>
        <v>12.668526269999999</v>
      </c>
      <c r="Q74">
        <f ca="1">IFERROR(IF(0=LEN(ReferenceData!$F$74),"",ReferenceData!$F$74),"")</f>
        <v>-4.5530389930000004</v>
      </c>
    </row>
    <row r="75" spans="1:17" x14ac:dyDescent="0.25">
      <c r="A75" t="str">
        <f>IFERROR(IF(0=LEN(ReferenceData!$A$75),"",ReferenceData!$A$75),"")</f>
        <v xml:space="preserve">    Wipro Ltd</v>
      </c>
      <c r="B75" t="str">
        <f>IFERROR(IF(0=LEN(ReferenceData!$B$75),"",ReferenceData!$B$75),"")</f>
        <v>WIT US Equity</v>
      </c>
      <c r="C75" t="str">
        <f>IFERROR(IF(0=LEN(ReferenceData!$C$75),"",ReferenceData!$C$75),"")</f>
        <v>RR062</v>
      </c>
      <c r="D75" t="str">
        <f>IFERROR(IF(0=LEN(ReferenceData!$D$75),"",ReferenceData!$D$75),"")</f>
        <v>EPS_GROWTH</v>
      </c>
      <c r="E75" t="str">
        <f>IFERROR(IF(0=LEN(ReferenceData!$E$75),"",ReferenceData!$E$75),"")</f>
        <v>Dynamic</v>
      </c>
      <c r="F75">
        <f ca="1">IFERROR(IF(0=LEN(ReferenceData!$Q$75),"",ReferenceData!$Q$75),"")</f>
        <v>18.52343059</v>
      </c>
      <c r="G75">
        <f ca="1">IFERROR(IF(0=LEN(ReferenceData!$P$75),"",ReferenceData!$P$75),"")</f>
        <v>18.537859009999998</v>
      </c>
      <c r="H75">
        <f ca="1">IFERROR(IF(0=LEN(ReferenceData!$O$75),"",ReferenceData!$O$75),"")</f>
        <v>14.013024209999999</v>
      </c>
      <c r="I75">
        <f ca="1">IFERROR(IF(0=LEN(ReferenceData!$N$75),"",ReferenceData!$N$75),"")</f>
        <v>4.6918123280000001</v>
      </c>
      <c r="J75">
        <f ca="1">IFERROR(IF(0=LEN(ReferenceData!$M$75),"",ReferenceData!$M$75),"")</f>
        <v>9.8714367309999993</v>
      </c>
      <c r="K75">
        <f ca="1">IFERROR(IF(0=LEN(ReferenceData!$L$75),"",ReferenceData!$L$75),"")</f>
        <v>27.005764330000002</v>
      </c>
      <c r="L75">
        <f ca="1">IFERROR(IF(0=LEN(ReferenceData!$K$75),"",ReferenceData!$K$75),"")</f>
        <v>10.98866499</v>
      </c>
      <c r="M75">
        <f ca="1">IFERROR(IF(0=LEN(ReferenceData!$J$75),"",ReferenceData!$J$75),"")</f>
        <v>2.8652482269999999</v>
      </c>
      <c r="N75">
        <f ca="1">IFERROR(IF(0=LEN(ReferenceData!$I$75),"",ReferenceData!$I$75),"")</f>
        <v>-3.5852178709999998</v>
      </c>
      <c r="O75">
        <f ca="1">IFERROR(IF(0=LEN(ReferenceData!$H$75),"",ReferenceData!$H$75),"")</f>
        <v>-3.5469107549999999</v>
      </c>
      <c r="P75">
        <f ca="1">IFERROR(IF(0=LEN(ReferenceData!$G$75),"",ReferenceData!$G$75),"")</f>
        <v>18.544851139999999</v>
      </c>
      <c r="Q75">
        <f ca="1">IFERROR(IF(0=LEN(ReferenceData!$F$75),"",ReferenceData!$F$75),"")</f>
        <v>11.20747165</v>
      </c>
    </row>
    <row r="76" spans="1:17" x14ac:dyDescent="0.25">
      <c r="A76" t="str">
        <f>IFERROR(IF(0=LEN(ReferenceData!$A$76),"",ReferenceData!$A$76),"")</f>
        <v>EPS Before XO Growth (3 Yr)</v>
      </c>
      <c r="B76" t="str">
        <f>IFERROR(IF(0=LEN(ReferenceData!$B$76),"",ReferenceData!$B$76),"")</f>
        <v>BRITBPOV Index</v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Average</v>
      </c>
      <c r="F76">
        <f ca="1">IFERROR(IF(0=LEN(ReferenceData!$Q$76),"",ReferenceData!$Q$76),"")</f>
        <v>32.960063736000002</v>
      </c>
      <c r="G76">
        <f ca="1">IFERROR(IF(0=LEN(ReferenceData!$P$76),"",ReferenceData!$P$76),"")</f>
        <v>23.190266688000001</v>
      </c>
      <c r="H76">
        <f ca="1">IFERROR(IF(0=LEN(ReferenceData!$O$76),"",ReferenceData!$O$76),"")</f>
        <v>17.860764325399998</v>
      </c>
      <c r="I76">
        <f ca="1">IFERROR(IF(0=LEN(ReferenceData!$N$76),"",ReferenceData!$N$76),"")</f>
        <v>14.0691062806</v>
      </c>
      <c r="J76">
        <f ca="1">IFERROR(IF(0=LEN(ReferenceData!$M$76),"",ReferenceData!$M$76),"")</f>
        <v>28.319835771133327</v>
      </c>
      <c r="K76">
        <f ca="1">IFERROR(IF(0=LEN(ReferenceData!$L$76),"",ReferenceData!$L$76),"")</f>
        <v>13.333837020400003</v>
      </c>
      <c r="L76">
        <f ca="1">IFERROR(IF(0=LEN(ReferenceData!$K$76),"",ReferenceData!$K$76),"")</f>
        <v>13.254711522615384</v>
      </c>
      <c r="M76">
        <f ca="1">IFERROR(IF(0=LEN(ReferenceData!$J$76),"",ReferenceData!$J$76),"")</f>
        <v>19.153107092076919</v>
      </c>
      <c r="N76">
        <f ca="1">IFERROR(IF(0=LEN(ReferenceData!$I$76),"",ReferenceData!$I$76),"")</f>
        <v>10.81245583669231</v>
      </c>
      <c r="O76">
        <f ca="1">IFERROR(IF(0=LEN(ReferenceData!$H$76),"",ReferenceData!$H$76),"")</f>
        <v>6.2459168526923081</v>
      </c>
      <c r="P76">
        <f ca="1">IFERROR(IF(0=LEN(ReferenceData!$G$76),"",ReferenceData!$G$76),"")</f>
        <v>6.7049648592142859</v>
      </c>
      <c r="Q76">
        <f ca="1">IFERROR(IF(0=LEN(ReferenceData!$F$76),"",ReferenceData!$F$76),"")</f>
        <v>7.3488887856666674</v>
      </c>
    </row>
    <row r="77" spans="1:17" x14ac:dyDescent="0.25">
      <c r="A77" t="str">
        <f>IFERROR(IF(0=LEN(ReferenceData!$A$77),"",ReferenceData!$A$77),"")</f>
        <v xml:space="preserve">    Accenture PLC</v>
      </c>
      <c r="B77" t="str">
        <f>IFERROR(IF(0=LEN(ReferenceData!$B$77),"",ReferenceData!$B$77),"")</f>
        <v>ACN US Equity</v>
      </c>
      <c r="C77" t="str">
        <f>IFERROR(IF(0=LEN(ReferenceData!$C$77),"",ReferenceData!$C$77),"")</f>
        <v>RX553</v>
      </c>
      <c r="D77" t="str">
        <f>IFERROR(IF(0=LEN(ReferenceData!$D$77),"",ReferenceData!$D$77),"")</f>
        <v>EPS_BEF_XO_3YR_GEO_GROWTH</v>
      </c>
      <c r="E77" t="str">
        <f>IFERROR(IF(0=LEN(ReferenceData!$E$77),"",ReferenceData!$E$77),"")</f>
        <v>Dynamic</v>
      </c>
      <c r="F77">
        <f ca="1">IFERROR(IF(0=LEN(ReferenceData!$Q$77),"",ReferenceData!$Q$77),"")</f>
        <v>20.123453349999998</v>
      </c>
      <c r="G77">
        <f ca="1">IFERROR(IF(0=LEN(ReferenceData!$P$77),"",ReferenceData!$P$77),"")</f>
        <v>15.61621444</v>
      </c>
      <c r="H77">
        <f ca="1">IFERROR(IF(0=LEN(ReferenceData!$O$77),"",ReferenceData!$O$77),"")</f>
        <v>10.640040900000001</v>
      </c>
      <c r="I77">
        <f ca="1">IFERROR(IF(0=LEN(ReferenceData!$N$77),"",ReferenceData!$N$77),"")</f>
        <v>8.4172312490000003</v>
      </c>
      <c r="J77">
        <f ca="1">IFERROR(IF(0=LEN(ReferenceData!$M$77),"",ReferenceData!$M$77),"")</f>
        <v>15.900001639999999</v>
      </c>
      <c r="K77">
        <f ca="1">IFERROR(IF(0=LEN(ReferenceData!$L$77),"",ReferenceData!$L$77),"")</f>
        <v>22.110545030000001</v>
      </c>
      <c r="L77">
        <f ca="1">IFERROR(IF(0=LEN(ReferenceData!$K$77),"",ReferenceData!$K$77),"")</f>
        <v>9.5421073940000003</v>
      </c>
      <c r="M77">
        <f ca="1">IFERROR(IF(0=LEN(ReferenceData!$J$77),"",ReferenceData!$J$77),"")</f>
        <v>7.0482285249999999</v>
      </c>
      <c r="N77">
        <f ca="1">IFERROR(IF(0=LEN(ReferenceData!$I$77),"",ReferenceData!$I$77),"")</f>
        <v>9.0069179049999999</v>
      </c>
      <c r="O77">
        <f ca="1">IFERROR(IF(0=LEN(ReferenceData!$H$77),"",ReferenceData!$H$77),"")</f>
        <v>6.2149389150000003</v>
      </c>
      <c r="P77">
        <f ca="1">IFERROR(IF(0=LEN(ReferenceData!$G$77),"",ReferenceData!$G$77),"")</f>
        <v>9.8755812639999991</v>
      </c>
      <c r="Q77">
        <f ca="1">IFERROR(IF(0=LEN(ReferenceData!$F$77),"",ReferenceData!$F$77),"")</f>
        <v>4.4123750499999996</v>
      </c>
    </row>
    <row r="78" spans="1:17" x14ac:dyDescent="0.25">
      <c r="A78" t="str">
        <f>IFERROR(IF(0=LEN(ReferenceData!$A$78),"",ReferenceData!$A$78),"")</f>
        <v xml:space="preserve">    Amdocs Ltd</v>
      </c>
      <c r="B78" t="str">
        <f>IFERROR(IF(0=LEN(ReferenceData!$B$78),"",ReferenceData!$B$78),"")</f>
        <v>DOX US Equity</v>
      </c>
      <c r="C78" t="str">
        <f>IFERROR(IF(0=LEN(ReferenceData!$C$78),"",ReferenceData!$C$78),"")</f>
        <v>RX553</v>
      </c>
      <c r="D78" t="str">
        <f>IFERROR(IF(0=LEN(ReferenceData!$D$78),"",ReferenceData!$D$78),"")</f>
        <v>EPS_BEF_XO_3YR_GEO_GROWTH</v>
      </c>
      <c r="E78" t="str">
        <f>IFERROR(IF(0=LEN(ReferenceData!$E$78),"",ReferenceData!$E$78),"")</f>
        <v>Dynamic</v>
      </c>
      <c r="F78">
        <f ca="1">IFERROR(IF(0=LEN(ReferenceData!$Q$78),"",ReferenceData!$Q$78),"")</f>
        <v>8.316894284</v>
      </c>
      <c r="G78">
        <f ca="1">IFERROR(IF(0=LEN(ReferenceData!$P$78),"",ReferenceData!$P$78),"")</f>
        <v>0.842144911</v>
      </c>
      <c r="H78">
        <f ca="1">IFERROR(IF(0=LEN(ReferenceData!$O$78),"",ReferenceData!$O$78),"")</f>
        <v>-1.149527129</v>
      </c>
      <c r="I78">
        <f ca="1">IFERROR(IF(0=LEN(ReferenceData!$N$78),"",ReferenceData!$N$78),"")</f>
        <v>0.72335244600000004</v>
      </c>
      <c r="J78">
        <f ca="1">IFERROR(IF(0=LEN(ReferenceData!$M$78),"",ReferenceData!$M$78),"")</f>
        <v>13.11234732</v>
      </c>
      <c r="K78">
        <f ca="1">IFERROR(IF(0=LEN(ReferenceData!$L$78),"",ReferenceData!$L$78),"")</f>
        <v>14.62086493</v>
      </c>
      <c r="L78">
        <f ca="1">IFERROR(IF(0=LEN(ReferenceData!$K$78),"",ReferenceData!$K$78),"")</f>
        <v>12.32284346</v>
      </c>
      <c r="M78">
        <f ca="1">IFERROR(IF(0=LEN(ReferenceData!$J$78),"",ReferenceData!$J$78),"")</f>
        <v>7.4436220740000003</v>
      </c>
      <c r="N78">
        <f ca="1">IFERROR(IF(0=LEN(ReferenceData!$I$78),"",ReferenceData!$I$78),"")</f>
        <v>2.2908684620000002</v>
      </c>
      <c r="O78">
        <f ca="1">IFERROR(IF(0=LEN(ReferenceData!$H$78),"",ReferenceData!$H$78),"")</f>
        <v>4.1058428979999997</v>
      </c>
      <c r="P78">
        <f ca="1">IFERROR(IF(0=LEN(ReferenceData!$G$78),"",ReferenceData!$G$78),"")</f>
        <v>-4.8445133309999999</v>
      </c>
      <c r="Q78">
        <f ca="1">IFERROR(IF(0=LEN(ReferenceData!$F$78),"",ReferenceData!$F$78),"")</f>
        <v>8.1392903200000006</v>
      </c>
    </row>
    <row r="79" spans="1:17" x14ac:dyDescent="0.25">
      <c r="A79" t="str">
        <f>IFERROR(IF(0=LEN(ReferenceData!$A$79),"",ReferenceData!$A$79),"")</f>
        <v xml:space="preserve">    Atos SE</v>
      </c>
      <c r="B79" t="str">
        <f>IFERROR(IF(0=LEN(ReferenceData!$B$79),"",ReferenceData!$B$79),"")</f>
        <v>ATO FP Equity</v>
      </c>
      <c r="C79" t="str">
        <f>IFERROR(IF(0=LEN(ReferenceData!$C$79),"",ReferenceData!$C$79),"")</f>
        <v>RX553</v>
      </c>
      <c r="D79" t="str">
        <f>IFERROR(IF(0=LEN(ReferenceData!$D$79),"",ReferenceData!$D$79),"")</f>
        <v>EPS_BEF_XO_3YR_GEO_GROWTH</v>
      </c>
      <c r="E79" t="str">
        <f>IFERROR(IF(0=LEN(ReferenceData!$E$79),"",ReferenceData!$E$79),"")</f>
        <v>Dynamic</v>
      </c>
      <c r="F79">
        <f ca="1">IFERROR(IF(0=LEN(ReferenceData!$Q$79),"",ReferenceData!$Q$79),"")</f>
        <v>-54.950084779999997</v>
      </c>
      <c r="G79" t="str">
        <f ca="1">IFERROR(IF(0=LEN(ReferenceData!$P$79),"",ReferenceData!$P$79),"")</f>
        <v/>
      </c>
      <c r="H79">
        <f ca="1">IFERROR(IF(0=LEN(ReferenceData!$O$79),"",ReferenceData!$O$79),"")</f>
        <v>33.620413190000001</v>
      </c>
      <c r="I79">
        <f ca="1">IFERROR(IF(0=LEN(ReferenceData!$N$79),"",ReferenceData!$N$79),"")</f>
        <v>95.471137780000007</v>
      </c>
      <c r="J79">
        <f ca="1">IFERROR(IF(0=LEN(ReferenceData!$M$79),"",ReferenceData!$M$79),"")</f>
        <v>253.92409380000001</v>
      </c>
      <c r="K79">
        <f ca="1">IFERROR(IF(0=LEN(ReferenceData!$L$79),"",ReferenceData!$L$79),"")</f>
        <v>21.292309190000001</v>
      </c>
      <c r="L79">
        <f ca="1">IFERROR(IF(0=LEN(ReferenceData!$K$79),"",ReferenceData!$K$79),"")</f>
        <v>3.7618692330000001</v>
      </c>
      <c r="M79">
        <f ca="1">IFERROR(IF(0=LEN(ReferenceData!$J$79),"",ReferenceData!$J$79),"")</f>
        <v>14.662369440000001</v>
      </c>
      <c r="N79">
        <f ca="1">IFERROR(IF(0=LEN(ReferenceData!$I$79),"",ReferenceData!$I$79),"")</f>
        <v>23.255406480000001</v>
      </c>
      <c r="O79">
        <f ca="1">IFERROR(IF(0=LEN(ReferenceData!$H$79),"",ReferenceData!$H$79),"")</f>
        <v>28.91246786</v>
      </c>
      <c r="P79">
        <f ca="1">IFERROR(IF(0=LEN(ReferenceData!$G$79),"",ReferenceData!$G$79),"")</f>
        <v>4.9204238330000001</v>
      </c>
      <c r="Q79">
        <f ca="1">IFERROR(IF(0=LEN(ReferenceData!$F$79),"",ReferenceData!$F$79),"")</f>
        <v>-18.603548190000001</v>
      </c>
    </row>
    <row r="80" spans="1:17" x14ac:dyDescent="0.25">
      <c r="A80" t="str">
        <f>IFERROR(IF(0=LEN(ReferenceData!$A$80),"",ReferenceData!$A$80),"")</f>
        <v xml:space="preserve">    Capgemini SE</v>
      </c>
      <c r="B80" t="str">
        <f>IFERROR(IF(0=LEN(ReferenceData!$B$80),"",ReferenceData!$B$80),"")</f>
        <v>CAP FP Equity</v>
      </c>
      <c r="C80" t="str">
        <f>IFERROR(IF(0=LEN(ReferenceData!$C$80),"",ReferenceData!$C$80),"")</f>
        <v>RX553</v>
      </c>
      <c r="D80" t="str">
        <f>IFERROR(IF(0=LEN(ReferenceData!$D$80),"",ReferenceData!$D$80),"")</f>
        <v>EPS_BEF_XO_3YR_GEO_GROWTH</v>
      </c>
      <c r="E80" t="str">
        <f>IFERROR(IF(0=LEN(ReferenceData!$E$80),"",ReferenceData!$E$80),"")</f>
        <v>Dynamic</v>
      </c>
      <c r="F80">
        <f ca="1">IFERROR(IF(0=LEN(ReferenceData!$Q$80),"",ReferenceData!$Q$80),"")</f>
        <v>43.168878659999997</v>
      </c>
      <c r="G80">
        <f ca="1">IFERROR(IF(0=LEN(ReferenceData!$P$80),"",ReferenceData!$P$80),"")</f>
        <v>-17.743363720000001</v>
      </c>
      <c r="H80">
        <f ca="1">IFERROR(IF(0=LEN(ReferenceData!$O$80),"",ReferenceData!$O$80),"")</f>
        <v>-15.56435304</v>
      </c>
      <c r="I80">
        <f ca="1">IFERROR(IF(0=LEN(ReferenceData!$N$80),"",ReferenceData!$N$80),"")</f>
        <v>-5.7368315619999999</v>
      </c>
      <c r="J80">
        <f ca="1">IFERROR(IF(0=LEN(ReferenceData!$M$80),"",ReferenceData!$M$80),"")</f>
        <v>22.480732750000001</v>
      </c>
      <c r="K80">
        <f ca="1">IFERROR(IF(0=LEN(ReferenceData!$L$80),"",ReferenceData!$L$80),"")</f>
        <v>15.23090706</v>
      </c>
      <c r="L80">
        <f ca="1">IFERROR(IF(0=LEN(ReferenceData!$K$80),"",ReferenceData!$K$80),"")</f>
        <v>11.848635440000001</v>
      </c>
      <c r="M80">
        <f ca="1">IFERROR(IF(0=LEN(ReferenceData!$J$80),"",ReferenceData!$J$80),"")</f>
        <v>43.440722780000002</v>
      </c>
      <c r="N80">
        <f ca="1">IFERROR(IF(0=LEN(ReferenceData!$I$80),"",ReferenceData!$I$80),"")</f>
        <v>24.780567399999999</v>
      </c>
      <c r="O80">
        <f ca="1">IFERROR(IF(0=LEN(ReferenceData!$H$80),"",ReferenceData!$H$80),"")</f>
        <v>9.8644875760000001</v>
      </c>
      <c r="P80">
        <f ca="1">IFERROR(IF(0=LEN(ReferenceData!$G$80),"",ReferenceData!$G$80),"")</f>
        <v>-13.146924609999999</v>
      </c>
      <c r="Q80">
        <f ca="1">IFERROR(IF(0=LEN(ReferenceData!$F$80),"",ReferenceData!$F$80),"")</f>
        <v>-1.809506423</v>
      </c>
    </row>
    <row r="81" spans="1:17" x14ac:dyDescent="0.25">
      <c r="A81" t="str">
        <f>IFERROR(IF(0=LEN(ReferenceData!$A$81),"",ReferenceData!$A$81),"")</f>
        <v xml:space="preserve">    CGI Inc</v>
      </c>
      <c r="B81" t="str">
        <f>IFERROR(IF(0=LEN(ReferenceData!$B$81),"",ReferenceData!$B$81),"")</f>
        <v>GIB US Equity</v>
      </c>
      <c r="C81" t="str">
        <f>IFERROR(IF(0=LEN(ReferenceData!$C$81),"",ReferenceData!$C$81),"")</f>
        <v>RX553</v>
      </c>
      <c r="D81" t="str">
        <f>IFERROR(IF(0=LEN(ReferenceData!$D$81),"",ReferenceData!$D$81),"")</f>
        <v>EPS_BEF_XO_3YR_GEO_GROWTH</v>
      </c>
      <c r="E81" t="str">
        <f>IFERROR(IF(0=LEN(ReferenceData!$E$81),"",ReferenceData!$E$81),"")</f>
        <v>Dynamic</v>
      </c>
      <c r="F81">
        <f ca="1">IFERROR(IF(0=LEN(ReferenceData!$Q$81),"",ReferenceData!$Q$81),"")</f>
        <v>23.420115859999999</v>
      </c>
      <c r="G81">
        <f ca="1">IFERROR(IF(0=LEN(ReferenceData!$P$81),"",ReferenceData!$P$81),"")</f>
        <v>38.226360300000003</v>
      </c>
      <c r="H81">
        <f ca="1">IFERROR(IF(0=LEN(ReferenceData!$O$81),"",ReferenceData!$O$81),"")</f>
        <v>21.38968676</v>
      </c>
      <c r="I81">
        <f ca="1">IFERROR(IF(0=LEN(ReferenceData!$N$81),"",ReferenceData!$N$81),"")</f>
        <v>20.629084049999999</v>
      </c>
      <c r="J81">
        <f ca="1">IFERROR(IF(0=LEN(ReferenceData!$M$81),"",ReferenceData!$M$81),"")</f>
        <v>-21.408135290000001</v>
      </c>
      <c r="K81">
        <f ca="1">IFERROR(IF(0=LEN(ReferenceData!$L$81),"",ReferenceData!$L$81),"")</f>
        <v>5.2331728379999998</v>
      </c>
      <c r="L81">
        <f ca="1">IFERROR(IF(0=LEN(ReferenceData!$K$81),"",ReferenceData!$K$81),"")</f>
        <v>18.99269039</v>
      </c>
      <c r="M81">
        <f ca="1">IFERROR(IF(0=LEN(ReferenceData!$J$81),"",ReferenceData!$J$81),"")</f>
        <v>84.495827149999997</v>
      </c>
      <c r="N81">
        <f ca="1">IFERROR(IF(0=LEN(ReferenceData!$I$81),"",ReferenceData!$I$81),"")</f>
        <v>33.356790169999996</v>
      </c>
      <c r="O81">
        <f ca="1">IFERROR(IF(0=LEN(ReferenceData!$H$81),"",ReferenceData!$H$81),"")</f>
        <v>7.773374842</v>
      </c>
      <c r="P81">
        <f ca="1">IFERROR(IF(0=LEN(ReferenceData!$G$81),"",ReferenceData!$G$81),"")</f>
        <v>8.5839080540000001</v>
      </c>
      <c r="Q81">
        <f ca="1">IFERROR(IF(0=LEN(ReferenceData!$F$81),"",ReferenceData!$F$81),"")</f>
        <v>9.6708707199999999</v>
      </c>
    </row>
    <row r="82" spans="1:17" x14ac:dyDescent="0.25">
      <c r="A82" t="str">
        <f>IFERROR(IF(0=LEN(ReferenceData!$A$82),"",ReferenceData!$A$82),"")</f>
        <v xml:space="preserve">    Cognizant Technology Solutions Corp</v>
      </c>
      <c r="B82" t="str">
        <f>IFERROR(IF(0=LEN(ReferenceData!$B$82),"",ReferenceData!$B$82),"")</f>
        <v>CTSH US Equity</v>
      </c>
      <c r="C82" t="str">
        <f>IFERROR(IF(0=LEN(ReferenceData!$C$82),"",ReferenceData!$C$82),"")</f>
        <v>RX553</v>
      </c>
      <c r="D82" t="str">
        <f>IFERROR(IF(0=LEN(ReferenceData!$D$82),"",ReferenceData!$D$82),"")</f>
        <v>EPS_BEF_XO_3YR_GEO_GROWTH</v>
      </c>
      <c r="E82" t="str">
        <f>IFERROR(IF(0=LEN(ReferenceData!$E$82),"",ReferenceData!$E$82),"")</f>
        <v>Dynamic</v>
      </c>
      <c r="F82">
        <f ca="1">IFERROR(IF(0=LEN(ReferenceData!$Q$82),"",ReferenceData!$Q$82),"")</f>
        <v>34.674532859999999</v>
      </c>
      <c r="G82">
        <f ca="1">IFERROR(IF(0=LEN(ReferenceData!$P$82),"",ReferenceData!$P$82),"")</f>
        <v>30.178465070000001</v>
      </c>
      <c r="H82">
        <f ca="1">IFERROR(IF(0=LEN(ReferenceData!$O$82),"",ReferenceData!$O$82),"")</f>
        <v>25.992104990000001</v>
      </c>
      <c r="I82">
        <f ca="1">IFERROR(IF(0=LEN(ReferenceData!$N$82),"",ReferenceData!$N$82),"")</f>
        <v>24.997762819999998</v>
      </c>
      <c r="J82">
        <f ca="1">IFERROR(IF(0=LEN(ReferenceData!$M$82),"",ReferenceData!$M$82),"")</f>
        <v>24.237111729999999</v>
      </c>
      <c r="K82">
        <f ca="1">IFERROR(IF(0=LEN(ReferenceData!$L$82),"",ReferenceData!$L$82),"")</f>
        <v>18.5954956</v>
      </c>
      <c r="L82">
        <f ca="1">IFERROR(IF(0=LEN(ReferenceData!$K$82),"",ReferenceData!$K$82),"")</f>
        <v>17.659893490000002</v>
      </c>
      <c r="M82">
        <f ca="1">IFERROR(IF(0=LEN(ReferenceData!$J$82),"",ReferenceData!$J$82),"")</f>
        <v>15.23169319</v>
      </c>
      <c r="N82">
        <f ca="1">IFERROR(IF(0=LEN(ReferenceData!$I$82),"",ReferenceData!$I$82),"")</f>
        <v>7.9506306699999998</v>
      </c>
      <c r="O82">
        <f ca="1">IFERROR(IF(0=LEN(ReferenceData!$H$82),"",ReferenceData!$H$82),"")</f>
        <v>2.33600451</v>
      </c>
      <c r="P82">
        <f ca="1">IFERROR(IF(0=LEN(ReferenceData!$G$82),"",ReferenceData!$G$82),"")</f>
        <v>10.577129940000001</v>
      </c>
      <c r="Q82">
        <f ca="1">IFERROR(IF(0=LEN(ReferenceData!$F$82),"",ReferenceData!$F$82),"")</f>
        <v>8.8323461400000003</v>
      </c>
    </row>
    <row r="83" spans="1:17" x14ac:dyDescent="0.25">
      <c r="A83" t="str">
        <f>IFERROR(IF(0=LEN(ReferenceData!$A$83),"",ReferenceData!$A$83),"")</f>
        <v xml:space="preserve">    Conduent Inc</v>
      </c>
      <c r="B83" t="str">
        <f>IFERROR(IF(0=LEN(ReferenceData!$B$83),"",ReferenceData!$B$83),"")</f>
        <v>CNDT US Equity</v>
      </c>
      <c r="C83" t="str">
        <f>IFERROR(IF(0=LEN(ReferenceData!$C$83),"",ReferenceData!$C$83),"")</f>
        <v>RX553</v>
      </c>
      <c r="D83" t="str">
        <f>IFERROR(IF(0=LEN(ReferenceData!$D$83),"",ReferenceData!$D$83),"")</f>
        <v>EPS_BEF_XO_3YR_GEO_GROWTH</v>
      </c>
      <c r="E83" t="str">
        <f>IFERROR(IF(0=LEN(ReferenceData!$E$83),"",ReferenceData!$E$83),"")</f>
        <v>Dynamic</v>
      </c>
      <c r="F83" t="str">
        <f ca="1">IFERROR(IF(0=LEN(ReferenceData!$Q$83),"",ReferenceData!$Q$83),"")</f>
        <v/>
      </c>
      <c r="G83" t="str">
        <f ca="1">IFERROR(IF(0=LEN(ReferenceData!$P$83),"",ReferenceData!$P$83),"")</f>
        <v/>
      </c>
      <c r="H83" t="str">
        <f ca="1">IFERROR(IF(0=LEN(ReferenceData!$O$83),"",ReferenceData!$O$83),"")</f>
        <v/>
      </c>
      <c r="I83" t="str">
        <f ca="1">IFERROR(IF(0=LEN(ReferenceData!$N$83),"",ReferenceData!$N$83),"")</f>
        <v/>
      </c>
      <c r="J83" t="str">
        <f ca="1">IFERROR(IF(0=LEN(ReferenceData!$M$83),"",ReferenceData!$M$83),"")</f>
        <v/>
      </c>
      <c r="K83" t="str">
        <f ca="1">IFERROR(IF(0=LEN(ReferenceData!$L$83),"",ReferenceData!$L$83),"")</f>
        <v/>
      </c>
      <c r="L83" t="str">
        <f ca="1">IFERROR(IF(0=LEN(ReferenceData!$K$83),"",ReferenceData!$K$83),"")</f>
        <v/>
      </c>
      <c r="M83" t="str">
        <f ca="1">IFERROR(IF(0=LEN(ReferenceData!$J$83),"",ReferenceData!$J$83),"")</f>
        <v/>
      </c>
      <c r="N83" t="str">
        <f ca="1">IFERROR(IF(0=LEN(ReferenceData!$I$83),"",ReferenceData!$I$83),"")</f>
        <v/>
      </c>
      <c r="O83" t="str">
        <f ca="1">IFERROR(IF(0=LEN(ReferenceData!$H$83),"",ReferenceData!$H$83),"")</f>
        <v/>
      </c>
      <c r="P83" t="str">
        <f ca="1">IFERROR(IF(0=LEN(ReferenceData!$G$83),"",ReferenceData!$G$83),"")</f>
        <v/>
      </c>
      <c r="Q83" t="str">
        <f ca="1">IFERROR(IF(0=LEN(ReferenceData!$F$83),"",ReferenceData!$F$83),"")</f>
        <v/>
      </c>
    </row>
    <row r="84" spans="1:17" x14ac:dyDescent="0.25">
      <c r="A84" t="str">
        <f>IFERROR(IF(0=LEN(ReferenceData!$A$84),"",ReferenceData!$A$84),"")</f>
        <v xml:space="preserve">    DXC Technology Co</v>
      </c>
      <c r="B84" t="str">
        <f>IFERROR(IF(0=LEN(ReferenceData!$B$84),"",ReferenceData!$B$84),"")</f>
        <v>DXC US Equity</v>
      </c>
      <c r="C84" t="str">
        <f>IFERROR(IF(0=LEN(ReferenceData!$C$84),"",ReferenceData!$C$84),"")</f>
        <v>RX553</v>
      </c>
      <c r="D84" t="str">
        <f>IFERROR(IF(0=LEN(ReferenceData!$D$84),"",ReferenceData!$D$84),"")</f>
        <v>EPS_BEF_XO_3YR_GEO_GROWTH</v>
      </c>
      <c r="E84" t="str">
        <f>IFERROR(IF(0=LEN(ReferenceData!$E$84),"",ReferenceData!$E$84),"")</f>
        <v>Dynamic</v>
      </c>
      <c r="F84" t="str">
        <f ca="1">IFERROR(IF(0=LEN(ReferenceData!$Q$84),"",ReferenceData!$Q$84),"")</f>
        <v/>
      </c>
      <c r="G84" t="str">
        <f ca="1">IFERROR(IF(0=LEN(ReferenceData!$P$84),"",ReferenceData!$P$84),"")</f>
        <v/>
      </c>
      <c r="H84" t="str">
        <f ca="1">IFERROR(IF(0=LEN(ReferenceData!$O$84),"",ReferenceData!$O$84),"")</f>
        <v/>
      </c>
      <c r="I84" t="str">
        <f ca="1">IFERROR(IF(0=LEN(ReferenceData!$N$84),"",ReferenceData!$N$84),"")</f>
        <v/>
      </c>
      <c r="J84" t="str">
        <f ca="1">IFERROR(IF(0=LEN(ReferenceData!$M$84),"",ReferenceData!$M$84),"")</f>
        <v/>
      </c>
      <c r="K84" t="str">
        <f ca="1">IFERROR(IF(0=LEN(ReferenceData!$L$84),"",ReferenceData!$L$84),"")</f>
        <v/>
      </c>
      <c r="L84" t="str">
        <f ca="1">IFERROR(IF(0=LEN(ReferenceData!$K$84),"",ReferenceData!$K$84),"")</f>
        <v/>
      </c>
      <c r="M84" t="str">
        <f ca="1">IFERROR(IF(0=LEN(ReferenceData!$J$84),"",ReferenceData!$J$84),"")</f>
        <v/>
      </c>
      <c r="N84" t="str">
        <f ca="1">IFERROR(IF(0=LEN(ReferenceData!$I$84),"",ReferenceData!$I$84),"")</f>
        <v/>
      </c>
      <c r="O84" t="str">
        <f ca="1">IFERROR(IF(0=LEN(ReferenceData!$H$84),"",ReferenceData!$H$84),"")</f>
        <v/>
      </c>
      <c r="P84" t="str">
        <f ca="1">IFERROR(IF(0=LEN(ReferenceData!$G$84),"",ReferenceData!$G$84),"")</f>
        <v/>
      </c>
      <c r="Q84" t="str">
        <f ca="1">IFERROR(IF(0=LEN(ReferenceData!$F$84),"",ReferenceData!$F$84),"")</f>
        <v/>
      </c>
    </row>
    <row r="85" spans="1:17" x14ac:dyDescent="0.25">
      <c r="A85" t="str">
        <f>IFERROR(IF(0=LEN(ReferenceData!$A$85),"",ReferenceData!$A$85),"")</f>
        <v xml:space="preserve">    EPAM Systems Inc</v>
      </c>
      <c r="B85" t="str">
        <f>IFERROR(IF(0=LEN(ReferenceData!$B$85),"",ReferenceData!$B$85),"")</f>
        <v>EPAM US Equity</v>
      </c>
      <c r="C85" t="str">
        <f>IFERROR(IF(0=LEN(ReferenceData!$C$85),"",ReferenceData!$C$85),"")</f>
        <v>RX553</v>
      </c>
      <c r="D85" t="str">
        <f>IFERROR(IF(0=LEN(ReferenceData!$D$85),"",ReferenceData!$D$85),"")</f>
        <v>EPS_BEF_XO_3YR_GEO_GROWTH</v>
      </c>
      <c r="E85" t="str">
        <f>IFERROR(IF(0=LEN(ReferenceData!$E$85),"",ReferenceData!$E$85),"")</f>
        <v>Dynamic</v>
      </c>
      <c r="F85" t="str">
        <f ca="1">IFERROR(IF(0=LEN(ReferenceData!$Q$85),"",ReferenceData!$Q$85),"")</f>
        <v/>
      </c>
      <c r="G85">
        <f ca="1">IFERROR(IF(0=LEN(ReferenceData!$P$85),"",ReferenceData!$P$85),"")</f>
        <v>-26.811798379999999</v>
      </c>
      <c r="H85">
        <f ca="1">IFERROR(IF(0=LEN(ReferenceData!$O$85),"",ReferenceData!$O$85),"")</f>
        <v>5.7121067820000002</v>
      </c>
      <c r="I85">
        <f ca="1">IFERROR(IF(0=LEN(ReferenceData!$N$85),"",ReferenceData!$N$85),"")</f>
        <v>-29.92345109</v>
      </c>
      <c r="J85">
        <f ca="1">IFERROR(IF(0=LEN(ReferenceData!$M$85),"",ReferenceData!$M$85),"")</f>
        <v>-12.100304319999999</v>
      </c>
      <c r="K85">
        <f ca="1">IFERROR(IF(0=LEN(ReferenceData!$L$85),"",ReferenceData!$L$85),"")</f>
        <v>-41.403670009999999</v>
      </c>
      <c r="L85">
        <f ca="1">IFERROR(IF(0=LEN(ReferenceData!$K$85),"",ReferenceData!$K$85),"")</f>
        <v>29.073732039999999</v>
      </c>
      <c r="M85">
        <f ca="1">IFERROR(IF(0=LEN(ReferenceData!$J$85),"",ReferenceData!$J$85),"")</f>
        <v>10.85300252</v>
      </c>
      <c r="N85">
        <f ca="1">IFERROR(IF(0=LEN(ReferenceData!$I$85),"",ReferenceData!$I$85),"")</f>
        <v>13.42553051</v>
      </c>
      <c r="O85">
        <f ca="1">IFERROR(IF(0=LEN(ReferenceData!$H$85),"",ReferenceData!$H$85),"")</f>
        <v>-1.835278207</v>
      </c>
      <c r="P85">
        <f ca="1">IFERROR(IF(0=LEN(ReferenceData!$G$85),"",ReferenceData!$G$85),"")</f>
        <v>37.323217450000001</v>
      </c>
      <c r="Q85">
        <f ca="1">IFERROR(IF(0=LEN(ReferenceData!$F$85),"",ReferenceData!$F$85),"")</f>
        <v>34.281871150000001</v>
      </c>
    </row>
    <row r="86" spans="1:17" x14ac:dyDescent="0.25">
      <c r="A86" t="str">
        <f>IFERROR(IF(0=LEN(ReferenceData!$A$86),"",ReferenceData!$A$86),"")</f>
        <v xml:space="preserve">    Genpact Ltd</v>
      </c>
      <c r="B86" t="str">
        <f>IFERROR(IF(0=LEN(ReferenceData!$B$86),"",ReferenceData!$B$86),"")</f>
        <v>G US Equity</v>
      </c>
      <c r="C86" t="str">
        <f>IFERROR(IF(0=LEN(ReferenceData!$C$86),"",ReferenceData!$C$86),"")</f>
        <v>RX553</v>
      </c>
      <c r="D86" t="str">
        <f>IFERROR(IF(0=LEN(ReferenceData!$D$86),"",ReferenceData!$D$86),"")</f>
        <v>EPS_BEF_XO_3YR_GEO_GROWTH</v>
      </c>
      <c r="E86" t="str">
        <f>IFERROR(IF(0=LEN(ReferenceData!$E$86),"",ReferenceData!$E$86),"")</f>
        <v>Dynamic</v>
      </c>
      <c r="F86">
        <f ca="1">IFERROR(IF(0=LEN(ReferenceData!$Q$86),"",ReferenceData!$Q$86),"")</f>
        <v>194.9226031</v>
      </c>
      <c r="G86">
        <f ca="1">IFERROR(IF(0=LEN(ReferenceData!$P$86),"",ReferenceData!$P$86),"")</f>
        <v>127.66381149999999</v>
      </c>
      <c r="H86">
        <f ca="1">IFERROR(IF(0=LEN(ReferenceData!$O$86),"",ReferenceData!$O$86),"")</f>
        <v>70.997594669999998</v>
      </c>
      <c r="I86">
        <f ca="1">IFERROR(IF(0=LEN(ReferenceData!$N$86),"",ReferenceData!$N$86),"")</f>
        <v>12.049182829999999</v>
      </c>
      <c r="J86">
        <f ca="1">IFERROR(IF(0=LEN(ReferenceData!$M$86),"",ReferenceData!$M$86),"")</f>
        <v>10.68259304</v>
      </c>
      <c r="K86">
        <f ca="1">IFERROR(IF(0=LEN(ReferenceData!$L$86),"",ReferenceData!$L$86),"")</f>
        <v>15.44156733</v>
      </c>
      <c r="L86">
        <f ca="1">IFERROR(IF(0=LEN(ReferenceData!$K$86),"",ReferenceData!$K$86),"")</f>
        <v>1.5812891499999999</v>
      </c>
      <c r="M86">
        <f ca="1">IFERROR(IF(0=LEN(ReferenceData!$J$86),"",ReferenceData!$J$86),"")</f>
        <v>11.534955220000001</v>
      </c>
      <c r="N86">
        <f ca="1">IFERROR(IF(0=LEN(ReferenceData!$I$86),"",ReferenceData!$I$86),"")</f>
        <v>9.1392883059999992</v>
      </c>
      <c r="O86">
        <f ca="1">IFERROR(IF(0=LEN(ReferenceData!$H$86),"",ReferenceData!$H$86),"")</f>
        <v>16.057501980000001</v>
      </c>
      <c r="P86">
        <f ca="1">IFERROR(IF(0=LEN(ReferenceData!$G$86),"",ReferenceData!$G$86),"")</f>
        <v>10.06424163</v>
      </c>
      <c r="Q86">
        <f ca="1">IFERROR(IF(0=LEN(ReferenceData!$F$86),"",ReferenceData!$F$86),"")</f>
        <v>7.1664579670000004</v>
      </c>
    </row>
    <row r="87" spans="1:17" x14ac:dyDescent="0.25">
      <c r="A87" t="str">
        <f>IFERROR(IF(0=LEN(ReferenceData!$A$87),"",ReferenceData!$A$87),"")</f>
        <v xml:space="preserve">    HCL Technologies Ltd</v>
      </c>
      <c r="B87" t="str">
        <f>IFERROR(IF(0=LEN(ReferenceData!$B$87),"",ReferenceData!$B$87),"")</f>
        <v>HCLT IN Equity</v>
      </c>
      <c r="C87" t="str">
        <f>IFERROR(IF(0=LEN(ReferenceData!$C$87),"",ReferenceData!$C$87),"")</f>
        <v>RX553</v>
      </c>
      <c r="D87" t="str">
        <f>IFERROR(IF(0=LEN(ReferenceData!$D$87),"",ReferenceData!$D$87),"")</f>
        <v>EPS_BEF_XO_3YR_GEO_GROWTH</v>
      </c>
      <c r="E87" t="str">
        <f>IFERROR(IF(0=LEN(ReferenceData!$E$87),"",ReferenceData!$E$87),"")</f>
        <v>Dynamic</v>
      </c>
      <c r="F87">
        <f ca="1">IFERROR(IF(0=LEN(ReferenceData!$Q$87),"",ReferenceData!$Q$87),"")</f>
        <v>22.43387027</v>
      </c>
      <c r="G87">
        <f ca="1">IFERROR(IF(0=LEN(ReferenceData!$P$87),"",ReferenceData!$P$87),"")</f>
        <v>-2.5566482389999998</v>
      </c>
      <c r="H87">
        <f ca="1">IFERROR(IF(0=LEN(ReferenceData!$O$87),"",ReferenceData!$O$87),"")</f>
        <v>15.03678736</v>
      </c>
      <c r="I87">
        <f ca="1">IFERROR(IF(0=LEN(ReferenceData!$N$87),"",ReferenceData!$N$87),"")</f>
        <v>21.143932410000001</v>
      </c>
      <c r="J87">
        <f ca="1">IFERROR(IF(0=LEN(ReferenceData!$M$87),"",ReferenceData!$M$87),"")</f>
        <v>45.986760850000003</v>
      </c>
      <c r="K87">
        <f ca="1">IFERROR(IF(0=LEN(ReferenceData!$L$87),"",ReferenceData!$L$87),"")</f>
        <v>40.694892619999997</v>
      </c>
      <c r="L87" t="str">
        <f ca="1">IFERROR(IF(0=LEN(ReferenceData!$K$87),"",ReferenceData!$K$87),"")</f>
        <v/>
      </c>
      <c r="M87" t="str">
        <f ca="1">IFERROR(IF(0=LEN(ReferenceData!$J$87),"",ReferenceData!$J$87),"")</f>
        <v/>
      </c>
      <c r="N87" t="str">
        <f ca="1">IFERROR(IF(0=LEN(ReferenceData!$I$87),"",ReferenceData!$I$87),"")</f>
        <v/>
      </c>
      <c r="O87" t="str">
        <f ca="1">IFERROR(IF(0=LEN(ReferenceData!$H$87),"",ReferenceData!$H$87),"")</f>
        <v/>
      </c>
      <c r="P87">
        <f ca="1">IFERROR(IF(0=LEN(ReferenceData!$G$87),"",ReferenceData!$G$87),"")</f>
        <v>9.6647572089999993</v>
      </c>
      <c r="Q87">
        <f ca="1">IFERROR(IF(0=LEN(ReferenceData!$F$87),"",ReferenceData!$F$87),"")</f>
        <v>8.3689633580000002</v>
      </c>
    </row>
    <row r="88" spans="1:17" x14ac:dyDescent="0.25">
      <c r="A88" t="str">
        <f>IFERROR(IF(0=LEN(ReferenceData!$A$88),"",ReferenceData!$A$88),"")</f>
        <v xml:space="preserve">    Indra Sistemas SA</v>
      </c>
      <c r="B88" t="str">
        <f>IFERROR(IF(0=LEN(ReferenceData!$B$88),"",ReferenceData!$B$88),"")</f>
        <v>IDR SM Equity</v>
      </c>
      <c r="C88" t="str">
        <f>IFERROR(IF(0=LEN(ReferenceData!$C$88),"",ReferenceData!$C$88),"")</f>
        <v>RX553</v>
      </c>
      <c r="D88" t="str">
        <f>IFERROR(IF(0=LEN(ReferenceData!$D$88),"",ReferenceData!$D$88),"")</f>
        <v>EPS_BEF_XO_3YR_GEO_GROWTH</v>
      </c>
      <c r="E88" t="str">
        <f>IFERROR(IF(0=LEN(ReferenceData!$E$88),"",ReferenceData!$E$88),"")</f>
        <v>Dynamic</v>
      </c>
      <c r="F88">
        <f ca="1">IFERROR(IF(0=LEN(ReferenceData!$Q$88),"",ReferenceData!$Q$88),"")</f>
        <v>17.253700569999999</v>
      </c>
      <c r="G88">
        <f ca="1">IFERROR(IF(0=LEN(ReferenceData!$P$88),"",ReferenceData!$P$88),"")</f>
        <v>15.178944019999999</v>
      </c>
      <c r="H88">
        <f ca="1">IFERROR(IF(0=LEN(ReferenceData!$O$88),"",ReferenceData!$O$88),"")</f>
        <v>8.2253333180000006</v>
      </c>
      <c r="I88">
        <f ca="1">IFERROR(IF(0=LEN(ReferenceData!$N$88),"",ReferenceData!$N$88),"")</f>
        <v>-0.78218313100000003</v>
      </c>
      <c r="J88">
        <f ca="1">IFERROR(IF(0=LEN(ReferenceData!$M$88),"",ReferenceData!$M$88),"")</f>
        <v>-12.417585040000001</v>
      </c>
      <c r="K88">
        <f ca="1">IFERROR(IF(0=LEN(ReferenceData!$L$88),"",ReferenceData!$L$88),"")</f>
        <v>-15.264402159999999</v>
      </c>
      <c r="L88" t="str">
        <f ca="1">IFERROR(IF(0=LEN(ReferenceData!$K$88),"",ReferenceData!$K$88),"")</f>
        <v/>
      </c>
      <c r="M88" t="str">
        <f ca="1">IFERROR(IF(0=LEN(ReferenceData!$J$88),"",ReferenceData!$J$88),"")</f>
        <v/>
      </c>
      <c r="N88" t="str">
        <f ca="1">IFERROR(IF(0=LEN(ReferenceData!$I$88),"",ReferenceData!$I$88),"")</f>
        <v/>
      </c>
      <c r="O88" t="str">
        <f ca="1">IFERROR(IF(0=LEN(ReferenceData!$H$88),"",ReferenceData!$H$88),"")</f>
        <v/>
      </c>
      <c r="P88" t="str">
        <f ca="1">IFERROR(IF(0=LEN(ReferenceData!$G$88),"",ReferenceData!$G$88),"")</f>
        <v/>
      </c>
      <c r="Q88">
        <f ca="1">IFERROR(IF(0=LEN(ReferenceData!$F$88),"",ReferenceData!$F$88),"")</f>
        <v>17.25102055</v>
      </c>
    </row>
    <row r="89" spans="1:17" x14ac:dyDescent="0.25">
      <c r="A89" t="str">
        <f>IFERROR(IF(0=LEN(ReferenceData!$A$89),"",ReferenceData!$A$89),"")</f>
        <v xml:space="preserve">    Infosys Ltd</v>
      </c>
      <c r="B89" t="str">
        <f>IFERROR(IF(0=LEN(ReferenceData!$B$89),"",ReferenceData!$B$89),"")</f>
        <v>INFY US Equity</v>
      </c>
      <c r="C89" t="str">
        <f>IFERROR(IF(0=LEN(ReferenceData!$C$89),"",ReferenceData!$C$89),"")</f>
        <v>RX553</v>
      </c>
      <c r="D89" t="str">
        <f>IFERROR(IF(0=LEN(ReferenceData!$D$89),"",ReferenceData!$D$89),"")</f>
        <v>EPS_BEF_XO_3YR_GEO_GROWTH</v>
      </c>
      <c r="E89" t="str">
        <f>IFERROR(IF(0=LEN(ReferenceData!$E$89),"",ReferenceData!$E$89),"")</f>
        <v>Dynamic</v>
      </c>
      <c r="F89">
        <f ca="1">IFERROR(IF(0=LEN(ReferenceData!$Q$89),"",ReferenceData!$Q$89),"")</f>
        <v>32.447746279999997</v>
      </c>
      <c r="G89">
        <f ca="1">IFERROR(IF(0=LEN(ReferenceData!$P$89),"",ReferenceData!$P$89),"")</f>
        <v>16.333037489999999</v>
      </c>
      <c r="H89">
        <f ca="1">IFERROR(IF(0=LEN(ReferenceData!$O$89),"",ReferenceData!$O$89),"")</f>
        <v>13.640138309999999</v>
      </c>
      <c r="I89">
        <f ca="1">IFERROR(IF(0=LEN(ReferenceData!$N$89),"",ReferenceData!$N$89),"")</f>
        <v>11.641803019999999</v>
      </c>
      <c r="J89">
        <f ca="1">IFERROR(IF(0=LEN(ReferenceData!$M$89),"",ReferenceData!$M$89),"")</f>
        <v>14.783241930000001</v>
      </c>
      <c r="K89">
        <f ca="1">IFERROR(IF(0=LEN(ReferenceData!$L$89),"",ReferenceData!$L$89),"")</f>
        <v>15.911573000000001</v>
      </c>
      <c r="L89">
        <f ca="1">IFERROR(IF(0=LEN(ReferenceData!$K$89),"",ReferenceData!$K$89),"")</f>
        <v>14.02136642</v>
      </c>
      <c r="M89">
        <f ca="1">IFERROR(IF(0=LEN(ReferenceData!$J$89),"",ReferenceData!$J$89),"")</f>
        <v>12.71261337</v>
      </c>
      <c r="N89">
        <f ca="1">IFERROR(IF(0=LEN(ReferenceData!$I$89),"",ReferenceData!$I$89),"")</f>
        <v>10.46636906</v>
      </c>
      <c r="O89">
        <f ca="1">IFERROR(IF(0=LEN(ReferenceData!$H$89),"",ReferenceData!$H$89),"")</f>
        <v>9.6289171539999998</v>
      </c>
      <c r="P89">
        <f ca="1">IFERROR(IF(0=LEN(ReferenceData!$G$89),"",ReferenceData!$G$89),"")</f>
        <v>6.2938574090000001</v>
      </c>
      <c r="Q89">
        <f ca="1">IFERROR(IF(0=LEN(ReferenceData!$F$89),"",ReferenceData!$F$89),"")</f>
        <v>7.4649693700000004</v>
      </c>
    </row>
    <row r="90" spans="1:17" x14ac:dyDescent="0.25">
      <c r="A90" t="str">
        <f>IFERROR(IF(0=LEN(ReferenceData!$A$90),"",ReferenceData!$A$90),"")</f>
        <v xml:space="preserve">    International Business Machines Corp</v>
      </c>
      <c r="B90" t="str">
        <f>IFERROR(IF(0=LEN(ReferenceData!$B$90),"",ReferenceData!$B$90),"")</f>
        <v>IBM US Equity</v>
      </c>
      <c r="C90" t="str">
        <f>IFERROR(IF(0=LEN(ReferenceData!$C$90),"",ReferenceData!$C$90),"")</f>
        <v>RX553</v>
      </c>
      <c r="D90" t="str">
        <f>IFERROR(IF(0=LEN(ReferenceData!$D$90),"",ReferenceData!$D$90),"")</f>
        <v>EPS_BEF_XO_3YR_GEO_GROWTH</v>
      </c>
      <c r="E90" t="str">
        <f>IFERROR(IF(0=LEN(ReferenceData!$E$90),"",ReferenceData!$E$90),"")</f>
        <v>Dynamic</v>
      </c>
      <c r="F90">
        <f ca="1">IFERROR(IF(0=LEN(ReferenceData!$Q$90),"",ReferenceData!$Q$90),"")</f>
        <v>22.04001354</v>
      </c>
      <c r="G90">
        <f ca="1">IFERROR(IF(0=LEN(ReferenceData!$P$90),"",ReferenceData!$P$90),"")</f>
        <v>18.059733600000001</v>
      </c>
      <c r="H90">
        <f ca="1">IFERROR(IF(0=LEN(ReferenceData!$O$90),"",ReferenceData!$O$90),"")</f>
        <v>16.887430030000001</v>
      </c>
      <c r="I90">
        <f ca="1">IFERROR(IF(0=LEN(ReferenceData!$N$90),"",ReferenceData!$N$90),"")</f>
        <v>13.466988990000001</v>
      </c>
      <c r="J90">
        <f ca="1">IFERROR(IF(0=LEN(ReferenceData!$M$90),"",ReferenceData!$M$90),"")</f>
        <v>13.712307600000001</v>
      </c>
      <c r="K90">
        <f ca="1">IFERROR(IF(0=LEN(ReferenceData!$L$90),"",ReferenceData!$L$90),"")</f>
        <v>9.6705330079999996</v>
      </c>
      <c r="L90">
        <f ca="1">IFERROR(IF(0=LEN(ReferenceData!$K$90),"",ReferenceData!$K$90),"")</f>
        <v>5.7734638279999997</v>
      </c>
      <c r="M90">
        <f ca="1">IFERROR(IF(0=LEN(ReferenceData!$J$90),"",ReferenceData!$J$90),"")</f>
        <v>-2.8112665020000001</v>
      </c>
      <c r="N90">
        <f ca="1">IFERROR(IF(0=LEN(ReferenceData!$I$90),"",ReferenceData!$I$90),"")</f>
        <v>-6.9080768719999996</v>
      </c>
      <c r="O90">
        <f ca="1">IFERROR(IF(0=LEN(ReferenceData!$H$90),"",ReferenceData!$H$90),"")</f>
        <v>-26.720971689999999</v>
      </c>
      <c r="P90">
        <f ca="1">IFERROR(IF(0=LEN(ReferenceData!$G$90),"",ReferenceData!$G$90),"")</f>
        <v>-11.215790760000001</v>
      </c>
      <c r="Q90">
        <f ca="1">IFERROR(IF(0=LEN(ReferenceData!$F$90),"",ReferenceData!$F$90),"")</f>
        <v>-5.1062459179999999</v>
      </c>
    </row>
    <row r="91" spans="1:17" x14ac:dyDescent="0.25">
      <c r="A91" t="str">
        <f>IFERROR(IF(0=LEN(ReferenceData!$A$91),"",ReferenceData!$A$91),"")</f>
        <v xml:space="preserve">    Tata Consultancy Services Ltd</v>
      </c>
      <c r="B91" t="str">
        <f>IFERROR(IF(0=LEN(ReferenceData!$B$91),"",ReferenceData!$B$91),"")</f>
        <v>TCS IN Equity</v>
      </c>
      <c r="C91" t="str">
        <f>IFERROR(IF(0=LEN(ReferenceData!$C$91),"",ReferenceData!$C$91),"")</f>
        <v>RX553</v>
      </c>
      <c r="D91" t="str">
        <f>IFERROR(IF(0=LEN(ReferenceData!$D$91),"",ReferenceData!$D$91),"")</f>
        <v>EPS_BEF_XO_3YR_GEO_GROWTH</v>
      </c>
      <c r="E91" t="str">
        <f>IFERROR(IF(0=LEN(ReferenceData!$E$91),"",ReferenceData!$E$91),"")</f>
        <v>Dynamic</v>
      </c>
      <c r="F91">
        <f ca="1">IFERROR(IF(0=LEN(ReferenceData!$Q$91),"",ReferenceData!$Q$91),"")</f>
        <v>20.942626109999999</v>
      </c>
      <c r="G91">
        <f ca="1">IFERROR(IF(0=LEN(ReferenceData!$P$91),"",ReferenceData!$P$91),"")</f>
        <v>18.33954267</v>
      </c>
      <c r="H91">
        <f ca="1">IFERROR(IF(0=LEN(ReferenceData!$O$91),"",ReferenceData!$O$91),"")</f>
        <v>21.684378049999999</v>
      </c>
      <c r="I91">
        <f ca="1">IFERROR(IF(0=LEN(ReferenceData!$N$91),"",ReferenceData!$N$91),"")</f>
        <v>25.55203667</v>
      </c>
      <c r="J91">
        <f ca="1">IFERROR(IF(0=LEN(ReferenceData!$M$91),"",ReferenceData!$M$91),"")</f>
        <v>25.785724519999999</v>
      </c>
      <c r="K91">
        <f ca="1">IFERROR(IF(0=LEN(ReferenceData!$L$91),"",ReferenceData!$L$91),"")</f>
        <v>28.247853809999999</v>
      </c>
      <c r="L91">
        <f ca="1">IFERROR(IF(0=LEN(ReferenceData!$K$91),"",ReferenceData!$K$91),"")</f>
        <v>23.641722739999999</v>
      </c>
      <c r="M91">
        <f ca="1">IFERROR(IF(0=LEN(ReferenceData!$J$91),"",ReferenceData!$J$91),"")</f>
        <v>20.16258294</v>
      </c>
      <c r="N91">
        <f ca="1">IFERROR(IF(0=LEN(ReferenceData!$I$91),"",ReferenceData!$I$91),"")</f>
        <v>10.98037523</v>
      </c>
      <c r="O91">
        <f ca="1">IFERROR(IF(0=LEN(ReferenceData!$H$91),"",ReferenceData!$H$91),"")</f>
        <v>10.185718380000001</v>
      </c>
      <c r="P91">
        <f ca="1">IFERROR(IF(0=LEN(ReferenceData!$G$91),"",ReferenceData!$G$91),"")</f>
        <v>10.48116124</v>
      </c>
      <c r="Q91">
        <f ca="1">IFERROR(IF(0=LEN(ReferenceData!$F$91),"",ReferenceData!$F$91),"")</f>
        <v>8.9179597140000002</v>
      </c>
    </row>
    <row r="92" spans="1:17" x14ac:dyDescent="0.25">
      <c r="A92" t="str">
        <f>IFERROR(IF(0=LEN(ReferenceData!$A$92),"",ReferenceData!$A$92),"")</f>
        <v xml:space="preserve">    Tech Mahindra Ltd</v>
      </c>
      <c r="B92" t="str">
        <f>IFERROR(IF(0=LEN(ReferenceData!$B$92),"",ReferenceData!$B$92),"")</f>
        <v>TECHM IN Equity</v>
      </c>
      <c r="C92" t="str">
        <f>IFERROR(IF(0=LEN(ReferenceData!$C$92),"",ReferenceData!$C$92),"")</f>
        <v>RX553</v>
      </c>
      <c r="D92" t="str">
        <f>IFERROR(IF(0=LEN(ReferenceData!$D$92),"",ReferenceData!$D$92),"")</f>
        <v>EPS_BEF_XO_3YR_GEO_GROWTH</v>
      </c>
      <c r="E92" t="str">
        <f>IFERROR(IF(0=LEN(ReferenceData!$E$92),"",ReferenceData!$E$92),"")</f>
        <v>Dynamic</v>
      </c>
      <c r="F92">
        <f ca="1">IFERROR(IF(0=LEN(ReferenceData!$Q$92),"",ReferenceData!$Q$92),"")</f>
        <v>54.465076029999999</v>
      </c>
      <c r="G92">
        <f ca="1">IFERROR(IF(0=LEN(ReferenceData!$P$92),"",ReferenceData!$P$92),"")</f>
        <v>75.822730370000002</v>
      </c>
      <c r="H92">
        <f ca="1">IFERROR(IF(0=LEN(ReferenceData!$O$92),"",ReferenceData!$O$92),"")</f>
        <v>23.794106630000002</v>
      </c>
      <c r="I92">
        <f ca="1">IFERROR(IF(0=LEN(ReferenceData!$N$92),"",ReferenceData!$N$92),"")</f>
        <v>1.1223128570000001</v>
      </c>
      <c r="J92">
        <f ca="1">IFERROR(IF(0=LEN(ReferenceData!$M$92),"",ReferenceData!$M$92),"")</f>
        <v>20.659851150000001</v>
      </c>
      <c r="K92">
        <f ca="1">IFERROR(IF(0=LEN(ReferenceData!$L$92),"",ReferenceData!$L$92),"")</f>
        <v>36.157847400000001</v>
      </c>
      <c r="L92">
        <f ca="1">IFERROR(IF(0=LEN(ReferenceData!$K$92),"",ReferenceData!$K$92),"")</f>
        <v>8.3928095789999997</v>
      </c>
      <c r="M92">
        <f ca="1">IFERROR(IF(0=LEN(ReferenceData!$J$92),"",ReferenceData!$J$92),"")</f>
        <v>11.030684190000001</v>
      </c>
      <c r="N92">
        <f ca="1">IFERROR(IF(0=LEN(ReferenceData!$I$92),"",ReferenceData!$I$92),"")</f>
        <v>-0.43438577699999997</v>
      </c>
      <c r="O92">
        <f ca="1">IFERROR(IF(0=LEN(ReferenceData!$H$92),"",ReferenceData!$H$92),"")</f>
        <v>16.142175770000001</v>
      </c>
      <c r="P92">
        <f ca="1">IFERROR(IF(0=LEN(ReferenceData!$G$92),"",ReferenceData!$G$92),"")</f>
        <v>11.989168510000001</v>
      </c>
      <c r="Q92">
        <f ca="1">IFERROR(IF(0=LEN(ReferenceData!$F$92),"",ReferenceData!$F$92),"")</f>
        <v>12.909309329999999</v>
      </c>
    </row>
    <row r="93" spans="1:17" x14ac:dyDescent="0.25">
      <c r="A93" t="str">
        <f>IFERROR(IF(0=LEN(ReferenceData!$A$93),"",ReferenceData!$A$93),"")</f>
        <v xml:space="preserve">    Wipro Ltd</v>
      </c>
      <c r="B93" t="str">
        <f>IFERROR(IF(0=LEN(ReferenceData!$B$93),"",ReferenceData!$B$93),"")</f>
        <v>WIT US Equity</v>
      </c>
      <c r="C93" t="str">
        <f>IFERROR(IF(0=LEN(ReferenceData!$C$93),"",ReferenceData!$C$93),"")</f>
        <v>RX553</v>
      </c>
      <c r="D93" t="str">
        <f>IFERROR(IF(0=LEN(ReferenceData!$D$93),"",ReferenceData!$D$93),"")</f>
        <v>EPS_BEF_XO_3YR_GEO_GROWTH</v>
      </c>
      <c r="E93" t="str">
        <f>IFERROR(IF(0=LEN(ReferenceData!$E$93),"",ReferenceData!$E$93),"")</f>
        <v>Dynamic</v>
      </c>
      <c r="F93">
        <f ca="1">IFERROR(IF(0=LEN(ReferenceData!$Q$93),"",ReferenceData!$Q$93),"")</f>
        <v>22.18146617</v>
      </c>
      <c r="G93">
        <f ca="1">IFERROR(IF(0=LEN(ReferenceData!$P$93),"",ReferenceData!$P$93),"")</f>
        <v>15.5145596</v>
      </c>
      <c r="H93">
        <f ca="1">IFERROR(IF(0=LEN(ReferenceData!$O$93),"",ReferenceData!$O$93),"")</f>
        <v>17.00522406</v>
      </c>
      <c r="I93">
        <f ca="1">IFERROR(IF(0=LEN(ReferenceData!$N$93),"",ReferenceData!$N$93),"")</f>
        <v>12.264234869999999</v>
      </c>
      <c r="J93">
        <f ca="1">IFERROR(IF(0=LEN(ReferenceData!$M$93),"",ReferenceData!$M$93),"")</f>
        <v>9.4587948869999998</v>
      </c>
      <c r="K93">
        <f ca="1">IFERROR(IF(0=LEN(ReferenceData!$L$93),"",ReferenceData!$L$93),"")</f>
        <v>13.468065660000001</v>
      </c>
      <c r="L93">
        <f ca="1">IFERROR(IF(0=LEN(ReferenceData!$K$93),"",ReferenceData!$K$93),"")</f>
        <v>15.698826629999999</v>
      </c>
      <c r="M93">
        <f ca="1">IFERROR(IF(0=LEN(ReferenceData!$J$93),"",ReferenceData!$J$93),"")</f>
        <v>13.1853573</v>
      </c>
      <c r="N93">
        <f ca="1">IFERROR(IF(0=LEN(ReferenceData!$I$93),"",ReferenceData!$I$93),"")</f>
        <v>3.2516443330000002</v>
      </c>
      <c r="O93">
        <f ca="1">IFERROR(IF(0=LEN(ReferenceData!$H$93),"",ReferenceData!$H$93),"")</f>
        <v>-1.468260903</v>
      </c>
      <c r="P93">
        <f ca="1">IFERROR(IF(0=LEN(ReferenceData!$G$93),"",ReferenceData!$G$93),"")</f>
        <v>3.3032901909999999</v>
      </c>
      <c r="Q93">
        <f ca="1">IFERROR(IF(0=LEN(ReferenceData!$F$93),"",ReferenceData!$F$93),"")</f>
        <v>8.3371986469999992</v>
      </c>
    </row>
    <row r="94" spans="1:17" x14ac:dyDescent="0.25">
      <c r="A94" t="str">
        <f>IFERROR(IF(0=LEN(ReferenceData!$A$94),"",ReferenceData!$A$94),"")</f>
        <v>Profitability Components (%):</v>
      </c>
      <c r="B94" t="str">
        <f>IFERROR(IF(0=LEN(ReferenceData!$B$94),"",ReferenceData!$B$94),"")</f>
        <v/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Heading</v>
      </c>
      <c r="F94" t="str">
        <f>IFERROR(IF(0=LEN(ReferenceData!$Q$94),"",ReferenceData!$Q$94),"")</f>
        <v/>
      </c>
      <c r="G94" t="str">
        <f>IFERROR(IF(0=LEN(ReferenceData!$P$94),"",ReferenceData!$P$94),"")</f>
        <v/>
      </c>
      <c r="H94" t="str">
        <f>IFERROR(IF(0=LEN(ReferenceData!$O$94),"",ReferenceData!$O$94),"")</f>
        <v/>
      </c>
      <c r="I94" t="str">
        <f>IFERROR(IF(0=LEN(ReferenceData!$N$94),"",ReferenceData!$N$94),"")</f>
        <v/>
      </c>
      <c r="J94" t="str">
        <f>IFERROR(IF(0=LEN(ReferenceData!$M$94),"",ReferenceData!$M$94),"")</f>
        <v/>
      </c>
      <c r="K94" t="str">
        <f>IFERROR(IF(0=LEN(ReferenceData!$L$94),"",ReferenceData!$L$94),"")</f>
        <v/>
      </c>
      <c r="L94" t="str">
        <f>IFERROR(IF(0=LEN(ReferenceData!$K$94),"",ReferenceData!$K$94),"")</f>
        <v/>
      </c>
      <c r="M94" t="str">
        <f>IFERROR(IF(0=LEN(ReferenceData!$J$94),"",ReferenceData!$J$94),"")</f>
        <v/>
      </c>
      <c r="N94" t="str">
        <f>IFERROR(IF(0=LEN(ReferenceData!$I$94),"",ReferenceData!$I$94),"")</f>
        <v/>
      </c>
      <c r="O94" t="str">
        <f>IFERROR(IF(0=LEN(ReferenceData!$H$94),"",ReferenceData!$H$94),"")</f>
        <v/>
      </c>
      <c r="P94" t="str">
        <f>IFERROR(IF(0=LEN(ReferenceData!$G$94),"",ReferenceData!$G$94),"")</f>
        <v/>
      </c>
      <c r="Q94" t="str">
        <f>IFERROR(IF(0=LEN(ReferenceData!$F$94),"",ReferenceData!$F$94),"")</f>
        <v/>
      </c>
    </row>
    <row r="95" spans="1:17" x14ac:dyDescent="0.25">
      <c r="A95" t="str">
        <f>IFERROR(IF(0=LEN(ReferenceData!$A$95),"",ReferenceData!$A$95),"")</f>
        <v>Gross Margin</v>
      </c>
      <c r="B95" t="str">
        <f>IFERROR(IF(0=LEN(ReferenceData!$B$95),"",ReferenceData!$B$95),"")</f>
        <v>BRITBPOV Index</v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Average</v>
      </c>
      <c r="F95">
        <f ca="1">IFERROR(IF(0=LEN(ReferenceData!$Q$95),"",ReferenceData!$Q$95),"")</f>
        <v>34.966045215000001</v>
      </c>
      <c r="G95">
        <f ca="1">IFERROR(IF(0=LEN(ReferenceData!$P$95),"",ReferenceData!$P$95),"")</f>
        <v>35.158759947999997</v>
      </c>
      <c r="H95">
        <f ca="1">IFERROR(IF(0=LEN(ReferenceData!$O$95),"",ReferenceData!$O$95),"")</f>
        <v>35.284276332000005</v>
      </c>
      <c r="I95">
        <f ca="1">IFERROR(IF(0=LEN(ReferenceData!$N$95),"",ReferenceData!$N$95),"")</f>
        <v>33.700265584</v>
      </c>
      <c r="J95">
        <f ca="1">IFERROR(IF(0=LEN(ReferenceData!$M$95),"",ReferenceData!$M$95),"")</f>
        <v>33.620739675999999</v>
      </c>
      <c r="K95">
        <f ca="1">IFERROR(IF(0=LEN(ReferenceData!$L$95),"",ReferenceData!$L$95),"")</f>
        <v>33.716280089999998</v>
      </c>
      <c r="L95">
        <f ca="1">IFERROR(IF(0=LEN(ReferenceData!$K$95),"",ReferenceData!$K$95),"")</f>
        <v>33.276126554166666</v>
      </c>
      <c r="M95">
        <f ca="1">IFERROR(IF(0=LEN(ReferenceData!$J$95),"",ReferenceData!$J$95),"")</f>
        <v>32.615461653333341</v>
      </c>
      <c r="N95">
        <f ca="1">IFERROR(IF(0=LEN(ReferenceData!$I$95),"",ReferenceData!$I$95),"")</f>
        <v>31.92296132615385</v>
      </c>
      <c r="O95">
        <f ca="1">IFERROR(IF(0=LEN(ReferenceData!$H$95),"",ReferenceData!$H$95),"")</f>
        <v>32.342173974615385</v>
      </c>
      <c r="P95">
        <f ca="1">IFERROR(IF(0=LEN(ReferenceData!$G$95),"",ReferenceData!$G$95),"")</f>
        <v>32.543260568571426</v>
      </c>
      <c r="Q95">
        <f ca="1">IFERROR(IF(0=LEN(ReferenceData!$F$95),"",ReferenceData!$F$95),"")</f>
        <v>32.023191274999995</v>
      </c>
    </row>
    <row r="96" spans="1:17" x14ac:dyDescent="0.25">
      <c r="A96" t="str">
        <f>IFERROR(IF(0=LEN(ReferenceData!$A$96),"",ReferenceData!$A$96),"")</f>
        <v xml:space="preserve">    Accenture PLC</v>
      </c>
      <c r="B96" t="str">
        <f>IFERROR(IF(0=LEN(ReferenceData!$B$96),"",ReferenceData!$B$96),"")</f>
        <v>ACN US Equity</v>
      </c>
      <c r="C96" t="str">
        <f>IFERROR(IF(0=LEN(ReferenceData!$C$96),"",ReferenceData!$C$96),"")</f>
        <v>RR057</v>
      </c>
      <c r="D96" t="str">
        <f>IFERROR(IF(0=LEN(ReferenceData!$D$96),"",ReferenceData!$D$96),"")</f>
        <v>GROSS_MARGIN</v>
      </c>
      <c r="E96" t="str">
        <f>IFERROR(IF(0=LEN(ReferenceData!$E$96),"",ReferenceData!$E$96),"")</f>
        <v>Dynamic</v>
      </c>
      <c r="F96">
        <f ca="1">IFERROR(IF(0=LEN(ReferenceData!$Q$96),"",ReferenceData!$Q$96),"")</f>
        <v>28.386009290000001</v>
      </c>
      <c r="G96">
        <f ca="1">IFERROR(IF(0=LEN(ReferenceData!$P$96),"",ReferenceData!$P$96),"")</f>
        <v>29.5245067</v>
      </c>
      <c r="H96">
        <f ca="1">IFERROR(IF(0=LEN(ReferenceData!$O$96),"",ReferenceData!$O$96),"")</f>
        <v>31.396564089999998</v>
      </c>
      <c r="I96">
        <f ca="1">IFERROR(IF(0=LEN(ReferenceData!$N$96),"",ReferenceData!$N$96),"")</f>
        <v>30.661153689999999</v>
      </c>
      <c r="J96">
        <f ca="1">IFERROR(IF(0=LEN(ReferenceData!$M$96),"",ReferenceData!$M$96),"")</f>
        <v>30.18236795</v>
      </c>
      <c r="K96">
        <f ca="1">IFERROR(IF(0=LEN(ReferenceData!$L$96),"",ReferenceData!$L$96),"")</f>
        <v>30.874800969999999</v>
      </c>
      <c r="L96">
        <f ca="1">IFERROR(IF(0=LEN(ReferenceData!$K$96),"",ReferenceData!$K$96),"")</f>
        <v>30.382945360000001</v>
      </c>
      <c r="M96">
        <f ca="1">IFERROR(IF(0=LEN(ReferenceData!$J$96),"",ReferenceData!$J$96),"")</f>
        <v>29.802250220000001</v>
      </c>
      <c r="N96">
        <f ca="1">IFERROR(IF(0=LEN(ReferenceData!$I$96),"",ReferenceData!$I$96),"")</f>
        <v>29.534821319999999</v>
      </c>
      <c r="O96">
        <f ca="1">IFERROR(IF(0=LEN(ReferenceData!$H$96),"",ReferenceData!$H$96),"")</f>
        <v>30.00230814</v>
      </c>
      <c r="P96">
        <f ca="1">IFERROR(IF(0=LEN(ReferenceData!$G$96),"",ReferenceData!$G$96),"")</f>
        <v>30.477169329999999</v>
      </c>
      <c r="Q96">
        <f ca="1">IFERROR(IF(0=LEN(ReferenceData!$F$96),"",ReferenceData!$F$96),"")</f>
        <v>30.810329729999999</v>
      </c>
    </row>
    <row r="97" spans="1:17" x14ac:dyDescent="0.25">
      <c r="A97" t="str">
        <f>IFERROR(IF(0=LEN(ReferenceData!$A$97),"",ReferenceData!$A$97),"")</f>
        <v xml:space="preserve">    Amdocs Ltd</v>
      </c>
      <c r="B97" t="str">
        <f>IFERROR(IF(0=LEN(ReferenceData!$B$97),"",ReferenceData!$B$97),"")</f>
        <v>DOX US Equity</v>
      </c>
      <c r="C97" t="str">
        <f>IFERROR(IF(0=LEN(ReferenceData!$C$97),"",ReferenceData!$C$97),"")</f>
        <v>RR057</v>
      </c>
      <c r="D97" t="str">
        <f>IFERROR(IF(0=LEN(ReferenceData!$D$97),"",ReferenceData!$D$97),"")</f>
        <v>GROSS_MARGIN</v>
      </c>
      <c r="E97" t="str">
        <f>IFERROR(IF(0=LEN(ReferenceData!$E$97),"",ReferenceData!$E$97),"")</f>
        <v>Dynamic</v>
      </c>
      <c r="F97">
        <f ca="1">IFERROR(IF(0=LEN(ReferenceData!$Q$97),"",ReferenceData!$Q$97),"")</f>
        <v>35.9193712</v>
      </c>
      <c r="G97">
        <f ca="1">IFERROR(IF(0=LEN(ReferenceData!$P$97),"",ReferenceData!$P$97),"")</f>
        <v>35.910413130000002</v>
      </c>
      <c r="H97">
        <f ca="1">IFERROR(IF(0=LEN(ReferenceData!$O$97),"",ReferenceData!$O$97),"")</f>
        <v>36.141970620000002</v>
      </c>
      <c r="I97">
        <f ca="1">IFERROR(IF(0=LEN(ReferenceData!$N$97),"",ReferenceData!$N$97),"")</f>
        <v>34.87903936</v>
      </c>
      <c r="J97">
        <f ca="1">IFERROR(IF(0=LEN(ReferenceData!$M$97),"",ReferenceData!$M$97),"")</f>
        <v>35.770548120000001</v>
      </c>
      <c r="K97">
        <f ca="1">IFERROR(IF(0=LEN(ReferenceData!$L$97),"",ReferenceData!$L$97),"")</f>
        <v>35.231722599999998</v>
      </c>
      <c r="L97">
        <f ca="1">IFERROR(IF(0=LEN(ReferenceData!$K$97),"",ReferenceData!$K$97),"")</f>
        <v>35.26579727</v>
      </c>
      <c r="M97">
        <f ca="1">IFERROR(IF(0=LEN(ReferenceData!$J$97),"",ReferenceData!$J$97),"")</f>
        <v>35.516303110000003</v>
      </c>
      <c r="N97">
        <f ca="1">IFERROR(IF(0=LEN(ReferenceData!$I$97),"",ReferenceData!$I$97),"")</f>
        <v>35.236909830000002</v>
      </c>
      <c r="O97">
        <f ca="1">IFERROR(IF(0=LEN(ReferenceData!$H$97),"",ReferenceData!$H$97),"")</f>
        <v>35.155017059999999</v>
      </c>
      <c r="P97">
        <f ca="1">IFERROR(IF(0=LEN(ReferenceData!$G$97),"",ReferenceData!$G$97),"")</f>
        <v>34.70736033</v>
      </c>
      <c r="Q97">
        <f ca="1">IFERROR(IF(0=LEN(ReferenceData!$F$97),"",ReferenceData!$F$97),"")</f>
        <v>35.077394329999997</v>
      </c>
    </row>
    <row r="98" spans="1:17" x14ac:dyDescent="0.25">
      <c r="A98" t="str">
        <f>IFERROR(IF(0=LEN(ReferenceData!$A$98),"",ReferenceData!$A$98),"")</f>
        <v xml:space="preserve">    Atos SE</v>
      </c>
      <c r="B98" t="str">
        <f>IFERROR(IF(0=LEN(ReferenceData!$B$98),"",ReferenceData!$B$98),"")</f>
        <v>ATO FP Equity</v>
      </c>
      <c r="C98" t="str">
        <f>IFERROR(IF(0=LEN(ReferenceData!$C$98),"",ReferenceData!$C$98),"")</f>
        <v>RR057</v>
      </c>
      <c r="D98" t="str">
        <f>IFERROR(IF(0=LEN(ReferenceData!$D$98),"",ReferenceData!$D$98),"")</f>
        <v>GROSS_MARGIN</v>
      </c>
      <c r="E98" t="str">
        <f>IFERROR(IF(0=LEN(ReferenceData!$E$98),"",ReferenceData!$E$98),"")</f>
        <v>Dynamic</v>
      </c>
      <c r="F98" t="str">
        <f ca="1">IFERROR(IF(0=LEN(ReferenceData!$Q$98),"",ReferenceData!$Q$98),"")</f>
        <v/>
      </c>
      <c r="G98" t="str">
        <f ca="1">IFERROR(IF(0=LEN(ReferenceData!$P$98),"",ReferenceData!$P$98),"")</f>
        <v/>
      </c>
      <c r="H98" t="str">
        <f ca="1">IFERROR(IF(0=LEN(ReferenceData!$O$98),"",ReferenceData!$O$98),"")</f>
        <v/>
      </c>
      <c r="I98" t="str">
        <f ca="1">IFERROR(IF(0=LEN(ReferenceData!$N$98),"",ReferenceData!$N$98),"")</f>
        <v/>
      </c>
      <c r="J98" t="str">
        <f ca="1">IFERROR(IF(0=LEN(ReferenceData!$M$98),"",ReferenceData!$M$98),"")</f>
        <v/>
      </c>
      <c r="K98" t="str">
        <f ca="1">IFERROR(IF(0=LEN(ReferenceData!$L$98),"",ReferenceData!$L$98),"")</f>
        <v/>
      </c>
      <c r="L98" t="str">
        <f ca="1">IFERROR(IF(0=LEN(ReferenceData!$K$98),"",ReferenceData!$K$98),"")</f>
        <v/>
      </c>
      <c r="M98" t="str">
        <f ca="1">IFERROR(IF(0=LEN(ReferenceData!$J$98),"",ReferenceData!$J$98),"")</f>
        <v/>
      </c>
      <c r="N98" t="str">
        <f ca="1">IFERROR(IF(0=LEN(ReferenceData!$I$98),"",ReferenceData!$I$98),"")</f>
        <v/>
      </c>
      <c r="O98" t="str">
        <f ca="1">IFERROR(IF(0=LEN(ReferenceData!$H$98),"",ReferenceData!$H$98),"")</f>
        <v/>
      </c>
      <c r="P98" t="str">
        <f ca="1">IFERROR(IF(0=LEN(ReferenceData!$G$98),"",ReferenceData!$G$98),"")</f>
        <v/>
      </c>
      <c r="Q98" t="str">
        <f ca="1">IFERROR(IF(0=LEN(ReferenceData!$F$98),"",ReferenceData!$F$98),"")</f>
        <v/>
      </c>
    </row>
    <row r="99" spans="1:17" x14ac:dyDescent="0.25">
      <c r="A99" t="str">
        <f>IFERROR(IF(0=LEN(ReferenceData!$A$99),"",ReferenceData!$A$99),"")</f>
        <v xml:space="preserve">    Capgemini SE</v>
      </c>
      <c r="B99" t="str">
        <f>IFERROR(IF(0=LEN(ReferenceData!$B$99),"",ReferenceData!$B$99),"")</f>
        <v>CAP FP Equity</v>
      </c>
      <c r="C99" t="str">
        <f>IFERROR(IF(0=LEN(ReferenceData!$C$99),"",ReferenceData!$C$99),"")</f>
        <v>RR057</v>
      </c>
      <c r="D99" t="str">
        <f>IFERROR(IF(0=LEN(ReferenceData!$D$99),"",ReferenceData!$D$99),"")</f>
        <v>GROSS_MARGIN</v>
      </c>
      <c r="E99" t="str">
        <f>IFERROR(IF(0=LEN(ReferenceData!$E$99),"",ReferenceData!$E$99),"")</f>
        <v>Dynamic</v>
      </c>
      <c r="F99">
        <f ca="1">IFERROR(IF(0=LEN(ReferenceData!$Q$99),"",ReferenceData!$Q$99),"")</f>
        <v>25.625717569999999</v>
      </c>
      <c r="G99">
        <f ca="1">IFERROR(IF(0=LEN(ReferenceData!$P$99),"",ReferenceData!$P$99),"")</f>
        <v>23.95173814</v>
      </c>
      <c r="H99">
        <f ca="1">IFERROR(IF(0=LEN(ReferenceData!$O$99),"",ReferenceData!$O$99),"")</f>
        <v>23.75531793</v>
      </c>
      <c r="I99">
        <f ca="1">IFERROR(IF(0=LEN(ReferenceData!$N$99),"",ReferenceData!$N$99),"")</f>
        <v>23.39832869</v>
      </c>
      <c r="J99">
        <f ca="1">IFERROR(IF(0=LEN(ReferenceData!$M$99),"",ReferenceData!$M$99),"")</f>
        <v>23.597038189999999</v>
      </c>
      <c r="K99">
        <f ca="1">IFERROR(IF(0=LEN(ReferenceData!$L$99),"",ReferenceData!$L$99),"")</f>
        <v>24.336107810000001</v>
      </c>
      <c r="L99">
        <f ca="1">IFERROR(IF(0=LEN(ReferenceData!$K$99),"",ReferenceData!$K$99),"")</f>
        <v>24.713893880000001</v>
      </c>
      <c r="M99">
        <f ca="1">IFERROR(IF(0=LEN(ReferenceData!$J$99),"",ReferenceData!$J$99),"")</f>
        <v>25.82459085</v>
      </c>
      <c r="N99">
        <f ca="1">IFERROR(IF(0=LEN(ReferenceData!$I$99),"",ReferenceData!$I$99),"")</f>
        <v>26.76449478</v>
      </c>
      <c r="O99">
        <f ca="1">IFERROR(IF(0=LEN(ReferenceData!$H$99),"",ReferenceData!$H$99),"")</f>
        <v>27.017964070000001</v>
      </c>
      <c r="P99">
        <f ca="1">IFERROR(IF(0=LEN(ReferenceData!$G$99),"",ReferenceData!$G$99),"")</f>
        <v>27.051602639999999</v>
      </c>
      <c r="Q99">
        <f ca="1">IFERROR(IF(0=LEN(ReferenceData!$F$99),"",ReferenceData!$F$99),"")</f>
        <v>27.263716809999998</v>
      </c>
    </row>
    <row r="100" spans="1:17" x14ac:dyDescent="0.25">
      <c r="A100" t="str">
        <f>IFERROR(IF(0=LEN(ReferenceData!$A$100),"",ReferenceData!$A$100),"")</f>
        <v xml:space="preserve">    CGI Inc</v>
      </c>
      <c r="B100" t="str">
        <f>IFERROR(IF(0=LEN(ReferenceData!$B$100),"",ReferenceData!$B$100),"")</f>
        <v>GIB US Equity</v>
      </c>
      <c r="C100" t="str">
        <f>IFERROR(IF(0=LEN(ReferenceData!$C$100),"",ReferenceData!$C$100),"")</f>
        <v>RR057</v>
      </c>
      <c r="D100" t="str">
        <f>IFERROR(IF(0=LEN(ReferenceData!$D$100),"",ReferenceData!$D$100),"")</f>
        <v>GROSS_MARGIN</v>
      </c>
      <c r="E100" t="str">
        <f>IFERROR(IF(0=LEN(ReferenceData!$E$100),"",ReferenceData!$E$100),"")</f>
        <v>Dynamic</v>
      </c>
      <c r="F100">
        <f ca="1">IFERROR(IF(0=LEN(ReferenceData!$Q$100),"",ReferenceData!$Q$100),"")</f>
        <v>11.65534182</v>
      </c>
      <c r="G100">
        <f ca="1">IFERROR(IF(0=LEN(ReferenceData!$P$100),"",ReferenceData!$P$100),"")</f>
        <v>17.117057299999999</v>
      </c>
      <c r="H100">
        <f ca="1">IFERROR(IF(0=LEN(ReferenceData!$O$100),"",ReferenceData!$O$100),"")</f>
        <v>18.924755040000001</v>
      </c>
      <c r="I100">
        <f ca="1">IFERROR(IF(0=LEN(ReferenceData!$N$100),"",ReferenceData!$N$100),"")</f>
        <v>12.618118340000001</v>
      </c>
      <c r="J100">
        <f ca="1">IFERROR(IF(0=LEN(ReferenceData!$M$100),"",ReferenceData!$M$100),"")</f>
        <v>11.432168860000001</v>
      </c>
      <c r="K100">
        <f ca="1">IFERROR(IF(0=LEN(ReferenceData!$L$100),"",ReferenceData!$L$100),"")</f>
        <v>10.63315796</v>
      </c>
      <c r="L100">
        <f ca="1">IFERROR(IF(0=LEN(ReferenceData!$K$100),"",ReferenceData!$K$100),"")</f>
        <v>13.0470589</v>
      </c>
      <c r="M100">
        <f ca="1">IFERROR(IF(0=LEN(ReferenceData!$J$100),"",ReferenceData!$J$100),"")</f>
        <v>14.2707038</v>
      </c>
      <c r="N100">
        <f ca="1">IFERROR(IF(0=LEN(ReferenceData!$I$100),"",ReferenceData!$I$100),"")</f>
        <v>14.624135470000001</v>
      </c>
      <c r="O100">
        <f ca="1">IFERROR(IF(0=LEN(ReferenceData!$H$100),"",ReferenceData!$H$100),"")</f>
        <v>14.637135450000001</v>
      </c>
      <c r="P100">
        <f ca="1">IFERROR(IF(0=LEN(ReferenceData!$G$100),"",ReferenceData!$G$100),"")</f>
        <v>14.817588689999999</v>
      </c>
      <c r="Q100">
        <f ca="1">IFERROR(IF(0=LEN(ReferenceData!$F$100),"",ReferenceData!$F$100),"")</f>
        <v>15.087056349999999</v>
      </c>
    </row>
    <row r="101" spans="1:17" x14ac:dyDescent="0.25">
      <c r="A101" t="str">
        <f>IFERROR(IF(0=LEN(ReferenceData!$A$101),"",ReferenceData!$A$101),"")</f>
        <v xml:space="preserve">    Cognizant Technology Solutions Corp</v>
      </c>
      <c r="B101" t="str">
        <f>IFERROR(IF(0=LEN(ReferenceData!$B$101),"",ReferenceData!$B$101),"")</f>
        <v>CTSH US Equity</v>
      </c>
      <c r="C101" t="str">
        <f>IFERROR(IF(0=LEN(ReferenceData!$C$101),"",ReferenceData!$C$101),"")</f>
        <v>RR057</v>
      </c>
      <c r="D101" t="str">
        <f>IFERROR(IF(0=LEN(ReferenceData!$D$101),"",ReferenceData!$D$101),"")</f>
        <v>GROSS_MARGIN</v>
      </c>
      <c r="E101" t="str">
        <f>IFERROR(IF(0=LEN(ReferenceData!$E$101),"",ReferenceData!$E$101),"")</f>
        <v>Dynamic</v>
      </c>
      <c r="F101">
        <f ca="1">IFERROR(IF(0=LEN(ReferenceData!$Q$101),"",ReferenceData!$Q$101),"")</f>
        <v>44.153188010000001</v>
      </c>
      <c r="G101">
        <f ca="1">IFERROR(IF(0=LEN(ReferenceData!$P$101),"",ReferenceData!$P$101),"")</f>
        <v>43.591549360000002</v>
      </c>
      <c r="H101">
        <f ca="1">IFERROR(IF(0=LEN(ReferenceData!$O$101),"",ReferenceData!$O$101),"")</f>
        <v>42.196338330000003</v>
      </c>
      <c r="I101">
        <f ca="1">IFERROR(IF(0=LEN(ReferenceData!$N$101),"",ReferenceData!$N$101),"")</f>
        <v>42.1902987</v>
      </c>
      <c r="J101">
        <f ca="1">IFERROR(IF(0=LEN(ReferenceData!$M$101),"",ReferenceData!$M$101),"")</f>
        <v>41.764686509999997</v>
      </c>
      <c r="K101">
        <f ca="1">IFERROR(IF(0=LEN(ReferenceData!$L$101),"",ReferenceData!$L$101),"")</f>
        <v>40.457350849999997</v>
      </c>
      <c r="L101">
        <f ca="1">IFERROR(IF(0=LEN(ReferenceData!$K$101),"",ReferenceData!$K$101),"")</f>
        <v>40.160971279999998</v>
      </c>
      <c r="M101">
        <f ca="1">IFERROR(IF(0=LEN(ReferenceData!$J$101),"",ReferenceData!$J$101),"")</f>
        <v>40.077319590000002</v>
      </c>
      <c r="N101">
        <f ca="1">IFERROR(IF(0=LEN(ReferenceData!$I$101),"",ReferenceData!$I$101),"")</f>
        <v>39.882850150000003</v>
      </c>
      <c r="O101">
        <f ca="1">IFERROR(IF(0=LEN(ReferenceData!$H$101),"",ReferenceData!$H$101),"")</f>
        <v>38.203916270000001</v>
      </c>
      <c r="P101">
        <f ca="1">IFERROR(IF(0=LEN(ReferenceData!$G$101),"",ReferenceData!$G$101),"")</f>
        <v>38.989147289999998</v>
      </c>
      <c r="Q101">
        <f ca="1">IFERROR(IF(0=LEN(ReferenceData!$F$101),"",ReferenceData!$F$101),"")</f>
        <v>36.638264909999997</v>
      </c>
    </row>
    <row r="102" spans="1:17" x14ac:dyDescent="0.25">
      <c r="A102" t="str">
        <f>IFERROR(IF(0=LEN(ReferenceData!$A$102),"",ReferenceData!$A$102),"")</f>
        <v xml:space="preserve">    Conduent Inc</v>
      </c>
      <c r="B102" t="str">
        <f>IFERROR(IF(0=LEN(ReferenceData!$B$102),"",ReferenceData!$B$102),"")</f>
        <v>CNDT US Equity</v>
      </c>
      <c r="C102" t="str">
        <f>IFERROR(IF(0=LEN(ReferenceData!$C$102),"",ReferenceData!$C$102),"")</f>
        <v>RR057</v>
      </c>
      <c r="D102" t="str">
        <f>IFERROR(IF(0=LEN(ReferenceData!$D$102),"",ReferenceData!$D$102),"")</f>
        <v>GROSS_MARGIN</v>
      </c>
      <c r="E102" t="str">
        <f>IFERROR(IF(0=LEN(ReferenceData!$E$102),"",ReferenceData!$E$102),"")</f>
        <v>Dynamic</v>
      </c>
      <c r="F102" t="str">
        <f ca="1">IFERROR(IF(0=LEN(ReferenceData!$Q$102),"",ReferenceData!$Q$102),"")</f>
        <v/>
      </c>
      <c r="G102" t="str">
        <f ca="1">IFERROR(IF(0=LEN(ReferenceData!$P$102),"",ReferenceData!$P$102),"")</f>
        <v/>
      </c>
      <c r="H102" t="str">
        <f ca="1">IFERROR(IF(0=LEN(ReferenceData!$O$102),"",ReferenceData!$O$102),"")</f>
        <v/>
      </c>
      <c r="I102" t="str">
        <f ca="1">IFERROR(IF(0=LEN(ReferenceData!$N$102),"",ReferenceData!$N$102),"")</f>
        <v/>
      </c>
      <c r="J102" t="str">
        <f ca="1">IFERROR(IF(0=LEN(ReferenceData!$M$102),"",ReferenceData!$M$102),"")</f>
        <v/>
      </c>
      <c r="K102">
        <f ca="1">IFERROR(IF(0=LEN(ReferenceData!$L$102),"",ReferenceData!$L$102),"")</f>
        <v>18.011338859999999</v>
      </c>
      <c r="L102">
        <f ca="1">IFERROR(IF(0=LEN(ReferenceData!$K$102),"",ReferenceData!$K$102),"")</f>
        <v>16.402421449999999</v>
      </c>
      <c r="M102">
        <f ca="1">IFERROR(IF(0=LEN(ReferenceData!$J$102),"",ReferenceData!$J$102),"")</f>
        <v>10.28219754</v>
      </c>
      <c r="N102">
        <f ca="1">IFERROR(IF(0=LEN(ReferenceData!$I$102),"",ReferenceData!$I$102),"")</f>
        <v>14.20099875</v>
      </c>
      <c r="O102">
        <f ca="1">IFERROR(IF(0=LEN(ReferenceData!$H$102),"",ReferenceData!$H$102),"")</f>
        <v>21.45466622</v>
      </c>
      <c r="P102">
        <f ca="1">IFERROR(IF(0=LEN(ReferenceData!$G$102),"",ReferenceData!$G$102),"")</f>
        <v>22.455034300000001</v>
      </c>
      <c r="Q102">
        <f ca="1">IFERROR(IF(0=LEN(ReferenceData!$F$102),"",ReferenceData!$F$102),"")</f>
        <v>21.781956569999998</v>
      </c>
    </row>
    <row r="103" spans="1:17" x14ac:dyDescent="0.25">
      <c r="A103" t="str">
        <f>IFERROR(IF(0=LEN(ReferenceData!$A$103),"",ReferenceData!$A$103),"")</f>
        <v xml:space="preserve">    DXC Technology Co</v>
      </c>
      <c r="B103" t="str">
        <f>IFERROR(IF(0=LEN(ReferenceData!$B$103),"",ReferenceData!$B$103),"")</f>
        <v>DXC US Equity</v>
      </c>
      <c r="C103" t="str">
        <f>IFERROR(IF(0=LEN(ReferenceData!$C$103),"",ReferenceData!$C$103),"")</f>
        <v>RR057</v>
      </c>
      <c r="D103" t="str">
        <f>IFERROR(IF(0=LEN(ReferenceData!$D$103),"",ReferenceData!$D$103),"")</f>
        <v>GROSS_MARGIN</v>
      </c>
      <c r="E103" t="str">
        <f>IFERROR(IF(0=LEN(ReferenceData!$E$103),"",ReferenceData!$E$103),"")</f>
        <v>Dynamic</v>
      </c>
      <c r="F103" t="str">
        <f ca="1">IFERROR(IF(0=LEN(ReferenceData!$Q$103),"",ReferenceData!$Q$103),"")</f>
        <v/>
      </c>
      <c r="G103" t="str">
        <f ca="1">IFERROR(IF(0=LEN(ReferenceData!$P$103),"",ReferenceData!$P$103),"")</f>
        <v/>
      </c>
      <c r="H103" t="str">
        <f ca="1">IFERROR(IF(0=LEN(ReferenceData!$O$103),"",ReferenceData!$O$103),"")</f>
        <v/>
      </c>
      <c r="I103" t="str">
        <f ca="1">IFERROR(IF(0=LEN(ReferenceData!$N$103),"",ReferenceData!$N$103),"")</f>
        <v/>
      </c>
      <c r="J103" t="str">
        <f ca="1">IFERROR(IF(0=LEN(ReferenceData!$M$103),"",ReferenceData!$M$103),"")</f>
        <v/>
      </c>
      <c r="K103" t="str">
        <f ca="1">IFERROR(IF(0=LEN(ReferenceData!$L$103),"",ReferenceData!$L$103),"")</f>
        <v/>
      </c>
      <c r="L103" t="str">
        <f ca="1">IFERROR(IF(0=LEN(ReferenceData!$K$103),"",ReferenceData!$K$103),"")</f>
        <v/>
      </c>
      <c r="M103" t="str">
        <f ca="1">IFERROR(IF(0=LEN(ReferenceData!$J$103),"",ReferenceData!$J$103),"")</f>
        <v/>
      </c>
      <c r="N103">
        <f ca="1">IFERROR(IF(0=LEN(ReferenceData!$I$103),"",ReferenceData!$I$103),"")</f>
        <v>21.83980468</v>
      </c>
      <c r="O103">
        <f ca="1">IFERROR(IF(0=LEN(ReferenceData!$H$103),"",ReferenceData!$H$103),"")</f>
        <v>24.920627620000001</v>
      </c>
      <c r="P103">
        <f ca="1">IFERROR(IF(0=LEN(ReferenceData!$G$103),"",ReferenceData!$G$103),"")</f>
        <v>27.98149665</v>
      </c>
      <c r="Q103">
        <f ca="1">IFERROR(IF(0=LEN(ReferenceData!$F$103),"",ReferenceData!$F$103),"")</f>
        <v>23.885171369999998</v>
      </c>
    </row>
    <row r="104" spans="1:17" x14ac:dyDescent="0.25">
      <c r="A104" t="str">
        <f>IFERROR(IF(0=LEN(ReferenceData!$A$104),"",ReferenceData!$A$104),"")</f>
        <v xml:space="preserve">    EPAM Systems Inc</v>
      </c>
      <c r="B104" t="str">
        <f>IFERROR(IF(0=LEN(ReferenceData!$B$104),"",ReferenceData!$B$104),"")</f>
        <v>EPAM US Equity</v>
      </c>
      <c r="C104" t="str">
        <f>IFERROR(IF(0=LEN(ReferenceData!$C$104),"",ReferenceData!$C$104),"")</f>
        <v>RR057</v>
      </c>
      <c r="D104" t="str">
        <f>IFERROR(IF(0=LEN(ReferenceData!$D$104),"",ReferenceData!$D$104),"")</f>
        <v>GROSS_MARGIN</v>
      </c>
      <c r="E104" t="str">
        <f>IFERROR(IF(0=LEN(ReferenceData!$E$104),"",ReferenceData!$E$104),"")</f>
        <v>Dynamic</v>
      </c>
      <c r="F104">
        <f ca="1">IFERROR(IF(0=LEN(ReferenceData!$Q$104),"",ReferenceData!$Q$104),"")</f>
        <v>43.221151450000001</v>
      </c>
      <c r="G104">
        <f ca="1">IFERROR(IF(0=LEN(ReferenceData!$P$104),"",ReferenceData!$P$104),"")</f>
        <v>41.29145853</v>
      </c>
      <c r="H104">
        <f ca="1">IFERROR(IF(0=LEN(ReferenceData!$O$104),"",ReferenceData!$O$104),"")</f>
        <v>40.255337560000001</v>
      </c>
      <c r="I104">
        <f ca="1">IFERROR(IF(0=LEN(ReferenceData!$N$104),"",ReferenceData!$N$104),"")</f>
        <v>38.619188829999999</v>
      </c>
      <c r="J104">
        <f ca="1">IFERROR(IF(0=LEN(ReferenceData!$M$104),"",ReferenceData!$M$104),"")</f>
        <v>37.675974359999998</v>
      </c>
      <c r="K104">
        <f ca="1">IFERROR(IF(0=LEN(ReferenceData!$L$104),"",ReferenceData!$L$104),"")</f>
        <v>37.37356269</v>
      </c>
      <c r="L104">
        <f ca="1">IFERROR(IF(0=LEN(ReferenceData!$K$104),"",ReferenceData!$K$104),"")</f>
        <v>37.463956809999999</v>
      </c>
      <c r="M104">
        <f ca="1">IFERROR(IF(0=LEN(ReferenceData!$J$104),"",ReferenceData!$J$104),"")</f>
        <v>37.983192729999999</v>
      </c>
      <c r="N104">
        <f ca="1">IFERROR(IF(0=LEN(ReferenceData!$I$104),"",ReferenceData!$I$104),"")</f>
        <v>36.456713550000003</v>
      </c>
      <c r="O104">
        <f ca="1">IFERROR(IF(0=LEN(ReferenceData!$H$104),"",ReferenceData!$H$104),"")</f>
        <v>36.478108829999996</v>
      </c>
      <c r="P104">
        <f ca="1">IFERROR(IF(0=LEN(ReferenceData!$G$104),"",ReferenceData!$G$104),"")</f>
        <v>35.595351270000002</v>
      </c>
      <c r="Q104">
        <f ca="1">IFERROR(IF(0=LEN(ReferenceData!$F$104),"",ReferenceData!$F$104),"")</f>
        <v>35.120790929999998</v>
      </c>
    </row>
    <row r="105" spans="1:17" x14ac:dyDescent="0.25">
      <c r="A105" t="str">
        <f>IFERROR(IF(0=LEN(ReferenceData!$A$105),"",ReferenceData!$A$105),"")</f>
        <v xml:space="preserve">    Genpact Ltd</v>
      </c>
      <c r="B105" t="str">
        <f>IFERROR(IF(0=LEN(ReferenceData!$B$105),"",ReferenceData!$B$105),"")</f>
        <v>G US Equity</v>
      </c>
      <c r="C105" t="str">
        <f>IFERROR(IF(0=LEN(ReferenceData!$C$105),"",ReferenceData!$C$105),"")</f>
        <v>RR057</v>
      </c>
      <c r="D105" t="str">
        <f>IFERROR(IF(0=LEN(ReferenceData!$D$105),"",ReferenceData!$D$105),"")</f>
        <v>GROSS_MARGIN</v>
      </c>
      <c r="E105" t="str">
        <f>IFERROR(IF(0=LEN(ReferenceData!$E$105),"",ReferenceData!$E$105),"")</f>
        <v>Dynamic</v>
      </c>
      <c r="F105">
        <f ca="1">IFERROR(IF(0=LEN(ReferenceData!$Q$105),"",ReferenceData!$Q$105),"")</f>
        <v>40.50701016</v>
      </c>
      <c r="G105">
        <f ca="1">IFERROR(IF(0=LEN(ReferenceData!$P$105),"",ReferenceData!$P$105),"")</f>
        <v>39.948092580000001</v>
      </c>
      <c r="H105">
        <f ca="1">IFERROR(IF(0=LEN(ReferenceData!$O$105),"",ReferenceData!$O$105),"")</f>
        <v>37.36734122</v>
      </c>
      <c r="I105">
        <f ca="1">IFERROR(IF(0=LEN(ReferenceData!$N$105),"",ReferenceData!$N$105),"")</f>
        <v>37.210922519999997</v>
      </c>
      <c r="J105">
        <f ca="1">IFERROR(IF(0=LEN(ReferenceData!$M$105),"",ReferenceData!$M$105),"")</f>
        <v>39.128093960000001</v>
      </c>
      <c r="K105">
        <f ca="1">IFERROR(IF(0=LEN(ReferenceData!$L$105),"",ReferenceData!$L$105),"")</f>
        <v>38.106338800000003</v>
      </c>
      <c r="L105">
        <f ca="1">IFERROR(IF(0=LEN(ReferenceData!$K$105),"",ReferenceData!$K$105),"")</f>
        <v>39.54264165</v>
      </c>
      <c r="M105">
        <f ca="1">IFERROR(IF(0=LEN(ReferenceData!$J$105),"",ReferenceData!$J$105),"")</f>
        <v>39.312462519999997</v>
      </c>
      <c r="N105">
        <f ca="1">IFERROR(IF(0=LEN(ReferenceData!$I$105),"",ReferenceData!$I$105),"")</f>
        <v>39.537630180000001</v>
      </c>
      <c r="O105">
        <f ca="1">IFERROR(IF(0=LEN(ReferenceData!$H$105),"",ReferenceData!$H$105),"")</f>
        <v>38.564792879999999</v>
      </c>
      <c r="P105">
        <f ca="1">IFERROR(IF(0=LEN(ReferenceData!$G$105),"",ReferenceData!$G$105),"")</f>
        <v>35.957931080000002</v>
      </c>
      <c r="Q105">
        <f ca="1">IFERROR(IF(0=LEN(ReferenceData!$F$105),"",ReferenceData!$F$105),"")</f>
        <v>34.820054749999997</v>
      </c>
    </row>
    <row r="106" spans="1:17" x14ac:dyDescent="0.25">
      <c r="A106" t="str">
        <f>IFERROR(IF(0=LEN(ReferenceData!$A$106),"",ReferenceData!$A$106),"")</f>
        <v xml:space="preserve">    HCL Technologies Ltd</v>
      </c>
      <c r="B106" t="str">
        <f>IFERROR(IF(0=LEN(ReferenceData!$B$106),"",ReferenceData!$B$106),"")</f>
        <v>HCLT IN Equity</v>
      </c>
      <c r="C106" t="str">
        <f>IFERROR(IF(0=LEN(ReferenceData!$C$106),"",ReferenceData!$C$106),"")</f>
        <v>RR057</v>
      </c>
      <c r="D106" t="str">
        <f>IFERROR(IF(0=LEN(ReferenceData!$D$106),"",ReferenceData!$D$106),"")</f>
        <v>GROSS_MARGIN</v>
      </c>
      <c r="E106" t="str">
        <f>IFERROR(IF(0=LEN(ReferenceData!$E$106),"",ReferenceData!$E$106),"")</f>
        <v>Dynamic</v>
      </c>
      <c r="F106" t="str">
        <f ca="1">IFERROR(IF(0=LEN(ReferenceData!$Q$106),"",ReferenceData!$Q$106),"")</f>
        <v/>
      </c>
      <c r="G106" t="str">
        <f ca="1">IFERROR(IF(0=LEN(ReferenceData!$P$106),"",ReferenceData!$P$106),"")</f>
        <v/>
      </c>
      <c r="H106" t="str">
        <f ca="1">IFERROR(IF(0=LEN(ReferenceData!$O$106),"",ReferenceData!$O$106),"")</f>
        <v/>
      </c>
      <c r="I106" t="str">
        <f ca="1">IFERROR(IF(0=LEN(ReferenceData!$N$106),"",ReferenceData!$N$106),"")</f>
        <v/>
      </c>
      <c r="J106" t="str">
        <f ca="1">IFERROR(IF(0=LEN(ReferenceData!$M$106),"",ReferenceData!$M$106),"")</f>
        <v/>
      </c>
      <c r="K106">
        <f ca="1">IFERROR(IF(0=LEN(ReferenceData!$L$106),"",ReferenceData!$L$106),"")</f>
        <v>38.589126460000003</v>
      </c>
      <c r="L106" t="str">
        <f ca="1">IFERROR(IF(0=LEN(ReferenceData!$K$106),"",ReferenceData!$K$106),"")</f>
        <v/>
      </c>
      <c r="M106">
        <f ca="1">IFERROR(IF(0=LEN(ReferenceData!$J$106),"",ReferenceData!$J$106),"")</f>
        <v>34.211117170000001</v>
      </c>
      <c r="N106" t="str">
        <f ca="1">IFERROR(IF(0=LEN(ReferenceData!$I$106),"",ReferenceData!$I$106),"")</f>
        <v/>
      </c>
      <c r="O106" t="str">
        <f ca="1">IFERROR(IF(0=LEN(ReferenceData!$H$106),"",ReferenceData!$H$106),"")</f>
        <v/>
      </c>
      <c r="P106">
        <f ca="1">IFERROR(IF(0=LEN(ReferenceData!$G$106),"",ReferenceData!$G$106),"")</f>
        <v>34.965942259999998</v>
      </c>
      <c r="Q106">
        <f ca="1">IFERROR(IF(0=LEN(ReferenceData!$F$106),"",ReferenceData!$F$106),"")</f>
        <v>37.720410630000003</v>
      </c>
    </row>
    <row r="107" spans="1:17" x14ac:dyDescent="0.25">
      <c r="A107" t="str">
        <f>IFERROR(IF(0=LEN(ReferenceData!$A$107),"",ReferenceData!$A$107),"")</f>
        <v xml:space="preserve">    Indra Sistemas SA</v>
      </c>
      <c r="B107" t="str">
        <f>IFERROR(IF(0=LEN(ReferenceData!$B$107),"",ReferenceData!$B$107),"")</f>
        <v>IDR SM Equity</v>
      </c>
      <c r="C107" t="str">
        <f>IFERROR(IF(0=LEN(ReferenceData!$C$107),"",ReferenceData!$C$107),"")</f>
        <v>RR057</v>
      </c>
      <c r="D107" t="str">
        <f>IFERROR(IF(0=LEN(ReferenceData!$D$107),"",ReferenceData!$D$107),"")</f>
        <v>GROSS_MARGIN</v>
      </c>
      <c r="E107" t="str">
        <f>IFERROR(IF(0=LEN(ReferenceData!$E$107),"",ReferenceData!$E$107),"")</f>
        <v>Dynamic</v>
      </c>
      <c r="F107" t="str">
        <f ca="1">IFERROR(IF(0=LEN(ReferenceData!$Q$107),"",ReferenceData!$Q$107),"")</f>
        <v/>
      </c>
      <c r="G107" t="str">
        <f ca="1">IFERROR(IF(0=LEN(ReferenceData!$P$107),"",ReferenceData!$P$107),"")</f>
        <v/>
      </c>
      <c r="H107" t="str">
        <f ca="1">IFERROR(IF(0=LEN(ReferenceData!$O$107),"",ReferenceData!$O$107),"")</f>
        <v/>
      </c>
      <c r="I107" t="str">
        <f ca="1">IFERROR(IF(0=LEN(ReferenceData!$N$107),"",ReferenceData!$N$107),"")</f>
        <v/>
      </c>
      <c r="J107" t="str">
        <f ca="1">IFERROR(IF(0=LEN(ReferenceData!$M$107),"",ReferenceData!$M$107),"")</f>
        <v/>
      </c>
      <c r="K107" t="str">
        <f ca="1">IFERROR(IF(0=LEN(ReferenceData!$L$107),"",ReferenceData!$L$107),"")</f>
        <v/>
      </c>
      <c r="L107" t="str">
        <f ca="1">IFERROR(IF(0=LEN(ReferenceData!$K$107),"",ReferenceData!$K$107),"")</f>
        <v/>
      </c>
      <c r="M107" t="str">
        <f ca="1">IFERROR(IF(0=LEN(ReferenceData!$J$107),"",ReferenceData!$J$107),"")</f>
        <v/>
      </c>
      <c r="N107" t="str">
        <f ca="1">IFERROR(IF(0=LEN(ReferenceData!$I$107),"",ReferenceData!$I$107),"")</f>
        <v/>
      </c>
      <c r="O107" t="str">
        <f ca="1">IFERROR(IF(0=LEN(ReferenceData!$H$107),"",ReferenceData!$H$107),"")</f>
        <v/>
      </c>
      <c r="P107" t="str">
        <f ca="1">IFERROR(IF(0=LEN(ReferenceData!$G$107),"",ReferenceData!$G$107),"")</f>
        <v/>
      </c>
      <c r="Q107" t="str">
        <f ca="1">IFERROR(IF(0=LEN(ReferenceData!$F$107),"",ReferenceData!$F$107),"")</f>
        <v/>
      </c>
    </row>
    <row r="108" spans="1:17" x14ac:dyDescent="0.25">
      <c r="A108" t="str">
        <f>IFERROR(IF(0=LEN(ReferenceData!$A$108),"",ReferenceData!$A$108),"")</f>
        <v xml:space="preserve">    Infosys Ltd</v>
      </c>
      <c r="B108" t="str">
        <f>IFERROR(IF(0=LEN(ReferenceData!$B$108),"",ReferenceData!$B$108),"")</f>
        <v>INFY US Equity</v>
      </c>
      <c r="C108" t="str">
        <f>IFERROR(IF(0=LEN(ReferenceData!$C$108),"",ReferenceData!$C$108),"")</f>
        <v>RR057</v>
      </c>
      <c r="D108" t="str">
        <f>IFERROR(IF(0=LEN(ReferenceData!$D$108),"",ReferenceData!$D$108),"")</f>
        <v>GROSS_MARGIN</v>
      </c>
      <c r="E108" t="str">
        <f>IFERROR(IF(0=LEN(ReferenceData!$E$108),"",ReferenceData!$E$108),"")</f>
        <v>Dynamic</v>
      </c>
      <c r="F108">
        <f ca="1">IFERROR(IF(0=LEN(ReferenceData!$Q$108),"",ReferenceData!$Q$108),"")</f>
        <v>45.765915270000001</v>
      </c>
      <c r="G108">
        <f ca="1">IFERROR(IF(0=LEN(ReferenceData!$P$108),"",ReferenceData!$P$108),"")</f>
        <v>42.749098580000002</v>
      </c>
      <c r="H108">
        <f ca="1">IFERROR(IF(0=LEN(ReferenceData!$O$108),"",ReferenceData!$O$108),"")</f>
        <v>45.260172359999999</v>
      </c>
      <c r="I108">
        <f ca="1">IFERROR(IF(0=LEN(ReferenceData!$N$108),"",ReferenceData!$N$108),"")</f>
        <v>41.281792850000002</v>
      </c>
      <c r="J108">
        <f ca="1">IFERROR(IF(0=LEN(ReferenceData!$M$108),"",ReferenceData!$M$108),"")</f>
        <v>37.351308490000001</v>
      </c>
      <c r="K108">
        <f ca="1">IFERROR(IF(0=LEN(ReferenceData!$L$108),"",ReferenceData!$L$108),"")</f>
        <v>35.88853649</v>
      </c>
      <c r="L108">
        <f ca="1">IFERROR(IF(0=LEN(ReferenceData!$K$108),"",ReferenceData!$K$108),"")</f>
        <v>38.327800600000003</v>
      </c>
      <c r="M108" t="str">
        <f ca="1">IFERROR(IF(0=LEN(ReferenceData!$J$108),"",ReferenceData!$J$108),"")</f>
        <v/>
      </c>
      <c r="N108">
        <f ca="1">IFERROR(IF(0=LEN(ReferenceData!$I$108),"",ReferenceData!$I$108),"")</f>
        <v>36.842182119999997</v>
      </c>
      <c r="O108">
        <f ca="1">IFERROR(IF(0=LEN(ReferenceData!$H$108),"",ReferenceData!$H$108),"")</f>
        <v>36.005785430000003</v>
      </c>
      <c r="P108">
        <f ca="1">IFERROR(IF(0=LEN(ReferenceData!$G$108),"",ReferenceData!$G$108),"")</f>
        <v>34.844874509999997</v>
      </c>
      <c r="Q108">
        <f ca="1">IFERROR(IF(0=LEN(ReferenceData!$F$108),"",ReferenceData!$F$108),"")</f>
        <v>33.107907169999997</v>
      </c>
    </row>
    <row r="109" spans="1:17" x14ac:dyDescent="0.25">
      <c r="A109" t="str">
        <f>IFERROR(IF(0=LEN(ReferenceData!$A$109),"",ReferenceData!$A$109),"")</f>
        <v xml:space="preserve">    International Business Machines Corp</v>
      </c>
      <c r="B109" t="str">
        <f>IFERROR(IF(0=LEN(ReferenceData!$B$109),"",ReferenceData!$B$109),"")</f>
        <v>IBM US Equity</v>
      </c>
      <c r="C109" t="str">
        <f>IFERROR(IF(0=LEN(ReferenceData!$C$109),"",ReferenceData!$C$109),"")</f>
        <v>RR057</v>
      </c>
      <c r="D109" t="str">
        <f>IFERROR(IF(0=LEN(ReferenceData!$D$109),"",ReferenceData!$D$109),"")</f>
        <v>GROSS_MARGIN</v>
      </c>
      <c r="E109" t="str">
        <f>IFERROR(IF(0=LEN(ReferenceData!$E$109),"",ReferenceData!$E$109),"")</f>
        <v>Dynamic</v>
      </c>
      <c r="F109">
        <f ca="1">IFERROR(IF(0=LEN(ReferenceData!$Q$109),"",ReferenceData!$Q$109),"")</f>
        <v>44.061565180000002</v>
      </c>
      <c r="G109">
        <f ca="1">IFERROR(IF(0=LEN(ReferenceData!$P$109),"",ReferenceData!$P$109),"")</f>
        <v>45.724639189999998</v>
      </c>
      <c r="H109">
        <f ca="1">IFERROR(IF(0=LEN(ReferenceData!$O$109),"",ReferenceData!$O$109),"")</f>
        <v>46.072894759999997</v>
      </c>
      <c r="I109">
        <f ca="1">IFERROR(IF(0=LEN(ReferenceData!$N$109),"",ReferenceData!$N$109),"")</f>
        <v>46.894758500000002</v>
      </c>
      <c r="J109">
        <f ca="1">IFERROR(IF(0=LEN(ReferenceData!$M$109),"",ReferenceData!$M$109),"")</f>
        <v>48.954060310000003</v>
      </c>
      <c r="K109">
        <f ca="1">IFERROR(IF(0=LEN(ReferenceData!$L$109),"",ReferenceData!$L$109),"")</f>
        <v>49.492207749999999</v>
      </c>
      <c r="L109">
        <f ca="1">IFERROR(IF(0=LEN(ReferenceData!$K$109),"",ReferenceData!$K$109),"")</f>
        <v>50.011315510000003</v>
      </c>
      <c r="M109">
        <f ca="1">IFERROR(IF(0=LEN(ReferenceData!$J$109),"",ReferenceData!$J$109),"")</f>
        <v>49.771840320000003</v>
      </c>
      <c r="N109">
        <f ca="1">IFERROR(IF(0=LEN(ReferenceData!$I$109),"",ReferenceData!$I$109),"")</f>
        <v>47.916014969999999</v>
      </c>
      <c r="O109">
        <f ca="1">IFERROR(IF(0=LEN(ReferenceData!$H$109),"",ReferenceData!$H$109),"")</f>
        <v>46.681155939999996</v>
      </c>
      <c r="P109">
        <f ca="1">IFERROR(IF(0=LEN(ReferenceData!$G$109),"",ReferenceData!$G$109),"")</f>
        <v>46.407257100000002</v>
      </c>
      <c r="Q109">
        <f ca="1">IFERROR(IF(0=LEN(ReferenceData!$F$109),"",ReferenceData!$F$109),"")</f>
        <v>47.296719250000002</v>
      </c>
    </row>
    <row r="110" spans="1:17" x14ac:dyDescent="0.25">
      <c r="A110" t="str">
        <f>IFERROR(IF(0=LEN(ReferenceData!$A$110),"",ReferenceData!$A$110),"")</f>
        <v xml:space="preserve">    Tata Consultancy Services Ltd</v>
      </c>
      <c r="B110" t="str">
        <f>IFERROR(IF(0=LEN(ReferenceData!$B$110),"",ReferenceData!$B$110),"")</f>
        <v>TCS IN Equity</v>
      </c>
      <c r="C110" t="str">
        <f>IFERROR(IF(0=LEN(ReferenceData!$C$110),"",ReferenceData!$C$110),"")</f>
        <v>RR057</v>
      </c>
      <c r="D110" t="str">
        <f>IFERROR(IF(0=LEN(ReferenceData!$D$110),"",ReferenceData!$D$110),"")</f>
        <v>GROSS_MARGIN</v>
      </c>
      <c r="E110" t="str">
        <f>IFERROR(IF(0=LEN(ReferenceData!$E$110),"",ReferenceData!$E$110),"")</f>
        <v>Dynamic</v>
      </c>
      <c r="F110" t="str">
        <f ca="1">IFERROR(IF(0=LEN(ReferenceData!$Q$110),"",ReferenceData!$Q$110),"")</f>
        <v/>
      </c>
      <c r="G110" t="str">
        <f ca="1">IFERROR(IF(0=LEN(ReferenceData!$P$110),"",ReferenceData!$P$110),"")</f>
        <v/>
      </c>
      <c r="H110" t="str">
        <f ca="1">IFERROR(IF(0=LEN(ReferenceData!$O$110),"",ReferenceData!$O$110),"")</f>
        <v/>
      </c>
      <c r="I110" t="str">
        <f ca="1">IFERROR(IF(0=LEN(ReferenceData!$N$110),"",ReferenceData!$N$110),"")</f>
        <v/>
      </c>
      <c r="J110" t="str">
        <f ca="1">IFERROR(IF(0=LEN(ReferenceData!$M$110),"",ReferenceData!$M$110),"")</f>
        <v/>
      </c>
      <c r="K110">
        <f ca="1">IFERROR(IF(0=LEN(ReferenceData!$L$110),"",ReferenceData!$L$110),"")</f>
        <v>47.36000868</v>
      </c>
      <c r="L110">
        <f ca="1">IFERROR(IF(0=LEN(ReferenceData!$K$110),"",ReferenceData!$K$110),"")</f>
        <v>42.419254590000001</v>
      </c>
      <c r="M110">
        <f ca="1">IFERROR(IF(0=LEN(ReferenceData!$J$110),"",ReferenceData!$J$110),"")</f>
        <v>43.94639471</v>
      </c>
      <c r="N110">
        <f ca="1">IFERROR(IF(0=LEN(ReferenceData!$I$110),"",ReferenceData!$I$110),"")</f>
        <v>43.299764340000003</v>
      </c>
      <c r="O110">
        <f ca="1">IFERROR(IF(0=LEN(ReferenceData!$H$110),"",ReferenceData!$H$110),"")</f>
        <v>42.09123993</v>
      </c>
      <c r="P110">
        <f ca="1">IFERROR(IF(0=LEN(ReferenceData!$G$110),"",ReferenceData!$G$110),"")</f>
        <v>41.856987770000003</v>
      </c>
      <c r="Q110">
        <f ca="1">IFERROR(IF(0=LEN(ReferenceData!$F$110),"",ReferenceData!$F$110),"")</f>
        <v>41.177070260000001</v>
      </c>
    </row>
    <row r="111" spans="1:17" x14ac:dyDescent="0.25">
      <c r="A111" t="str">
        <f>IFERROR(IF(0=LEN(ReferenceData!$A$111),"",ReferenceData!$A$111),"")</f>
        <v xml:space="preserve">    Tech Mahindra Ltd</v>
      </c>
      <c r="B111" t="str">
        <f>IFERROR(IF(0=LEN(ReferenceData!$B$111),"",ReferenceData!$B$111),"")</f>
        <v>TECHM IN Equity</v>
      </c>
      <c r="C111" t="str">
        <f>IFERROR(IF(0=LEN(ReferenceData!$C$111),"",ReferenceData!$C$111),"")</f>
        <v>RR057</v>
      </c>
      <c r="D111" t="str">
        <f>IFERROR(IF(0=LEN(ReferenceData!$D$111),"",ReferenceData!$D$111),"")</f>
        <v>GROSS_MARGIN</v>
      </c>
      <c r="E111" t="str">
        <f>IFERROR(IF(0=LEN(ReferenceData!$E$111),"",ReferenceData!$E$111),"")</f>
        <v>Dynamic</v>
      </c>
      <c r="F111" t="str">
        <f ca="1">IFERROR(IF(0=LEN(ReferenceData!$Q$111),"",ReferenceData!$Q$111),"")</f>
        <v/>
      </c>
      <c r="G111" t="str">
        <f ca="1">IFERROR(IF(0=LEN(ReferenceData!$P$111),"",ReferenceData!$P$111),"")</f>
        <v/>
      </c>
      <c r="H111" t="str">
        <f ca="1">IFERROR(IF(0=LEN(ReferenceData!$O$111),"",ReferenceData!$O$111),"")</f>
        <v/>
      </c>
      <c r="I111" t="str">
        <f ca="1">IFERROR(IF(0=LEN(ReferenceData!$N$111),"",ReferenceData!$N$111),"")</f>
        <v/>
      </c>
      <c r="J111" t="str">
        <f ca="1">IFERROR(IF(0=LEN(ReferenceData!$M$111),"",ReferenceData!$M$111),"")</f>
        <v/>
      </c>
      <c r="K111" t="str">
        <f ca="1">IFERROR(IF(0=LEN(ReferenceData!$L$111),"",ReferenceData!$L$111),"")</f>
        <v/>
      </c>
      <c r="L111" t="str">
        <f ca="1">IFERROR(IF(0=LEN(ReferenceData!$K$111),"",ReferenceData!$K$111),"")</f>
        <v/>
      </c>
      <c r="M111" t="str">
        <f ca="1">IFERROR(IF(0=LEN(ReferenceData!$J$111),"",ReferenceData!$J$111),"")</f>
        <v/>
      </c>
      <c r="N111" t="str">
        <f ca="1">IFERROR(IF(0=LEN(ReferenceData!$I$111),"",ReferenceData!$I$111),"")</f>
        <v/>
      </c>
      <c r="O111" t="str">
        <f ca="1">IFERROR(IF(0=LEN(ReferenceData!$H$111),"",ReferenceData!$H$111),"")</f>
        <v/>
      </c>
      <c r="P111" t="str">
        <f ca="1">IFERROR(IF(0=LEN(ReferenceData!$G$111),"",ReferenceData!$G$111),"")</f>
        <v/>
      </c>
      <c r="Q111" t="str">
        <f ca="1">IFERROR(IF(0=LEN(ReferenceData!$F$111),"",ReferenceData!$F$111),"")</f>
        <v/>
      </c>
    </row>
    <row r="112" spans="1:17" x14ac:dyDescent="0.25">
      <c r="A112" t="str">
        <f>IFERROR(IF(0=LEN(ReferenceData!$A$112),"",ReferenceData!$A$112),"")</f>
        <v xml:space="preserve">    Wipro Ltd</v>
      </c>
      <c r="B112" t="str">
        <f>IFERROR(IF(0=LEN(ReferenceData!$B$112),"",ReferenceData!$B$112),"")</f>
        <v>WIT US Equity</v>
      </c>
      <c r="C112" t="str">
        <f>IFERROR(IF(0=LEN(ReferenceData!$C$112),"",ReferenceData!$C$112),"")</f>
        <v>RR057</v>
      </c>
      <c r="D112" t="str">
        <f>IFERROR(IF(0=LEN(ReferenceData!$D$112),"",ReferenceData!$D$112),"")</f>
        <v>GROSS_MARGIN</v>
      </c>
      <c r="E112" t="str">
        <f>IFERROR(IF(0=LEN(ReferenceData!$E$112),"",ReferenceData!$E$112),"")</f>
        <v>Dynamic</v>
      </c>
      <c r="F112">
        <f ca="1">IFERROR(IF(0=LEN(ReferenceData!$Q$112),"",ReferenceData!$Q$112),"")</f>
        <v>30.3651822</v>
      </c>
      <c r="G112">
        <f ca="1">IFERROR(IF(0=LEN(ReferenceData!$P$112),"",ReferenceData!$P$112),"")</f>
        <v>31.779045969999999</v>
      </c>
      <c r="H112">
        <f ca="1">IFERROR(IF(0=LEN(ReferenceData!$O$112),"",ReferenceData!$O$112),"")</f>
        <v>31.472071410000002</v>
      </c>
      <c r="I112">
        <f ca="1">IFERROR(IF(0=LEN(ReferenceData!$N$112),"",ReferenceData!$N$112),"")</f>
        <v>29.249054359999999</v>
      </c>
      <c r="J112">
        <f ca="1">IFERROR(IF(0=LEN(ReferenceData!$M$112),"",ReferenceData!$M$112),"")</f>
        <v>30.351150010000001</v>
      </c>
      <c r="K112">
        <f ca="1">IFERROR(IF(0=LEN(ReferenceData!$L$112),"",ReferenceData!$L$112),"")</f>
        <v>31.957381250000001</v>
      </c>
      <c r="L112">
        <f ca="1">IFERROR(IF(0=LEN(ReferenceData!$K$112),"",ReferenceData!$K$112),"")</f>
        <v>31.575461350000001</v>
      </c>
      <c r="M112">
        <f ca="1">IFERROR(IF(0=LEN(ReferenceData!$J$112),"",ReferenceData!$J$112),"")</f>
        <v>30.38716728</v>
      </c>
      <c r="N112">
        <f ca="1">IFERROR(IF(0=LEN(ReferenceData!$I$112),"",ReferenceData!$I$112),"")</f>
        <v>28.8621771</v>
      </c>
      <c r="O112">
        <f ca="1">IFERROR(IF(0=LEN(ReferenceData!$H$112),"",ReferenceData!$H$112),"")</f>
        <v>29.235543830000001</v>
      </c>
      <c r="P112">
        <f ca="1">IFERROR(IF(0=LEN(ReferenceData!$G$112),"",ReferenceData!$G$112),"")</f>
        <v>29.497904739999999</v>
      </c>
      <c r="Q112">
        <f ca="1">IFERROR(IF(0=LEN(ReferenceData!$F$112),"",ReferenceData!$F$112),"")</f>
        <v>28.537834790000002</v>
      </c>
    </row>
    <row r="113" spans="1:17" x14ac:dyDescent="0.25">
      <c r="A113" t="str">
        <f>IFERROR(IF(0=LEN(ReferenceData!$A$113),"",ReferenceData!$A$113),"")</f>
        <v>Operating Margin</v>
      </c>
      <c r="B113" t="str">
        <f>IFERROR(IF(0=LEN(ReferenceData!$B$113),"",ReferenceData!$B$113),"")</f>
        <v>BRITBPOV Index</v>
      </c>
      <c r="C113" t="str">
        <f>IFERROR(IF(0=LEN(ReferenceData!$C$113),"",ReferenceData!$C$113),"")</f>
        <v/>
      </c>
      <c r="D113" t="str">
        <f>IFERROR(IF(0=LEN(ReferenceData!$D$113),"",ReferenceData!$D$113),"")</f>
        <v/>
      </c>
      <c r="E113" t="str">
        <f>IFERROR(IF(0=LEN(ReferenceData!$E$113),"",ReferenceData!$E$113),"")</f>
        <v>Average</v>
      </c>
      <c r="F113">
        <f ca="1">IFERROR(IF(0=LEN(ReferenceData!$Q$113),"",ReferenceData!$Q$113),"")</f>
        <v>15.323846437333335</v>
      </c>
      <c r="G113">
        <f ca="1">IFERROR(IF(0=LEN(ReferenceData!$P$113),"",ReferenceData!$P$113),"")</f>
        <v>14.945814077266668</v>
      </c>
      <c r="H113">
        <f ca="1">IFERROR(IF(0=LEN(ReferenceData!$O$113),"",ReferenceData!$O$113),"")</f>
        <v>15.338385249733332</v>
      </c>
      <c r="I113">
        <f ca="1">IFERROR(IF(0=LEN(ReferenceData!$N$113),"",ReferenceData!$N$113),"")</f>
        <v>15.235211953533334</v>
      </c>
      <c r="J113">
        <f ca="1">IFERROR(IF(0=LEN(ReferenceData!$M$113),"",ReferenceData!$M$113),"")</f>
        <v>15.069235447066667</v>
      </c>
      <c r="K113">
        <f ca="1">IFERROR(IF(0=LEN(ReferenceData!$L$113),"",ReferenceData!$L$113),"")</f>
        <v>15.117819672875001</v>
      </c>
      <c r="L113">
        <f ca="1">IFERROR(IF(0=LEN(ReferenceData!$K$113),"",ReferenceData!$K$113),"")</f>
        <v>13.309275023866666</v>
      </c>
      <c r="M113">
        <f ca="1">IFERROR(IF(0=LEN(ReferenceData!$J$113),"",ReferenceData!$J$113),"")</f>
        <v>11.86119248925</v>
      </c>
      <c r="N113">
        <f ca="1">IFERROR(IF(0=LEN(ReferenceData!$I$113),"",ReferenceData!$I$113),"")</f>
        <v>11.668699216411763</v>
      </c>
      <c r="O113">
        <f ca="1">IFERROR(IF(0=LEN(ReferenceData!$H$113),"",ReferenceData!$H$113),"")</f>
        <v>13.117544243470588</v>
      </c>
      <c r="P113">
        <f ca="1">IFERROR(IF(0=LEN(ReferenceData!$G$113),"",ReferenceData!$G$113),"")</f>
        <v>12.98844779964706</v>
      </c>
      <c r="Q113">
        <f ca="1">IFERROR(IF(0=LEN(ReferenceData!$F$113),"",ReferenceData!$F$113),"")</f>
        <v>8.0727683491176467</v>
      </c>
    </row>
    <row r="114" spans="1:17" x14ac:dyDescent="0.25">
      <c r="A114" t="str">
        <f>IFERROR(IF(0=LEN(ReferenceData!$A$114),"",ReferenceData!$A$114),"")</f>
        <v xml:space="preserve">    Accenture PLC</v>
      </c>
      <c r="B114" t="str">
        <f>IFERROR(IF(0=LEN(ReferenceData!$B$114),"",ReferenceData!$B$114),"")</f>
        <v>ACN US Equity</v>
      </c>
      <c r="C114" t="str">
        <f>IFERROR(IF(0=LEN(ReferenceData!$C$114),"",ReferenceData!$C$114),"")</f>
        <v>RR026</v>
      </c>
      <c r="D114" t="str">
        <f>IFERROR(IF(0=LEN(ReferenceData!$D$114),"",ReferenceData!$D$114),"")</f>
        <v>OPER_MARGIN</v>
      </c>
      <c r="E114" t="str">
        <f>IFERROR(IF(0=LEN(ReferenceData!$E$114),"",ReferenceData!$E$114),"")</f>
        <v>Dynamic</v>
      </c>
      <c r="F114">
        <f ca="1">IFERROR(IF(0=LEN(ReferenceData!$Q$114),"",ReferenceData!$Q$114),"")</f>
        <v>11.896984679999999</v>
      </c>
      <c r="G114">
        <f ca="1">IFERROR(IF(0=LEN(ReferenceData!$P$114),"",ReferenceData!$P$114),"")</f>
        <v>11.410248380000001</v>
      </c>
      <c r="H114">
        <f ca="1">IFERROR(IF(0=LEN(ReferenceData!$O$114),"",ReferenceData!$O$114),"")</f>
        <v>12.621612349999999</v>
      </c>
      <c r="I114">
        <f ca="1">IFERROR(IF(0=LEN(ReferenceData!$N$114),"",ReferenceData!$N$114),"")</f>
        <v>12.68770486</v>
      </c>
      <c r="J114">
        <f ca="1">IFERROR(IF(0=LEN(ReferenceData!$M$114),"",ReferenceData!$M$114),"")</f>
        <v>13.001376690000001</v>
      </c>
      <c r="K114">
        <f ca="1">IFERROR(IF(0=LEN(ReferenceData!$L$114),"",ReferenceData!$L$114),"")</f>
        <v>14.274657230000001</v>
      </c>
      <c r="L114">
        <f ca="1">IFERROR(IF(0=LEN(ReferenceData!$K$114),"",ReferenceData!$K$114),"")</f>
        <v>13.49193865</v>
      </c>
      <c r="M114">
        <f ca="1">IFERROR(IF(0=LEN(ReferenceData!$J$114),"",ReferenceData!$J$114),"")</f>
        <v>13.47697593</v>
      </c>
      <c r="N114">
        <f ca="1">IFERROR(IF(0=LEN(ReferenceData!$I$114),"",ReferenceData!$I$114),"")</f>
        <v>13.824046969999999</v>
      </c>
      <c r="O114">
        <f ca="1">IFERROR(IF(0=LEN(ReferenceData!$H$114),"",ReferenceData!$H$114),"")</f>
        <v>12.60043185</v>
      </c>
      <c r="P114">
        <f ca="1">IFERROR(IF(0=LEN(ReferenceData!$G$114),"",ReferenceData!$G$114),"")</f>
        <v>14.389886219999999</v>
      </c>
      <c r="Q114">
        <f ca="1">IFERROR(IF(0=LEN(ReferenceData!$F$114),"",ReferenceData!$F$114),"")</f>
        <v>14.590008340000001</v>
      </c>
    </row>
    <row r="115" spans="1:17" x14ac:dyDescent="0.25">
      <c r="A115" t="str">
        <f>IFERROR(IF(0=LEN(ReferenceData!$A$115),"",ReferenceData!$A$115),"")</f>
        <v xml:space="preserve">    Amdocs Ltd</v>
      </c>
      <c r="B115" t="str">
        <f>IFERROR(IF(0=LEN(ReferenceData!$B$115),"",ReferenceData!$B$115),"")</f>
        <v>DOX US Equity</v>
      </c>
      <c r="C115" t="str">
        <f>IFERROR(IF(0=LEN(ReferenceData!$C$115),"",ReferenceData!$C$115),"")</f>
        <v>RR026</v>
      </c>
      <c r="D115" t="str">
        <f>IFERROR(IF(0=LEN(ReferenceData!$D$115),"",ReferenceData!$D$115),"")</f>
        <v>OPER_MARGIN</v>
      </c>
      <c r="E115" t="str">
        <f>IFERROR(IF(0=LEN(ReferenceData!$E$115),"",ReferenceData!$E$115),"")</f>
        <v>Dynamic</v>
      </c>
      <c r="F115">
        <f ca="1">IFERROR(IF(0=LEN(ReferenceData!$Q$115),"",ReferenceData!$Q$115),"")</f>
        <v>13.2662639</v>
      </c>
      <c r="G115">
        <f ca="1">IFERROR(IF(0=LEN(ReferenceData!$P$115),"",ReferenceData!$P$115),"")</f>
        <v>12.83162516</v>
      </c>
      <c r="H115">
        <f ca="1">IFERROR(IF(0=LEN(ReferenceData!$O$115),"",ReferenceData!$O$115),"")</f>
        <v>13.753429280000001</v>
      </c>
      <c r="I115">
        <f ca="1">IFERROR(IF(0=LEN(ReferenceData!$N$115),"",ReferenceData!$N$115),"")</f>
        <v>12.724940589999999</v>
      </c>
      <c r="J115">
        <f ca="1">IFERROR(IF(0=LEN(ReferenceData!$M$115),"",ReferenceData!$M$115),"")</f>
        <v>13.62750904</v>
      </c>
      <c r="K115">
        <f ca="1">IFERROR(IF(0=LEN(ReferenceData!$L$115),"",ReferenceData!$L$115),"")</f>
        <v>14.3924989</v>
      </c>
      <c r="L115">
        <f ca="1">IFERROR(IF(0=LEN(ReferenceData!$K$115),"",ReferenceData!$K$115),"")</f>
        <v>13.90848731</v>
      </c>
      <c r="M115">
        <f ca="1">IFERROR(IF(0=LEN(ReferenceData!$J$115),"",ReferenceData!$J$115),"")</f>
        <v>14.160631779999999</v>
      </c>
      <c r="N115">
        <f ca="1">IFERROR(IF(0=LEN(ReferenceData!$I$115),"",ReferenceData!$I$115),"")</f>
        <v>12.99384734</v>
      </c>
      <c r="O115">
        <f ca="1">IFERROR(IF(0=LEN(ReferenceData!$H$115),"",ReferenceData!$H$115),"")</f>
        <v>13.37761222</v>
      </c>
      <c r="P115">
        <f ca="1">IFERROR(IF(0=LEN(ReferenceData!$G$115),"",ReferenceData!$G$115),"")</f>
        <v>10.775460730000001</v>
      </c>
      <c r="Q115">
        <f ca="1">IFERROR(IF(0=LEN(ReferenceData!$F$115),"",ReferenceData!$F$115),"")</f>
        <v>13.94157442</v>
      </c>
    </row>
    <row r="116" spans="1:17" x14ac:dyDescent="0.25">
      <c r="A116" t="str">
        <f>IFERROR(IF(0=LEN(ReferenceData!$A$116),"",ReferenceData!$A$116),"")</f>
        <v xml:space="preserve">    Atos SE</v>
      </c>
      <c r="B116" t="str">
        <f>IFERROR(IF(0=LEN(ReferenceData!$B$116),"",ReferenceData!$B$116),"")</f>
        <v>ATO FP Equity</v>
      </c>
      <c r="C116" t="str">
        <f>IFERROR(IF(0=LEN(ReferenceData!$C$116),"",ReferenceData!$C$116),"")</f>
        <v>RR026</v>
      </c>
      <c r="D116" t="str">
        <f>IFERROR(IF(0=LEN(ReferenceData!$D$116),"",ReferenceData!$D$116),"")</f>
        <v>OPER_MARGIN</v>
      </c>
      <c r="E116" t="str">
        <f>IFERROR(IF(0=LEN(ReferenceData!$E$116),"",ReferenceData!$E$116),"")</f>
        <v>Dynamic</v>
      </c>
      <c r="F116">
        <f ca="1">IFERROR(IF(0=LEN(ReferenceData!$Q$116),"",ReferenceData!$Q$116),"")</f>
        <v>4.4011736460000002</v>
      </c>
      <c r="G116">
        <f ca="1">IFERROR(IF(0=LEN(ReferenceData!$P$116),"",ReferenceData!$P$116),"")</f>
        <v>0.61049346599999998</v>
      </c>
      <c r="H116">
        <f ca="1">IFERROR(IF(0=LEN(ReferenceData!$O$116),"",ReferenceData!$O$116),"")</f>
        <v>3.985579413</v>
      </c>
      <c r="I116">
        <f ca="1">IFERROR(IF(0=LEN(ReferenceData!$N$116),"",ReferenceData!$N$116),"")</f>
        <v>5.1038532109999997</v>
      </c>
      <c r="J116">
        <f ca="1">IFERROR(IF(0=LEN(ReferenceData!$M$116),"",ReferenceData!$M$116),"")</f>
        <v>4.3123819860000001</v>
      </c>
      <c r="K116">
        <f ca="1">IFERROR(IF(0=LEN(ReferenceData!$L$116),"",ReferenceData!$L$116),"")</f>
        <v>4.837136954</v>
      </c>
      <c r="L116">
        <f ca="1">IFERROR(IF(0=LEN(ReferenceData!$K$116),"",ReferenceData!$K$116),"")</f>
        <v>4.8645483470000004</v>
      </c>
      <c r="M116">
        <f ca="1">IFERROR(IF(0=LEN(ReferenceData!$J$116),"",ReferenceData!$J$116),"")</f>
        <v>5.5149501660000002</v>
      </c>
      <c r="N116">
        <f ca="1">IFERROR(IF(0=LEN(ReferenceData!$I$116),"",ReferenceData!$I$116),"")</f>
        <v>6.8126580819999996</v>
      </c>
      <c r="O116">
        <f ca="1">IFERROR(IF(0=LEN(ReferenceData!$H$116),"",ReferenceData!$H$116),"")</f>
        <v>7.294098033</v>
      </c>
      <c r="P116">
        <f ca="1">IFERROR(IF(0=LEN(ReferenceData!$G$116),"",ReferenceData!$G$116),"")</f>
        <v>5.9541697969999996</v>
      </c>
      <c r="Q116">
        <f ca="1">IFERROR(IF(0=LEN(ReferenceData!$F$116),"",ReferenceData!$F$116),"")</f>
        <v>5.7128063510000002</v>
      </c>
    </row>
    <row r="117" spans="1:17" x14ac:dyDescent="0.25">
      <c r="A117" t="str">
        <f>IFERROR(IF(0=LEN(ReferenceData!$A$117),"",ReferenceData!$A$117),"")</f>
        <v xml:space="preserve">    Capgemini SE</v>
      </c>
      <c r="B117" t="str">
        <f>IFERROR(IF(0=LEN(ReferenceData!$B$117),"",ReferenceData!$B$117),"")</f>
        <v>CAP FP Equity</v>
      </c>
      <c r="C117" t="str">
        <f>IFERROR(IF(0=LEN(ReferenceData!$C$117),"",ReferenceData!$C$117),"")</f>
        <v>RR026</v>
      </c>
      <c r="D117" t="str">
        <f>IFERROR(IF(0=LEN(ReferenceData!$D$117),"",ReferenceData!$D$117),"")</f>
        <v>OPER_MARGIN</v>
      </c>
      <c r="E117" t="str">
        <f>IFERROR(IF(0=LEN(ReferenceData!$E$117),"",ReferenceData!$E$117),"")</f>
        <v>Dynamic</v>
      </c>
      <c r="F117">
        <f ca="1">IFERROR(IF(0=LEN(ReferenceData!$Q$117),"",ReferenceData!$Q$117),"")</f>
        <v>8.5419058549999995</v>
      </c>
      <c r="G117">
        <f ca="1">IFERROR(IF(0=LEN(ReferenceData!$P$117),"",ReferenceData!$P$117),"")</f>
        <v>3.9780193530000001</v>
      </c>
      <c r="H117">
        <f ca="1">IFERROR(IF(0=LEN(ReferenceData!$O$117),"",ReferenceData!$O$117),"")</f>
        <v>5.6226284929999997</v>
      </c>
      <c r="I117">
        <f ca="1">IFERROR(IF(0=LEN(ReferenceData!$N$117),"",ReferenceData!$N$117),"")</f>
        <v>6.1384504279999996</v>
      </c>
      <c r="J117">
        <f ca="1">IFERROR(IF(0=LEN(ReferenceData!$M$117),"",ReferenceData!$M$117),"")</f>
        <v>5.9041309430000002</v>
      </c>
      <c r="K117">
        <f ca="1">IFERROR(IF(0=LEN(ReferenceData!$L$117),"",ReferenceData!$L$117),"")</f>
        <v>7.134363853</v>
      </c>
      <c r="L117">
        <f ca="1">IFERROR(IF(0=LEN(ReferenceData!$K$117),"",ReferenceData!$K$117),"")</f>
        <v>8.0677196630000001</v>
      </c>
      <c r="M117">
        <f ca="1">IFERROR(IF(0=LEN(ReferenceData!$J$117),"",ReferenceData!$J$117),"")</f>
        <v>8.5774234160000002</v>
      </c>
      <c r="N117">
        <f ca="1">IFERROR(IF(0=LEN(ReferenceData!$I$117),"",ReferenceData!$I$117),"")</f>
        <v>9.1554350430000007</v>
      </c>
      <c r="O117">
        <f ca="1">IFERROR(IF(0=LEN(ReferenceData!$H$117),"",ReferenceData!$H$117),"")</f>
        <v>9.4451097799999992</v>
      </c>
      <c r="P117">
        <f ca="1">IFERROR(IF(0=LEN(ReferenceData!$G$117),"",ReferenceData!$G$117),"")</f>
        <v>9.4794271430000006</v>
      </c>
      <c r="Q117">
        <f ca="1">IFERROR(IF(0=LEN(ReferenceData!$F$117),"",ReferenceData!$F$117),"")</f>
        <v>10.145132739999999</v>
      </c>
    </row>
    <row r="118" spans="1:17" x14ac:dyDescent="0.25">
      <c r="A118" t="str">
        <f>IFERROR(IF(0=LEN(ReferenceData!$A$118),"",ReferenceData!$A$118),"")</f>
        <v xml:space="preserve">    CGI Inc</v>
      </c>
      <c r="B118" t="str">
        <f>IFERROR(IF(0=LEN(ReferenceData!$B$118),"",ReferenceData!$B$118),"")</f>
        <v>GIB US Equity</v>
      </c>
      <c r="C118" t="str">
        <f>IFERROR(IF(0=LEN(ReferenceData!$C$118),"",ReferenceData!$C$118),"")</f>
        <v>RR026</v>
      </c>
      <c r="D118" t="str">
        <f>IFERROR(IF(0=LEN(ReferenceData!$D$118),"",ReferenceData!$D$118),"")</f>
        <v>OPER_MARGIN</v>
      </c>
      <c r="E118" t="str">
        <f>IFERROR(IF(0=LEN(ReferenceData!$E$118),"",ReferenceData!$E$118),"")</f>
        <v>Dynamic</v>
      </c>
      <c r="F118">
        <f ca="1">IFERROR(IF(0=LEN(ReferenceData!$Q$118),"",ReferenceData!$Q$118),"")</f>
        <v>11.65534182</v>
      </c>
      <c r="G118">
        <f ca="1">IFERROR(IF(0=LEN(ReferenceData!$P$118),"",ReferenceData!$P$118),"")</f>
        <v>11.99933807</v>
      </c>
      <c r="H118">
        <f ca="1">IFERROR(IF(0=LEN(ReferenceData!$O$118),"",ReferenceData!$O$118),"")</f>
        <v>13.14460399</v>
      </c>
      <c r="I118">
        <f ca="1">IFERROR(IF(0=LEN(ReferenceData!$N$118),"",ReferenceData!$N$118),"")</f>
        <v>12.5311143</v>
      </c>
      <c r="J118">
        <f ca="1">IFERROR(IF(0=LEN(ReferenceData!$M$118),"",ReferenceData!$M$118),"")</f>
        <v>6.0895715289999997</v>
      </c>
      <c r="K118">
        <f ca="1">IFERROR(IF(0=LEN(ReferenceData!$L$118),"",ReferenceData!$L$118),"")</f>
        <v>7.2771676960000002</v>
      </c>
      <c r="L118">
        <f ca="1">IFERROR(IF(0=LEN(ReferenceData!$K$118),"",ReferenceData!$K$118),"")</f>
        <v>11.8342519</v>
      </c>
      <c r="M118">
        <f ca="1">IFERROR(IF(0=LEN(ReferenceData!$J$118),"",ReferenceData!$J$118),"")</f>
        <v>13.92169374</v>
      </c>
      <c r="N118">
        <f ca="1">IFERROR(IF(0=LEN(ReferenceData!$I$118),"",ReferenceData!$I$118),"")</f>
        <v>14.35174681</v>
      </c>
      <c r="O118">
        <f ca="1">IFERROR(IF(0=LEN(ReferenceData!$H$118),"",ReferenceData!$H$118),"")</f>
        <v>13.724886509999999</v>
      </c>
      <c r="P118">
        <f ca="1">IFERROR(IF(0=LEN(ReferenceData!$G$118),"",ReferenceData!$G$118),"")</f>
        <v>13.6194389</v>
      </c>
      <c r="Q118">
        <f ca="1">IFERROR(IF(0=LEN(ReferenceData!$F$118),"",ReferenceData!$F$118),"")</f>
        <v>14.44784001</v>
      </c>
    </row>
    <row r="119" spans="1:17" x14ac:dyDescent="0.25">
      <c r="A119" t="str">
        <f>IFERROR(IF(0=LEN(ReferenceData!$A$119),"",ReferenceData!$A$119),"")</f>
        <v xml:space="preserve">    Cognizant Technology Solutions Corp</v>
      </c>
      <c r="B119" t="str">
        <f>IFERROR(IF(0=LEN(ReferenceData!$B$119),"",ReferenceData!$B$119),"")</f>
        <v>CTSH US Equity</v>
      </c>
      <c r="C119" t="str">
        <f>IFERROR(IF(0=LEN(ReferenceData!$C$119),"",ReferenceData!$C$119),"")</f>
        <v>RR026</v>
      </c>
      <c r="D119" t="str">
        <f>IFERROR(IF(0=LEN(ReferenceData!$D$119),"",ReferenceData!$D$119),"")</f>
        <v>OPER_MARGIN</v>
      </c>
      <c r="E119" t="str">
        <f>IFERROR(IF(0=LEN(ReferenceData!$E$119),"",ReferenceData!$E$119),"")</f>
        <v>Dynamic</v>
      </c>
      <c r="F119">
        <f ca="1">IFERROR(IF(0=LEN(ReferenceData!$Q$119),"",ReferenceData!$Q$119),"")</f>
        <v>18.345675750000002</v>
      </c>
      <c r="G119">
        <f ca="1">IFERROR(IF(0=LEN(ReferenceData!$P$119),"",ReferenceData!$P$119),"")</f>
        <v>18.864091859999998</v>
      </c>
      <c r="H119">
        <f ca="1">IFERROR(IF(0=LEN(ReferenceData!$O$119),"",ReferenceData!$O$119),"")</f>
        <v>18.766964210000001</v>
      </c>
      <c r="I119">
        <f ca="1">IFERROR(IF(0=LEN(ReferenceData!$N$119),"",ReferenceData!$N$119),"")</f>
        <v>18.566231609999999</v>
      </c>
      <c r="J119">
        <f ca="1">IFERROR(IF(0=LEN(ReferenceData!$M$119),"",ReferenceData!$M$119),"")</f>
        <v>18.53265077</v>
      </c>
      <c r="K119">
        <f ca="1">IFERROR(IF(0=LEN(ReferenceData!$L$119),"",ReferenceData!$L$119),"")</f>
        <v>18.97403753</v>
      </c>
      <c r="L119">
        <f ca="1">IFERROR(IF(0=LEN(ReferenceData!$K$119),"",ReferenceData!$K$119),"")</f>
        <v>18.36651174</v>
      </c>
      <c r="M119">
        <f ca="1">IFERROR(IF(0=LEN(ReferenceData!$J$119),"",ReferenceData!$J$119),"")</f>
        <v>17.25193299</v>
      </c>
      <c r="N119">
        <f ca="1">IFERROR(IF(0=LEN(ReferenceData!$I$119),"",ReferenceData!$I$119),"")</f>
        <v>16.97189887</v>
      </c>
      <c r="O119">
        <f ca="1">IFERROR(IF(0=LEN(ReferenceData!$H$119),"",ReferenceData!$H$119),"")</f>
        <v>16.752194459999998</v>
      </c>
      <c r="P119">
        <f ca="1">IFERROR(IF(0=LEN(ReferenceData!$G$119),"",ReferenceData!$G$119),"")</f>
        <v>17.37054264</v>
      </c>
      <c r="Q119">
        <f ca="1">IFERROR(IF(0=LEN(ReferenceData!$F$119),"",ReferenceData!$F$119),"")</f>
        <v>14.615980459999999</v>
      </c>
    </row>
    <row r="120" spans="1:17" x14ac:dyDescent="0.25">
      <c r="A120" t="str">
        <f>IFERROR(IF(0=LEN(ReferenceData!$A$120),"",ReferenceData!$A$120),"")</f>
        <v xml:space="preserve">    Conduent Inc</v>
      </c>
      <c r="B120" t="str">
        <f>IFERROR(IF(0=LEN(ReferenceData!$B$120),"",ReferenceData!$B$120),"")</f>
        <v>CNDT US Equity</v>
      </c>
      <c r="C120" t="str">
        <f>IFERROR(IF(0=LEN(ReferenceData!$C$120),"",ReferenceData!$C$120),"")</f>
        <v>RR026</v>
      </c>
      <c r="D120" t="str">
        <f>IFERROR(IF(0=LEN(ReferenceData!$D$120),"",ReferenceData!$D$120),"")</f>
        <v>OPER_MARGIN</v>
      </c>
      <c r="E120" t="str">
        <f>IFERROR(IF(0=LEN(ReferenceData!$E$120),"",ReferenceData!$E$120),"")</f>
        <v>Dynamic</v>
      </c>
      <c r="F120" t="str">
        <f ca="1">IFERROR(IF(0=LEN(ReferenceData!$Q$120),"",ReferenceData!$Q$120),"")</f>
        <v/>
      </c>
      <c r="G120" t="str">
        <f ca="1">IFERROR(IF(0=LEN(ReferenceData!$P$120),"",ReferenceData!$P$120),"")</f>
        <v/>
      </c>
      <c r="H120" t="str">
        <f ca="1">IFERROR(IF(0=LEN(ReferenceData!$O$120),"",ReferenceData!$O$120),"")</f>
        <v/>
      </c>
      <c r="I120" t="str">
        <f ca="1">IFERROR(IF(0=LEN(ReferenceData!$N$120),"",ReferenceData!$N$120),"")</f>
        <v/>
      </c>
      <c r="J120" t="str">
        <f ca="1">IFERROR(IF(0=LEN(ReferenceData!$M$120),"",ReferenceData!$M$120),"")</f>
        <v/>
      </c>
      <c r="K120">
        <f ca="1">IFERROR(IF(0=LEN(ReferenceData!$L$120),"",ReferenceData!$L$120),"")</f>
        <v>4.0703590639999998</v>
      </c>
      <c r="L120">
        <f ca="1">IFERROR(IF(0=LEN(ReferenceData!$K$120),"",ReferenceData!$K$120),"")</f>
        <v>2.3349668490000002</v>
      </c>
      <c r="M120">
        <f ca="1">IFERROR(IF(0=LEN(ReferenceData!$J$120),"",ReferenceData!$J$120),"")</f>
        <v>-7.1299909939999999</v>
      </c>
      <c r="N120">
        <f ca="1">IFERROR(IF(0=LEN(ReferenceData!$I$120),"",ReferenceData!$I$120),"")</f>
        <v>-18.242821469999999</v>
      </c>
      <c r="O120">
        <f ca="1">IFERROR(IF(0=LEN(ReferenceData!$H$120),"",ReferenceData!$H$120),"")</f>
        <v>1.8930587839999999</v>
      </c>
      <c r="P120">
        <f ca="1">IFERROR(IF(0=LEN(ReferenceData!$G$120),"",ReferenceData!$G$120),"")</f>
        <v>-5.1548303359999998</v>
      </c>
      <c r="Q120">
        <f ca="1">IFERROR(IF(0=LEN(ReferenceData!$F$120),"",ReferenceData!$F$120),"")</f>
        <v>-45.399597040000003</v>
      </c>
    </row>
    <row r="121" spans="1:17" x14ac:dyDescent="0.25">
      <c r="A121" t="str">
        <f>IFERROR(IF(0=LEN(ReferenceData!$A$121),"",ReferenceData!$A$121),"")</f>
        <v xml:space="preserve">    DXC Technology Co</v>
      </c>
      <c r="B121" t="str">
        <f>IFERROR(IF(0=LEN(ReferenceData!$B$121),"",ReferenceData!$B$121),"")</f>
        <v>DXC US Equity</v>
      </c>
      <c r="C121" t="str">
        <f>IFERROR(IF(0=LEN(ReferenceData!$C$121),"",ReferenceData!$C$121),"")</f>
        <v>RR026</v>
      </c>
      <c r="D121" t="str">
        <f>IFERROR(IF(0=LEN(ReferenceData!$D$121),"",ReferenceData!$D$121),"")</f>
        <v>OPER_MARGIN</v>
      </c>
      <c r="E121" t="str">
        <f>IFERROR(IF(0=LEN(ReferenceData!$E$121),"",ReferenceData!$E$121),"")</f>
        <v>Dynamic</v>
      </c>
      <c r="F121" t="str">
        <f ca="1">IFERROR(IF(0=LEN(ReferenceData!$Q$121),"",ReferenceData!$Q$121),"")</f>
        <v/>
      </c>
      <c r="G121" t="str">
        <f ca="1">IFERROR(IF(0=LEN(ReferenceData!$P$121),"",ReferenceData!$P$121),"")</f>
        <v/>
      </c>
      <c r="H121" t="str">
        <f ca="1">IFERROR(IF(0=LEN(ReferenceData!$O$121),"",ReferenceData!$O$121),"")</f>
        <v/>
      </c>
      <c r="I121" t="str">
        <f ca="1">IFERROR(IF(0=LEN(ReferenceData!$N$121),"",ReferenceData!$N$121),"")</f>
        <v/>
      </c>
      <c r="J121" t="str">
        <f ca="1">IFERROR(IF(0=LEN(ReferenceData!$M$121),"",ReferenceData!$M$121),"")</f>
        <v/>
      </c>
      <c r="K121" t="str">
        <f ca="1">IFERROR(IF(0=LEN(ReferenceData!$L$121),"",ReferenceData!$L$121),"")</f>
        <v/>
      </c>
      <c r="L121" t="str">
        <f ca="1">IFERROR(IF(0=LEN(ReferenceData!$K$121),"",ReferenceData!$K$121),"")</f>
        <v/>
      </c>
      <c r="M121" t="str">
        <f ca="1">IFERROR(IF(0=LEN(ReferenceData!$J$121),"",ReferenceData!$J$121),"")</f>
        <v/>
      </c>
      <c r="N121">
        <f ca="1">IFERROR(IF(0=LEN(ReferenceData!$I$121),"",ReferenceData!$I$121),"")</f>
        <v>-0.37016618099999998</v>
      </c>
      <c r="O121">
        <f ca="1">IFERROR(IF(0=LEN(ReferenceData!$H$121),"",ReferenceData!$H$121),"")</f>
        <v>7.0629917640000004</v>
      </c>
      <c r="P121">
        <f ca="1">IFERROR(IF(0=LEN(ReferenceData!$G$121),"",ReferenceData!$G$121),"")</f>
        <v>8.2927769480000002</v>
      </c>
      <c r="Q121">
        <f ca="1">IFERROR(IF(0=LEN(ReferenceData!$F$121),"",ReferenceData!$F$121),"")</f>
        <v>-29.269040199999999</v>
      </c>
    </row>
    <row r="122" spans="1:17" x14ac:dyDescent="0.25">
      <c r="A122" t="str">
        <f>IFERROR(IF(0=LEN(ReferenceData!$A$122),"",ReferenceData!$A$122),"")</f>
        <v xml:space="preserve">    EPAM Systems Inc</v>
      </c>
      <c r="B122" t="str">
        <f>IFERROR(IF(0=LEN(ReferenceData!$B$122),"",ReferenceData!$B$122),"")</f>
        <v>EPAM US Equity</v>
      </c>
      <c r="C122" t="str">
        <f>IFERROR(IF(0=LEN(ReferenceData!$C$122),"",ReferenceData!$C$122),"")</f>
        <v>RR026</v>
      </c>
      <c r="D122" t="str">
        <f>IFERROR(IF(0=LEN(ReferenceData!$D$122),"",ReferenceData!$D$122),"")</f>
        <v>OPER_MARGIN</v>
      </c>
      <c r="E122" t="str">
        <f>IFERROR(IF(0=LEN(ReferenceData!$E$122),"",ReferenceData!$E$122),"")</f>
        <v>Dynamic</v>
      </c>
      <c r="F122">
        <f ca="1">IFERROR(IF(0=LEN(ReferenceData!$Q$122),"",ReferenceData!$Q$122),"")</f>
        <v>6.3654813490000004</v>
      </c>
      <c r="G122">
        <f ca="1">IFERROR(IF(0=LEN(ReferenceData!$P$122),"",ReferenceData!$P$122),"")</f>
        <v>10.659001330000001</v>
      </c>
      <c r="H122">
        <f ca="1">IFERROR(IF(0=LEN(ReferenceData!$O$122),"",ReferenceData!$O$122),"")</f>
        <v>14.781989319999999</v>
      </c>
      <c r="I122">
        <f ca="1">IFERROR(IF(0=LEN(ReferenceData!$N$122),"",ReferenceData!$N$122),"")</f>
        <v>16.443466619999999</v>
      </c>
      <c r="J122">
        <f ca="1">IFERROR(IF(0=LEN(ReferenceData!$M$122),"",ReferenceData!$M$122),"")</f>
        <v>15.21580271</v>
      </c>
      <c r="K122">
        <f ca="1">IFERROR(IF(0=LEN(ReferenceData!$L$122),"",ReferenceData!$L$122),"")</f>
        <v>13.779617630000001</v>
      </c>
      <c r="L122">
        <f ca="1">IFERROR(IF(0=LEN(ReferenceData!$K$122),"",ReferenceData!$K$122),"")</f>
        <v>11.80545377</v>
      </c>
      <c r="M122">
        <f ca="1">IFERROR(IF(0=LEN(ReferenceData!$J$122),"",ReferenceData!$J$122),"")</f>
        <v>11.59214027</v>
      </c>
      <c r="N122">
        <f ca="1">IFERROR(IF(0=LEN(ReferenceData!$I$122),"",ReferenceData!$I$122),"")</f>
        <v>11.524205869999999</v>
      </c>
      <c r="O122">
        <f ca="1">IFERROR(IF(0=LEN(ReferenceData!$H$122),"",ReferenceData!$H$122),"")</f>
        <v>11.92362636</v>
      </c>
      <c r="P122">
        <f ca="1">IFERROR(IF(0=LEN(ReferenceData!$G$122),"",ReferenceData!$G$122),"")</f>
        <v>13.33563404</v>
      </c>
      <c r="Q122">
        <f ca="1">IFERROR(IF(0=LEN(ReferenceData!$F$122),"",ReferenceData!$F$122),"")</f>
        <v>13.20299346</v>
      </c>
    </row>
    <row r="123" spans="1:17" x14ac:dyDescent="0.25">
      <c r="A123" t="str">
        <f>IFERROR(IF(0=LEN(ReferenceData!$A$123),"",ReferenceData!$A$123),"")</f>
        <v xml:space="preserve">    Genpact Ltd</v>
      </c>
      <c r="B123" t="str">
        <f>IFERROR(IF(0=LEN(ReferenceData!$B$123),"",ReferenceData!$B$123),"")</f>
        <v>G US Equity</v>
      </c>
      <c r="C123" t="str">
        <f>IFERROR(IF(0=LEN(ReferenceData!$C$123),"",ReferenceData!$C$123),"")</f>
        <v>RR026</v>
      </c>
      <c r="D123" t="str">
        <f>IFERROR(IF(0=LEN(ReferenceData!$D$123),"",ReferenceData!$D$123),"")</f>
        <v>OPER_MARGIN</v>
      </c>
      <c r="E123" t="str">
        <f>IFERROR(IF(0=LEN(ReferenceData!$E$123),"",ReferenceData!$E$123),"")</f>
        <v>Dynamic</v>
      </c>
      <c r="F123">
        <f ca="1">IFERROR(IF(0=LEN(ReferenceData!$Q$123),"",ReferenceData!$Q$123),"")</f>
        <v>12.846556700000001</v>
      </c>
      <c r="G123">
        <f ca="1">IFERROR(IF(0=LEN(ReferenceData!$P$123),"",ReferenceData!$P$123),"")</f>
        <v>14.47943925</v>
      </c>
      <c r="H123">
        <f ca="1">IFERROR(IF(0=LEN(ReferenceData!$O$123),"",ReferenceData!$O$123),"")</f>
        <v>14.127817889999999</v>
      </c>
      <c r="I123">
        <f ca="1">IFERROR(IF(0=LEN(ReferenceData!$N$123),"",ReferenceData!$N$123),"")</f>
        <v>13.5115681</v>
      </c>
      <c r="J123">
        <f ca="1">IFERROR(IF(0=LEN(ReferenceData!$M$123),"",ReferenceData!$M$123),"")</f>
        <v>13.8984769</v>
      </c>
      <c r="K123">
        <f ca="1">IFERROR(IF(0=LEN(ReferenceData!$L$123),"",ReferenceData!$L$123),"")</f>
        <v>14.518172399999999</v>
      </c>
      <c r="L123">
        <f ca="1">IFERROR(IF(0=LEN(ReferenceData!$K$123),"",ReferenceData!$K$123),"")</f>
        <v>12.899276049999999</v>
      </c>
      <c r="M123">
        <f ca="1">IFERROR(IF(0=LEN(ReferenceData!$J$123),"",ReferenceData!$J$123),"")</f>
        <v>13.57927774</v>
      </c>
      <c r="N123">
        <f ca="1">IFERROR(IF(0=LEN(ReferenceData!$I$123),"",ReferenceData!$I$123),"")</f>
        <v>13.27259374</v>
      </c>
      <c r="O123">
        <f ca="1">IFERROR(IF(0=LEN(ReferenceData!$H$123),"",ReferenceData!$H$123),"")</f>
        <v>12.104040700000001</v>
      </c>
      <c r="P123">
        <f ca="1">IFERROR(IF(0=LEN(ReferenceData!$G$123),"",ReferenceData!$G$123),"")</f>
        <v>11.602011470000001</v>
      </c>
      <c r="Q123">
        <f ca="1">IFERROR(IF(0=LEN(ReferenceData!$F$123),"",ReferenceData!$F$123),"")</f>
        <v>12.1963004</v>
      </c>
    </row>
    <row r="124" spans="1:17" x14ac:dyDescent="0.25">
      <c r="A124" t="str">
        <f>IFERROR(IF(0=LEN(ReferenceData!$A$124),"",ReferenceData!$A$124),"")</f>
        <v xml:space="preserve">    HCL Technologies Ltd</v>
      </c>
      <c r="B124" t="str">
        <f>IFERROR(IF(0=LEN(ReferenceData!$B$124),"",ReferenceData!$B$124),"")</f>
        <v>HCLT IN Equity</v>
      </c>
      <c r="C124" t="str">
        <f>IFERROR(IF(0=LEN(ReferenceData!$C$124),"",ReferenceData!$C$124),"")</f>
        <v>RR026</v>
      </c>
      <c r="D124" t="str">
        <f>IFERROR(IF(0=LEN(ReferenceData!$D$124),"",ReferenceData!$D$124),"")</f>
        <v>OPER_MARGIN</v>
      </c>
      <c r="E124" t="str">
        <f>IFERROR(IF(0=LEN(ReferenceData!$E$124),"",ReferenceData!$E$124),"")</f>
        <v>Dynamic</v>
      </c>
      <c r="F124">
        <f ca="1">IFERROR(IF(0=LEN(ReferenceData!$Q$124),"",ReferenceData!$Q$124),"")</f>
        <v>16.551589969999998</v>
      </c>
      <c r="G124">
        <f ca="1">IFERROR(IF(0=LEN(ReferenceData!$P$124),"",ReferenceData!$P$124),"")</f>
        <v>12.54460795</v>
      </c>
      <c r="H124">
        <f ca="1">IFERROR(IF(0=LEN(ReferenceData!$O$124),"",ReferenceData!$O$124),"")</f>
        <v>12.76106248</v>
      </c>
      <c r="I124">
        <f ca="1">IFERROR(IF(0=LEN(ReferenceData!$N$124),"",ReferenceData!$N$124),"")</f>
        <v>15.2687279</v>
      </c>
      <c r="J124">
        <f ca="1">IFERROR(IF(0=LEN(ReferenceData!$M$124),"",ReferenceData!$M$124),"")</f>
        <v>19.64109384</v>
      </c>
      <c r="K124">
        <f ca="1">IFERROR(IF(0=LEN(ReferenceData!$L$124),"",ReferenceData!$L$124),"")</f>
        <v>24.10164558</v>
      </c>
      <c r="L124" t="str">
        <f ca="1">IFERROR(IF(0=LEN(ReferenceData!$K$124),"",ReferenceData!$K$124),"")</f>
        <v/>
      </c>
      <c r="M124">
        <f ca="1">IFERROR(IF(0=LEN(ReferenceData!$J$124),"",ReferenceData!$J$124),"")</f>
        <v>20.06286686</v>
      </c>
      <c r="N124">
        <f ca="1">IFERROR(IF(0=LEN(ReferenceData!$I$124),"",ReferenceData!$I$124),"")</f>
        <v>20.090216999999999</v>
      </c>
      <c r="O124">
        <f ca="1">IFERROR(IF(0=LEN(ReferenceData!$H$124),"",ReferenceData!$H$124),"")</f>
        <v>19.504043979999999</v>
      </c>
      <c r="P124">
        <f ca="1">IFERROR(IF(0=LEN(ReferenceData!$G$124),"",ReferenceData!$G$124),"")</f>
        <v>19.49863306</v>
      </c>
      <c r="Q124">
        <f ca="1">IFERROR(IF(0=LEN(ReferenceData!$F$124),"",ReferenceData!$F$124),"")</f>
        <v>19.58132045</v>
      </c>
    </row>
    <row r="125" spans="1:17" x14ac:dyDescent="0.25">
      <c r="A125" t="str">
        <f>IFERROR(IF(0=LEN(ReferenceData!$A$125),"",ReferenceData!$A$125),"")</f>
        <v xml:space="preserve">    Indra Sistemas SA</v>
      </c>
      <c r="B125" t="str">
        <f>IFERROR(IF(0=LEN(ReferenceData!$B$125),"",ReferenceData!$B$125),"")</f>
        <v>IDR SM Equity</v>
      </c>
      <c r="C125" t="str">
        <f>IFERROR(IF(0=LEN(ReferenceData!$C$125),"",ReferenceData!$C$125),"")</f>
        <v>RR026</v>
      </c>
      <c r="D125" t="str">
        <f>IFERROR(IF(0=LEN(ReferenceData!$D$125),"",ReferenceData!$D$125),"")</f>
        <v>OPER_MARGIN</v>
      </c>
      <c r="E125" t="str">
        <f>IFERROR(IF(0=LEN(ReferenceData!$E$125),"",ReferenceData!$E$125),"")</f>
        <v>Dynamic</v>
      </c>
      <c r="F125">
        <f ca="1">IFERROR(IF(0=LEN(ReferenceData!$Q$125),"",ReferenceData!$Q$125),"")</f>
        <v>11.404773560000001</v>
      </c>
      <c r="G125">
        <f ca="1">IFERROR(IF(0=LEN(ReferenceData!$P$125),"",ReferenceData!$P$125),"")</f>
        <v>11.3559869</v>
      </c>
      <c r="H125">
        <f ca="1">IFERROR(IF(0=LEN(ReferenceData!$O$125),"",ReferenceData!$O$125),"")</f>
        <v>9.8518131499999999</v>
      </c>
      <c r="I125">
        <f ca="1">IFERROR(IF(0=LEN(ReferenceData!$N$125),"",ReferenceData!$N$125),"")</f>
        <v>9.9601821840000007</v>
      </c>
      <c r="J125">
        <f ca="1">IFERROR(IF(0=LEN(ReferenceData!$M$125),"",ReferenceData!$M$125),"")</f>
        <v>7.3855993580000003</v>
      </c>
      <c r="K125">
        <f ca="1">IFERROR(IF(0=LEN(ReferenceData!$L$125),"",ReferenceData!$L$125),"")</f>
        <v>6.8044280290000003</v>
      </c>
      <c r="L125">
        <f ca="1">IFERROR(IF(0=LEN(ReferenceData!$K$125),"",ReferenceData!$K$125),"")</f>
        <v>-1.445733921</v>
      </c>
      <c r="M125">
        <f ca="1">IFERROR(IF(0=LEN(ReferenceData!$J$125),"",ReferenceData!$J$125),"")</f>
        <v>-22.504248520000001</v>
      </c>
      <c r="N125">
        <f ca="1">IFERROR(IF(0=LEN(ReferenceData!$I$125),"",ReferenceData!$I$125),"")</f>
        <v>5.9623756050000001</v>
      </c>
      <c r="O125">
        <f ca="1">IFERROR(IF(0=LEN(ReferenceData!$H$125),"",ReferenceData!$H$125),"")</f>
        <v>6.4970164979999998</v>
      </c>
      <c r="P125">
        <f ca="1">IFERROR(IF(0=LEN(ReferenceData!$G$125),"",ReferenceData!$G$125),"")</f>
        <v>6.422584402</v>
      </c>
      <c r="Q125">
        <f ca="1">IFERROR(IF(0=LEN(ReferenceData!$F$125),"",ReferenceData!$F$125),"")</f>
        <v>6.8984459439999997</v>
      </c>
    </row>
    <row r="126" spans="1:17" x14ac:dyDescent="0.25">
      <c r="A126" t="str">
        <f>IFERROR(IF(0=LEN(ReferenceData!$A$126),"",ReferenceData!$A$126),"")</f>
        <v xml:space="preserve">    Infosys Ltd</v>
      </c>
      <c r="B126" t="str">
        <f>IFERROR(IF(0=LEN(ReferenceData!$B$126),"",ReferenceData!$B$126),"")</f>
        <v>INFY US Equity</v>
      </c>
      <c r="C126" t="str">
        <f>IFERROR(IF(0=LEN(ReferenceData!$C$126),"",ReferenceData!$C$126),"")</f>
        <v>RR026</v>
      </c>
      <c r="D126" t="str">
        <f>IFERROR(IF(0=LEN(ReferenceData!$D$126),"",ReferenceData!$D$126),"")</f>
        <v>OPER_MARGIN</v>
      </c>
      <c r="E126" t="str">
        <f>IFERROR(IF(0=LEN(ReferenceData!$E$126),"",ReferenceData!$E$126),"")</f>
        <v>Dynamic</v>
      </c>
      <c r="F126">
        <f ca="1">IFERROR(IF(0=LEN(ReferenceData!$Q$126),"",ReferenceData!$Q$126),"")</f>
        <v>31.68303139</v>
      </c>
      <c r="G126">
        <f ca="1">IFERROR(IF(0=LEN(ReferenceData!$P$126),"",ReferenceData!$P$126),"")</f>
        <v>30.252396449999999</v>
      </c>
      <c r="H126">
        <f ca="1">IFERROR(IF(0=LEN(ReferenceData!$O$126),"",ReferenceData!$O$126),"")</f>
        <v>29.351659940000001</v>
      </c>
      <c r="I126">
        <f ca="1">IFERROR(IF(0=LEN(ReferenceData!$N$126),"",ReferenceData!$N$126),"")</f>
        <v>28.834410389999999</v>
      </c>
      <c r="J126">
        <f ca="1">IFERROR(IF(0=LEN(ReferenceData!$M$126),"",ReferenceData!$M$126),"")</f>
        <v>25.205689929999998</v>
      </c>
      <c r="K126">
        <f ca="1">IFERROR(IF(0=LEN(ReferenceData!$L$126),"",ReferenceData!$L$126),"")</f>
        <v>23.559332179999998</v>
      </c>
      <c r="L126">
        <f ca="1">IFERROR(IF(0=LEN(ReferenceData!$K$126),"",ReferenceData!$K$126),"")</f>
        <v>25.05110749</v>
      </c>
      <c r="M126">
        <f ca="1">IFERROR(IF(0=LEN(ReferenceData!$J$126),"",ReferenceData!$J$126),"")</f>
        <v>25.01561474</v>
      </c>
      <c r="N126">
        <f ca="1">IFERROR(IF(0=LEN(ReferenceData!$I$126),"",ReferenceData!$I$126),"")</f>
        <v>24.67875708</v>
      </c>
      <c r="O126">
        <f ca="1">IFERROR(IF(0=LEN(ReferenceData!$H$126),"",ReferenceData!$H$126),"")</f>
        <v>24.315816340000001</v>
      </c>
      <c r="P126">
        <f ca="1">IFERROR(IF(0=LEN(ReferenceData!$G$126),"",ReferenceData!$G$126),"")</f>
        <v>22.836407619999999</v>
      </c>
      <c r="Q126">
        <f ca="1">IFERROR(IF(0=LEN(ReferenceData!$F$126),"",ReferenceData!$F$126),"")</f>
        <v>21.339119520000001</v>
      </c>
    </row>
    <row r="127" spans="1:17" x14ac:dyDescent="0.25">
      <c r="A127" t="str">
        <f>IFERROR(IF(0=LEN(ReferenceData!$A$127),"",ReferenceData!$A$127),"")</f>
        <v xml:space="preserve">    International Business Machines Corp</v>
      </c>
      <c r="B127" t="str">
        <f>IFERROR(IF(0=LEN(ReferenceData!$B$127),"",ReferenceData!$B$127),"")</f>
        <v>IBM US Equity</v>
      </c>
      <c r="C127" t="str">
        <f>IFERROR(IF(0=LEN(ReferenceData!$C$127),"",ReferenceData!$C$127),"")</f>
        <v>RR026</v>
      </c>
      <c r="D127" t="str">
        <f>IFERROR(IF(0=LEN(ReferenceData!$D$127),"",ReferenceData!$D$127),"")</f>
        <v>OPER_MARGIN</v>
      </c>
      <c r="E127" t="str">
        <f>IFERROR(IF(0=LEN(ReferenceData!$E$127),"",ReferenceData!$E$127),"")</f>
        <v>Dynamic</v>
      </c>
      <c r="F127">
        <f ca="1">IFERROR(IF(0=LEN(ReferenceData!$Q$127),"",ReferenceData!$Q$127),"")</f>
        <v>15.3797163</v>
      </c>
      <c r="G127">
        <f ca="1">IFERROR(IF(0=LEN(ReferenceData!$P$127),"",ReferenceData!$P$127),"")</f>
        <v>17.766661790000001</v>
      </c>
      <c r="H127">
        <f ca="1">IFERROR(IF(0=LEN(ReferenceData!$O$127),"",ReferenceData!$O$127),"")</f>
        <v>18.17362571</v>
      </c>
      <c r="I127">
        <f ca="1">IFERROR(IF(0=LEN(ReferenceData!$N$127),"",ReferenceData!$N$127),"")</f>
        <v>18.9737738</v>
      </c>
      <c r="J127">
        <f ca="1">IFERROR(IF(0=LEN(ReferenceData!$M$127),"",ReferenceData!$M$127),"")</f>
        <v>20.493030310000002</v>
      </c>
      <c r="K127">
        <f ca="1">IFERROR(IF(0=LEN(ReferenceData!$L$127),"",ReferenceData!$L$127),"")</f>
        <v>19.813555359999999</v>
      </c>
      <c r="L127">
        <f ca="1">IFERROR(IF(0=LEN(ReferenceData!$K$127),"",ReferenceData!$K$127),"")</f>
        <v>19.171704760000001</v>
      </c>
      <c r="M127">
        <f ca="1">IFERROR(IF(0=LEN(ReferenceData!$J$127),"",ReferenceData!$J$127),"")</f>
        <v>18.359207739999999</v>
      </c>
      <c r="N127">
        <f ca="1">IFERROR(IF(0=LEN(ReferenceData!$I$127),"",ReferenceData!$I$127),"")</f>
        <v>14.3570365</v>
      </c>
      <c r="O127">
        <f ca="1">IFERROR(IF(0=LEN(ReferenceData!$H$127),"",ReferenceData!$H$127),"")</f>
        <v>14.74999684</v>
      </c>
      <c r="P127">
        <f ca="1">IFERROR(IF(0=LEN(ReferenceData!$G$127),"",ReferenceData!$G$127),"")</f>
        <v>15.31705846</v>
      </c>
      <c r="Q127">
        <f ca="1">IFERROR(IF(0=LEN(ReferenceData!$F$127),"",ReferenceData!$F$127),"")</f>
        <v>12.826163040000001</v>
      </c>
    </row>
    <row r="128" spans="1:17" x14ac:dyDescent="0.25">
      <c r="A128" t="str">
        <f>IFERROR(IF(0=LEN(ReferenceData!$A$128),"",ReferenceData!$A$128),"")</f>
        <v xml:space="preserve">    Tata Consultancy Services Ltd</v>
      </c>
      <c r="B128" t="str">
        <f>IFERROR(IF(0=LEN(ReferenceData!$B$128),"",ReferenceData!$B$128),"")</f>
        <v>TCS IN Equity</v>
      </c>
      <c r="C128" t="str">
        <f>IFERROR(IF(0=LEN(ReferenceData!$C$128),"",ReferenceData!$C$128),"")</f>
        <v>RR026</v>
      </c>
      <c r="D128" t="str">
        <f>IFERROR(IF(0=LEN(ReferenceData!$D$128),"",ReferenceData!$D$128),"")</f>
        <v>OPER_MARGIN</v>
      </c>
      <c r="E128" t="str">
        <f>IFERROR(IF(0=LEN(ReferenceData!$E$128),"",ReferenceData!$E$128),"")</f>
        <v>Dynamic</v>
      </c>
      <c r="F128">
        <f ca="1">IFERROR(IF(0=LEN(ReferenceData!$Q$128),"",ReferenceData!$Q$128),"")</f>
        <v>23.750578869999998</v>
      </c>
      <c r="G128">
        <f ca="1">IFERROR(IF(0=LEN(ReferenceData!$P$128),"",ReferenceData!$P$128),"")</f>
        <v>26.753076700000001</v>
      </c>
      <c r="H128">
        <f ca="1">IFERROR(IF(0=LEN(ReferenceData!$O$128),"",ReferenceData!$O$128),"")</f>
        <v>27.979201870000001</v>
      </c>
      <c r="I128">
        <f ca="1">IFERROR(IF(0=LEN(ReferenceData!$N$128),"",ReferenceData!$N$128),"")</f>
        <v>27.646371739999999</v>
      </c>
      <c r="J128">
        <f ca="1">IFERROR(IF(0=LEN(ReferenceData!$M$128),"",ReferenceData!$M$128),"")</f>
        <v>26.92511511</v>
      </c>
      <c r="K128">
        <f ca="1">IFERROR(IF(0=LEN(ReferenceData!$L$128),"",ReferenceData!$L$128),"")</f>
        <v>29.101780040000001</v>
      </c>
      <c r="L128">
        <f ca="1">IFERROR(IF(0=LEN(ReferenceData!$K$128),"",ReferenceData!$K$128),"")</f>
        <v>24.08543366</v>
      </c>
      <c r="M128">
        <f ca="1">IFERROR(IF(0=LEN(ReferenceData!$J$128),"",ReferenceData!$J$128),"")</f>
        <v>26.498904700000001</v>
      </c>
      <c r="N128">
        <f ca="1">IFERROR(IF(0=LEN(ReferenceData!$I$128),"",ReferenceData!$I$128),"")</f>
        <v>25.705711820000001</v>
      </c>
      <c r="O128">
        <f ca="1">IFERROR(IF(0=LEN(ReferenceData!$H$128),"",ReferenceData!$H$128),"")</f>
        <v>24.777423970000001</v>
      </c>
      <c r="P128">
        <f ca="1">IFERROR(IF(0=LEN(ReferenceData!$G$128),"",ReferenceData!$G$128),"")</f>
        <v>25.569597779999999</v>
      </c>
      <c r="Q128">
        <f ca="1">IFERROR(IF(0=LEN(ReferenceData!$F$128),"",ReferenceData!$F$128),"")</f>
        <v>24.581233390000001</v>
      </c>
    </row>
    <row r="129" spans="1:17" x14ac:dyDescent="0.25">
      <c r="A129" t="str">
        <f>IFERROR(IF(0=LEN(ReferenceData!$A$129),"",ReferenceData!$A$129),"")</f>
        <v xml:space="preserve">    Tech Mahindra Ltd</v>
      </c>
      <c r="B129" t="str">
        <f>IFERROR(IF(0=LEN(ReferenceData!$B$129),"",ReferenceData!$B$129),"")</f>
        <v>TECHM IN Equity</v>
      </c>
      <c r="C129" t="str">
        <f>IFERROR(IF(0=LEN(ReferenceData!$C$129),"",ReferenceData!$C$129),"")</f>
        <v>RR026</v>
      </c>
      <c r="D129" t="str">
        <f>IFERROR(IF(0=LEN(ReferenceData!$D$129),"",ReferenceData!$D$129),"")</f>
        <v>OPER_MARGIN</v>
      </c>
      <c r="E129" t="str">
        <f>IFERROR(IF(0=LEN(ReferenceData!$E$129),"",ReferenceData!$E$129),"")</f>
        <v>Dynamic</v>
      </c>
      <c r="F129">
        <f ca="1">IFERROR(IF(0=LEN(ReferenceData!$Q$129),"",ReferenceData!$Q$129),"")</f>
        <v>26.268282299999999</v>
      </c>
      <c r="G129">
        <f ca="1">IFERROR(IF(0=LEN(ReferenceData!$P$129),"",ReferenceData!$P$129),"")</f>
        <v>21.591646130000001</v>
      </c>
      <c r="H129">
        <f ca="1">IFERROR(IF(0=LEN(ReferenceData!$O$129),"",ReferenceData!$O$129),"")</f>
        <v>16.726975599999999</v>
      </c>
      <c r="I129">
        <f ca="1">IFERROR(IF(0=LEN(ReferenceData!$N$129),"",ReferenceData!$N$129),"")</f>
        <v>13.80949779</v>
      </c>
      <c r="J129">
        <f ca="1">IFERROR(IF(0=LEN(ReferenceData!$M$129),"",ReferenceData!$M$129),"")</f>
        <v>17.8114679</v>
      </c>
      <c r="K129">
        <f ca="1">IFERROR(IF(0=LEN(ReferenceData!$L$129),"",ReferenceData!$L$129),"")</f>
        <v>19.444119929999999</v>
      </c>
      <c r="L129">
        <f ca="1">IFERROR(IF(0=LEN(ReferenceData!$K$129),"",ReferenceData!$K$129),"")</f>
        <v>15.65559893</v>
      </c>
      <c r="M129">
        <f ca="1">IFERROR(IF(0=LEN(ReferenceData!$J$129),"",ReferenceData!$J$129),"")</f>
        <v>13.25459912</v>
      </c>
      <c r="N129">
        <f ca="1">IFERROR(IF(0=LEN(ReferenceData!$I$129),"",ReferenceData!$I$129),"")</f>
        <v>11.00278647</v>
      </c>
      <c r="O129">
        <f ca="1">IFERROR(IF(0=LEN(ReferenceData!$H$129),"",ReferenceData!$H$129),"")</f>
        <v>11.77854541</v>
      </c>
      <c r="P129">
        <f ca="1">IFERROR(IF(0=LEN(ReferenceData!$G$129),"",ReferenceData!$G$129),"")</f>
        <v>14.989594759999999</v>
      </c>
      <c r="Q129">
        <f ca="1">IFERROR(IF(0=LEN(ReferenceData!$F$129),"",ReferenceData!$F$129),"")</f>
        <v>11.019894089999999</v>
      </c>
    </row>
    <row r="130" spans="1:17" x14ac:dyDescent="0.25">
      <c r="A130" t="str">
        <f>IFERROR(IF(0=LEN(ReferenceData!$A$130),"",ReferenceData!$A$130),"")</f>
        <v xml:space="preserve">    Wipro Ltd</v>
      </c>
      <c r="B130" t="str">
        <f>IFERROR(IF(0=LEN(ReferenceData!$B$130),"",ReferenceData!$B$130),"")</f>
        <v>WIT US Equity</v>
      </c>
      <c r="C130" t="str">
        <f>IFERROR(IF(0=LEN(ReferenceData!$C$130),"",ReferenceData!$C$130),"")</f>
        <v>RR026</v>
      </c>
      <c r="D130" t="str">
        <f>IFERROR(IF(0=LEN(ReferenceData!$D$130),"",ReferenceData!$D$130),"")</f>
        <v>OPER_MARGIN</v>
      </c>
      <c r="E130" t="str">
        <f>IFERROR(IF(0=LEN(ReferenceData!$E$130),"",ReferenceData!$E$130),"")</f>
        <v>Dynamic</v>
      </c>
      <c r="F130">
        <f ca="1">IFERROR(IF(0=LEN(ReferenceData!$Q$130),"",ReferenceData!$Q$130),"")</f>
        <v>17.500340470000001</v>
      </c>
      <c r="G130">
        <f ca="1">IFERROR(IF(0=LEN(ReferenceData!$P$130),"",ReferenceData!$P$130),"")</f>
        <v>19.090578369999999</v>
      </c>
      <c r="H130">
        <f ca="1">IFERROR(IF(0=LEN(ReferenceData!$O$130),"",ReferenceData!$O$130),"")</f>
        <v>18.426815049999998</v>
      </c>
      <c r="I130">
        <f ca="1">IFERROR(IF(0=LEN(ReferenceData!$N$130),"",ReferenceData!$N$130),"")</f>
        <v>16.327885779999999</v>
      </c>
      <c r="J130">
        <f ca="1">IFERROR(IF(0=LEN(ReferenceData!$M$130),"",ReferenceData!$M$130),"")</f>
        <v>17.994634690000002</v>
      </c>
      <c r="K130">
        <f ca="1">IFERROR(IF(0=LEN(ReferenceData!$L$130),"",ReferenceData!$L$130),"")</f>
        <v>19.80224239</v>
      </c>
      <c r="L130">
        <f ca="1">IFERROR(IF(0=LEN(ReferenceData!$K$130),"",ReferenceData!$K$130),"")</f>
        <v>19.547860159999999</v>
      </c>
      <c r="M130">
        <f ca="1">IFERROR(IF(0=LEN(ReferenceData!$J$130),"",ReferenceData!$J$130),"")</f>
        <v>18.14710015</v>
      </c>
      <c r="N130">
        <f ca="1">IFERROR(IF(0=LEN(ReferenceData!$I$130),"",ReferenceData!$I$130),"")</f>
        <v>16.277557130000002</v>
      </c>
      <c r="O130">
        <f ca="1">IFERROR(IF(0=LEN(ReferenceData!$H$130),"",ReferenceData!$H$130),"")</f>
        <v>15.197358639999999</v>
      </c>
      <c r="P130">
        <f ca="1">IFERROR(IF(0=LEN(ReferenceData!$G$130),"",ReferenceData!$G$130),"")</f>
        <v>16.505218960000001</v>
      </c>
      <c r="Q130">
        <f ca="1">IFERROR(IF(0=LEN(ReferenceData!$F$130),"",ReferenceData!$F$130),"")</f>
        <v>16.806886559999999</v>
      </c>
    </row>
    <row r="131" spans="1:17" x14ac:dyDescent="0.25">
      <c r="A131" t="str">
        <f>IFERROR(IF(0=LEN(ReferenceData!$A$131),"",ReferenceData!$A$131),"")</f>
        <v>EBITDA Margin</v>
      </c>
      <c r="B131" t="str">
        <f>IFERROR(IF(0=LEN(ReferenceData!$B$131),"",ReferenceData!$B$131),"")</f>
        <v>BRITBPOV Index</v>
      </c>
      <c r="C131" t="str">
        <f>IFERROR(IF(0=LEN(ReferenceData!$C$131),"",ReferenceData!$C$131),"")</f>
        <v/>
      </c>
      <c r="D131" t="str">
        <f>IFERROR(IF(0=LEN(ReferenceData!$D$131),"",ReferenceData!$D$131),"")</f>
        <v/>
      </c>
      <c r="E131" t="str">
        <f>IFERROR(IF(0=LEN(ReferenceData!$E$131),"",ReferenceData!$E$131),"")</f>
        <v>Average</v>
      </c>
      <c r="F131">
        <f ca="1">IFERROR(IF(0=LEN(ReferenceData!$Q$131),"",ReferenceData!$Q$131),"")</f>
        <v>19.043938778533334</v>
      </c>
      <c r="G131">
        <f ca="1">IFERROR(IF(0=LEN(ReferenceData!$P$131),"",ReferenceData!$P$131),"")</f>
        <v>18.766270195266667</v>
      </c>
      <c r="H131">
        <f ca="1">IFERROR(IF(0=LEN(ReferenceData!$O$131),"",ReferenceData!$O$131),"")</f>
        <v>18.825905985000002</v>
      </c>
      <c r="I131">
        <f ca="1">IFERROR(IF(0=LEN(ReferenceData!$N$131),"",ReferenceData!$N$131),"")</f>
        <v>18.427375169733338</v>
      </c>
      <c r="J131">
        <f ca="1">IFERROR(IF(0=LEN(ReferenceData!$M$131),"",ReferenceData!$M$131),"")</f>
        <v>18.116471793866666</v>
      </c>
      <c r="K131">
        <f ca="1">IFERROR(IF(0=LEN(ReferenceData!$L$131),"",ReferenceData!$L$131),"")</f>
        <v>18.5143620381875</v>
      </c>
      <c r="L131">
        <f ca="1">IFERROR(IF(0=LEN(ReferenceData!$K$131),"",ReferenceData!$K$131),"")</f>
        <v>16.802166195400002</v>
      </c>
      <c r="M131">
        <f ca="1">IFERROR(IF(0=LEN(ReferenceData!$J$131),"",ReferenceData!$J$131),"")</f>
        <v>15.202585471562502</v>
      </c>
      <c r="N131">
        <f ca="1">IFERROR(IF(0=LEN(ReferenceData!$I$131),"",ReferenceData!$I$131),"")</f>
        <v>15.52768856017647</v>
      </c>
      <c r="O131">
        <f ca="1">IFERROR(IF(0=LEN(ReferenceData!$H$131),"",ReferenceData!$H$131),"")</f>
        <v>17.039667132647057</v>
      </c>
      <c r="P131">
        <f ca="1">IFERROR(IF(0=LEN(ReferenceData!$G$131),"",ReferenceData!$G$131),"")</f>
        <v>16.921182897588238</v>
      </c>
      <c r="Q131">
        <f ca="1">IFERROR(IF(0=LEN(ReferenceData!$F$131),"",ReferenceData!$F$131),"")</f>
        <v>13.398578316470589</v>
      </c>
    </row>
    <row r="132" spans="1:17" x14ac:dyDescent="0.25">
      <c r="A132" t="str">
        <f>IFERROR(IF(0=LEN(ReferenceData!$A$132),"",ReferenceData!$A$132),"")</f>
        <v xml:space="preserve">    Accenture PLC</v>
      </c>
      <c r="B132" t="str">
        <f>IFERROR(IF(0=LEN(ReferenceData!$B$132),"",ReferenceData!$B$132),"")</f>
        <v>ACN US Equity</v>
      </c>
      <c r="C132" t="str">
        <f>IFERROR(IF(0=LEN(ReferenceData!$C$132),"",ReferenceData!$C$132),"")</f>
        <v>RX225</v>
      </c>
      <c r="D132" t="str">
        <f>IFERROR(IF(0=LEN(ReferenceData!$D$132),"",ReferenceData!$D$132),"")</f>
        <v>EBITDA_TO_REVENUE</v>
      </c>
      <c r="E132" t="str">
        <f>IFERROR(IF(0=LEN(ReferenceData!$E$132),"",ReferenceData!$E$132),"")</f>
        <v>Dynamic</v>
      </c>
      <c r="F132">
        <f ca="1">IFERROR(IF(0=LEN(ReferenceData!$Q$132),"",ReferenceData!$Q$132),"")</f>
        <v>13.838299279999999</v>
      </c>
      <c r="G132">
        <f ca="1">IFERROR(IF(0=LEN(ReferenceData!$P$132),"",ReferenceData!$P$132),"")</f>
        <v>13.56204022</v>
      </c>
      <c r="H132">
        <f ca="1">IFERROR(IF(0=LEN(ReferenceData!$O$132),"",ReferenceData!$O$132),"")</f>
        <v>14.6770657</v>
      </c>
      <c r="I132">
        <f ca="1">IFERROR(IF(0=LEN(ReferenceData!$N$132),"",ReferenceData!$N$132),"")</f>
        <v>14.564126509999999</v>
      </c>
      <c r="J132">
        <f ca="1">IFERROR(IF(0=LEN(ReferenceData!$M$132),"",ReferenceData!$M$132),"")</f>
        <v>14.99461095</v>
      </c>
      <c r="K132">
        <f ca="1">IFERROR(IF(0=LEN(ReferenceData!$L$132),"",ReferenceData!$L$132),"")</f>
        <v>16.225774019999999</v>
      </c>
      <c r="L132">
        <f ca="1">IFERROR(IF(0=LEN(ReferenceData!$K$132),"",ReferenceData!$K$132),"")</f>
        <v>15.43938734</v>
      </c>
      <c r="M132">
        <f ca="1">IFERROR(IF(0=LEN(ReferenceData!$J$132),"",ReferenceData!$J$132),"")</f>
        <v>15.439407360000001</v>
      </c>
      <c r="N132">
        <f ca="1">IFERROR(IF(0=LEN(ReferenceData!$I$132),"",ReferenceData!$I$132),"")</f>
        <v>15.919164800000001</v>
      </c>
      <c r="O132">
        <f ca="1">IFERROR(IF(0=LEN(ReferenceData!$H$132),"",ReferenceData!$H$132),"")</f>
        <v>14.78125213</v>
      </c>
      <c r="P132">
        <f ca="1">IFERROR(IF(0=LEN(ReferenceData!$G$132),"",ReferenceData!$G$132),"")</f>
        <v>16.650727180000001</v>
      </c>
      <c r="Q132">
        <f ca="1">IFERROR(IF(0=LEN(ReferenceData!$F$132),"",ReferenceData!$F$132),"")</f>
        <v>16.655864480000002</v>
      </c>
    </row>
    <row r="133" spans="1:17" x14ac:dyDescent="0.25">
      <c r="A133" t="str">
        <f>IFERROR(IF(0=LEN(ReferenceData!$A$133),"",ReferenceData!$A$133),"")</f>
        <v xml:space="preserve">    Amdocs Ltd</v>
      </c>
      <c r="B133" t="str">
        <f>IFERROR(IF(0=LEN(ReferenceData!$B$133),"",ReferenceData!$B$133),"")</f>
        <v>DOX US Equity</v>
      </c>
      <c r="C133" t="str">
        <f>IFERROR(IF(0=LEN(ReferenceData!$C$133),"",ReferenceData!$C$133),"")</f>
        <v>RX225</v>
      </c>
      <c r="D133" t="str">
        <f>IFERROR(IF(0=LEN(ReferenceData!$D$133),"",ReferenceData!$D$133),"")</f>
        <v>EBITDA_TO_REVENUE</v>
      </c>
      <c r="E133" t="str">
        <f>IFERROR(IF(0=LEN(ReferenceData!$E$133),"",ReferenceData!$E$133),"")</f>
        <v>Dynamic</v>
      </c>
      <c r="F133">
        <f ca="1">IFERROR(IF(0=LEN(ReferenceData!$Q$133),"",ReferenceData!$Q$133),"")</f>
        <v>19.36781805</v>
      </c>
      <c r="G133">
        <f ca="1">IFERROR(IF(0=LEN(ReferenceData!$P$133),"",ReferenceData!$P$133),"")</f>
        <v>19.752554230000001</v>
      </c>
      <c r="H133">
        <f ca="1">IFERROR(IF(0=LEN(ReferenceData!$O$133),"",ReferenceData!$O$133),"")</f>
        <v>20.319292489999999</v>
      </c>
      <c r="I133">
        <f ca="1">IFERROR(IF(0=LEN(ReferenceData!$N$133),"",ReferenceData!$N$133),"")</f>
        <v>18.435844729999999</v>
      </c>
      <c r="J133">
        <f ca="1">IFERROR(IF(0=LEN(ReferenceData!$M$133),"",ReferenceData!$M$133),"")</f>
        <v>18.543393500000001</v>
      </c>
      <c r="K133">
        <f ca="1">IFERROR(IF(0=LEN(ReferenceData!$L$133),"",ReferenceData!$L$133),"")</f>
        <v>18.599974769999999</v>
      </c>
      <c r="L133">
        <f ca="1">IFERROR(IF(0=LEN(ReferenceData!$K$133),"",ReferenceData!$K$133),"")</f>
        <v>18.476068130000002</v>
      </c>
      <c r="M133">
        <f ca="1">IFERROR(IF(0=LEN(ReferenceData!$J$133),"",ReferenceData!$J$133),"")</f>
        <v>18.95802926</v>
      </c>
      <c r="N133">
        <f ca="1">IFERROR(IF(0=LEN(ReferenceData!$I$133),"",ReferenceData!$I$133),"")</f>
        <v>18.689865520000001</v>
      </c>
      <c r="O133">
        <f ca="1">IFERROR(IF(0=LEN(ReferenceData!$H$133),"",ReferenceData!$H$133),"")</f>
        <v>18.93428114</v>
      </c>
      <c r="P133">
        <f ca="1">IFERROR(IF(0=LEN(ReferenceData!$G$133),"",ReferenceData!$G$133),"")</f>
        <v>16.089489960000002</v>
      </c>
      <c r="Q133">
        <f ca="1">IFERROR(IF(0=LEN(ReferenceData!$F$133),"",ReferenceData!$F$133),"")</f>
        <v>18.976775459999999</v>
      </c>
    </row>
    <row r="134" spans="1:17" x14ac:dyDescent="0.25">
      <c r="A134" t="str">
        <f>IFERROR(IF(0=LEN(ReferenceData!$A$134),"",ReferenceData!$A$134),"")</f>
        <v xml:space="preserve">    Atos SE</v>
      </c>
      <c r="B134" t="str">
        <f>IFERROR(IF(0=LEN(ReferenceData!$B$134),"",ReferenceData!$B$134),"")</f>
        <v>ATO FP Equity</v>
      </c>
      <c r="C134" t="str">
        <f>IFERROR(IF(0=LEN(ReferenceData!$C$134),"",ReferenceData!$C$134),"")</f>
        <v>RX225</v>
      </c>
      <c r="D134" t="str">
        <f>IFERROR(IF(0=LEN(ReferenceData!$D$134),"",ReferenceData!$D$134),"")</f>
        <v>EBITDA_TO_REVENUE</v>
      </c>
      <c r="E134" t="str">
        <f>IFERROR(IF(0=LEN(ReferenceData!$E$134),"",ReferenceData!$E$134),"")</f>
        <v>Dynamic</v>
      </c>
      <c r="F134">
        <f ca="1">IFERROR(IF(0=LEN(ReferenceData!$Q$134),"",ReferenceData!$Q$134),"")</f>
        <v>8.6920956700000005</v>
      </c>
      <c r="G134">
        <f ca="1">IFERROR(IF(0=LEN(ReferenceData!$P$134),"",ReferenceData!$P$134),"")</f>
        <v>4.9405110199999998</v>
      </c>
      <c r="H134">
        <f ca="1">IFERROR(IF(0=LEN(ReferenceData!$O$134),"",ReferenceData!$O$134),"")</f>
        <v>8.2420427840000006</v>
      </c>
      <c r="I134">
        <f ca="1">IFERROR(IF(0=LEN(ReferenceData!$N$134),"",ReferenceData!$N$134),"")</f>
        <v>9.4899082569999997</v>
      </c>
      <c r="J134">
        <f ca="1">IFERROR(IF(0=LEN(ReferenceData!$M$134),"",ReferenceData!$M$134),"")</f>
        <v>8.6971269630000005</v>
      </c>
      <c r="K134">
        <f ca="1">IFERROR(IF(0=LEN(ReferenceData!$L$134),"",ReferenceData!$L$134),"")</f>
        <v>9.1716388460000005</v>
      </c>
      <c r="L134">
        <f ca="1">IFERROR(IF(0=LEN(ReferenceData!$K$134),"",ReferenceData!$K$134),"")</f>
        <v>8.8828000710000001</v>
      </c>
      <c r="M134">
        <f ca="1">IFERROR(IF(0=LEN(ReferenceData!$J$134),"",ReferenceData!$J$134),"")</f>
        <v>9.9836226660000005</v>
      </c>
      <c r="N134">
        <f ca="1">IFERROR(IF(0=LEN(ReferenceData!$I$134),"",ReferenceData!$I$134),"")</f>
        <v>11.09930217</v>
      </c>
      <c r="O134">
        <f ca="1">IFERROR(IF(0=LEN(ReferenceData!$H$134),"",ReferenceData!$H$134),"")</f>
        <v>11.937312439999999</v>
      </c>
      <c r="P134">
        <f ca="1">IFERROR(IF(0=LEN(ReferenceData!$G$134),"",ReferenceData!$G$134),"")</f>
        <v>10.11457551</v>
      </c>
      <c r="Q134">
        <f ca="1">IFERROR(IF(0=LEN(ReferenceData!$F$134),"",ReferenceData!$F$134),"")</f>
        <v>12.84949948</v>
      </c>
    </row>
    <row r="135" spans="1:17" x14ac:dyDescent="0.25">
      <c r="A135" t="str">
        <f>IFERROR(IF(0=LEN(ReferenceData!$A$135),"",ReferenceData!$A$135),"")</f>
        <v xml:space="preserve">    Capgemini SE</v>
      </c>
      <c r="B135" t="str">
        <f>IFERROR(IF(0=LEN(ReferenceData!$B$135),"",ReferenceData!$B$135),"")</f>
        <v>CAP FP Equity</v>
      </c>
      <c r="C135" t="str">
        <f>IFERROR(IF(0=LEN(ReferenceData!$C$135),"",ReferenceData!$C$135),"")</f>
        <v>RX225</v>
      </c>
      <c r="D135" t="str">
        <f>IFERROR(IF(0=LEN(ReferenceData!$D$135),"",ReferenceData!$D$135),"")</f>
        <v>EBITDA_TO_REVENUE</v>
      </c>
      <c r="E135" t="str">
        <f>IFERROR(IF(0=LEN(ReferenceData!$E$135),"",ReferenceData!$E$135),"")</f>
        <v>Dynamic</v>
      </c>
      <c r="F135">
        <f ca="1">IFERROR(IF(0=LEN(ReferenceData!$Q$135),"",ReferenceData!$Q$135),"")</f>
        <v>11.26291619</v>
      </c>
      <c r="G135">
        <f ca="1">IFERROR(IF(0=LEN(ReferenceData!$P$135),"",ReferenceData!$P$135),"")</f>
        <v>5.9371640189999999</v>
      </c>
      <c r="H135">
        <f ca="1">IFERROR(IF(0=LEN(ReferenceData!$O$135),"",ReferenceData!$O$135),"")</f>
        <v>7.6463148209999998</v>
      </c>
      <c r="I135">
        <f ca="1">IFERROR(IF(0=LEN(ReferenceData!$N$135),"",ReferenceData!$N$135),"")</f>
        <v>8.0779944290000003</v>
      </c>
      <c r="J135">
        <f ca="1">IFERROR(IF(0=LEN(ReferenceData!$M$135),"",ReferenceData!$M$135),"")</f>
        <v>8.1254871400000006</v>
      </c>
      <c r="K135">
        <f ca="1">IFERROR(IF(0=LEN(ReferenceData!$L$135),"",ReferenceData!$L$135),"")</f>
        <v>9.1954022989999995</v>
      </c>
      <c r="L135">
        <f ca="1">IFERROR(IF(0=LEN(ReferenceData!$K$135),"",ReferenceData!$K$135),"")</f>
        <v>9.9971625839999998</v>
      </c>
      <c r="M135">
        <f ca="1">IFERROR(IF(0=LEN(ReferenceData!$J$135),"",ReferenceData!$J$135),"")</f>
        <v>10.79311792</v>
      </c>
      <c r="N135">
        <f ca="1">IFERROR(IF(0=LEN(ReferenceData!$I$135),"",ReferenceData!$I$135),"")</f>
        <v>11.539995210000001</v>
      </c>
      <c r="O135">
        <f ca="1">IFERROR(IF(0=LEN(ReferenceData!$H$135),"",ReferenceData!$H$135),"")</f>
        <v>11.84830339</v>
      </c>
      <c r="P135">
        <f ca="1">IFERROR(IF(0=LEN(ReferenceData!$G$135),"",ReferenceData!$G$135),"")</f>
        <v>11.767826019999999</v>
      </c>
      <c r="Q135">
        <f ca="1">IFERROR(IF(0=LEN(ReferenceData!$F$135),"",ReferenceData!$F$135),"")</f>
        <v>14.00353982</v>
      </c>
    </row>
    <row r="136" spans="1:17" x14ac:dyDescent="0.25">
      <c r="A136" t="str">
        <f>IFERROR(IF(0=LEN(ReferenceData!$A$136),"",ReferenceData!$A$136),"")</f>
        <v xml:space="preserve">    CGI Inc</v>
      </c>
      <c r="B136" t="str">
        <f>IFERROR(IF(0=LEN(ReferenceData!$B$136),"",ReferenceData!$B$136),"")</f>
        <v>GIB US Equity</v>
      </c>
      <c r="C136" t="str">
        <f>IFERROR(IF(0=LEN(ReferenceData!$C$136),"",ReferenceData!$C$136),"")</f>
        <v>RX225</v>
      </c>
      <c r="D136" t="str">
        <f>IFERROR(IF(0=LEN(ReferenceData!$D$136),"",ReferenceData!$D$136),"")</f>
        <v>EBITDA_TO_REVENUE</v>
      </c>
      <c r="E136" t="str">
        <f>IFERROR(IF(0=LEN(ReferenceData!$E$136),"",ReferenceData!$E$136),"")</f>
        <v>Dynamic</v>
      </c>
      <c r="F136">
        <f ca="1">IFERROR(IF(0=LEN(ReferenceData!$Q$136),"",ReferenceData!$Q$136),"")</f>
        <v>16.677653759999998</v>
      </c>
      <c r="G136">
        <f ca="1">IFERROR(IF(0=LEN(ReferenceData!$P$136),"",ReferenceData!$P$136),"")</f>
        <v>17.700718999999999</v>
      </c>
      <c r="H136">
        <f ca="1">IFERROR(IF(0=LEN(ReferenceData!$O$136),"",ReferenceData!$O$136),"")</f>
        <v>19.032415109999999</v>
      </c>
      <c r="I136">
        <f ca="1">IFERROR(IF(0=LEN(ReferenceData!$N$136),"",ReferenceData!$N$136),"")</f>
        <v>17.818923649999999</v>
      </c>
      <c r="J136">
        <f ca="1">IFERROR(IF(0=LEN(ReferenceData!$M$136),"",ReferenceData!$M$136),"")</f>
        <v>10.93818819</v>
      </c>
      <c r="K136">
        <f ca="1">IFERROR(IF(0=LEN(ReferenceData!$L$136),"",ReferenceData!$L$136),"")</f>
        <v>11.60002594</v>
      </c>
      <c r="L136">
        <f ca="1">IFERROR(IF(0=LEN(ReferenceData!$K$136),"",ReferenceData!$K$136),"")</f>
        <v>16.065156959999999</v>
      </c>
      <c r="M136">
        <f ca="1">IFERROR(IF(0=LEN(ReferenceData!$J$136),"",ReferenceData!$J$136),"")</f>
        <v>18.043790009999999</v>
      </c>
      <c r="N136">
        <f ca="1">IFERROR(IF(0=LEN(ReferenceData!$I$136),"",ReferenceData!$I$136),"")</f>
        <v>18.0964825</v>
      </c>
      <c r="O136">
        <f ca="1">IFERROR(IF(0=LEN(ReferenceData!$H$136),"",ReferenceData!$H$136),"")</f>
        <v>17.203002730000001</v>
      </c>
      <c r="P136">
        <f ca="1">IFERROR(IF(0=LEN(ReferenceData!$G$136),"",ReferenceData!$G$136),"")</f>
        <v>17.031978850000002</v>
      </c>
      <c r="Q136">
        <f ca="1">IFERROR(IF(0=LEN(ReferenceData!$F$136),"",ReferenceData!$F$136),"")</f>
        <v>17.68698917</v>
      </c>
    </row>
    <row r="137" spans="1:17" x14ac:dyDescent="0.25">
      <c r="A137" t="str">
        <f>IFERROR(IF(0=LEN(ReferenceData!$A$137),"",ReferenceData!$A$137),"")</f>
        <v xml:space="preserve">    Cognizant Technology Solutions Corp</v>
      </c>
      <c r="B137" t="str">
        <f>IFERROR(IF(0=LEN(ReferenceData!$B$137),"",ReferenceData!$B$137),"")</f>
        <v>CTSH US Equity</v>
      </c>
      <c r="C137" t="str">
        <f>IFERROR(IF(0=LEN(ReferenceData!$C$137),"",ReferenceData!$C$137),"")</f>
        <v>RX225</v>
      </c>
      <c r="D137" t="str">
        <f>IFERROR(IF(0=LEN(ReferenceData!$D$137),"",ReferenceData!$D$137),"")</f>
        <v>EBITDA_TO_REVENUE</v>
      </c>
      <c r="E137" t="str">
        <f>IFERROR(IF(0=LEN(ReferenceData!$E$137),"",ReferenceData!$E$137),"")</f>
        <v>Dynamic</v>
      </c>
      <c r="F137">
        <f ca="1">IFERROR(IF(0=LEN(ReferenceData!$Q$137),"",ReferenceData!$Q$137),"")</f>
        <v>21.001532510000001</v>
      </c>
      <c r="G137">
        <f ca="1">IFERROR(IF(0=LEN(ReferenceData!$P$137),"",ReferenceData!$P$137),"")</f>
        <v>21.589928579999999</v>
      </c>
      <c r="H137">
        <f ca="1">IFERROR(IF(0=LEN(ReferenceData!$O$137),"",ReferenceData!$O$137),"")</f>
        <v>21.165977009999999</v>
      </c>
      <c r="I137">
        <f ca="1">IFERROR(IF(0=LEN(ReferenceData!$N$137),"",ReferenceData!$N$137),"")</f>
        <v>20.594851689999999</v>
      </c>
      <c r="J137">
        <f ca="1">IFERROR(IF(0=LEN(ReferenceData!$M$137),"",ReferenceData!$M$137),"")</f>
        <v>20.664122859999999</v>
      </c>
      <c r="K137">
        <f ca="1">IFERROR(IF(0=LEN(ReferenceData!$L$137),"",ReferenceData!$L$137),"")</f>
        <v>21.00871077</v>
      </c>
      <c r="L137">
        <f ca="1">IFERROR(IF(0=LEN(ReferenceData!$K$137),"",ReferenceData!$K$137),"")</f>
        <v>20.394243230000001</v>
      </c>
      <c r="M137">
        <f ca="1">IFERROR(IF(0=LEN(ReferenceData!$J$137),"",ReferenceData!$J$137),"")</f>
        <v>19.90979381</v>
      </c>
      <c r="N137">
        <f ca="1">IFERROR(IF(0=LEN(ReferenceData!$I$137),"",ReferenceData!$I$137),"")</f>
        <v>19.782012309999999</v>
      </c>
      <c r="O137">
        <f ca="1">IFERROR(IF(0=LEN(ReferenceData!$H$137),"",ReferenceData!$H$137),"")</f>
        <v>19.743416610000001</v>
      </c>
      <c r="P137">
        <f ca="1">IFERROR(IF(0=LEN(ReferenceData!$G$137),"",ReferenceData!$G$137),"")</f>
        <v>20.45891473</v>
      </c>
      <c r="Q137">
        <f ca="1">IFERROR(IF(0=LEN(ReferenceData!$F$137),"",ReferenceData!$F$137),"")</f>
        <v>19.215873210000002</v>
      </c>
    </row>
    <row r="138" spans="1:17" x14ac:dyDescent="0.25">
      <c r="A138" t="str">
        <f>IFERROR(IF(0=LEN(ReferenceData!$A$138),"",ReferenceData!$A$138),"")</f>
        <v xml:space="preserve">    Conduent Inc</v>
      </c>
      <c r="B138" t="str">
        <f>IFERROR(IF(0=LEN(ReferenceData!$B$138),"",ReferenceData!$B$138),"")</f>
        <v>CNDT US Equity</v>
      </c>
      <c r="C138" t="str">
        <f>IFERROR(IF(0=LEN(ReferenceData!$C$138),"",ReferenceData!$C$138),"")</f>
        <v>RX225</v>
      </c>
      <c r="D138" t="str">
        <f>IFERROR(IF(0=LEN(ReferenceData!$D$138),"",ReferenceData!$D$138),"")</f>
        <v>EBITDA_TO_REVENUE</v>
      </c>
      <c r="E138" t="str">
        <f>IFERROR(IF(0=LEN(ReferenceData!$E$138),"",ReferenceData!$E$138),"")</f>
        <v>Dynamic</v>
      </c>
      <c r="F138" t="str">
        <f ca="1">IFERROR(IF(0=LEN(ReferenceData!$Q$138),"",ReferenceData!$Q$138),"")</f>
        <v/>
      </c>
      <c r="G138" t="str">
        <f ca="1">IFERROR(IF(0=LEN(ReferenceData!$P$138),"",ReferenceData!$P$138),"")</f>
        <v/>
      </c>
      <c r="H138" t="str">
        <f ca="1">IFERROR(IF(0=LEN(ReferenceData!$O$138),"",ReferenceData!$O$138),"")</f>
        <v/>
      </c>
      <c r="I138" t="str">
        <f ca="1">IFERROR(IF(0=LEN(ReferenceData!$N$138),"",ReferenceData!$N$138),"")</f>
        <v/>
      </c>
      <c r="J138" t="str">
        <f ca="1">IFERROR(IF(0=LEN(ReferenceData!$M$138),"",ReferenceData!$M$138),"")</f>
        <v/>
      </c>
      <c r="K138">
        <f ca="1">IFERROR(IF(0=LEN(ReferenceData!$L$138),"",ReferenceData!$L$138),"")</f>
        <v>14.74051461</v>
      </c>
      <c r="L138">
        <f ca="1">IFERROR(IF(0=LEN(ReferenceData!$K$138),"",ReferenceData!$K$138),"")</f>
        <v>13.678293460000001</v>
      </c>
      <c r="M138">
        <f ca="1">IFERROR(IF(0=LEN(ReferenceData!$J$138),"",ReferenceData!$J$138),"")</f>
        <v>1.8763134189999999</v>
      </c>
      <c r="N138">
        <f ca="1">IFERROR(IF(0=LEN(ReferenceData!$I$138),"",ReferenceData!$I$138),"")</f>
        <v>-8.676654182</v>
      </c>
      <c r="O138">
        <f ca="1">IFERROR(IF(0=LEN(ReferenceData!$H$138),"",ReferenceData!$H$138),"")</f>
        <v>10.1129193</v>
      </c>
      <c r="P138">
        <f ca="1">IFERROR(IF(0=LEN(ReferenceData!$G$138),"",ReferenceData!$G$138),"")</f>
        <v>3.3747450400000001</v>
      </c>
      <c r="Q138">
        <f ca="1">IFERROR(IF(0=LEN(ReferenceData!$F$138),"",ReferenceData!$F$138),"")</f>
        <v>-35.28094918</v>
      </c>
    </row>
    <row r="139" spans="1:17" x14ac:dyDescent="0.25">
      <c r="A139" t="str">
        <f>IFERROR(IF(0=LEN(ReferenceData!$A$139),"",ReferenceData!$A$139),"")</f>
        <v xml:space="preserve">    DXC Technology Co</v>
      </c>
      <c r="B139" t="str">
        <f>IFERROR(IF(0=LEN(ReferenceData!$B$139),"",ReferenceData!$B$139),"")</f>
        <v>DXC US Equity</v>
      </c>
      <c r="C139" t="str">
        <f>IFERROR(IF(0=LEN(ReferenceData!$C$139),"",ReferenceData!$C$139),"")</f>
        <v>RX225</v>
      </c>
      <c r="D139" t="str">
        <f>IFERROR(IF(0=LEN(ReferenceData!$D$139),"",ReferenceData!$D$139),"")</f>
        <v>EBITDA_TO_REVENUE</v>
      </c>
      <c r="E139" t="str">
        <f>IFERROR(IF(0=LEN(ReferenceData!$E$139),"",ReferenceData!$E$139),"")</f>
        <v>Dynamic</v>
      </c>
      <c r="F139" t="str">
        <f ca="1">IFERROR(IF(0=LEN(ReferenceData!$Q$139),"",ReferenceData!$Q$139),"")</f>
        <v/>
      </c>
      <c r="G139" t="str">
        <f ca="1">IFERROR(IF(0=LEN(ReferenceData!$P$139),"",ReferenceData!$P$139),"")</f>
        <v/>
      </c>
      <c r="H139" t="str">
        <f ca="1">IFERROR(IF(0=LEN(ReferenceData!$O$139),"",ReferenceData!$O$139),"")</f>
        <v/>
      </c>
      <c r="I139" t="str">
        <f ca="1">IFERROR(IF(0=LEN(ReferenceData!$N$139),"",ReferenceData!$N$139),"")</f>
        <v/>
      </c>
      <c r="J139" t="str">
        <f ca="1">IFERROR(IF(0=LEN(ReferenceData!$M$139),"",ReferenceData!$M$139),"")</f>
        <v/>
      </c>
      <c r="K139" t="str">
        <f ca="1">IFERROR(IF(0=LEN(ReferenceData!$L$139),"",ReferenceData!$L$139),"")</f>
        <v/>
      </c>
      <c r="L139" t="str">
        <f ca="1">IFERROR(IF(0=LEN(ReferenceData!$K$139),"",ReferenceData!$K$139),"")</f>
        <v/>
      </c>
      <c r="M139" t="str">
        <f ca="1">IFERROR(IF(0=LEN(ReferenceData!$J$139),"",ReferenceData!$J$139),"")</f>
        <v/>
      </c>
      <c r="N139">
        <f ca="1">IFERROR(IF(0=LEN(ReferenceData!$I$139),"",ReferenceData!$I$139),"")</f>
        <v>8.0018902099999991</v>
      </c>
      <c r="O139">
        <f ca="1">IFERROR(IF(0=LEN(ReferenceData!$H$139),"",ReferenceData!$H$139),"")</f>
        <v>16.330005060000001</v>
      </c>
      <c r="P139">
        <f ca="1">IFERROR(IF(0=LEN(ReferenceData!$G$139),"",ReferenceData!$G$139),"")</f>
        <v>18.040765189999998</v>
      </c>
      <c r="Q139">
        <f ca="1">IFERROR(IF(0=LEN(ReferenceData!$F$139),"",ReferenceData!$F$139),"")</f>
        <v>-15.9217449</v>
      </c>
    </row>
    <row r="140" spans="1:17" x14ac:dyDescent="0.25">
      <c r="A140" t="str">
        <f>IFERROR(IF(0=LEN(ReferenceData!$A$140),"",ReferenceData!$A$140),"")</f>
        <v xml:space="preserve">    EPAM Systems Inc</v>
      </c>
      <c r="B140" t="str">
        <f>IFERROR(IF(0=LEN(ReferenceData!$B$140),"",ReferenceData!$B$140),"")</f>
        <v>EPAM US Equity</v>
      </c>
      <c r="C140" t="str">
        <f>IFERROR(IF(0=LEN(ReferenceData!$C$140),"",ReferenceData!$C$140),"")</f>
        <v>RX225</v>
      </c>
      <c r="D140" t="str">
        <f>IFERROR(IF(0=LEN(ReferenceData!$D$140),"",ReferenceData!$D$140),"")</f>
        <v>EBITDA_TO_REVENUE</v>
      </c>
      <c r="E140" t="str">
        <f>IFERROR(IF(0=LEN(ReferenceData!$E$140),"",ReferenceData!$E$140),"")</f>
        <v>Dynamic</v>
      </c>
      <c r="F140">
        <f ca="1">IFERROR(IF(0=LEN(ReferenceData!$Q$140),"",ReferenceData!$Q$140),"")</f>
        <v>9.4090841180000009</v>
      </c>
      <c r="G140">
        <f ca="1">IFERROR(IF(0=LEN(ReferenceData!$P$140),"",ReferenceData!$P$140),"")</f>
        <v>14.40585838</v>
      </c>
      <c r="H140">
        <f ca="1">IFERROR(IF(0=LEN(ReferenceData!$O$140),"",ReferenceData!$O$140),"")</f>
        <v>17.595931910000001</v>
      </c>
      <c r="I140">
        <f ca="1">IFERROR(IF(0=LEN(ReferenceData!$N$140),"",ReferenceData!$N$140),"")</f>
        <v>18.696790700000001</v>
      </c>
      <c r="J140">
        <f ca="1">IFERROR(IF(0=LEN(ReferenceData!$M$140),"",ReferenceData!$M$140),"")</f>
        <v>17.724337770000002</v>
      </c>
      <c r="K140">
        <f ca="1">IFERROR(IF(0=LEN(ReferenceData!$L$140),"",ReferenceData!$L$140),"")</f>
        <v>16.50336776</v>
      </c>
      <c r="L140">
        <f ca="1">IFERROR(IF(0=LEN(ReferenceData!$K$140),"",ReferenceData!$K$140),"")</f>
        <v>14.200296700000001</v>
      </c>
      <c r="M140">
        <f ca="1">IFERROR(IF(0=LEN(ReferenceData!$J$140),"",ReferenceData!$J$140),"")</f>
        <v>13.495046650000001</v>
      </c>
      <c r="N140">
        <f ca="1">IFERROR(IF(0=LEN(ReferenceData!$I$140),"",ReferenceData!$I$140),"")</f>
        <v>13.54009716</v>
      </c>
      <c r="O140">
        <f ca="1">IFERROR(IF(0=LEN(ReferenceData!$H$140),"",ReferenceData!$H$140),"")</f>
        <v>13.892811050000001</v>
      </c>
      <c r="P140">
        <f ca="1">IFERROR(IF(0=LEN(ReferenceData!$G$140),"",ReferenceData!$G$140),"")</f>
        <v>15.323791910000001</v>
      </c>
      <c r="Q140">
        <f ca="1">IFERROR(IF(0=LEN(ReferenceData!$F$140),"",ReferenceData!$F$140),"")</f>
        <v>17.913826759999999</v>
      </c>
    </row>
    <row r="141" spans="1:17" x14ac:dyDescent="0.25">
      <c r="A141" t="str">
        <f>IFERROR(IF(0=LEN(ReferenceData!$A$141),"",ReferenceData!$A$141),"")</f>
        <v xml:space="preserve">    Genpact Ltd</v>
      </c>
      <c r="B141" t="str">
        <f>IFERROR(IF(0=LEN(ReferenceData!$B$141),"",ReferenceData!$B$141),"")</f>
        <v>G US Equity</v>
      </c>
      <c r="C141" t="str">
        <f>IFERROR(IF(0=LEN(ReferenceData!$C$141),"",ReferenceData!$C$141),"")</f>
        <v>RX225</v>
      </c>
      <c r="D141" t="str">
        <f>IFERROR(IF(0=LEN(ReferenceData!$D$141),"",ReferenceData!$D$141),"")</f>
        <v>EBITDA_TO_REVENUE</v>
      </c>
      <c r="E141" t="str">
        <f>IFERROR(IF(0=LEN(ReferenceData!$E$141),"",ReferenceData!$E$141),"")</f>
        <v>Dynamic</v>
      </c>
      <c r="F141">
        <f ca="1">IFERROR(IF(0=LEN(ReferenceData!$Q$141),"",ReferenceData!$Q$141),"")</f>
        <v>21.69185289</v>
      </c>
      <c r="G141">
        <f ca="1">IFERROR(IF(0=LEN(ReferenceData!$P$141),"",ReferenceData!$P$141),"")</f>
        <v>21.584970949999999</v>
      </c>
      <c r="H141">
        <f ca="1">IFERROR(IF(0=LEN(ReferenceData!$O$141),"",ReferenceData!$O$141),"")</f>
        <v>20.018062480000001</v>
      </c>
      <c r="I141">
        <f ca="1">IFERROR(IF(0=LEN(ReferenceData!$N$141),"",ReferenceData!$N$141),"")</f>
        <v>18.415794200000001</v>
      </c>
      <c r="J141">
        <f ca="1">IFERROR(IF(0=LEN(ReferenceData!$M$141),"",ReferenceData!$M$141),"")</f>
        <v>18.072778190000001</v>
      </c>
      <c r="K141">
        <f ca="1">IFERROR(IF(0=LEN(ReferenceData!$L$141),"",ReferenceData!$L$141),"")</f>
        <v>18.10448139</v>
      </c>
      <c r="L141">
        <f ca="1">IFERROR(IF(0=LEN(ReferenceData!$K$141),"",ReferenceData!$K$141),"")</f>
        <v>16.391671980000002</v>
      </c>
      <c r="M141">
        <f ca="1">IFERROR(IF(0=LEN(ReferenceData!$J$141),"",ReferenceData!$J$141),"")</f>
        <v>16.943662929999999</v>
      </c>
      <c r="N141">
        <f ca="1">IFERROR(IF(0=LEN(ReferenceData!$I$141),"",ReferenceData!$I$141),"")</f>
        <v>16.452047570000001</v>
      </c>
      <c r="O141">
        <f ca="1">IFERROR(IF(0=LEN(ReferenceData!$H$141),"",ReferenceData!$H$141),"")</f>
        <v>15.57197867</v>
      </c>
      <c r="P141">
        <f ca="1">IFERROR(IF(0=LEN(ReferenceData!$G$141),"",ReferenceData!$G$141),"")</f>
        <v>15.05836796</v>
      </c>
      <c r="Q141">
        <f ca="1">IFERROR(IF(0=LEN(ReferenceData!$F$141),"",ReferenceData!$F$141),"")</f>
        <v>17.966688659999999</v>
      </c>
    </row>
    <row r="142" spans="1:17" x14ac:dyDescent="0.25">
      <c r="A142" t="str">
        <f>IFERROR(IF(0=LEN(ReferenceData!$A$142),"",ReferenceData!$A$142),"")</f>
        <v xml:space="preserve">    HCL Technologies Ltd</v>
      </c>
      <c r="B142" t="str">
        <f>IFERROR(IF(0=LEN(ReferenceData!$B$142),"",ReferenceData!$B$142),"")</f>
        <v>HCLT IN Equity</v>
      </c>
      <c r="C142" t="str">
        <f>IFERROR(IF(0=LEN(ReferenceData!$C$142),"",ReferenceData!$C$142),"")</f>
        <v>RX225</v>
      </c>
      <c r="D142" t="str">
        <f>IFERROR(IF(0=LEN(ReferenceData!$D$142),"",ReferenceData!$D$142),"")</f>
        <v>EBITDA_TO_REVENUE</v>
      </c>
      <c r="E142" t="str">
        <f>IFERROR(IF(0=LEN(ReferenceData!$E$142),"",ReferenceData!$E$142),"")</f>
        <v>Dynamic</v>
      </c>
      <c r="F142">
        <f ca="1">IFERROR(IF(0=LEN(ReferenceData!$Q$142),"",ReferenceData!$Q$142),"")</f>
        <v>20.222085140000001</v>
      </c>
      <c r="G142">
        <f ca="1">IFERROR(IF(0=LEN(ReferenceData!$P$142),"",ReferenceData!$P$142),"")</f>
        <v>15.98972998</v>
      </c>
      <c r="H142">
        <f ca="1">IFERROR(IF(0=LEN(ReferenceData!$O$142),"",ReferenceData!$O$142),"")</f>
        <v>15.68336021</v>
      </c>
      <c r="I142">
        <f ca="1">IFERROR(IF(0=LEN(ReferenceData!$N$142),"",ReferenceData!$N$142),"")</f>
        <v>17.905432170000001</v>
      </c>
      <c r="J142">
        <f ca="1">IFERROR(IF(0=LEN(ReferenceData!$M$142),"",ReferenceData!$M$142),"")</f>
        <v>22.1302792</v>
      </c>
      <c r="K142">
        <f ca="1">IFERROR(IF(0=LEN(ReferenceData!$L$142),"",ReferenceData!$L$142),"")</f>
        <v>26.327474909999999</v>
      </c>
      <c r="L142" t="str">
        <f ca="1">IFERROR(IF(0=LEN(ReferenceData!$K$142),"",ReferenceData!$K$142),"")</f>
        <v/>
      </c>
      <c r="M142">
        <f ca="1">IFERROR(IF(0=LEN(ReferenceData!$J$142),"",ReferenceData!$J$142),"")</f>
        <v>21.453314939999999</v>
      </c>
      <c r="N142">
        <f ca="1">IFERROR(IF(0=LEN(ReferenceData!$I$142),"",ReferenceData!$I$142),"")</f>
        <v>21.830900199999999</v>
      </c>
      <c r="O142">
        <f ca="1">IFERROR(IF(0=LEN(ReferenceData!$H$142),"",ReferenceData!$H$142),"")</f>
        <v>22.238921080000001</v>
      </c>
      <c r="P142">
        <f ca="1">IFERROR(IF(0=LEN(ReferenceData!$G$142),"",ReferenceData!$G$142),"")</f>
        <v>23.051526809999999</v>
      </c>
      <c r="Q142">
        <f ca="1">IFERROR(IF(0=LEN(ReferenceData!$F$142),"",ReferenceData!$F$142),"")</f>
        <v>23.599033819999999</v>
      </c>
    </row>
    <row r="143" spans="1:17" x14ac:dyDescent="0.25">
      <c r="A143" t="str">
        <f>IFERROR(IF(0=LEN(ReferenceData!$A$143),"",ReferenceData!$A$143),"")</f>
        <v xml:space="preserve">    Indra Sistemas SA</v>
      </c>
      <c r="B143" t="str">
        <f>IFERROR(IF(0=LEN(ReferenceData!$B$143),"",ReferenceData!$B$143),"")</f>
        <v>IDR SM Equity</v>
      </c>
      <c r="C143" t="str">
        <f>IFERROR(IF(0=LEN(ReferenceData!$C$143),"",ReferenceData!$C$143),"")</f>
        <v>RX225</v>
      </c>
      <c r="D143" t="str">
        <f>IFERROR(IF(0=LEN(ReferenceData!$D$143),"",ReferenceData!$D$143),"")</f>
        <v>EBITDA_TO_REVENUE</v>
      </c>
      <c r="E143" t="str">
        <f>IFERROR(IF(0=LEN(ReferenceData!$E$143),"",ReferenceData!$E$143),"")</f>
        <v>Dynamic</v>
      </c>
      <c r="F143">
        <f ca="1">IFERROR(IF(0=LEN(ReferenceData!$Q$143),"",ReferenceData!$Q$143),"")</f>
        <v>12.99060963</v>
      </c>
      <c r="G143">
        <f ca="1">IFERROR(IF(0=LEN(ReferenceData!$P$143),"",ReferenceData!$P$143),"")</f>
        <v>13.35129416</v>
      </c>
      <c r="H143">
        <f ca="1">IFERROR(IF(0=LEN(ReferenceData!$O$143),"",ReferenceData!$O$143),"")</f>
        <v>12.002501329999999</v>
      </c>
      <c r="I143">
        <f ca="1">IFERROR(IF(0=LEN(ReferenceData!$N$143),"",ReferenceData!$N$143),"")</f>
        <v>11.999166819999999</v>
      </c>
      <c r="J143">
        <f ca="1">IFERROR(IF(0=LEN(ReferenceData!$M$143),"",ReferenceData!$M$143),"")</f>
        <v>8.5641520849999999</v>
      </c>
      <c r="K143">
        <f ca="1">IFERROR(IF(0=LEN(ReferenceData!$L$143),"",ReferenceData!$L$143),"")</f>
        <v>8.5859208060000007</v>
      </c>
      <c r="L143">
        <f ca="1">IFERROR(IF(0=LEN(ReferenceData!$K$143),"",ReferenceData!$K$143),"")</f>
        <v>0.740600806</v>
      </c>
      <c r="M143">
        <f ca="1">IFERROR(IF(0=LEN(ReferenceData!$J$143),"",ReferenceData!$J$143),"")</f>
        <v>-19.50537538</v>
      </c>
      <c r="N143">
        <f ca="1">IFERROR(IF(0=LEN(ReferenceData!$I$143),"",ReferenceData!$I$143),"")</f>
        <v>8.4661902349999991</v>
      </c>
      <c r="O143">
        <f ca="1">IFERROR(IF(0=LEN(ReferenceData!$H$143),"",ReferenceData!$H$143),"")</f>
        <v>8.8425367949999991</v>
      </c>
      <c r="P143">
        <f ca="1">IFERROR(IF(0=LEN(ReferenceData!$G$143),"",ReferenceData!$G$143),"")</f>
        <v>9.4414954889999994</v>
      </c>
      <c r="Q143">
        <f ca="1">IFERROR(IF(0=LEN(ReferenceData!$F$143),"",ReferenceData!$F$143),"")</f>
        <v>10.8068849</v>
      </c>
    </row>
    <row r="144" spans="1:17" x14ac:dyDescent="0.25">
      <c r="A144" t="str">
        <f>IFERROR(IF(0=LEN(ReferenceData!$A$144),"",ReferenceData!$A$144),"")</f>
        <v xml:space="preserve">    Infosys Ltd</v>
      </c>
      <c r="B144" t="str">
        <f>IFERROR(IF(0=LEN(ReferenceData!$B$144),"",ReferenceData!$B$144),"")</f>
        <v>INFY US Equity</v>
      </c>
      <c r="C144" t="str">
        <f>IFERROR(IF(0=LEN(ReferenceData!$C$144),"",ReferenceData!$C$144),"")</f>
        <v>RX225</v>
      </c>
      <c r="D144" t="str">
        <f>IFERROR(IF(0=LEN(ReferenceData!$D$144),"",ReferenceData!$D$144),"")</f>
        <v>EBITDA_TO_REVENUE</v>
      </c>
      <c r="E144" t="str">
        <f>IFERROR(IF(0=LEN(ReferenceData!$E$144),"",ReferenceData!$E$144),"")</f>
        <v>Dynamic</v>
      </c>
      <c r="F144">
        <f ca="1">IFERROR(IF(0=LEN(ReferenceData!$Q$144),"",ReferenceData!$Q$144),"")</f>
        <v>35.19107546</v>
      </c>
      <c r="G144">
        <f ca="1">IFERROR(IF(0=LEN(ReferenceData!$P$144),"",ReferenceData!$P$144),"")</f>
        <v>34.39451236</v>
      </c>
      <c r="H144">
        <f ca="1">IFERROR(IF(0=LEN(ReferenceData!$O$144),"",ReferenceData!$O$144),"")</f>
        <v>32.457001560000002</v>
      </c>
      <c r="I144">
        <f ca="1">IFERROR(IF(0=LEN(ReferenceData!$N$144),"",ReferenceData!$N$144),"")</f>
        <v>31.612023480000001</v>
      </c>
      <c r="J144">
        <f ca="1">IFERROR(IF(0=LEN(ReferenceData!$M$144),"",ReferenceData!$M$144),"")</f>
        <v>28.003568600000001</v>
      </c>
      <c r="K144">
        <f ca="1">IFERROR(IF(0=LEN(ReferenceData!$L$144),"",ReferenceData!$L$144),"")</f>
        <v>26.300041889999999</v>
      </c>
      <c r="L144">
        <f ca="1">IFERROR(IF(0=LEN(ReferenceData!$K$144),"",ReferenceData!$K$144),"")</f>
        <v>27.056021309999998</v>
      </c>
      <c r="M144">
        <f ca="1">IFERROR(IF(0=LEN(ReferenceData!$J$144),"",ReferenceData!$J$144),"")</f>
        <v>27.352220500000001</v>
      </c>
      <c r="N144">
        <f ca="1">IFERROR(IF(0=LEN(ReferenceData!$I$144),"",ReferenceData!$I$144),"")</f>
        <v>27.165469309999999</v>
      </c>
      <c r="O144">
        <f ca="1">IFERROR(IF(0=LEN(ReferenceData!$H$144),"",ReferenceData!$H$144),"")</f>
        <v>26.957545159999999</v>
      </c>
      <c r="P144">
        <f ca="1">IFERROR(IF(0=LEN(ReferenceData!$G$144),"",ReferenceData!$G$144),"")</f>
        <v>25.268823709999999</v>
      </c>
      <c r="Q144">
        <f ca="1">IFERROR(IF(0=LEN(ReferenceData!$F$144),"",ReferenceData!$F$144),"")</f>
        <v>24.525558700000001</v>
      </c>
    </row>
    <row r="145" spans="1:17" x14ac:dyDescent="0.25">
      <c r="A145" t="str">
        <f>IFERROR(IF(0=LEN(ReferenceData!$A$145),"",ReferenceData!$A$145),"")</f>
        <v xml:space="preserve">    International Business Machines Corp</v>
      </c>
      <c r="B145" t="str">
        <f>IFERROR(IF(0=LEN(ReferenceData!$B$145),"",ReferenceData!$B$145),"")</f>
        <v>IBM US Equity</v>
      </c>
      <c r="C145" t="str">
        <f>IFERROR(IF(0=LEN(ReferenceData!$C$145),"",ReferenceData!$C$145),"")</f>
        <v>RX225</v>
      </c>
      <c r="D145" t="str">
        <f>IFERROR(IF(0=LEN(ReferenceData!$D$145),"",ReferenceData!$D$145),"")</f>
        <v>EBITDA_TO_REVENUE</v>
      </c>
      <c r="E145" t="str">
        <f>IFERROR(IF(0=LEN(ReferenceData!$E$145),"",ReferenceData!$E$145),"")</f>
        <v>Dynamic</v>
      </c>
      <c r="F145">
        <f ca="1">IFERROR(IF(0=LEN(ReferenceData!$Q$145),"",ReferenceData!$Q$145),"")</f>
        <v>20.638811159999999</v>
      </c>
      <c r="G145">
        <f ca="1">IFERROR(IF(0=LEN(ReferenceData!$P$145),"",ReferenceData!$P$145),"")</f>
        <v>22.98189185</v>
      </c>
      <c r="H145">
        <f ca="1">IFERROR(IF(0=LEN(ReferenceData!$O$145),"",ReferenceData!$O$145),"")</f>
        <v>23.009912889999999</v>
      </c>
      <c r="I145">
        <f ca="1">IFERROR(IF(0=LEN(ReferenceData!$N$145),"",ReferenceData!$N$145),"")</f>
        <v>23.477309290000001</v>
      </c>
      <c r="J145">
        <f ca="1">IFERROR(IF(0=LEN(ReferenceData!$M$145),"",ReferenceData!$M$145),"")</f>
        <v>25.03839649</v>
      </c>
      <c r="K145">
        <f ca="1">IFERROR(IF(0=LEN(ReferenceData!$L$145),"",ReferenceData!$L$145),"")</f>
        <v>24.569215289999999</v>
      </c>
      <c r="L145">
        <f ca="1">IFERROR(IF(0=LEN(ReferenceData!$K$145),"",ReferenceData!$K$145),"")</f>
        <v>24.012587159999999</v>
      </c>
      <c r="M145">
        <f ca="1">IFERROR(IF(0=LEN(ReferenceData!$J$145),"",ReferenceData!$J$145),"")</f>
        <v>23.075323279999999</v>
      </c>
      <c r="N145">
        <f ca="1">IFERROR(IF(0=LEN(ReferenceData!$I$145),"",ReferenceData!$I$145),"")</f>
        <v>19.838836820000001</v>
      </c>
      <c r="O145">
        <f ca="1">IFERROR(IF(0=LEN(ReferenceData!$H$145),"",ReferenceData!$H$145),"")</f>
        <v>20.488002120000001</v>
      </c>
      <c r="P145">
        <f ca="1">IFERROR(IF(0=LEN(ReferenceData!$G$145),"",ReferenceData!$G$145),"")</f>
        <v>20.94457916</v>
      </c>
      <c r="Q145">
        <f ca="1">IFERROR(IF(0=LEN(ReferenceData!$F$145),"",ReferenceData!$F$145),"")</f>
        <v>22.781183970000001</v>
      </c>
    </row>
    <row r="146" spans="1:17" x14ac:dyDescent="0.25">
      <c r="A146" t="str">
        <f>IFERROR(IF(0=LEN(ReferenceData!$A$146),"",ReferenceData!$A$146),"")</f>
        <v xml:space="preserve">    Tata Consultancy Services Ltd</v>
      </c>
      <c r="B146" t="str">
        <f>IFERROR(IF(0=LEN(ReferenceData!$B$146),"",ReferenceData!$B$146),"")</f>
        <v>TCS IN Equity</v>
      </c>
      <c r="C146" t="str">
        <f>IFERROR(IF(0=LEN(ReferenceData!$C$146),"",ReferenceData!$C$146),"")</f>
        <v>RX225</v>
      </c>
      <c r="D146" t="str">
        <f>IFERROR(IF(0=LEN(ReferenceData!$D$146),"",ReferenceData!$D$146),"")</f>
        <v>EBITDA_TO_REVENUE</v>
      </c>
      <c r="E146" t="str">
        <f>IFERROR(IF(0=LEN(ReferenceData!$E$146),"",ReferenceData!$E$146),"")</f>
        <v>Dynamic</v>
      </c>
      <c r="F146">
        <f ca="1">IFERROR(IF(0=LEN(ReferenceData!$Q$146),"",ReferenceData!$Q$146),"")</f>
        <v>25.778703969999999</v>
      </c>
      <c r="G146">
        <f ca="1">IFERROR(IF(0=LEN(ReferenceData!$P$146),"",ReferenceData!$P$146),"")</f>
        <v>28.953921749999999</v>
      </c>
      <c r="H146">
        <f ca="1">IFERROR(IF(0=LEN(ReferenceData!$O$146),"",ReferenceData!$O$146),"")</f>
        <v>29.949113870000001</v>
      </c>
      <c r="I146">
        <f ca="1">IFERROR(IF(0=LEN(ReferenceData!$N$146),"",ReferenceData!$N$146),"")</f>
        <v>29.52378654</v>
      </c>
      <c r="J146">
        <f ca="1">IFERROR(IF(0=LEN(ReferenceData!$M$146),"",ReferenceData!$M$146),"")</f>
        <v>28.63956013</v>
      </c>
      <c r="K146">
        <f ca="1">IFERROR(IF(0=LEN(ReferenceData!$L$146),"",ReferenceData!$L$146),"")</f>
        <v>30.7204579</v>
      </c>
      <c r="L146">
        <f ca="1">IFERROR(IF(0=LEN(ReferenceData!$K$146),"",ReferenceData!$K$146),"")</f>
        <v>26.061040009999999</v>
      </c>
      <c r="M146">
        <f ca="1">IFERROR(IF(0=LEN(ReferenceData!$J$146),"",ReferenceData!$J$146),"")</f>
        <v>28.236658510000002</v>
      </c>
      <c r="N146">
        <f ca="1">IFERROR(IF(0=LEN(ReferenceData!$I$146),"",ReferenceData!$I$146),"")</f>
        <v>27.39009545</v>
      </c>
      <c r="O146">
        <f ca="1">IFERROR(IF(0=LEN(ReferenceData!$H$146),"",ReferenceData!$H$146),"")</f>
        <v>26.41343904</v>
      </c>
      <c r="P146">
        <f ca="1">IFERROR(IF(0=LEN(ReferenceData!$G$146),"",ReferenceData!$G$146),"")</f>
        <v>26.97336529</v>
      </c>
      <c r="Q146">
        <f ca="1">IFERROR(IF(0=LEN(ReferenceData!$F$146),"",ReferenceData!$F$146),"")</f>
        <v>26.829734500000001</v>
      </c>
    </row>
    <row r="147" spans="1:17" x14ac:dyDescent="0.25">
      <c r="A147" t="str">
        <f>IFERROR(IF(0=LEN(ReferenceData!$A$147),"",ReferenceData!$A$147),"")</f>
        <v xml:space="preserve">    Tech Mahindra Ltd</v>
      </c>
      <c r="B147" t="str">
        <f>IFERROR(IF(0=LEN(ReferenceData!$B$147),"",ReferenceData!$B$147),"")</f>
        <v>TECHM IN Equity</v>
      </c>
      <c r="C147" t="str">
        <f>IFERROR(IF(0=LEN(ReferenceData!$C$147),"",ReferenceData!$C$147),"")</f>
        <v>RX225</v>
      </c>
      <c r="D147" t="str">
        <f>IFERROR(IF(0=LEN(ReferenceData!$D$147),"",ReferenceData!$D$147),"")</f>
        <v>EBITDA_TO_REVENUE</v>
      </c>
      <c r="E147" t="str">
        <f>IFERROR(IF(0=LEN(ReferenceData!$E$147),"",ReferenceData!$E$147),"")</f>
        <v>Dynamic</v>
      </c>
      <c r="F147">
        <f ca="1">IFERROR(IF(0=LEN(ReferenceData!$Q$147),"",ReferenceData!$Q$147),"")</f>
        <v>28.725334289999999</v>
      </c>
      <c r="G147">
        <f ca="1">IFERROR(IF(0=LEN(ReferenceData!$P$147),"",ReferenceData!$P$147),"")</f>
        <v>24.486530890000001</v>
      </c>
      <c r="H147">
        <f ca="1">IFERROR(IF(0=LEN(ReferenceData!$O$147),"",ReferenceData!$O$147),"")</f>
        <v>19.518695770000001</v>
      </c>
      <c r="I147">
        <f ca="1">IFERROR(IF(0=LEN(ReferenceData!$N$147),"",ReferenceData!$N$147),"")</f>
        <v>16.747727560000001</v>
      </c>
      <c r="J147">
        <f ca="1">IFERROR(IF(0=LEN(ReferenceData!$M$147),"",ReferenceData!$M$147),"")</f>
        <v>20.721362989999999</v>
      </c>
      <c r="K147">
        <f ca="1">IFERROR(IF(0=LEN(ReferenceData!$L$147),"",ReferenceData!$L$147),"")</f>
        <v>22.217147959999998</v>
      </c>
      <c r="L147">
        <f ca="1">IFERROR(IF(0=LEN(ReferenceData!$K$147),"",ReferenceData!$K$147),"")</f>
        <v>18.358361370000001</v>
      </c>
      <c r="M147">
        <f ca="1">IFERROR(IF(0=LEN(ReferenceData!$J$147),"",ReferenceData!$J$147),"")</f>
        <v>16.118999630000001</v>
      </c>
      <c r="N147">
        <f ca="1">IFERROR(IF(0=LEN(ReferenceData!$I$147),"",ReferenceData!$I$147),"")</f>
        <v>14.35924889</v>
      </c>
      <c r="O147">
        <f ca="1">IFERROR(IF(0=LEN(ReferenceData!$H$147),"",ReferenceData!$H$147),"")</f>
        <v>15.30437495</v>
      </c>
      <c r="P147">
        <f ca="1">IFERROR(IF(0=LEN(ReferenceData!$G$147),"",ReferenceData!$G$147),"")</f>
        <v>18.239830059999999</v>
      </c>
      <c r="Q147">
        <f ca="1">IFERROR(IF(0=LEN(ReferenceData!$F$147),"",ReferenceData!$F$147),"")</f>
        <v>14.9414862</v>
      </c>
    </row>
    <row r="148" spans="1:17" x14ac:dyDescent="0.25">
      <c r="A148" t="str">
        <f>IFERROR(IF(0=LEN(ReferenceData!$A$148),"",ReferenceData!$A$148),"")</f>
        <v xml:space="preserve">    Wipro Ltd</v>
      </c>
      <c r="B148" t="str">
        <f>IFERROR(IF(0=LEN(ReferenceData!$B$148),"",ReferenceData!$B$148),"")</f>
        <v>WIT US Equity</v>
      </c>
      <c r="C148" t="str">
        <f>IFERROR(IF(0=LEN(ReferenceData!$C$148),"",ReferenceData!$C$148),"")</f>
        <v>RX225</v>
      </c>
      <c r="D148" t="str">
        <f>IFERROR(IF(0=LEN(ReferenceData!$D$148),"",ReferenceData!$D$148),"")</f>
        <v>EBITDA_TO_REVENUE</v>
      </c>
      <c r="E148" t="str">
        <f>IFERROR(IF(0=LEN(ReferenceData!$E$148),"",ReferenceData!$E$148),"")</f>
        <v>Dynamic</v>
      </c>
      <c r="F148">
        <f ca="1">IFERROR(IF(0=LEN(ReferenceData!$Q$148),"",ReferenceData!$Q$148),"")</f>
        <v>20.171209560000001</v>
      </c>
      <c r="G148">
        <f ca="1">IFERROR(IF(0=LEN(ReferenceData!$P$148),"",ReferenceData!$P$148),"")</f>
        <v>21.86242554</v>
      </c>
      <c r="H148">
        <f ca="1">IFERROR(IF(0=LEN(ReferenceData!$O$148),"",ReferenceData!$O$148),"")</f>
        <v>21.070901840000001</v>
      </c>
      <c r="I148">
        <f ca="1">IFERROR(IF(0=LEN(ReferenceData!$N$148),"",ReferenceData!$N$148),"")</f>
        <v>19.050947520000001</v>
      </c>
      <c r="J148">
        <f ca="1">IFERROR(IF(0=LEN(ReferenceData!$M$148),"",ReferenceData!$M$148),"")</f>
        <v>20.889711850000001</v>
      </c>
      <c r="K148">
        <f ca="1">IFERROR(IF(0=LEN(ReferenceData!$L$148),"",ReferenceData!$L$148),"")</f>
        <v>22.35964345</v>
      </c>
      <c r="L148">
        <f ca="1">IFERROR(IF(0=LEN(ReferenceData!$K$148),"",ReferenceData!$K$148),"")</f>
        <v>22.278801820000002</v>
      </c>
      <c r="M148">
        <f ca="1">IFERROR(IF(0=LEN(ReferenceData!$J$148),"",ReferenceData!$J$148),"")</f>
        <v>21.06744204</v>
      </c>
      <c r="N148">
        <f ca="1">IFERROR(IF(0=LEN(ReferenceData!$I$148),"",ReferenceData!$I$148),"")</f>
        <v>20.475761349999999</v>
      </c>
      <c r="O148">
        <f ca="1">IFERROR(IF(0=LEN(ReferenceData!$H$148),"",ReferenceData!$H$148),"")</f>
        <v>19.074239590000001</v>
      </c>
      <c r="P148">
        <f ca="1">IFERROR(IF(0=LEN(ReferenceData!$G$148),"",ReferenceData!$G$148),"")</f>
        <v>19.829306389999999</v>
      </c>
      <c r="Q148">
        <f ca="1">IFERROR(IF(0=LEN(ReferenceData!$F$148),"",ReferenceData!$F$148),"")</f>
        <v>20.225586329999999</v>
      </c>
    </row>
    <row r="149" spans="1:17" x14ac:dyDescent="0.25">
      <c r="A149" t="str">
        <f>IFERROR(IF(0=LEN(ReferenceData!$A$149),"",ReferenceData!$A$149),"")</f>
        <v>Effective Tax Rate</v>
      </c>
      <c r="B149" t="str">
        <f>IFERROR(IF(0=LEN(ReferenceData!$B$149),"",ReferenceData!$B$149),"")</f>
        <v/>
      </c>
      <c r="C149" t="str">
        <f>IFERROR(IF(0=LEN(ReferenceData!$C$149),"",ReferenceData!$C$149),"")</f>
        <v/>
      </c>
      <c r="D149" t="str">
        <f>IFERROR(IF(0=LEN(ReferenceData!$D$149),"",ReferenceData!$D$149),"")</f>
        <v/>
      </c>
      <c r="E149" t="str">
        <f>IFERROR(IF(0=LEN(ReferenceData!$E$149),"",ReferenceData!$E$149),"")</f>
        <v>Average</v>
      </c>
      <c r="F149">
        <f ca="1">IFERROR(IF(0=LEN(ReferenceData!$Q$149),"",ReferenceData!$Q$149),"")</f>
        <v>22.484851088599999</v>
      </c>
      <c r="G149">
        <f ca="1">IFERROR(IF(0=LEN(ReferenceData!$P$149),"",ReferenceData!$P$149),"")</f>
        <v>18.880391168214285</v>
      </c>
      <c r="H149">
        <f ca="1">IFERROR(IF(0=LEN(ReferenceData!$O$149),"",ReferenceData!$O$149),"")</f>
        <v>20.859324790333336</v>
      </c>
      <c r="I149">
        <f ca="1">IFERROR(IF(0=LEN(ReferenceData!$N$149),"",ReferenceData!$N$149),"")</f>
        <v>23.523669920666666</v>
      </c>
      <c r="J149">
        <f ca="1">IFERROR(IF(0=LEN(ReferenceData!$M$149),"",ReferenceData!$M$149),"")</f>
        <v>25.464327202666663</v>
      </c>
      <c r="K149">
        <f ca="1">IFERROR(IF(0=LEN(ReferenceData!$L$149),"",ReferenceData!$L$149),"")</f>
        <v>23.121169223750002</v>
      </c>
      <c r="L149">
        <f ca="1">IFERROR(IF(0=LEN(ReferenceData!$K$149),"",ReferenceData!$K$149),"")</f>
        <v>23.63921521538462</v>
      </c>
      <c r="M149">
        <f ca="1">IFERROR(IF(0=LEN(ReferenceData!$J$149),"",ReferenceData!$J$149),"")</f>
        <v>21.77484127692308</v>
      </c>
      <c r="N149">
        <f ca="1">IFERROR(IF(0=LEN(ReferenceData!$I$149),"",ReferenceData!$I$149),"")</f>
        <v>22.153104464066665</v>
      </c>
      <c r="O149">
        <f ca="1">IFERROR(IF(0=LEN(ReferenceData!$H$149),"",ReferenceData!$H$149),"")</f>
        <v>27.290525985333336</v>
      </c>
      <c r="P149">
        <f ca="1">IFERROR(IF(0=LEN(ReferenceData!$G$149),"",ReferenceData!$G$149),"")</f>
        <v>21.1727665730625</v>
      </c>
      <c r="Q149">
        <f ca="1">IFERROR(IF(0=LEN(ReferenceData!$F$149),"",ReferenceData!$F$149),"")</f>
        <v>21.836761561466673</v>
      </c>
    </row>
    <row r="150" spans="1:17" x14ac:dyDescent="0.25">
      <c r="A150" t="str">
        <f>IFERROR(IF(0=LEN(ReferenceData!$A$150),"",ReferenceData!$A$150),"")</f>
        <v xml:space="preserve">    Accenture PLC</v>
      </c>
      <c r="B150" t="str">
        <f>IFERROR(IF(0=LEN(ReferenceData!$B$150),"",ReferenceData!$B$150),"")</f>
        <v>ACN US Equity</v>
      </c>
      <c r="C150" t="str">
        <f>IFERROR(IF(0=LEN(ReferenceData!$C$150),"",ReferenceData!$C$150),"")</f>
        <v>RR037</v>
      </c>
      <c r="D150" t="str">
        <f>IFERROR(IF(0=LEN(ReferenceData!$D$150),"",ReferenceData!$D$150),"")</f>
        <v>EFF_TAX_RATE</v>
      </c>
      <c r="E150" t="str">
        <f>IFERROR(IF(0=LEN(ReferenceData!$E$150),"",ReferenceData!$E$150),"")</f>
        <v>Dynamic</v>
      </c>
      <c r="F150">
        <f ca="1">IFERROR(IF(0=LEN(ReferenceData!$Q$150),"",ReferenceData!$Q$150),"")</f>
        <v>29.299991439999999</v>
      </c>
      <c r="G150">
        <f ca="1">IFERROR(IF(0=LEN(ReferenceData!$P$150),"",ReferenceData!$P$150),"")</f>
        <v>27.619974490000001</v>
      </c>
      <c r="H150">
        <f ca="1">IFERROR(IF(0=LEN(ReferenceData!$O$150),"",ReferenceData!$O$150),"")</f>
        <v>29.299995989999999</v>
      </c>
      <c r="I150">
        <f ca="1">IFERROR(IF(0=LEN(ReferenceData!$N$150),"",ReferenceData!$N$150),"")</f>
        <v>27.299999830000001</v>
      </c>
      <c r="J150">
        <f ca="1">IFERROR(IF(0=LEN(ReferenceData!$M$150),"",ReferenceData!$M$150),"")</f>
        <v>27.643260779999999</v>
      </c>
      <c r="K150">
        <f ca="1">IFERROR(IF(0=LEN(ReferenceData!$L$150),"",ReferenceData!$L$150),"")</f>
        <v>18.085315260000002</v>
      </c>
      <c r="L150">
        <f ca="1">IFERROR(IF(0=LEN(ReferenceData!$K$150),"",ReferenceData!$K$150),"")</f>
        <v>26.101001440000001</v>
      </c>
      <c r="M150">
        <f ca="1">IFERROR(IF(0=LEN(ReferenceData!$J$150),"",ReferenceData!$J$150),"")</f>
        <v>25.77334243</v>
      </c>
      <c r="N150">
        <f ca="1">IFERROR(IF(0=LEN(ReferenceData!$I$150),"",ReferenceData!$I$150),"")</f>
        <v>22.378029590000001</v>
      </c>
      <c r="O150">
        <f ca="1">IFERROR(IF(0=LEN(ReferenceData!$H$150),"",ReferenceData!$H$150),"")</f>
        <v>21.254185410000002</v>
      </c>
      <c r="P150">
        <f ca="1">IFERROR(IF(0=LEN(ReferenceData!$G$150),"",ReferenceData!$G$150),"")</f>
        <v>27.435838230000002</v>
      </c>
      <c r="Q150">
        <f ca="1">IFERROR(IF(0=LEN(ReferenceData!$F$150),"",ReferenceData!$F$150),"")</f>
        <v>22.482431850000001</v>
      </c>
    </row>
    <row r="151" spans="1:17" x14ac:dyDescent="0.25">
      <c r="A151" t="str">
        <f>IFERROR(IF(0=LEN(ReferenceData!$A$151),"",ReferenceData!$A$151),"")</f>
        <v xml:space="preserve">    Amdocs Ltd</v>
      </c>
      <c r="B151" t="str">
        <f>IFERROR(IF(0=LEN(ReferenceData!$B$151),"",ReferenceData!$B$151),"")</f>
        <v>DOX US Equity</v>
      </c>
      <c r="C151" t="str">
        <f>IFERROR(IF(0=LEN(ReferenceData!$C$151),"",ReferenceData!$C$151),"")</f>
        <v>RR037</v>
      </c>
      <c r="D151" t="str">
        <f>IFERROR(IF(0=LEN(ReferenceData!$D$151),"",ReferenceData!$D$151),"")</f>
        <v>EFF_TAX_RATE</v>
      </c>
      <c r="E151" t="str">
        <f>IFERROR(IF(0=LEN(ReferenceData!$E$151),"",ReferenceData!$E$151),"")</f>
        <v>Dynamic</v>
      </c>
      <c r="F151">
        <f ca="1">IFERROR(IF(0=LEN(ReferenceData!$Q$151),"",ReferenceData!$Q$151),"")</f>
        <v>9.2551568549999992</v>
      </c>
      <c r="G151">
        <f ca="1">IFERROR(IF(0=LEN(ReferenceData!$P$151),"",ReferenceData!$P$151),"")</f>
        <v>10.91835676</v>
      </c>
      <c r="H151">
        <f ca="1">IFERROR(IF(0=LEN(ReferenceData!$O$151),"",ReferenceData!$O$151),"")</f>
        <v>10.74285358</v>
      </c>
      <c r="I151">
        <f ca="1">IFERROR(IF(0=LEN(ReferenceData!$N$151),"",ReferenceData!$N$151),"")</f>
        <v>12.39351338</v>
      </c>
      <c r="J151">
        <f ca="1">IFERROR(IF(0=LEN(ReferenceData!$M$151),"",ReferenceData!$M$151),"")</f>
        <v>11.35906542</v>
      </c>
      <c r="K151">
        <f ca="1">IFERROR(IF(0=LEN(ReferenceData!$L$151),"",ReferenceData!$L$151),"")</f>
        <v>13.25784423</v>
      </c>
      <c r="L151">
        <f ca="1">IFERROR(IF(0=LEN(ReferenceData!$K$151),"",ReferenceData!$K$151),"")</f>
        <v>13.77346543</v>
      </c>
      <c r="M151">
        <f ca="1">IFERROR(IF(0=LEN(ReferenceData!$J$151),"",ReferenceData!$J$151),"")</f>
        <v>13.097093129999999</v>
      </c>
      <c r="N151">
        <f ca="1">IFERROR(IF(0=LEN(ReferenceData!$I$151),"",ReferenceData!$I$151),"")</f>
        <v>15.54926985</v>
      </c>
      <c r="O151">
        <f ca="1">IFERROR(IF(0=LEN(ReferenceData!$H$151),"",ReferenceData!$H$151),"")</f>
        <v>14.834123590000001</v>
      </c>
      <c r="P151">
        <f ca="1">IFERROR(IF(0=LEN(ReferenceData!$G$151),"",ReferenceData!$G$151),"")</f>
        <v>15.928462469999999</v>
      </c>
      <c r="Q151">
        <f ca="1">IFERROR(IF(0=LEN(ReferenceData!$F$151),"",ReferenceData!$F$151),"")</f>
        <v>15.57369688</v>
      </c>
    </row>
    <row r="152" spans="1:17" x14ac:dyDescent="0.25">
      <c r="A152" t="str">
        <f>IFERROR(IF(0=LEN(ReferenceData!$A$152),"",ReferenceData!$A$152),"")</f>
        <v xml:space="preserve">    Atos SE</v>
      </c>
      <c r="B152" t="str">
        <f>IFERROR(IF(0=LEN(ReferenceData!$B$152),"",ReferenceData!$B$152),"")</f>
        <v>ATO FP Equity</v>
      </c>
      <c r="C152" t="str">
        <f>IFERROR(IF(0=LEN(ReferenceData!$C$152),"",ReferenceData!$C$152),"")</f>
        <v>RR037</v>
      </c>
      <c r="D152" t="str">
        <f>IFERROR(IF(0=LEN(ReferenceData!$D$152),"",ReferenceData!$D$152),"")</f>
        <v>EFF_TAX_RATE</v>
      </c>
      <c r="E152" t="str">
        <f>IFERROR(IF(0=LEN(ReferenceData!$E$152),"",ReferenceData!$E$152),"")</f>
        <v>Dynamic</v>
      </c>
      <c r="F152">
        <f ca="1">IFERROR(IF(0=LEN(ReferenceData!$Q$152),"",ReferenceData!$Q$152),"")</f>
        <v>62.064516130000001</v>
      </c>
      <c r="G152" t="str">
        <f ca="1">IFERROR(IF(0=LEN(ReferenceData!$P$152),"",ReferenceData!$P$152),"")</f>
        <v/>
      </c>
      <c r="H152">
        <f ca="1">IFERROR(IF(0=LEN(ReferenceData!$O$152),"",ReferenceData!$O$152),"")</f>
        <v>32.840909089999997</v>
      </c>
      <c r="I152">
        <f ca="1">IFERROR(IF(0=LEN(ReferenceData!$N$152),"",ReferenceData!$N$152),"")</f>
        <v>41.402497599999997</v>
      </c>
      <c r="J152">
        <f ca="1">IFERROR(IF(0=LEN(ReferenceData!$M$152),"",ReferenceData!$M$152),"")</f>
        <v>31.219660189999999</v>
      </c>
      <c r="K152">
        <f ca="1">IFERROR(IF(0=LEN(ReferenceData!$L$152),"",ReferenceData!$L$152),"")</f>
        <v>27.090395480000002</v>
      </c>
      <c r="L152">
        <f ca="1">IFERROR(IF(0=LEN(ReferenceData!$K$152),"",ReferenceData!$K$152),"")</f>
        <v>26.781579619999999</v>
      </c>
      <c r="M152">
        <f ca="1">IFERROR(IF(0=LEN(ReferenceData!$J$152),"",ReferenceData!$J$152),"")</f>
        <v>20.161734979999999</v>
      </c>
      <c r="N152">
        <f ca="1">IFERROR(IF(0=LEN(ReferenceData!$I$152),"",ReferenceData!$I$152),"")</f>
        <v>18.310224179999999</v>
      </c>
      <c r="O152">
        <f ca="1">IFERROR(IF(0=LEN(ReferenceData!$H$152),"",ReferenceData!$H$152),"")</f>
        <v>18.327183269999999</v>
      </c>
      <c r="P152">
        <f ca="1">IFERROR(IF(0=LEN(ReferenceData!$G$152),"",ReferenceData!$G$152),"")</f>
        <v>0.176366843</v>
      </c>
      <c r="Q152">
        <f ca="1">IFERROR(IF(0=LEN(ReferenceData!$F$152),"",ReferenceData!$F$152),"")</f>
        <v>18.061674010000001</v>
      </c>
    </row>
    <row r="153" spans="1:17" x14ac:dyDescent="0.25">
      <c r="A153" t="str">
        <f>IFERROR(IF(0=LEN(ReferenceData!$A$153),"",ReferenceData!$A$153),"")</f>
        <v xml:space="preserve">    Capgemini SE</v>
      </c>
      <c r="B153" t="str">
        <f>IFERROR(IF(0=LEN(ReferenceData!$B$153),"",ReferenceData!$B$153),"")</f>
        <v>CAP FP Equity</v>
      </c>
      <c r="C153" t="str">
        <f>IFERROR(IF(0=LEN(ReferenceData!$C$153),"",ReferenceData!$C$153),"")</f>
        <v>RR037</v>
      </c>
      <c r="D153" t="str">
        <f>IFERROR(IF(0=LEN(ReferenceData!$D$153),"",ReferenceData!$D$153),"")</f>
        <v>EFF_TAX_RATE</v>
      </c>
      <c r="E153" t="str">
        <f>IFERROR(IF(0=LEN(ReferenceData!$E$153),"",ReferenceData!$E$153),"")</f>
        <v>Dynamic</v>
      </c>
      <c r="F153">
        <f ca="1">IFERROR(IF(0=LEN(ReferenceData!$Q$153),"",ReferenceData!$Q$153),"")</f>
        <v>20.45855379</v>
      </c>
      <c r="G153">
        <f ca="1">IFERROR(IF(0=LEN(ReferenceData!$P$153),"",ReferenceData!$P$153),"")</f>
        <v>25.523012550000001</v>
      </c>
      <c r="H153">
        <f ca="1">IFERROR(IF(0=LEN(ReferenceData!$O$153),"",ReferenceData!$O$153),"")</f>
        <v>30.84577114</v>
      </c>
      <c r="I153">
        <f ca="1">IFERROR(IF(0=LEN(ReferenceData!$N$153),"",ReferenceData!$N$153),"")</f>
        <v>20.6122449</v>
      </c>
      <c r="J153">
        <f ca="1">IFERROR(IF(0=LEN(ReferenceData!$M$153),"",ReferenceData!$M$153),"")</f>
        <v>28.18371608</v>
      </c>
      <c r="K153">
        <f ca="1">IFERROR(IF(0=LEN(ReferenceData!$L$153),"",ReferenceData!$L$153),"")</f>
        <v>29.449838190000001</v>
      </c>
      <c r="L153">
        <f ca="1">IFERROR(IF(0=LEN(ReferenceData!$K$153),"",ReferenceData!$K$153),"")</f>
        <v>26.819923370000001</v>
      </c>
      <c r="M153" t="str">
        <f ca="1">IFERROR(IF(0=LEN(ReferenceData!$J$153),"",ReferenceData!$J$153),"")</f>
        <v/>
      </c>
      <c r="N153">
        <f ca="1">IFERROR(IF(0=LEN(ReferenceData!$I$153),"",ReferenceData!$I$153),"")</f>
        <v>9.3812375249999995</v>
      </c>
      <c r="O153">
        <f ca="1">IFERROR(IF(0=LEN(ReferenceData!$H$153),"",ReferenceData!$H$153),"")</f>
        <v>27.272727270000001</v>
      </c>
      <c r="P153">
        <f ca="1">IFERROR(IF(0=LEN(ReferenceData!$G$153),"",ReferenceData!$G$153),"")</f>
        <v>38.172502129999998</v>
      </c>
      <c r="Q153">
        <f ca="1">IFERROR(IF(0=LEN(ReferenceData!$F$153),"",ReferenceData!$F$153),"")</f>
        <v>37.075332349999996</v>
      </c>
    </row>
    <row r="154" spans="1:17" x14ac:dyDescent="0.25">
      <c r="A154" t="str">
        <f>IFERROR(IF(0=LEN(ReferenceData!$A$154),"",ReferenceData!$A$154),"")</f>
        <v xml:space="preserve">    CGI Inc</v>
      </c>
      <c r="B154" t="str">
        <f>IFERROR(IF(0=LEN(ReferenceData!$B$154),"",ReferenceData!$B$154),"")</f>
        <v>GIB US Equity</v>
      </c>
      <c r="C154" t="str">
        <f>IFERROR(IF(0=LEN(ReferenceData!$C$154),"",ReferenceData!$C$154),"")</f>
        <v>RR037</v>
      </c>
      <c r="D154" t="str">
        <f>IFERROR(IF(0=LEN(ReferenceData!$D$154),"",ReferenceData!$D$154),"")</f>
        <v>EFF_TAX_RATE</v>
      </c>
      <c r="E154" t="str">
        <f>IFERROR(IF(0=LEN(ReferenceData!$E$154),"",ReferenceData!$E$154),"")</f>
        <v>Dynamic</v>
      </c>
      <c r="F154">
        <f ca="1">IFERROR(IF(0=LEN(ReferenceData!$Q$154),"",ReferenceData!$Q$154),"")</f>
        <v>24.447946739999999</v>
      </c>
      <c r="G154">
        <f ca="1">IFERROR(IF(0=LEN(ReferenceData!$P$154),"",ReferenceData!$P$154),"")</f>
        <v>28.387513599999998</v>
      </c>
      <c r="H154">
        <f ca="1">IFERROR(IF(0=LEN(ReferenceData!$O$154),"",ReferenceData!$O$154),"")</f>
        <v>24.065592710000001</v>
      </c>
      <c r="I154">
        <f ca="1">IFERROR(IF(0=LEN(ReferenceData!$N$154),"",ReferenceData!$N$154),"")</f>
        <v>18.53654002</v>
      </c>
      <c r="J154">
        <f ca="1">IFERROR(IF(0=LEN(ReferenceData!$M$154),"",ReferenceData!$M$154),"")</f>
        <v>49.97489788</v>
      </c>
      <c r="K154">
        <f ca="1">IFERROR(IF(0=LEN(ReferenceData!$L$154),"",ReferenceData!$L$154),"")</f>
        <v>27.373482769999999</v>
      </c>
      <c r="L154">
        <f ca="1">IFERROR(IF(0=LEN(ReferenceData!$K$154),"",ReferenceData!$K$154),"")</f>
        <v>23.959920369999999</v>
      </c>
      <c r="M154">
        <f ca="1">IFERROR(IF(0=LEN(ReferenceData!$J$154),"",ReferenceData!$J$154),"")</f>
        <v>26.419218579999999</v>
      </c>
      <c r="N154">
        <f ca="1">IFERROR(IF(0=LEN(ReferenceData!$I$154),"",ReferenceData!$I$154),"")</f>
        <v>26.43674047</v>
      </c>
      <c r="O154">
        <f ca="1">IFERROR(IF(0=LEN(ReferenceData!$H$154),"",ReferenceData!$H$154),"")</f>
        <v>26.990818090000001</v>
      </c>
      <c r="P154">
        <f ca="1">IFERROR(IF(0=LEN(ReferenceData!$G$154),"",ReferenceData!$G$154),"")</f>
        <v>23.394810669999998</v>
      </c>
      <c r="Q154">
        <f ca="1">IFERROR(IF(0=LEN(ReferenceData!$F$154),"",ReferenceData!$F$154),"")</f>
        <v>24.672261750000001</v>
      </c>
    </row>
    <row r="155" spans="1:17" x14ac:dyDescent="0.25">
      <c r="A155" t="str">
        <f>IFERROR(IF(0=LEN(ReferenceData!$A$155),"",ReferenceData!$A$155),"")</f>
        <v xml:space="preserve">    Cognizant Technology Solutions Corp</v>
      </c>
      <c r="B155" t="str">
        <f>IFERROR(IF(0=LEN(ReferenceData!$B$155),"",ReferenceData!$B$155),"")</f>
        <v>CTSH US Equity</v>
      </c>
      <c r="C155" t="str">
        <f>IFERROR(IF(0=LEN(ReferenceData!$C$155),"",ReferenceData!$C$155),"")</f>
        <v>RR037</v>
      </c>
      <c r="D155" t="str">
        <f>IFERROR(IF(0=LEN(ReferenceData!$D$155),"",ReferenceData!$D$155),"")</f>
        <v>EFF_TAX_RATE</v>
      </c>
      <c r="E155" t="str">
        <f>IFERROR(IF(0=LEN(ReferenceData!$E$155),"",ReferenceData!$E$155),"")</f>
        <v>Dynamic</v>
      </c>
      <c r="F155">
        <f ca="1">IFERROR(IF(0=LEN(ReferenceData!$Q$155),"",ReferenceData!$Q$155),"")</f>
        <v>16.374876260000001</v>
      </c>
      <c r="G155">
        <f ca="1">IFERROR(IF(0=LEN(ReferenceData!$P$155),"",ReferenceData!$P$155),"")</f>
        <v>16.011906719999999</v>
      </c>
      <c r="H155">
        <f ca="1">IFERROR(IF(0=LEN(ReferenceData!$O$155),"",ReferenceData!$O$155),"")</f>
        <v>16.50845683</v>
      </c>
      <c r="I155">
        <f ca="1">IFERROR(IF(0=LEN(ReferenceData!$N$155),"",ReferenceData!$N$155),"")</f>
        <v>24.422122420000001</v>
      </c>
      <c r="J155">
        <f ca="1">IFERROR(IF(0=LEN(ReferenceData!$M$155),"",ReferenceData!$M$155),"")</f>
        <v>24.238539169999999</v>
      </c>
      <c r="K155">
        <f ca="1">IFERROR(IF(0=LEN(ReferenceData!$L$155),"",ReferenceData!$L$155),"")</f>
        <v>27.213364160000001</v>
      </c>
      <c r="L155">
        <f ca="1">IFERROR(IF(0=LEN(ReferenceData!$K$155),"",ReferenceData!$K$155),"")</f>
        <v>25.19230769</v>
      </c>
      <c r="M155">
        <f ca="1">IFERROR(IF(0=LEN(ReferenceData!$J$155),"",ReferenceData!$J$155),"")</f>
        <v>24.953789279999999</v>
      </c>
      <c r="N155">
        <f ca="1">IFERROR(IF(0=LEN(ReferenceData!$I$155),"",ReferenceData!$I$155),"")</f>
        <v>34.153585069999998</v>
      </c>
      <c r="O155">
        <f ca="1">IFERROR(IF(0=LEN(ReferenceData!$H$155),"",ReferenceData!$H$155),"")</f>
        <v>43.427495290000003</v>
      </c>
      <c r="P155">
        <f ca="1">IFERROR(IF(0=LEN(ReferenceData!$G$155),"",ReferenceData!$G$155),"")</f>
        <v>24.95530926</v>
      </c>
      <c r="Q155">
        <f ca="1">IFERROR(IF(0=LEN(ReferenceData!$F$155),"",ReferenceData!$F$155),"")</f>
        <v>25.285096339999999</v>
      </c>
    </row>
    <row r="156" spans="1:17" x14ac:dyDescent="0.25">
      <c r="A156" t="str">
        <f>IFERROR(IF(0=LEN(ReferenceData!$A$156),"",ReferenceData!$A$156),"")</f>
        <v xml:space="preserve">    Conduent Inc</v>
      </c>
      <c r="B156" t="str">
        <f>IFERROR(IF(0=LEN(ReferenceData!$B$156),"",ReferenceData!$B$156),"")</f>
        <v>CNDT US Equity</v>
      </c>
      <c r="C156" t="str">
        <f>IFERROR(IF(0=LEN(ReferenceData!$C$156),"",ReferenceData!$C$156),"")</f>
        <v>RR037</v>
      </c>
      <c r="D156" t="str">
        <f>IFERROR(IF(0=LEN(ReferenceData!$D$156),"",ReferenceData!$D$156),"")</f>
        <v>EFF_TAX_RATE</v>
      </c>
      <c r="E156" t="str">
        <f>IFERROR(IF(0=LEN(ReferenceData!$E$156),"",ReferenceData!$E$156),"")</f>
        <v>Dynamic</v>
      </c>
      <c r="F156" t="str">
        <f ca="1">IFERROR(IF(0=LEN(ReferenceData!$Q$156),"",ReferenceData!$Q$156),"")</f>
        <v/>
      </c>
      <c r="G156" t="str">
        <f ca="1">IFERROR(IF(0=LEN(ReferenceData!$P$156),"",ReferenceData!$P$156),"")</f>
        <v/>
      </c>
      <c r="H156" t="str">
        <f ca="1">IFERROR(IF(0=LEN(ReferenceData!$O$156),"",ReferenceData!$O$156),"")</f>
        <v/>
      </c>
      <c r="I156" t="str">
        <f ca="1">IFERROR(IF(0=LEN(ReferenceData!$N$156),"",ReferenceData!$N$156),"")</f>
        <v/>
      </c>
      <c r="J156" t="str">
        <f ca="1">IFERROR(IF(0=LEN(ReferenceData!$M$156),"",ReferenceData!$M$156),"")</f>
        <v/>
      </c>
      <c r="K156">
        <f ca="1">IFERROR(IF(0=LEN(ReferenceData!$L$156),"",ReferenceData!$L$156),"")</f>
        <v>34.782608699999997</v>
      </c>
      <c r="L156" t="str">
        <f ca="1">IFERROR(IF(0=LEN(ReferenceData!$K$156),"",ReferenceData!$K$156),"")</f>
        <v/>
      </c>
      <c r="M156" t="str">
        <f ca="1">IFERROR(IF(0=LEN(ReferenceData!$J$156),"",ReferenceData!$J$156),"")</f>
        <v/>
      </c>
      <c r="N156" t="str">
        <f ca="1">IFERROR(IF(0=LEN(ReferenceData!$I$156),"",ReferenceData!$I$156),"")</f>
        <v/>
      </c>
      <c r="O156" t="str">
        <f ca="1">IFERROR(IF(0=LEN(ReferenceData!$H$156),"",ReferenceData!$H$156),"")</f>
        <v/>
      </c>
      <c r="P156" t="str">
        <f ca="1">IFERROR(IF(0=LEN(ReferenceData!$G$156),"",ReferenceData!$G$156),"")</f>
        <v/>
      </c>
      <c r="Q156" t="str">
        <f ca="1">IFERROR(IF(0=LEN(ReferenceData!$F$156),"",ReferenceData!$F$156),"")</f>
        <v/>
      </c>
    </row>
    <row r="157" spans="1:17" x14ac:dyDescent="0.25">
      <c r="A157" t="str">
        <f>IFERROR(IF(0=LEN(ReferenceData!$A$157),"",ReferenceData!$A$157),"")</f>
        <v xml:space="preserve">    DXC Technology Co</v>
      </c>
      <c r="B157" t="str">
        <f>IFERROR(IF(0=LEN(ReferenceData!$B$157),"",ReferenceData!$B$157),"")</f>
        <v>DXC US Equity</v>
      </c>
      <c r="C157" t="str">
        <f>IFERROR(IF(0=LEN(ReferenceData!$C$157),"",ReferenceData!$C$157),"")</f>
        <v>RR037</v>
      </c>
      <c r="D157" t="str">
        <f>IFERROR(IF(0=LEN(ReferenceData!$D$157),"",ReferenceData!$D$157),"")</f>
        <v>EFF_TAX_RATE</v>
      </c>
      <c r="E157" t="str">
        <f>IFERROR(IF(0=LEN(ReferenceData!$E$157),"",ReferenceData!$E$157),"")</f>
        <v>Dynamic</v>
      </c>
      <c r="F157" t="str">
        <f ca="1">IFERROR(IF(0=LEN(ReferenceData!$Q$157),"",ReferenceData!$Q$157),"")</f>
        <v/>
      </c>
      <c r="G157" t="str">
        <f ca="1">IFERROR(IF(0=LEN(ReferenceData!$P$157),"",ReferenceData!$P$157),"")</f>
        <v/>
      </c>
      <c r="H157" t="str">
        <f ca="1">IFERROR(IF(0=LEN(ReferenceData!$O$157),"",ReferenceData!$O$157),"")</f>
        <v/>
      </c>
      <c r="I157" t="str">
        <f ca="1">IFERROR(IF(0=LEN(ReferenceData!$N$157),"",ReferenceData!$N$157),"")</f>
        <v/>
      </c>
      <c r="J157" t="str">
        <f ca="1">IFERROR(IF(0=LEN(ReferenceData!$M$157),"",ReferenceData!$M$157),"")</f>
        <v/>
      </c>
      <c r="K157" t="str">
        <f ca="1">IFERROR(IF(0=LEN(ReferenceData!$L$157),"",ReferenceData!$L$157),"")</f>
        <v/>
      </c>
      <c r="L157" t="str">
        <f ca="1">IFERROR(IF(0=LEN(ReferenceData!$K$157),"",ReferenceData!$K$157),"")</f>
        <v/>
      </c>
      <c r="M157" t="str">
        <f ca="1">IFERROR(IF(0=LEN(ReferenceData!$J$157),"",ReferenceData!$J$157),"")</f>
        <v/>
      </c>
      <c r="N157" t="str">
        <f ca="1">IFERROR(IF(0=LEN(ReferenceData!$I$157),"",ReferenceData!$I$157),"")</f>
        <v/>
      </c>
      <c r="O157" t="str">
        <f ca="1">IFERROR(IF(0=LEN(ReferenceData!$H$157),"",ReferenceData!$H$157),"")</f>
        <v/>
      </c>
      <c r="P157">
        <f ca="1">IFERROR(IF(0=LEN(ReferenceData!$G$157),"",ReferenceData!$G$157),"")</f>
        <v>19.009900989999998</v>
      </c>
      <c r="Q157" t="str">
        <f ca="1">IFERROR(IF(0=LEN(ReferenceData!$F$157),"",ReferenceData!$F$157),"")</f>
        <v/>
      </c>
    </row>
    <row r="158" spans="1:17" x14ac:dyDescent="0.25">
      <c r="A158" t="str">
        <f>IFERROR(IF(0=LEN(ReferenceData!$A$158),"",ReferenceData!$A$158),"")</f>
        <v xml:space="preserve">    EPAM Systems Inc</v>
      </c>
      <c r="B158" t="str">
        <f>IFERROR(IF(0=LEN(ReferenceData!$B$158),"",ReferenceData!$B$158),"")</f>
        <v>EPAM US Equity</v>
      </c>
      <c r="C158" t="str">
        <f>IFERROR(IF(0=LEN(ReferenceData!$C$158),"",ReferenceData!$C$158),"")</f>
        <v>RR037</v>
      </c>
      <c r="D158" t="str">
        <f>IFERROR(IF(0=LEN(ReferenceData!$D$158),"",ReferenceData!$D$158),"")</f>
        <v>EFF_TAX_RATE</v>
      </c>
      <c r="E158" t="str">
        <f>IFERROR(IF(0=LEN(ReferenceData!$E$158),"",ReferenceData!$E$158),"")</f>
        <v>Dynamic</v>
      </c>
      <c r="F158">
        <f ca="1">IFERROR(IF(0=LEN(ReferenceData!$Q$158),"",ReferenceData!$Q$158),"")</f>
        <v>47.74867759</v>
      </c>
      <c r="G158">
        <f ca="1">IFERROR(IF(0=LEN(ReferenceData!$P$158),"",ReferenceData!$P$158),"")</f>
        <v>6.1012008050000004</v>
      </c>
      <c r="H158">
        <f ca="1">IFERROR(IF(0=LEN(ReferenceData!$O$158),"",ReferenceData!$O$158),"")</f>
        <v>8.9628557650000005</v>
      </c>
      <c r="I158">
        <f ca="1">IFERROR(IF(0=LEN(ReferenceData!$N$158),"",ReferenceData!$N$158),"")</f>
        <v>15.98537657</v>
      </c>
      <c r="J158">
        <f ca="1">IFERROR(IF(0=LEN(ReferenceData!$M$158),"",ReferenceData!$M$158),"")</f>
        <v>17.276771480000001</v>
      </c>
      <c r="K158">
        <f ca="1">IFERROR(IF(0=LEN(ReferenceData!$L$158),"",ReferenceData!$L$158),"")</f>
        <v>19.247101730000001</v>
      </c>
      <c r="L158">
        <f ca="1">IFERROR(IF(0=LEN(ReferenceData!$K$158),"",ReferenceData!$K$158),"")</f>
        <v>19.90960634</v>
      </c>
      <c r="M158">
        <f ca="1">IFERROR(IF(0=LEN(ReferenceData!$J$158),"",ReferenceData!$J$158),"")</f>
        <v>20.37710946</v>
      </c>
      <c r="N158">
        <f ca="1">IFERROR(IF(0=LEN(ReferenceData!$I$158),"",ReferenceData!$I$158),"")</f>
        <v>21.50775703</v>
      </c>
      <c r="O158">
        <f ca="1">IFERROR(IF(0=LEN(ReferenceData!$H$158),"",ReferenceData!$H$158),"")</f>
        <v>58.257078110000002</v>
      </c>
      <c r="P158">
        <f ca="1">IFERROR(IF(0=LEN(ReferenceData!$G$158),"",ReferenceData!$G$158),"")</f>
        <v>3.810259716</v>
      </c>
      <c r="Q158">
        <f ca="1">IFERROR(IF(0=LEN(ReferenceData!$F$158),"",ReferenceData!$F$158),"")</f>
        <v>12.843292399999999</v>
      </c>
    </row>
    <row r="159" spans="1:17" x14ac:dyDescent="0.25">
      <c r="A159" t="str">
        <f>IFERROR(IF(0=LEN(ReferenceData!$A$159),"",ReferenceData!$A$159),"")</f>
        <v xml:space="preserve">    Genpact Ltd</v>
      </c>
      <c r="B159" t="str">
        <f>IFERROR(IF(0=LEN(ReferenceData!$B$159),"",ReferenceData!$B$159),"")</f>
        <v>G US Equity</v>
      </c>
      <c r="C159" t="str">
        <f>IFERROR(IF(0=LEN(ReferenceData!$C$159),"",ReferenceData!$C$159),"")</f>
        <v>RR037</v>
      </c>
      <c r="D159" t="str">
        <f>IFERROR(IF(0=LEN(ReferenceData!$D$159),"",ReferenceData!$D$159),"")</f>
        <v>EFF_TAX_RATE</v>
      </c>
      <c r="E159" t="str">
        <f>IFERROR(IF(0=LEN(ReferenceData!$E$159),"",ReferenceData!$E$159),"")</f>
        <v>Dynamic</v>
      </c>
      <c r="F159">
        <f ca="1">IFERROR(IF(0=LEN(ReferenceData!$Q$159),"",ReferenceData!$Q$159),"")</f>
        <v>6.1516900940000001</v>
      </c>
      <c r="G159">
        <f ca="1">IFERROR(IF(0=LEN(ReferenceData!$P$159),"",ReferenceData!$P$159),"")</f>
        <v>15.874183410000001</v>
      </c>
      <c r="H159">
        <f ca="1">IFERROR(IF(0=LEN(ReferenceData!$O$159),"",ReferenceData!$O$159),"")</f>
        <v>18.666295559999998</v>
      </c>
      <c r="I159">
        <f ca="1">IFERROR(IF(0=LEN(ReferenceData!$N$159),"",ReferenceData!$N$159),"")</f>
        <v>26.995552700000001</v>
      </c>
      <c r="J159">
        <f ca="1">IFERROR(IF(0=LEN(ReferenceData!$M$159),"",ReferenceData!$M$159),"")</f>
        <v>29.816089940000001</v>
      </c>
      <c r="K159">
        <f ca="1">IFERROR(IF(0=LEN(ReferenceData!$L$159),"",ReferenceData!$L$159),"")</f>
        <v>23.223833989999999</v>
      </c>
      <c r="L159">
        <f ca="1">IFERROR(IF(0=LEN(ReferenceData!$K$159),"",ReferenceData!$K$159),"")</f>
        <v>23.005328739999999</v>
      </c>
      <c r="M159">
        <f ca="1">IFERROR(IF(0=LEN(ReferenceData!$J$159),"",ReferenceData!$J$159),"")</f>
        <v>20.52565997</v>
      </c>
      <c r="N159">
        <f ca="1">IFERROR(IF(0=LEN(ReferenceData!$I$159),"",ReferenceData!$I$159),"")</f>
        <v>18.837840709999998</v>
      </c>
      <c r="O159">
        <f ca="1">IFERROR(IF(0=LEN(ReferenceData!$H$159),"",ReferenceData!$H$159),"")</f>
        <v>18.635423589999998</v>
      </c>
      <c r="P159">
        <f ca="1">IFERROR(IF(0=LEN(ReferenceData!$G$159),"",ReferenceData!$G$159),"")</f>
        <v>22.308926830000001</v>
      </c>
      <c r="Q159">
        <f ca="1">IFERROR(IF(0=LEN(ReferenceData!$F$159),"",ReferenceData!$F$159),"")</f>
        <v>23.668496829999999</v>
      </c>
    </row>
    <row r="160" spans="1:17" x14ac:dyDescent="0.25">
      <c r="A160" t="str">
        <f>IFERROR(IF(0=LEN(ReferenceData!$A$160),"",ReferenceData!$A$160),"")</f>
        <v xml:space="preserve">    HCL Technologies Ltd</v>
      </c>
      <c r="B160" t="str">
        <f>IFERROR(IF(0=LEN(ReferenceData!$B$160),"",ReferenceData!$B$160),"")</f>
        <v>HCLT IN Equity</v>
      </c>
      <c r="C160" t="str">
        <f>IFERROR(IF(0=LEN(ReferenceData!$C$160),"",ReferenceData!$C$160),"")</f>
        <v>RR037</v>
      </c>
      <c r="D160" t="str">
        <f>IFERROR(IF(0=LEN(ReferenceData!$D$160),"",ReferenceData!$D$160),"")</f>
        <v>EFF_TAX_RATE</v>
      </c>
      <c r="E160" t="str">
        <f>IFERROR(IF(0=LEN(ReferenceData!$E$160),"",ReferenceData!$E$160),"")</f>
        <v>Dynamic</v>
      </c>
      <c r="F160">
        <f ca="1">IFERROR(IF(0=LEN(ReferenceData!$Q$160),"",ReferenceData!$Q$160),"")</f>
        <v>17.729253830000001</v>
      </c>
      <c r="G160">
        <f ca="1">IFERROR(IF(0=LEN(ReferenceData!$P$160),"",ReferenceData!$P$160),"")</f>
        <v>14.495086349999999</v>
      </c>
      <c r="H160">
        <f ca="1">IFERROR(IF(0=LEN(ReferenceData!$O$160),"",ReferenceData!$O$160),"")</f>
        <v>22.878446539999999</v>
      </c>
      <c r="I160">
        <f ca="1">IFERROR(IF(0=LEN(ReferenceData!$N$160),"",ReferenceData!$N$160),"")</f>
        <v>24.38531996</v>
      </c>
      <c r="J160">
        <f ca="1">IFERROR(IF(0=LEN(ReferenceData!$M$160),"",ReferenceData!$M$160),"")</f>
        <v>23.25114945</v>
      </c>
      <c r="K160">
        <f ca="1">IFERROR(IF(0=LEN(ReferenceData!$L$160),"",ReferenceData!$L$160),"")</f>
        <v>19.557038129999999</v>
      </c>
      <c r="L160" t="str">
        <f ca="1">IFERROR(IF(0=LEN(ReferenceData!$K$160),"",ReferenceData!$K$160),"")</f>
        <v/>
      </c>
      <c r="M160">
        <f ca="1">IFERROR(IF(0=LEN(ReferenceData!$J$160),"",ReferenceData!$J$160),"")</f>
        <v>20.400028469999999</v>
      </c>
      <c r="N160">
        <f ca="1">IFERROR(IF(0=LEN(ReferenceData!$I$160),"",ReferenceData!$I$160),"")</f>
        <v>18.365986100000001</v>
      </c>
      <c r="O160">
        <f ca="1">IFERROR(IF(0=LEN(ReferenceData!$H$160),"",ReferenceData!$H$160),"")</f>
        <v>20.881712629999999</v>
      </c>
      <c r="P160">
        <f ca="1">IFERROR(IF(0=LEN(ReferenceData!$G$160),"",ReferenceData!$G$160),"")</f>
        <v>19.737062000000002</v>
      </c>
      <c r="Q160">
        <f ca="1">IFERROR(IF(0=LEN(ReferenceData!$F$160),"",ReferenceData!$F$160),"")</f>
        <v>20.940734729999999</v>
      </c>
    </row>
    <row r="161" spans="1:17" x14ac:dyDescent="0.25">
      <c r="A161" t="str">
        <f>IFERROR(IF(0=LEN(ReferenceData!$A$161),"",ReferenceData!$A$161),"")</f>
        <v xml:space="preserve">    Indra Sistemas SA</v>
      </c>
      <c r="B161" t="str">
        <f>IFERROR(IF(0=LEN(ReferenceData!$B$161),"",ReferenceData!$B$161),"")</f>
        <v>IDR SM Equity</v>
      </c>
      <c r="C161" t="str">
        <f>IFERROR(IF(0=LEN(ReferenceData!$C$161),"",ReferenceData!$C$161),"")</f>
        <v>RR037</v>
      </c>
      <c r="D161" t="str">
        <f>IFERROR(IF(0=LEN(ReferenceData!$D$161),"",ReferenceData!$D$161),"")</f>
        <v>EFF_TAX_RATE</v>
      </c>
      <c r="E161" t="str">
        <f>IFERROR(IF(0=LEN(ReferenceData!$E$161),"",ReferenceData!$E$161),"")</f>
        <v>Dynamic</v>
      </c>
      <c r="F161">
        <f ca="1">IFERROR(IF(0=LEN(ReferenceData!$Q$161),"",ReferenceData!$Q$161),"")</f>
        <v>25.881565689999999</v>
      </c>
      <c r="G161">
        <f ca="1">IFERROR(IF(0=LEN(ReferenceData!$P$161),"",ReferenceData!$P$161),"")</f>
        <v>24.063832720000001</v>
      </c>
      <c r="H161">
        <f ca="1">IFERROR(IF(0=LEN(ReferenceData!$O$161),"",ReferenceData!$O$161),"")</f>
        <v>19.560779140000001</v>
      </c>
      <c r="I161">
        <f ca="1">IFERROR(IF(0=LEN(ReferenceData!$N$161),"",ReferenceData!$N$161),"")</f>
        <v>22.387439130000001</v>
      </c>
      <c r="J161">
        <f ca="1">IFERROR(IF(0=LEN(ReferenceData!$M$161),"",ReferenceData!$M$161),"")</f>
        <v>21.878597849999998</v>
      </c>
      <c r="K161">
        <f ca="1">IFERROR(IF(0=LEN(ReferenceData!$L$161),"",ReferenceData!$L$161),"")</f>
        <v>20.434213400000001</v>
      </c>
      <c r="L161" t="str">
        <f ca="1">IFERROR(IF(0=LEN(ReferenceData!$K$161),"",ReferenceData!$K$161),"")</f>
        <v/>
      </c>
      <c r="M161" t="str">
        <f ca="1">IFERROR(IF(0=LEN(ReferenceData!$J$161),"",ReferenceData!$J$161),"")</f>
        <v/>
      </c>
      <c r="N161">
        <f ca="1">IFERROR(IF(0=LEN(ReferenceData!$I$161),"",ReferenceData!$I$161),"")</f>
        <v>43.188679550000003</v>
      </c>
      <c r="O161">
        <f ca="1">IFERROR(IF(0=LEN(ReferenceData!$H$161),"",ReferenceData!$H$161),"")</f>
        <v>20.73131038</v>
      </c>
      <c r="P161">
        <f ca="1">IFERROR(IF(0=LEN(ReferenceData!$G$161),"",ReferenceData!$G$161),"")</f>
        <v>25.41918871</v>
      </c>
      <c r="Q161">
        <f ca="1">IFERROR(IF(0=LEN(ReferenceData!$F$161),"",ReferenceData!$F$161),"")</f>
        <v>28.981826170000001</v>
      </c>
    </row>
    <row r="162" spans="1:17" x14ac:dyDescent="0.25">
      <c r="A162" t="str">
        <f>IFERROR(IF(0=LEN(ReferenceData!$A$162),"",ReferenceData!$A$162),"")</f>
        <v xml:space="preserve">    Infosys Ltd</v>
      </c>
      <c r="B162" t="str">
        <f>IFERROR(IF(0=LEN(ReferenceData!$B$162),"",ReferenceData!$B$162),"")</f>
        <v>INFY US Equity</v>
      </c>
      <c r="C162" t="str">
        <f>IFERROR(IF(0=LEN(ReferenceData!$C$162),"",ReferenceData!$C$162),"")</f>
        <v>RR037</v>
      </c>
      <c r="D162" t="str">
        <f>IFERROR(IF(0=LEN(ReferenceData!$D$162),"",ReferenceData!$D$162),"")</f>
        <v>EFF_TAX_RATE</v>
      </c>
      <c r="E162" t="str">
        <f>IFERROR(IF(0=LEN(ReferenceData!$E$162),"",ReferenceData!$E$162),"")</f>
        <v>Dynamic</v>
      </c>
      <c r="F162">
        <f ca="1">IFERROR(IF(0=LEN(ReferenceData!$Q$162),"",ReferenceData!$Q$162),"")</f>
        <v>13.30534241</v>
      </c>
      <c r="G162">
        <f ca="1">IFERROR(IF(0=LEN(ReferenceData!$P$162),"",ReferenceData!$P$162),"")</f>
        <v>21.27848101</v>
      </c>
      <c r="H162">
        <f ca="1">IFERROR(IF(0=LEN(ReferenceData!$O$162),"",ReferenceData!$O$162),"")</f>
        <v>26.70241287</v>
      </c>
      <c r="I162">
        <f ca="1">IFERROR(IF(0=LEN(ReferenceData!$N$162),"",ReferenceData!$N$162),"")</f>
        <v>28.819652489999999</v>
      </c>
      <c r="J162">
        <f ca="1">IFERROR(IF(0=LEN(ReferenceData!$M$162),"",ReferenceData!$M$162),"")</f>
        <v>26.329371290000001</v>
      </c>
      <c r="K162">
        <f ca="1">IFERROR(IF(0=LEN(ReferenceData!$L$162),"",ReferenceData!$L$162),"")</f>
        <v>27.613868119999999</v>
      </c>
      <c r="L162">
        <f ca="1">IFERROR(IF(0=LEN(ReferenceData!$K$162),"",ReferenceData!$K$162),"")</f>
        <v>28.560667519999999</v>
      </c>
      <c r="M162">
        <f ca="1">IFERROR(IF(0=LEN(ReferenceData!$J$162),"",ReferenceData!$J$162),"")</f>
        <v>28.020277480000001</v>
      </c>
      <c r="N162">
        <f ca="1">IFERROR(IF(0=LEN(ReferenceData!$I$162),"",ReferenceData!$I$162),"")</f>
        <v>28.058743920000001</v>
      </c>
      <c r="O162">
        <f ca="1">IFERROR(IF(0=LEN(ReferenceData!$H$162),"",ReferenceData!$H$162),"")</f>
        <v>20.922545629999998</v>
      </c>
      <c r="P162">
        <f ca="1">IFERROR(IF(0=LEN(ReferenceData!$G$162),"",ReferenceData!$G$162),"")</f>
        <v>26.76203602</v>
      </c>
      <c r="Q162">
        <f ca="1">IFERROR(IF(0=LEN(ReferenceData!$F$162),"",ReferenceData!$F$162),"")</f>
        <v>24.39223883</v>
      </c>
    </row>
    <row r="163" spans="1:17" x14ac:dyDescent="0.25">
      <c r="A163" t="str">
        <f>IFERROR(IF(0=LEN(ReferenceData!$A$163),"",ReferenceData!$A$163),"")</f>
        <v xml:space="preserve">    International Business Machines Corp</v>
      </c>
      <c r="B163" t="str">
        <f>IFERROR(IF(0=LEN(ReferenceData!$B$163),"",ReferenceData!$B$163),"")</f>
        <v>IBM US Equity</v>
      </c>
      <c r="C163" t="str">
        <f>IFERROR(IF(0=LEN(ReferenceData!$C$163),"",ReferenceData!$C$163),"")</f>
        <v>RR037</v>
      </c>
      <c r="D163" t="str">
        <f>IFERROR(IF(0=LEN(ReferenceData!$D$163),"",ReferenceData!$D$163),"")</f>
        <v>EFF_TAX_RATE</v>
      </c>
      <c r="E163" t="str">
        <f>IFERROR(IF(0=LEN(ReferenceData!$E$163),"",ReferenceData!$E$163),"")</f>
        <v>Dynamic</v>
      </c>
      <c r="F163">
        <f ca="1">IFERROR(IF(0=LEN(ReferenceData!$Q$163),"",ReferenceData!$Q$163),"")</f>
        <v>26.209991030000001</v>
      </c>
      <c r="G163">
        <f ca="1">IFERROR(IF(0=LEN(ReferenceData!$P$163),"",ReferenceData!$P$163),"")</f>
        <v>25.984121729999998</v>
      </c>
      <c r="H163">
        <f ca="1">IFERROR(IF(0=LEN(ReferenceData!$O$163),"",ReferenceData!$O$163),"")</f>
        <v>24.79338843</v>
      </c>
      <c r="I163">
        <f ca="1">IFERROR(IF(0=LEN(ReferenceData!$N$163),"",ReferenceData!$N$163),"")</f>
        <v>24.510784170000001</v>
      </c>
      <c r="J163">
        <f ca="1">IFERROR(IF(0=LEN(ReferenceData!$M$163),"",ReferenceData!$M$163),"")</f>
        <v>24.582963620000001</v>
      </c>
      <c r="K163">
        <f ca="1">IFERROR(IF(0=LEN(ReferenceData!$L$163),"",ReferenceData!$L$163),"")</f>
        <v>16.608210249999999</v>
      </c>
      <c r="L163">
        <f ca="1">IFERROR(IF(0=LEN(ReferenceData!$K$163),"",ReferenceData!$K$163),"")</f>
        <v>21.18482938</v>
      </c>
      <c r="M163">
        <f ca="1">IFERROR(IF(0=LEN(ReferenceData!$J$163),"",ReferenceData!$J$163),"")</f>
        <v>16.186892440000001</v>
      </c>
      <c r="N163">
        <f ca="1">IFERROR(IF(0=LEN(ReferenceData!$I$163),"",ReferenceData!$I$163),"")</f>
        <v>3.641524736</v>
      </c>
      <c r="O163">
        <f ca="1">IFERROR(IF(0=LEN(ReferenceData!$H$163),"",ReferenceData!$H$163),"")</f>
        <v>49.491228069999998</v>
      </c>
      <c r="P163">
        <f ca="1">IFERROR(IF(0=LEN(ReferenceData!$G$163),"",ReferenceData!$G$163),"")</f>
        <v>23.091165579999998</v>
      </c>
      <c r="Q163">
        <f ca="1">IFERROR(IF(0=LEN(ReferenceData!$F$163),"",ReferenceData!$F$163),"")</f>
        <v>7.1906354520000004</v>
      </c>
    </row>
    <row r="164" spans="1:17" x14ac:dyDescent="0.25">
      <c r="A164" t="str">
        <f>IFERROR(IF(0=LEN(ReferenceData!$A$164),"",ReferenceData!$A$164),"")</f>
        <v xml:space="preserve">    Tata Consultancy Services Ltd</v>
      </c>
      <c r="B164" t="str">
        <f>IFERROR(IF(0=LEN(ReferenceData!$B$164),"",ReferenceData!$B$164),"")</f>
        <v>TCS IN Equity</v>
      </c>
      <c r="C164" t="str">
        <f>IFERROR(IF(0=LEN(ReferenceData!$C$164),"",ReferenceData!$C$164),"")</f>
        <v>RR037</v>
      </c>
      <c r="D164" t="str">
        <f>IFERROR(IF(0=LEN(ReferenceData!$D$164),"",ReferenceData!$D$164),"")</f>
        <v>EFF_TAX_RATE</v>
      </c>
      <c r="E164" t="str">
        <f>IFERROR(IF(0=LEN(ReferenceData!$E$164),"",ReferenceData!$E$164),"")</f>
        <v>Dynamic</v>
      </c>
      <c r="F164">
        <f ca="1">IFERROR(IF(0=LEN(ReferenceData!$Q$164),"",ReferenceData!$Q$164),"")</f>
        <v>13.64130815</v>
      </c>
      <c r="G164">
        <f ca="1">IFERROR(IF(0=LEN(ReferenceData!$P$164),"",ReferenceData!$P$164),"")</f>
        <v>14.43936581</v>
      </c>
      <c r="H164">
        <f ca="1">IFERROR(IF(0=LEN(ReferenceData!$O$164),"",ReferenceData!$O$164),"")</f>
        <v>16.612767699999999</v>
      </c>
      <c r="I164">
        <f ca="1">IFERROR(IF(0=LEN(ReferenceData!$N$164),"",ReferenceData!$N$164),"")</f>
        <v>24.4184752</v>
      </c>
      <c r="J164">
        <f ca="1">IFERROR(IF(0=LEN(ReferenceData!$M$164),"",ReferenceData!$M$164),"")</f>
        <v>22.189607030000001</v>
      </c>
      <c r="K164">
        <f ca="1">IFERROR(IF(0=LEN(ReferenceData!$L$164),"",ReferenceData!$L$164),"")</f>
        <v>23.905384250000001</v>
      </c>
      <c r="L164">
        <f ca="1">IFERROR(IF(0=LEN(ReferenceData!$K$164),"",ReferenceData!$K$164),"")</f>
        <v>23.453605660000001</v>
      </c>
      <c r="M164">
        <f ca="1">IFERROR(IF(0=LEN(ReferenceData!$J$164),"",ReferenceData!$J$164),"")</f>
        <v>23.563958419999999</v>
      </c>
      <c r="N164">
        <f ca="1">IFERROR(IF(0=LEN(ReferenceData!$I$164),"",ReferenceData!$I$164),"")</f>
        <v>23.631675019999999</v>
      </c>
      <c r="O164">
        <f ca="1">IFERROR(IF(0=LEN(ReferenceData!$H$164),"",ReferenceData!$H$164),"")</f>
        <v>24.087762519999998</v>
      </c>
      <c r="P164">
        <f ca="1">IFERROR(IF(0=LEN(ReferenceData!$G$164),"",ReferenceData!$G$164),"")</f>
        <v>24.062266919999999</v>
      </c>
      <c r="Q164">
        <f ca="1">IFERROR(IF(0=LEN(ReferenceData!$F$164),"",ReferenceData!$F$164),"")</f>
        <v>23.198731299999999</v>
      </c>
    </row>
    <row r="165" spans="1:17" x14ac:dyDescent="0.25">
      <c r="A165" t="str">
        <f>IFERROR(IF(0=LEN(ReferenceData!$A$165),"",ReferenceData!$A$165),"")</f>
        <v xml:space="preserve">    Tech Mahindra Ltd</v>
      </c>
      <c r="B165" t="str">
        <f>IFERROR(IF(0=LEN(ReferenceData!$B$165),"",ReferenceData!$B$165),"")</f>
        <v>TECHM IN Equity</v>
      </c>
      <c r="C165" t="str">
        <f>IFERROR(IF(0=LEN(ReferenceData!$C$165),"",ReferenceData!$C$165),"")</f>
        <v>RR037</v>
      </c>
      <c r="D165" t="str">
        <f>IFERROR(IF(0=LEN(ReferenceData!$D$165),"",ReferenceData!$D$165),"")</f>
        <v>EFF_TAX_RATE</v>
      </c>
      <c r="E165" t="str">
        <f>IFERROR(IF(0=LEN(ReferenceData!$E$165),"",ReferenceData!$E$165),"")</f>
        <v>Dynamic</v>
      </c>
      <c r="F165">
        <f ca="1">IFERROR(IF(0=LEN(ReferenceData!$Q$165),"",ReferenceData!$Q$165),"")</f>
        <v>10.410596030000001</v>
      </c>
      <c r="G165">
        <f ca="1">IFERROR(IF(0=LEN(ReferenceData!$P$165),"",ReferenceData!$P$165),"")</f>
        <v>16.997167139999998</v>
      </c>
      <c r="H165">
        <f ca="1">IFERROR(IF(0=LEN(ReferenceData!$O$165),"",ReferenceData!$O$165),"")</f>
        <v>14.99886027</v>
      </c>
      <c r="I165">
        <f ca="1">IFERROR(IF(0=LEN(ReferenceData!$N$165),"",ReferenceData!$N$165),"")</f>
        <v>20.953630799999999</v>
      </c>
      <c r="J165">
        <f ca="1">IFERROR(IF(0=LEN(ReferenceData!$M$165),"",ReferenceData!$M$165),"")</f>
        <v>22.503583370000001</v>
      </c>
      <c r="K165">
        <f ca="1">IFERROR(IF(0=LEN(ReferenceData!$L$165),"",ReferenceData!$L$165),"")</f>
        <v>19.721078980000001</v>
      </c>
      <c r="L165">
        <f ca="1">IFERROR(IF(0=LEN(ReferenceData!$K$165),"",ReferenceData!$K$165),"")</f>
        <v>26.51944391</v>
      </c>
      <c r="M165">
        <f ca="1">IFERROR(IF(0=LEN(ReferenceData!$J$165),"",ReferenceData!$J$165),"")</f>
        <v>21.523582340000001</v>
      </c>
      <c r="N165">
        <f ca="1">IFERROR(IF(0=LEN(ReferenceData!$I$165),"",ReferenceData!$I$165),"")</f>
        <v>26.00830522</v>
      </c>
      <c r="O165">
        <f ca="1">IFERROR(IF(0=LEN(ReferenceData!$H$165),"",ReferenceData!$H$165),"")</f>
        <v>22.394851190000001</v>
      </c>
      <c r="P165">
        <f ca="1">IFERROR(IF(0=LEN(ReferenceData!$G$165),"",ReferenceData!$G$165),"")</f>
        <v>22.629528069999999</v>
      </c>
      <c r="Q165">
        <f ca="1">IFERROR(IF(0=LEN(ReferenceData!$F$165),"",ReferenceData!$F$165),"")</f>
        <v>22.942875799999999</v>
      </c>
    </row>
    <row r="166" spans="1:17" x14ac:dyDescent="0.25">
      <c r="A166" t="str">
        <f>IFERROR(IF(0=LEN(ReferenceData!$A$166),"",ReferenceData!$A$166),"")</f>
        <v xml:space="preserve">    Wipro Ltd</v>
      </c>
      <c r="B166" t="str">
        <f>IFERROR(IF(0=LEN(ReferenceData!$B$166),"",ReferenceData!$B$166),"")</f>
        <v>WIT US Equity</v>
      </c>
      <c r="C166" t="str">
        <f>IFERROR(IF(0=LEN(ReferenceData!$C$166),"",ReferenceData!$C$166),"")</f>
        <v>RR037</v>
      </c>
      <c r="D166" t="str">
        <f>IFERROR(IF(0=LEN(ReferenceData!$D$166),"",ReferenceData!$D$166),"")</f>
        <v>EFF_TAX_RATE</v>
      </c>
      <c r="E166" t="str">
        <f>IFERROR(IF(0=LEN(ReferenceData!$E$166),"",ReferenceData!$E$166),"")</f>
        <v>Dynamic</v>
      </c>
      <c r="F166">
        <f ca="1">IFERROR(IF(0=LEN(ReferenceData!$Q$166),"",ReferenceData!$Q$166),"")</f>
        <v>14.293300289999999</v>
      </c>
      <c r="G166">
        <f ca="1">IFERROR(IF(0=LEN(ReferenceData!$P$166),"",ReferenceData!$P$166),"")</f>
        <v>16.63127326</v>
      </c>
      <c r="H166">
        <f ca="1">IFERROR(IF(0=LEN(ReferenceData!$O$166),"",ReferenceData!$O$166),"")</f>
        <v>15.410486239999999</v>
      </c>
      <c r="I166">
        <f ca="1">IFERROR(IF(0=LEN(ReferenceData!$N$166),"",ReferenceData!$N$166),"")</f>
        <v>19.731899640000002</v>
      </c>
      <c r="J166">
        <f ca="1">IFERROR(IF(0=LEN(ReferenceData!$M$166),"",ReferenceData!$M$166),"")</f>
        <v>21.517634489999999</v>
      </c>
      <c r="K166">
        <f ca="1">IFERROR(IF(0=LEN(ReferenceData!$L$166),"",ReferenceData!$L$166),"")</f>
        <v>22.375129940000001</v>
      </c>
      <c r="L166">
        <f ca="1">IFERROR(IF(0=LEN(ReferenceData!$K$166),"",ReferenceData!$K$166),"")</f>
        <v>22.048118330000001</v>
      </c>
      <c r="M166">
        <f ca="1">IFERROR(IF(0=LEN(ReferenceData!$J$166),"",ReferenceData!$J$166),"")</f>
        <v>22.070249619999998</v>
      </c>
      <c r="N166">
        <f ca="1">IFERROR(IF(0=LEN(ReferenceData!$I$166),"",ReferenceData!$I$166),"")</f>
        <v>22.84696799</v>
      </c>
      <c r="O166">
        <f ca="1">IFERROR(IF(0=LEN(ReferenceData!$H$166),"",ReferenceData!$H$166),"")</f>
        <v>21.849444739999999</v>
      </c>
      <c r="P166">
        <f ca="1">IFERROR(IF(0=LEN(ReferenceData!$G$166),"",ReferenceData!$G$166),"")</f>
        <v>21.870640730000002</v>
      </c>
      <c r="Q166">
        <f ca="1">IFERROR(IF(0=LEN(ReferenceData!$F$166),"",ReferenceData!$F$166),"")</f>
        <v>20.242098729999999</v>
      </c>
    </row>
    <row r="167" spans="1:17" x14ac:dyDescent="0.25">
      <c r="A167" t="str">
        <f>IFERROR(IF(0=LEN(ReferenceData!$A$167),"",ReferenceData!$A$167),"")</f>
        <v>Return Measures (%):</v>
      </c>
      <c r="B167" t="str">
        <f>IFERROR(IF(0=LEN(ReferenceData!$B$167),"",ReferenceData!$B$167),"")</f>
        <v/>
      </c>
      <c r="C167" t="str">
        <f>IFERROR(IF(0=LEN(ReferenceData!$C$167),"",ReferenceData!$C$167),"")</f>
        <v/>
      </c>
      <c r="D167" t="str">
        <f>IFERROR(IF(0=LEN(ReferenceData!$D$167),"",ReferenceData!$D$167),"")</f>
        <v/>
      </c>
      <c r="E167" t="str">
        <f>IFERROR(IF(0=LEN(ReferenceData!$E$167),"",ReferenceData!$E$167),"")</f>
        <v>Heading</v>
      </c>
      <c r="F167" t="str">
        <f>IFERROR(IF(0=LEN(ReferenceData!$Q$167),"",ReferenceData!$Q$167),"")</f>
        <v/>
      </c>
      <c r="G167" t="str">
        <f>IFERROR(IF(0=LEN(ReferenceData!$P$167),"",ReferenceData!$P$167),"")</f>
        <v/>
      </c>
      <c r="H167" t="str">
        <f>IFERROR(IF(0=LEN(ReferenceData!$O$167),"",ReferenceData!$O$167),"")</f>
        <v/>
      </c>
      <c r="I167" t="str">
        <f>IFERROR(IF(0=LEN(ReferenceData!$N$167),"",ReferenceData!$N$167),"")</f>
        <v/>
      </c>
      <c r="J167" t="str">
        <f>IFERROR(IF(0=LEN(ReferenceData!$M$167),"",ReferenceData!$M$167),"")</f>
        <v/>
      </c>
      <c r="K167" t="str">
        <f>IFERROR(IF(0=LEN(ReferenceData!$L$167),"",ReferenceData!$L$167),"")</f>
        <v/>
      </c>
      <c r="L167" t="str">
        <f>IFERROR(IF(0=LEN(ReferenceData!$K$167),"",ReferenceData!$K$167),"")</f>
        <v/>
      </c>
      <c r="M167" t="str">
        <f>IFERROR(IF(0=LEN(ReferenceData!$J$167),"",ReferenceData!$J$167),"")</f>
        <v/>
      </c>
      <c r="N167" t="str">
        <f>IFERROR(IF(0=LEN(ReferenceData!$I$167),"",ReferenceData!$I$167),"")</f>
        <v/>
      </c>
      <c r="O167" t="str">
        <f>IFERROR(IF(0=LEN(ReferenceData!$H$167),"",ReferenceData!$H$167),"")</f>
        <v/>
      </c>
      <c r="P167" t="str">
        <f>IFERROR(IF(0=LEN(ReferenceData!$G$167),"",ReferenceData!$G$167),"")</f>
        <v/>
      </c>
      <c r="Q167" t="str">
        <f>IFERROR(IF(0=LEN(ReferenceData!$F$167),"",ReferenceData!$F$167),"")</f>
        <v/>
      </c>
    </row>
    <row r="168" spans="1:17" x14ac:dyDescent="0.25">
      <c r="A168" t="str">
        <f>IFERROR(IF(0=LEN(ReferenceData!$A$168),"",ReferenceData!$A$168),"")</f>
        <v>Return on Assets</v>
      </c>
      <c r="B168" t="str">
        <f>IFERROR(IF(0=LEN(ReferenceData!$B$168),"",ReferenceData!$B$168),"")</f>
        <v>BRITBPOV Index</v>
      </c>
      <c r="C168" t="str">
        <f>IFERROR(IF(0=LEN(ReferenceData!$C$168),"",ReferenceData!$C$168),"")</f>
        <v/>
      </c>
      <c r="D168" t="str">
        <f>IFERROR(IF(0=LEN(ReferenceData!$D$168),"",ReferenceData!$D$168),"")</f>
        <v/>
      </c>
      <c r="E168" t="str">
        <f>IFERROR(IF(0=LEN(ReferenceData!$E$168),"",ReferenceData!$E$168),"")</f>
        <v>Average</v>
      </c>
      <c r="F168">
        <f ca="1">IFERROR(IF(0=LEN(ReferenceData!$Q$168),"",ReferenceData!$Q$168),"")</f>
        <v>15.505325020846154</v>
      </c>
      <c r="G168">
        <f ca="1">IFERROR(IF(0=LEN(ReferenceData!$P$168),"",ReferenceData!$P$168),"")</f>
        <v>12.257281821214287</v>
      </c>
      <c r="H168">
        <f ca="1">IFERROR(IF(0=LEN(ReferenceData!$O$168),"",ReferenceData!$O$168),"")</f>
        <v>12.838841527200001</v>
      </c>
      <c r="I168">
        <f ca="1">IFERROR(IF(0=LEN(ReferenceData!$N$168),"",ReferenceData!$N$168),"")</f>
        <v>13.644719223666668</v>
      </c>
      <c r="J168">
        <f ca="1">IFERROR(IF(0=LEN(ReferenceData!$M$168),"",ReferenceData!$M$168),"")</f>
        <v>12.365481170625001</v>
      </c>
      <c r="K168">
        <f ca="1">IFERROR(IF(0=LEN(ReferenceData!$L$168),"",ReferenceData!$L$168),"")</f>
        <v>14.300359223999999</v>
      </c>
      <c r="L168">
        <f ca="1">IFERROR(IF(0=LEN(ReferenceData!$K$168),"",ReferenceData!$K$168),"")</f>
        <v>11.570949970428572</v>
      </c>
      <c r="M168">
        <f ca="1">IFERROR(IF(0=LEN(ReferenceData!$J$168),"",ReferenceData!$J$168),"")</f>
        <v>9.5943052664666677</v>
      </c>
      <c r="N168">
        <f ca="1">IFERROR(IF(0=LEN(ReferenceData!$I$168),"",ReferenceData!$I$168),"")</f>
        <v>10.5965194085625</v>
      </c>
      <c r="O168">
        <f ca="1">IFERROR(IF(0=LEN(ReferenceData!$H$168),"",ReferenceData!$H$168),"")</f>
        <v>10.007528071882355</v>
      </c>
      <c r="P168">
        <f ca="1">IFERROR(IF(0=LEN(ReferenceData!$G$168),"",ReferenceData!$G$168),"")</f>
        <v>10.461718123882353</v>
      </c>
      <c r="Q168">
        <f ca="1">IFERROR(IF(0=LEN(ReferenceData!$F$168),"",ReferenceData!$F$168),"")</f>
        <v>7.7678355460588246</v>
      </c>
    </row>
    <row r="169" spans="1:17" x14ac:dyDescent="0.25">
      <c r="A169" t="str">
        <f>IFERROR(IF(0=LEN(ReferenceData!$A$169),"",ReferenceData!$A$169),"")</f>
        <v xml:space="preserve">    Accenture PLC</v>
      </c>
      <c r="B169" t="str">
        <f>IFERROR(IF(0=LEN(ReferenceData!$B$169),"",ReferenceData!$B$169),"")</f>
        <v>ACN US Equity</v>
      </c>
      <c r="C169" t="str">
        <f>IFERROR(IF(0=LEN(ReferenceData!$C$169),"",ReferenceData!$C$169),"")</f>
        <v>RR028</v>
      </c>
      <c r="D169" t="str">
        <f>IFERROR(IF(0=LEN(ReferenceData!$D$169),"",ReferenceData!$D$169),"")</f>
        <v>RETURN_ON_ASSET</v>
      </c>
      <c r="E169" t="str">
        <f>IFERROR(IF(0=LEN(ReferenceData!$E$169),"",ReferenceData!$E$169),"")</f>
        <v>Dynamic</v>
      </c>
      <c r="F169">
        <f ca="1">IFERROR(IF(0=LEN(ReferenceData!$Q$169),"",ReferenceData!$Q$169),"")</f>
        <v>14.618282880000001</v>
      </c>
      <c r="G169">
        <f ca="1">IFERROR(IF(0=LEN(ReferenceData!$P$169),"",ReferenceData!$P$169),"")</f>
        <v>12.8980798</v>
      </c>
      <c r="H169">
        <f ca="1">IFERROR(IF(0=LEN(ReferenceData!$O$169),"",ReferenceData!$O$169),"")</f>
        <v>14.19359071</v>
      </c>
      <c r="I169">
        <f ca="1">IFERROR(IF(0=LEN(ReferenceData!$N$169),"",ReferenceData!$N$169),"")</f>
        <v>15.946342960000001</v>
      </c>
      <c r="J169">
        <f ca="1">IFERROR(IF(0=LEN(ReferenceData!$M$169),"",ReferenceData!$M$169),"")</f>
        <v>15.76390352</v>
      </c>
      <c r="K169">
        <f ca="1">IFERROR(IF(0=LEN(ReferenceData!$L$169),"",ReferenceData!$L$169),"")</f>
        <v>19.574332500000001</v>
      </c>
      <c r="L169">
        <f ca="1">IFERROR(IF(0=LEN(ReferenceData!$K$169),"",ReferenceData!$K$169),"")</f>
        <v>16.906374970000002</v>
      </c>
      <c r="M169">
        <f ca="1">IFERROR(IF(0=LEN(ReferenceData!$J$169),"",ReferenceData!$J$169),"")</f>
        <v>16.901849460000001</v>
      </c>
      <c r="N169">
        <f ca="1">IFERROR(IF(0=LEN(ReferenceData!$I$169),"",ReferenceData!$I$169),"")</f>
        <v>21.18895689</v>
      </c>
      <c r="O169">
        <f ca="1">IFERROR(IF(0=LEN(ReferenceData!$H$169),"",ReferenceData!$H$169),"")</f>
        <v>15.913334880000001</v>
      </c>
      <c r="P169">
        <f ca="1">IFERROR(IF(0=LEN(ReferenceData!$G$169),"",ReferenceData!$G$169),"")</f>
        <v>17.225267079999998</v>
      </c>
      <c r="Q169">
        <f ca="1">IFERROR(IF(0=LEN(ReferenceData!$F$169),"",ReferenceData!$F$169),"")</f>
        <v>17.62243131</v>
      </c>
    </row>
    <row r="170" spans="1:17" x14ac:dyDescent="0.25">
      <c r="A170" t="str">
        <f>IFERROR(IF(0=LEN(ReferenceData!$A$170),"",ReferenceData!$A$170),"")</f>
        <v xml:space="preserve">    Amdocs Ltd</v>
      </c>
      <c r="B170" t="str">
        <f>IFERROR(IF(0=LEN(ReferenceData!$B$170),"",ReferenceData!$B$170),"")</f>
        <v>DOX US Equity</v>
      </c>
      <c r="C170" t="str">
        <f>IFERROR(IF(0=LEN(ReferenceData!$C$170),"",ReferenceData!$C$170),"")</f>
        <v>RR028</v>
      </c>
      <c r="D170" t="str">
        <f>IFERROR(IF(0=LEN(ReferenceData!$D$170),"",ReferenceData!$D$170),"")</f>
        <v>RETURN_ON_ASSET</v>
      </c>
      <c r="E170" t="str">
        <f>IFERROR(IF(0=LEN(ReferenceData!$E$170),"",ReferenceData!$E$170),"")</f>
        <v>Dynamic</v>
      </c>
      <c r="F170">
        <f ca="1">IFERROR(IF(0=LEN(ReferenceData!$Q$170),"",ReferenceData!$Q$170),"")</f>
        <v>8.4914492419999998</v>
      </c>
      <c r="G170">
        <f ca="1">IFERROR(IF(0=LEN(ReferenceData!$P$170),"",ReferenceData!$P$170),"")</f>
        <v>7.3236426010000004</v>
      </c>
      <c r="H170">
        <f ca="1">IFERROR(IF(0=LEN(ReferenceData!$O$170),"",ReferenceData!$O$170),"")</f>
        <v>7.5178754100000003</v>
      </c>
      <c r="I170">
        <f ca="1">IFERROR(IF(0=LEN(ReferenceData!$N$170),"",ReferenceData!$N$170),"")</f>
        <v>7.3312582949999996</v>
      </c>
      <c r="J170">
        <f ca="1">IFERROR(IF(0=LEN(ReferenceData!$M$170),"",ReferenceData!$M$170),"")</f>
        <v>8.4330886429999996</v>
      </c>
      <c r="K170">
        <f ca="1">IFERROR(IF(0=LEN(ReferenceData!$L$170),"",ReferenceData!$L$170),"")</f>
        <v>8.6184818449999998</v>
      </c>
      <c r="L170">
        <f ca="1">IFERROR(IF(0=LEN(ReferenceData!$K$170),"",ReferenceData!$K$170),"")</f>
        <v>8.3496833670000008</v>
      </c>
      <c r="M170">
        <f ca="1">IFERROR(IF(0=LEN(ReferenceData!$J$170),"",ReferenceData!$J$170),"")</f>
        <v>8.4903142539999994</v>
      </c>
      <c r="N170">
        <f ca="1">IFERROR(IF(0=LEN(ReferenceData!$I$170),"",ReferenceData!$I$170),"")</f>
        <v>7.6826338420000004</v>
      </c>
      <c r="O170">
        <f ca="1">IFERROR(IF(0=LEN(ReferenceData!$H$170),"",ReferenceData!$H$170),"")</f>
        <v>8.233661476</v>
      </c>
      <c r="P170">
        <f ca="1">IFERROR(IF(0=LEN(ReferenceData!$G$170),"",ReferenceData!$G$170),"")</f>
        <v>6.6696056669999999</v>
      </c>
      <c r="Q170">
        <f ca="1">IFERROR(IF(0=LEN(ReferenceData!$F$170),"",ReferenceData!$F$170),"")</f>
        <v>9.0115999589999998</v>
      </c>
    </row>
    <row r="171" spans="1:17" x14ac:dyDescent="0.25">
      <c r="A171" t="str">
        <f>IFERROR(IF(0=LEN(ReferenceData!$A$171),"",ReferenceData!$A$171),"")</f>
        <v xml:space="preserve">    Atos SE</v>
      </c>
      <c r="B171" t="str">
        <f>IFERROR(IF(0=LEN(ReferenceData!$B$171),"",ReferenceData!$B$171),"")</f>
        <v>ATO FP Equity</v>
      </c>
      <c r="C171" t="str">
        <f>IFERROR(IF(0=LEN(ReferenceData!$C$171),"",ReferenceData!$C$171),"")</f>
        <v>RR028</v>
      </c>
      <c r="D171" t="str">
        <f>IFERROR(IF(0=LEN(ReferenceData!$D$171),"",ReferenceData!$D$171),"")</f>
        <v>RETURN_ON_ASSET</v>
      </c>
      <c r="E171" t="str">
        <f>IFERROR(IF(0=LEN(ReferenceData!$E$171),"",ReferenceData!$E$171),"")</f>
        <v>Dynamic</v>
      </c>
      <c r="F171">
        <f ca="1">IFERROR(IF(0=LEN(ReferenceData!$Q$171),"",ReferenceData!$Q$171),"")</f>
        <v>0.48121965799999999</v>
      </c>
      <c r="G171">
        <f ca="1">IFERROR(IF(0=LEN(ReferenceData!$P$171),"",ReferenceData!$P$171),"")</f>
        <v>8.9735624999999999E-2</v>
      </c>
      <c r="H171">
        <f ca="1">IFERROR(IF(0=LEN(ReferenceData!$O$171),"",ReferenceData!$O$171),"")</f>
        <v>2.5962699580000002</v>
      </c>
      <c r="I171">
        <f ca="1">IFERROR(IF(0=LEN(ReferenceData!$N$171),"",ReferenceData!$N$171),"")</f>
        <v>3.06319527</v>
      </c>
      <c r="J171">
        <f ca="1">IFERROR(IF(0=LEN(ReferenceData!$M$171),"",ReferenceData!$M$171),"")</f>
        <v>3.0192039180000001</v>
      </c>
      <c r="K171">
        <f ca="1">IFERROR(IF(0=LEN(ReferenceData!$L$171),"",ReferenceData!$L$171),"")</f>
        <v>3.5714529509999999</v>
      </c>
      <c r="L171">
        <f ca="1">IFERROR(IF(0=LEN(ReferenceData!$K$171),"",ReferenceData!$K$171),"")</f>
        <v>3.2658087560000002</v>
      </c>
      <c r="M171">
        <f ca="1">IFERROR(IF(0=LEN(ReferenceData!$J$171),"",ReferenceData!$J$171),"")</f>
        <v>4.1197590210000001</v>
      </c>
      <c r="N171">
        <f ca="1">IFERROR(IF(0=LEN(ReferenceData!$I$171),"",ReferenceData!$I$171),"")</f>
        <v>4.8070893769999996</v>
      </c>
      <c r="O171">
        <f ca="1">IFERROR(IF(0=LEN(ReferenceData!$H$171),"",ReferenceData!$H$171),"")</f>
        <v>4.4710109620000003</v>
      </c>
      <c r="P171">
        <f ca="1">IFERROR(IF(0=LEN(ReferenceData!$G$171),"",ReferenceData!$G$171),"")</f>
        <v>3.5938391329999999</v>
      </c>
      <c r="Q171">
        <f ca="1">IFERROR(IF(0=LEN(ReferenceData!$F$171),"",ReferenceData!$F$171),"")</f>
        <v>16.899937850000001</v>
      </c>
    </row>
    <row r="172" spans="1:17" x14ac:dyDescent="0.25">
      <c r="A172" t="str">
        <f>IFERROR(IF(0=LEN(ReferenceData!$A$172),"",ReferenceData!$A$172),"")</f>
        <v xml:space="preserve">    Capgemini SE</v>
      </c>
      <c r="B172" t="str">
        <f>IFERROR(IF(0=LEN(ReferenceData!$B$172),"",ReferenceData!$B$172),"")</f>
        <v>CAP FP Equity</v>
      </c>
      <c r="C172" t="str">
        <f>IFERROR(IF(0=LEN(ReferenceData!$C$172),"",ReferenceData!$C$172),"")</f>
        <v>RR028</v>
      </c>
      <c r="D172" t="str">
        <f>IFERROR(IF(0=LEN(ReferenceData!$D$172),"",ReferenceData!$D$172),"")</f>
        <v>RETURN_ON_ASSET</v>
      </c>
      <c r="E172" t="str">
        <f>IFERROR(IF(0=LEN(ReferenceData!$E$172),"",ReferenceData!$E$172),"")</f>
        <v>Dynamic</v>
      </c>
      <c r="F172">
        <f ca="1">IFERROR(IF(0=LEN(ReferenceData!$Q$172),"",ReferenceData!$Q$172),"")</f>
        <v>5.0515232970000001</v>
      </c>
      <c r="G172">
        <f ca="1">IFERROR(IF(0=LEN(ReferenceData!$P$172),"",ReferenceData!$P$172),"")</f>
        <v>1.984171218</v>
      </c>
      <c r="H172">
        <f ca="1">IFERROR(IF(0=LEN(ReferenceData!$O$172),"",ReferenceData!$O$172),"")</f>
        <v>2.9195558099999999</v>
      </c>
      <c r="I172">
        <f ca="1">IFERROR(IF(0=LEN(ReferenceData!$N$172),"",ReferenceData!$N$172),"")</f>
        <v>3.8509198360000001</v>
      </c>
      <c r="J172">
        <f ca="1">IFERROR(IF(0=LEN(ReferenceData!$M$172),"",ReferenceData!$M$172),"")</f>
        <v>3.257960314</v>
      </c>
      <c r="K172">
        <f ca="1">IFERROR(IF(0=LEN(ReferenceData!$L$172),"",ReferenceData!$L$172),"")</f>
        <v>4.2434715819999997</v>
      </c>
      <c r="L172">
        <f ca="1">IFERROR(IF(0=LEN(ReferenceData!$K$172),"",ReferenceData!$K$172),"")</f>
        <v>5.3616824589999998</v>
      </c>
      <c r="M172">
        <f ca="1">IFERROR(IF(0=LEN(ReferenceData!$J$172),"",ReferenceData!$J$172),"")</f>
        <v>8.1090830389999997</v>
      </c>
      <c r="N172">
        <f ca="1">IFERROR(IF(0=LEN(ReferenceData!$I$172),"",ReferenceData!$I$172),"")</f>
        <v>5.629240266</v>
      </c>
      <c r="O172">
        <f ca="1">IFERROR(IF(0=LEN(ReferenceData!$H$172),"",ReferenceData!$H$172),"")</f>
        <v>5.0612597600000004</v>
      </c>
      <c r="P172">
        <f ca="1">IFERROR(IF(0=LEN(ReferenceData!$G$172),"",ReferenceData!$G$172),"")</f>
        <v>4.5003390669999996</v>
      </c>
      <c r="Q172">
        <f ca="1">IFERROR(IF(0=LEN(ReferenceData!$F$172),"",ReferenceData!$F$172),"")</f>
        <v>4.9432622070000001</v>
      </c>
    </row>
    <row r="173" spans="1:17" x14ac:dyDescent="0.25">
      <c r="A173" t="str">
        <f>IFERROR(IF(0=LEN(ReferenceData!$A$173),"",ReferenceData!$A$173),"")</f>
        <v xml:space="preserve">    CGI Inc</v>
      </c>
      <c r="B173" t="str">
        <f>IFERROR(IF(0=LEN(ReferenceData!$B$173),"",ReferenceData!$B$173),"")</f>
        <v>GIB US Equity</v>
      </c>
      <c r="C173" t="str">
        <f>IFERROR(IF(0=LEN(ReferenceData!$C$173),"",ReferenceData!$C$173),"")</f>
        <v>RR028</v>
      </c>
      <c r="D173" t="str">
        <f>IFERROR(IF(0=LEN(ReferenceData!$D$173),"",ReferenceData!$D$173),"")</f>
        <v>RETURN_ON_ASSET</v>
      </c>
      <c r="E173" t="str">
        <f>IFERROR(IF(0=LEN(ReferenceData!$E$173),"",ReferenceData!$E$173),"")</f>
        <v>Dynamic</v>
      </c>
      <c r="F173">
        <f ca="1">IFERROR(IF(0=LEN(ReferenceData!$Q$173),"",ReferenceData!$Q$173),"")</f>
        <v>8.1922025789999999</v>
      </c>
      <c r="G173">
        <f ca="1">IFERROR(IF(0=LEN(ReferenceData!$P$173),"",ReferenceData!$P$173),"")</f>
        <v>8.349510875</v>
      </c>
      <c r="H173">
        <f ca="1">IFERROR(IF(0=LEN(ReferenceData!$O$173),"",ReferenceData!$O$173),"")</f>
        <v>8.5196120279999992</v>
      </c>
      <c r="I173">
        <f ca="1">IFERROR(IF(0=LEN(ReferenceData!$N$173),"",ReferenceData!$N$173),"")</f>
        <v>9.4584029760000004</v>
      </c>
      <c r="J173">
        <f ca="1">IFERROR(IF(0=LEN(ReferenceData!$M$173),"",ReferenceData!$M$173),"")</f>
        <v>1.71400245</v>
      </c>
      <c r="K173">
        <f ca="1">IFERROR(IF(0=LEN(ReferenceData!$L$173),"",ReferenceData!$L$173),"")</f>
        <v>4.2265227799999998</v>
      </c>
      <c r="L173">
        <f ca="1">IFERROR(IF(0=LEN(ReferenceData!$K$173),"",ReferenceData!$K$173),"")</f>
        <v>7.7730783490000004</v>
      </c>
      <c r="M173">
        <f ca="1">IFERROR(IF(0=LEN(ReferenceData!$J$173),"",ReferenceData!$J$173),"")</f>
        <v>8.4926139339999995</v>
      </c>
      <c r="N173">
        <f ca="1">IFERROR(IF(0=LEN(ReferenceData!$I$173),"",ReferenceData!$I$173),"")</f>
        <v>9.1029693359999992</v>
      </c>
      <c r="O173">
        <f ca="1">IFERROR(IF(0=LEN(ReferenceData!$H$173),"",ReferenceData!$H$173),"")</f>
        <v>8.9667860049999994</v>
      </c>
      <c r="P173">
        <f ca="1">IFERROR(IF(0=LEN(ReferenceData!$G$173),"",ReferenceData!$G$173),"")</f>
        <v>9.7910220070000005</v>
      </c>
      <c r="Q173">
        <f ca="1">IFERROR(IF(0=LEN(ReferenceData!$F$173),"",ReferenceData!$F$173),"")</f>
        <v>10.29474493</v>
      </c>
    </row>
    <row r="174" spans="1:17" x14ac:dyDescent="0.25">
      <c r="A174" t="str">
        <f>IFERROR(IF(0=LEN(ReferenceData!$A$174),"",ReferenceData!$A$174),"")</f>
        <v xml:space="preserve">    Cognizant Technology Solutions Corp</v>
      </c>
      <c r="B174" t="str">
        <f>IFERROR(IF(0=LEN(ReferenceData!$B$174),"",ReferenceData!$B$174),"")</f>
        <v>CTSH US Equity</v>
      </c>
      <c r="C174" t="str">
        <f>IFERROR(IF(0=LEN(ReferenceData!$C$174),"",ReferenceData!$C$174),"")</f>
        <v>RR028</v>
      </c>
      <c r="D174" t="str">
        <f>IFERROR(IF(0=LEN(ReferenceData!$D$174),"",ReferenceData!$D$174),"")</f>
        <v>RETURN_ON_ASSET</v>
      </c>
      <c r="E174" t="str">
        <f>IFERROR(IF(0=LEN(ReferenceData!$E$174),"",ReferenceData!$E$174),"")</f>
        <v>Dynamic</v>
      </c>
      <c r="F174">
        <f ca="1">IFERROR(IF(0=LEN(ReferenceData!$Q$174),"",ReferenceData!$Q$174),"")</f>
        <v>20.453771849999999</v>
      </c>
      <c r="G174">
        <f ca="1">IFERROR(IF(0=LEN(ReferenceData!$P$174),"",ReferenceData!$P$174),"")</f>
        <v>18.728574429999998</v>
      </c>
      <c r="H174">
        <f ca="1">IFERROR(IF(0=LEN(ReferenceData!$O$174),"",ReferenceData!$O$174),"")</f>
        <v>18.520664629999999</v>
      </c>
      <c r="I174">
        <f ca="1">IFERROR(IF(0=LEN(ReferenceData!$N$174),"",ReferenceData!$N$174),"")</f>
        <v>17.51297963</v>
      </c>
      <c r="J174">
        <f ca="1">IFERROR(IF(0=LEN(ReferenceData!$M$174),"",ReferenceData!$M$174),"")</f>
        <v>17.47807723</v>
      </c>
      <c r="K174">
        <f ca="1">IFERROR(IF(0=LEN(ReferenceData!$L$174),"",ReferenceData!$L$174),"")</f>
        <v>16.76519888</v>
      </c>
      <c r="L174">
        <f ca="1">IFERROR(IF(0=LEN(ReferenceData!$K$174),"",ReferenceData!$K$174),"")</f>
        <v>14.676462669999999</v>
      </c>
      <c r="M174">
        <f ca="1">IFERROR(IF(0=LEN(ReferenceData!$J$174),"",ReferenceData!$J$174),"")</f>
        <v>13.235533820000001</v>
      </c>
      <c r="N174">
        <f ca="1">IFERROR(IF(0=LEN(ReferenceData!$I$174),"",ReferenceData!$I$174),"")</f>
        <v>11.36771218</v>
      </c>
      <c r="O174">
        <f ca="1">IFERROR(IF(0=LEN(ReferenceData!$H$174),"",ReferenceData!$H$174),"")</f>
        <v>10.202489569999999</v>
      </c>
      <c r="P174">
        <f ca="1">IFERROR(IF(0=LEN(ReferenceData!$G$174),"",ReferenceData!$G$174),"")</f>
        <v>13.525605949999999</v>
      </c>
      <c r="Q174">
        <f ca="1">IFERROR(IF(0=LEN(ReferenceData!$F$174),"",ReferenceData!$F$174),"")</f>
        <v>11.49453978</v>
      </c>
    </row>
    <row r="175" spans="1:17" x14ac:dyDescent="0.25">
      <c r="A175" t="str">
        <f>IFERROR(IF(0=LEN(ReferenceData!$A$175),"",ReferenceData!$A$175),"")</f>
        <v xml:space="preserve">    Conduent Inc</v>
      </c>
      <c r="B175" t="str">
        <f>IFERROR(IF(0=LEN(ReferenceData!$B$175),"",ReferenceData!$B$175),"")</f>
        <v>CNDT US Equity</v>
      </c>
      <c r="C175" t="str">
        <f>IFERROR(IF(0=LEN(ReferenceData!$C$175),"",ReferenceData!$C$175),"")</f>
        <v>RR028</v>
      </c>
      <c r="D175" t="str">
        <f>IFERROR(IF(0=LEN(ReferenceData!$D$175),"",ReferenceData!$D$175),"")</f>
        <v>RETURN_ON_ASSET</v>
      </c>
      <c r="E175" t="str">
        <f>IFERROR(IF(0=LEN(ReferenceData!$E$175),"",ReferenceData!$E$175),"")</f>
        <v>Dynamic</v>
      </c>
      <c r="F175" t="str">
        <f ca="1">IFERROR(IF(0=LEN(ReferenceData!$Q$175),"",ReferenceData!$Q$175),"")</f>
        <v/>
      </c>
      <c r="G175" t="str">
        <f ca="1">IFERROR(IF(0=LEN(ReferenceData!$P$175),"",ReferenceData!$P$175),"")</f>
        <v/>
      </c>
      <c r="H175" t="str">
        <f ca="1">IFERROR(IF(0=LEN(ReferenceData!$O$175),"",ReferenceData!$O$175),"")</f>
        <v/>
      </c>
      <c r="I175" t="str">
        <f ca="1">IFERROR(IF(0=LEN(ReferenceData!$N$175),"",ReferenceData!$N$175),"")</f>
        <v/>
      </c>
      <c r="J175">
        <f ca="1">IFERROR(IF(0=LEN(ReferenceData!$M$175),"",ReferenceData!$M$175),"")</f>
        <v>1.5467904100000001</v>
      </c>
      <c r="K175" t="str">
        <f ca="1">IFERROR(IF(0=LEN(ReferenceData!$L$175),"",ReferenceData!$L$175),"")</f>
        <v/>
      </c>
      <c r="L175" t="str">
        <f ca="1">IFERROR(IF(0=LEN(ReferenceData!$K$175),"",ReferenceData!$K$175),"")</f>
        <v/>
      </c>
      <c r="M175">
        <f ca="1">IFERROR(IF(0=LEN(ReferenceData!$J$175),"",ReferenceData!$J$175),"")</f>
        <v>-4.1375174899999996</v>
      </c>
      <c r="N175">
        <f ca="1">IFERROR(IF(0=LEN(ReferenceData!$I$175),"",ReferenceData!$I$175),"")</f>
        <v>-11.72541301</v>
      </c>
      <c r="O175">
        <f ca="1">IFERROR(IF(0=LEN(ReferenceData!$H$175),"",ReferenceData!$H$175),"")</f>
        <v>2.3726813920000001</v>
      </c>
      <c r="P175">
        <f ca="1">IFERROR(IF(0=LEN(ReferenceData!$G$175),"",ReferenceData!$G$175),"")</f>
        <v>-5.8476244030000002</v>
      </c>
      <c r="Q175">
        <f ca="1">IFERROR(IF(0=LEN(ReferenceData!$F$175),"",ReferenceData!$F$175),"")</f>
        <v>-34.554225479999999</v>
      </c>
    </row>
    <row r="176" spans="1:17" x14ac:dyDescent="0.25">
      <c r="A176" t="str">
        <f>IFERROR(IF(0=LEN(ReferenceData!$A$176),"",ReferenceData!$A$176),"")</f>
        <v xml:space="preserve">    DXC Technology Co</v>
      </c>
      <c r="B176" t="str">
        <f>IFERROR(IF(0=LEN(ReferenceData!$B$176),"",ReferenceData!$B$176),"")</f>
        <v>DXC US Equity</v>
      </c>
      <c r="C176" t="str">
        <f>IFERROR(IF(0=LEN(ReferenceData!$C$176),"",ReferenceData!$C$176),"")</f>
        <v>RR028</v>
      </c>
      <c r="D176" t="str">
        <f>IFERROR(IF(0=LEN(ReferenceData!$D$176),"",ReferenceData!$D$176),"")</f>
        <v>RETURN_ON_ASSET</v>
      </c>
      <c r="E176" t="str">
        <f>IFERROR(IF(0=LEN(ReferenceData!$E$176),"",ReferenceData!$E$176),"")</f>
        <v>Dynamic</v>
      </c>
      <c r="F176" t="str">
        <f ca="1">IFERROR(IF(0=LEN(ReferenceData!$Q$176),"",ReferenceData!$Q$176),"")</f>
        <v/>
      </c>
      <c r="G176" t="str">
        <f ca="1">IFERROR(IF(0=LEN(ReferenceData!$P$176),"",ReferenceData!$P$176),"")</f>
        <v/>
      </c>
      <c r="H176" t="str">
        <f ca="1">IFERROR(IF(0=LEN(ReferenceData!$O$176),"",ReferenceData!$O$176),"")</f>
        <v/>
      </c>
      <c r="I176" t="str">
        <f ca="1">IFERROR(IF(0=LEN(ReferenceData!$N$176),"",ReferenceData!$N$176),"")</f>
        <v/>
      </c>
      <c r="J176" t="str">
        <f ca="1">IFERROR(IF(0=LEN(ReferenceData!$M$176),"",ReferenceData!$M$176),"")</f>
        <v/>
      </c>
      <c r="K176" t="str">
        <f ca="1">IFERROR(IF(0=LEN(ReferenceData!$L$176),"",ReferenceData!$L$176),"")</f>
        <v/>
      </c>
      <c r="L176" t="str">
        <f ca="1">IFERROR(IF(0=LEN(ReferenceData!$K$176),"",ReferenceData!$K$176),"")</f>
        <v/>
      </c>
      <c r="M176" t="str">
        <f ca="1">IFERROR(IF(0=LEN(ReferenceData!$J$176),"",ReferenceData!$J$176),"")</f>
        <v/>
      </c>
      <c r="N176" t="str">
        <f ca="1">IFERROR(IF(0=LEN(ReferenceData!$I$176),"",ReferenceData!$I$176),"")</f>
        <v/>
      </c>
      <c r="O176">
        <f ca="1">IFERROR(IF(0=LEN(ReferenceData!$H$176),"",ReferenceData!$H$176),"")</f>
        <v>5.4950572729999996</v>
      </c>
      <c r="P176">
        <f ca="1">IFERROR(IF(0=LEN(ReferenceData!$G$176),"",ReferenceData!$G$176),"")</f>
        <v>3.9593668790000001</v>
      </c>
      <c r="Q176">
        <f ca="1">IFERROR(IF(0=LEN(ReferenceData!$F$176),"",ReferenceData!$F$176),"")</f>
        <v>-19.319899240000002</v>
      </c>
    </row>
    <row r="177" spans="1:17" x14ac:dyDescent="0.25">
      <c r="A177" t="str">
        <f>IFERROR(IF(0=LEN(ReferenceData!$A$177),"",ReferenceData!$A$177),"")</f>
        <v xml:space="preserve">    EPAM Systems Inc</v>
      </c>
      <c r="B177" t="str">
        <f>IFERROR(IF(0=LEN(ReferenceData!$B$177),"",ReferenceData!$B$177),"")</f>
        <v>EPAM US Equity</v>
      </c>
      <c r="C177" t="str">
        <f>IFERROR(IF(0=LEN(ReferenceData!$C$177),"",ReferenceData!$C$177),"")</f>
        <v>RR028</v>
      </c>
      <c r="D177" t="str">
        <f>IFERROR(IF(0=LEN(ReferenceData!$D$177),"",ReferenceData!$D$177),"")</f>
        <v>RETURN_ON_ASSET</v>
      </c>
      <c r="E177" t="str">
        <f>IFERROR(IF(0=LEN(ReferenceData!$E$177),"",ReferenceData!$E$177),"")</f>
        <v>Dynamic</v>
      </c>
      <c r="F177" t="str">
        <f ca="1">IFERROR(IF(0=LEN(ReferenceData!$Q$177),"",ReferenceData!$Q$177),"")</f>
        <v/>
      </c>
      <c r="G177" t="str">
        <f ca="1">IFERROR(IF(0=LEN(ReferenceData!$P$177),"",ReferenceData!$P$177),"")</f>
        <v/>
      </c>
      <c r="H177">
        <f ca="1">IFERROR(IF(0=LEN(ReferenceData!$O$177),"",ReferenceData!$O$177),"")</f>
        <v>18.485951709999998</v>
      </c>
      <c r="I177">
        <f ca="1">IFERROR(IF(0=LEN(ReferenceData!$N$177),"",ReferenceData!$N$177),"")</f>
        <v>21.823451120000001</v>
      </c>
      <c r="J177">
        <f ca="1">IFERROR(IF(0=LEN(ReferenceData!$M$177),"",ReferenceData!$M$177),"")</f>
        <v>18.58168195</v>
      </c>
      <c r="K177">
        <f ca="1">IFERROR(IF(0=LEN(ReferenceData!$L$177),"",ReferenceData!$L$177),"")</f>
        <v>15.8210315</v>
      </c>
      <c r="L177">
        <f ca="1">IFERROR(IF(0=LEN(ReferenceData!$K$177),"",ReferenceData!$K$177),"")</f>
        <v>13.563306369999999</v>
      </c>
      <c r="M177">
        <f ca="1">IFERROR(IF(0=LEN(ReferenceData!$J$177),"",ReferenceData!$J$177),"")</f>
        <v>12.306329330000001</v>
      </c>
      <c r="N177">
        <f ca="1">IFERROR(IF(0=LEN(ReferenceData!$I$177),"",ReferenceData!$I$177),"")</f>
        <v>11.64856687</v>
      </c>
      <c r="O177">
        <f ca="1">IFERROR(IF(0=LEN(ReferenceData!$H$177),"",ReferenceData!$H$177),"")</f>
        <v>6.6872940950000004</v>
      </c>
      <c r="P177">
        <f ca="1">IFERROR(IF(0=LEN(ReferenceData!$G$177),"",ReferenceData!$G$177),"")</f>
        <v>16.789037820000001</v>
      </c>
      <c r="Q177">
        <f ca="1">IFERROR(IF(0=LEN(ReferenceData!$F$177),"",ReferenceData!$F$177),"")</f>
        <v>13.540265720000001</v>
      </c>
    </row>
    <row r="178" spans="1:17" x14ac:dyDescent="0.25">
      <c r="A178" t="str">
        <f>IFERROR(IF(0=LEN(ReferenceData!$A$178),"",ReferenceData!$A$178),"")</f>
        <v xml:space="preserve">    Genpact Ltd</v>
      </c>
      <c r="B178" t="str">
        <f>IFERROR(IF(0=LEN(ReferenceData!$B$178),"",ReferenceData!$B$178),"")</f>
        <v>G US Equity</v>
      </c>
      <c r="C178" t="str">
        <f>IFERROR(IF(0=LEN(ReferenceData!$C$178),"",ReferenceData!$C$178),"")</f>
        <v>RR028</v>
      </c>
      <c r="D178" t="str">
        <f>IFERROR(IF(0=LEN(ReferenceData!$D$178),"",ReferenceData!$D$178),"")</f>
        <v>RETURN_ON_ASSET</v>
      </c>
      <c r="E178" t="str">
        <f>IFERROR(IF(0=LEN(ReferenceData!$E$178),"",ReferenceData!$E$178),"")</f>
        <v>Dynamic</v>
      </c>
      <c r="F178" t="str">
        <f ca="1">IFERROR(IF(0=LEN(ReferenceData!$Q$178),"",ReferenceData!$Q$178),"")</f>
        <v/>
      </c>
      <c r="G178">
        <f ca="1">IFERROR(IF(0=LEN(ReferenceData!$P$178),"",ReferenceData!$P$178),"")</f>
        <v>7.392858833</v>
      </c>
      <c r="H178">
        <f ca="1">IFERROR(IF(0=LEN(ReferenceData!$O$178),"",ReferenceData!$O$178),"")</f>
        <v>7.8099414840000003</v>
      </c>
      <c r="I178">
        <f ca="1">IFERROR(IF(0=LEN(ReferenceData!$N$178),"",ReferenceData!$N$178),"")</f>
        <v>8.5781019020000002</v>
      </c>
      <c r="J178">
        <f ca="1">IFERROR(IF(0=LEN(ReferenceData!$M$178),"",ReferenceData!$M$178),"")</f>
        <v>7.1153854599999997</v>
      </c>
      <c r="K178">
        <f ca="1">IFERROR(IF(0=LEN(ReferenceData!$L$178),"",ReferenceData!$L$178),"")</f>
        <v>8.6762699110000003</v>
      </c>
      <c r="L178">
        <f ca="1">IFERROR(IF(0=LEN(ReferenceData!$K$178),"",ReferenceData!$K$178),"")</f>
        <v>7.0694180160000002</v>
      </c>
      <c r="M178">
        <f ca="1">IFERROR(IF(0=LEN(ReferenceData!$J$178),"",ReferenceData!$J$178),"")</f>
        <v>8.663868269</v>
      </c>
      <c r="N178">
        <f ca="1">IFERROR(IF(0=LEN(ReferenceData!$I$178),"",ReferenceData!$I$178),"")</f>
        <v>9.4969705260000001</v>
      </c>
      <c r="O178">
        <f ca="1">IFERROR(IF(0=LEN(ReferenceData!$H$178),"",ReferenceData!$H$178),"")</f>
        <v>8.3059256090000009</v>
      </c>
      <c r="P178">
        <f ca="1">IFERROR(IF(0=LEN(ReferenceData!$G$178),"",ReferenceData!$G$178),"")</f>
        <v>8.0818550790000003</v>
      </c>
      <c r="Q178">
        <f ca="1">IFERROR(IF(0=LEN(ReferenceData!$F$178),"",ReferenceData!$F$178),"")</f>
        <v>7.6376545050000004</v>
      </c>
    </row>
    <row r="179" spans="1:17" x14ac:dyDescent="0.25">
      <c r="A179" t="str">
        <f>IFERROR(IF(0=LEN(ReferenceData!$A$179),"",ReferenceData!$A$179),"")</f>
        <v xml:space="preserve">    HCL Technologies Ltd</v>
      </c>
      <c r="B179" t="str">
        <f>IFERROR(IF(0=LEN(ReferenceData!$B$179),"",ReferenceData!$B$179),"")</f>
        <v>HCLT IN Equity</v>
      </c>
      <c r="C179" t="str">
        <f>IFERROR(IF(0=LEN(ReferenceData!$C$179),"",ReferenceData!$C$179),"")</f>
        <v>RR028</v>
      </c>
      <c r="D179" t="str">
        <f>IFERROR(IF(0=LEN(ReferenceData!$D$179),"",ReferenceData!$D$179),"")</f>
        <v>RETURN_ON_ASSET</v>
      </c>
      <c r="E179" t="str">
        <f>IFERROR(IF(0=LEN(ReferenceData!$E$179),"",ReferenceData!$E$179),"")</f>
        <v>Dynamic</v>
      </c>
      <c r="F179">
        <f ca="1">IFERROR(IF(0=LEN(ReferenceData!$Q$179),"",ReferenceData!$Q$179),"")</f>
        <v>14.214429859999999</v>
      </c>
      <c r="G179">
        <f ca="1">IFERROR(IF(0=LEN(ReferenceData!$P$179),"",ReferenceData!$P$179),"")</f>
        <v>10.33555102</v>
      </c>
      <c r="H179">
        <f ca="1">IFERROR(IF(0=LEN(ReferenceData!$O$179),"",ReferenceData!$O$179),"")</f>
        <v>12.424915179999999</v>
      </c>
      <c r="I179">
        <f ca="1">IFERROR(IF(0=LEN(ReferenceData!$N$179),"",ReferenceData!$N$179),"")</f>
        <v>15.02988824</v>
      </c>
      <c r="J179">
        <f ca="1">IFERROR(IF(0=LEN(ReferenceData!$M$179),"",ReferenceData!$M$179),"")</f>
        <v>19.83493674</v>
      </c>
      <c r="K179">
        <f ca="1">IFERROR(IF(0=LEN(ReferenceData!$L$179),"",ReferenceData!$L$179),"")</f>
        <v>23.507222720000001</v>
      </c>
      <c r="L179" t="str">
        <f ca="1">IFERROR(IF(0=LEN(ReferenceData!$K$179),"",ReferenceData!$K$179),"")</f>
        <v/>
      </c>
      <c r="M179" t="str">
        <f ca="1">IFERROR(IF(0=LEN(ReferenceData!$J$179),"",ReferenceData!$J$179),"")</f>
        <v/>
      </c>
      <c r="N179">
        <f ca="1">IFERROR(IF(0=LEN(ReferenceData!$I$179),"",ReferenceData!$I$179),"")</f>
        <v>20.140961770000001</v>
      </c>
      <c r="O179">
        <f ca="1">IFERROR(IF(0=LEN(ReferenceData!$H$179),"",ReferenceData!$H$179),"")</f>
        <v>18.597856799999999</v>
      </c>
      <c r="P179">
        <f ca="1">IFERROR(IF(0=LEN(ReferenceData!$G$179),"",ReferenceData!$G$179),"")</f>
        <v>18.130744979999999</v>
      </c>
      <c r="Q179">
        <f ca="1">IFERROR(IF(0=LEN(ReferenceData!$F$179),"",ReferenceData!$F$179),"")</f>
        <v>15.919597270000001</v>
      </c>
    </row>
    <row r="180" spans="1:17" x14ac:dyDescent="0.25">
      <c r="A180" t="str">
        <f>IFERROR(IF(0=LEN(ReferenceData!$A$180),"",ReferenceData!$A$180),"")</f>
        <v xml:space="preserve">    Indra Sistemas SA</v>
      </c>
      <c r="B180" t="str">
        <f>IFERROR(IF(0=LEN(ReferenceData!$B$180),"",ReferenceData!$B$180),"")</f>
        <v>IDR SM Equity</v>
      </c>
      <c r="C180" t="str">
        <f>IFERROR(IF(0=LEN(ReferenceData!$C$180),"",ReferenceData!$C$180),"")</f>
        <v>RR028</v>
      </c>
      <c r="D180" t="str">
        <f>IFERROR(IF(0=LEN(ReferenceData!$D$180),"",ReferenceData!$D$180),"")</f>
        <v>RETURN_ON_ASSET</v>
      </c>
      <c r="E180" t="str">
        <f>IFERROR(IF(0=LEN(ReferenceData!$E$180),"",ReferenceData!$E$180),"")</f>
        <v>Dynamic</v>
      </c>
      <c r="F180">
        <f ca="1">IFERROR(IF(0=LEN(ReferenceData!$Q$180),"",ReferenceData!$Q$180),"")</f>
        <v>7.5654593950000004</v>
      </c>
      <c r="G180">
        <f ca="1">IFERROR(IF(0=LEN(ReferenceData!$P$180),"",ReferenceData!$P$180),"")</f>
        <v>7.9007795549999997</v>
      </c>
      <c r="H180">
        <f ca="1">IFERROR(IF(0=LEN(ReferenceData!$O$180),"",ReferenceData!$O$180),"")</f>
        <v>6.8987031879999998</v>
      </c>
      <c r="I180">
        <f ca="1">IFERROR(IF(0=LEN(ReferenceData!$N$180),"",ReferenceData!$N$180),"")</f>
        <v>5.5685746060000003</v>
      </c>
      <c r="J180">
        <f ca="1">IFERROR(IF(0=LEN(ReferenceData!$M$180),"",ReferenceData!$M$180),"")</f>
        <v>3.644051105</v>
      </c>
      <c r="K180">
        <f ca="1">IFERROR(IF(0=LEN(ReferenceData!$L$180),"",ReferenceData!$L$180),"")</f>
        <v>3.0396228010000002</v>
      </c>
      <c r="L180">
        <f ca="1">IFERROR(IF(0=LEN(ReferenceData!$K$180),"",ReferenceData!$K$180),"")</f>
        <v>-2.5022120459999999</v>
      </c>
      <c r="M180">
        <f ca="1">IFERROR(IF(0=LEN(ReferenceData!$J$180),"",ReferenceData!$J$180),"")</f>
        <v>-19.591546520000001</v>
      </c>
      <c r="N180">
        <f ca="1">IFERROR(IF(0=LEN(ReferenceData!$I$180),"",ReferenceData!$I$180),"")</f>
        <v>2.1866000200000002</v>
      </c>
      <c r="O180">
        <f ca="1">IFERROR(IF(0=LEN(ReferenceData!$H$180),"",ReferenceData!$H$180),"")</f>
        <v>3.5258185879999999</v>
      </c>
      <c r="P180">
        <f ca="1">IFERROR(IF(0=LEN(ReferenceData!$G$180),"",ReferenceData!$G$180),"")</f>
        <v>3.0288897810000002</v>
      </c>
      <c r="Q180">
        <f ca="1">IFERROR(IF(0=LEN(ReferenceData!$F$180),"",ReferenceData!$F$180),"")</f>
        <v>2.9042335659999998</v>
      </c>
    </row>
    <row r="181" spans="1:17" x14ac:dyDescent="0.25">
      <c r="A181" t="str">
        <f>IFERROR(IF(0=LEN(ReferenceData!$A$181),"",ReferenceData!$A$181),"")</f>
        <v xml:space="preserve">    Infosys Ltd</v>
      </c>
      <c r="B181" t="str">
        <f>IFERROR(IF(0=LEN(ReferenceData!$B$181),"",ReferenceData!$B$181),"")</f>
        <v>INFY US Equity</v>
      </c>
      <c r="C181" t="str">
        <f>IFERROR(IF(0=LEN(ReferenceData!$C$181),"",ReferenceData!$C$181),"")</f>
        <v>RR028</v>
      </c>
      <c r="D181" t="str">
        <f>IFERROR(IF(0=LEN(ReferenceData!$D$181),"",ReferenceData!$D$181),"")</f>
        <v>RETURN_ON_ASSET</v>
      </c>
      <c r="E181" t="str">
        <f>IFERROR(IF(0=LEN(ReferenceData!$E$181),"",ReferenceData!$E$181),"")</f>
        <v>Dynamic</v>
      </c>
      <c r="F181">
        <f ca="1">IFERROR(IF(0=LEN(ReferenceData!$Q$181),"",ReferenceData!$Q$181),"")</f>
        <v>29.828887389999998</v>
      </c>
      <c r="G181">
        <f ca="1">IFERROR(IF(0=LEN(ReferenceData!$P$181),"",ReferenceData!$P$181),"")</f>
        <v>24.98844802</v>
      </c>
      <c r="H181">
        <f ca="1">IFERROR(IF(0=LEN(ReferenceData!$O$181),"",ReferenceData!$O$181),"")</f>
        <v>23.206858499999999</v>
      </c>
      <c r="I181">
        <f ca="1">IFERROR(IF(0=LEN(ReferenceData!$N$181),"",ReferenceData!$N$181),"")</f>
        <v>23.882483019999999</v>
      </c>
      <c r="J181">
        <f ca="1">IFERROR(IF(0=LEN(ReferenceData!$M$181),"",ReferenceData!$M$181),"")</f>
        <v>22.245835249999999</v>
      </c>
      <c r="K181">
        <f ca="1">IFERROR(IF(0=LEN(ReferenceData!$L$181),"",ReferenceData!$L$181),"")</f>
        <v>20.59454964</v>
      </c>
      <c r="L181">
        <f ca="1">IFERROR(IF(0=LEN(ReferenceData!$K$181),"",ReferenceData!$K$181),"")</f>
        <v>19.981038349999999</v>
      </c>
      <c r="M181">
        <f ca="1">IFERROR(IF(0=LEN(ReferenceData!$J$181),"",ReferenceData!$J$181),"")</f>
        <v>19.038545679999999</v>
      </c>
      <c r="N181">
        <f ca="1">IFERROR(IF(0=LEN(ReferenceData!$I$181),"",ReferenceData!$I$181),"")</f>
        <v>18.087646889999998</v>
      </c>
      <c r="O181">
        <f ca="1">IFERROR(IF(0=LEN(ReferenceData!$H$181),"",ReferenceData!$H$181),"")</f>
        <v>19.63796747</v>
      </c>
      <c r="P181">
        <f ca="1">IFERROR(IF(0=LEN(ReferenceData!$G$181),"",ReferenceData!$G$181),"")</f>
        <v>18.713706049999999</v>
      </c>
      <c r="Q181">
        <f ca="1">IFERROR(IF(0=LEN(ReferenceData!$F$181),"",ReferenceData!$F$181),"")</f>
        <v>18.696832780000001</v>
      </c>
    </row>
    <row r="182" spans="1:17" x14ac:dyDescent="0.25">
      <c r="A182" t="str">
        <f>IFERROR(IF(0=LEN(ReferenceData!$A$182),"",ReferenceData!$A$182),"")</f>
        <v xml:space="preserve">    International Business Machines Corp</v>
      </c>
      <c r="B182" t="str">
        <f>IFERROR(IF(0=LEN(ReferenceData!$B$182),"",ReferenceData!$B$182),"")</f>
        <v>IBM US Equity</v>
      </c>
      <c r="C182" t="str">
        <f>IFERROR(IF(0=LEN(ReferenceData!$C$182),"",ReferenceData!$C$182),"")</f>
        <v>RR028</v>
      </c>
      <c r="D182" t="str">
        <f>IFERROR(IF(0=LEN(ReferenceData!$D$182),"",ReferenceData!$D$182),"")</f>
        <v>RETURN_ON_ASSET</v>
      </c>
      <c r="E182" t="str">
        <f>IFERROR(IF(0=LEN(ReferenceData!$E$182),"",ReferenceData!$E$182),"")</f>
        <v>Dynamic</v>
      </c>
      <c r="F182">
        <f ca="1">IFERROR(IF(0=LEN(ReferenceData!$Q$182),"",ReferenceData!$Q$182),"")</f>
        <v>10.72731621</v>
      </c>
      <c r="G182">
        <f ca="1">IFERROR(IF(0=LEN(ReferenceData!$P$182),"",ReferenceData!$P$182),"")</f>
        <v>12.285743050000001</v>
      </c>
      <c r="H182">
        <f ca="1">IFERROR(IF(0=LEN(ReferenceData!$O$182),"",ReferenceData!$O$182),"")</f>
        <v>13.33459191</v>
      </c>
      <c r="I182">
        <f ca="1">IFERROR(IF(0=LEN(ReferenceData!$N$182),"",ReferenceData!$N$182),"")</f>
        <v>13.79385345</v>
      </c>
      <c r="J182">
        <f ca="1">IFERROR(IF(0=LEN(ReferenceData!$M$182),"",ReferenceData!$M$182),"")</f>
        <v>14.09232493</v>
      </c>
      <c r="K182">
        <f ca="1">IFERROR(IF(0=LEN(ReferenceData!$L$182),"",ReferenceData!$L$182),"")</f>
        <v>13.43160743</v>
      </c>
      <c r="L182">
        <f ca="1">IFERROR(IF(0=LEN(ReferenceData!$K$182),"",ReferenceData!$K$182),"")</f>
        <v>9.874575965</v>
      </c>
      <c r="M182">
        <f ca="1">IFERROR(IF(0=LEN(ReferenceData!$J$182),"",ReferenceData!$J$182),"")</f>
        <v>11.58206229</v>
      </c>
      <c r="N182">
        <f ca="1">IFERROR(IF(0=LEN(ReferenceData!$I$182),"",ReferenceData!$I$182),"")</f>
        <v>10.415633980000001</v>
      </c>
      <c r="O182">
        <f ca="1">IFERROR(IF(0=LEN(ReferenceData!$H$182),"",ReferenceData!$H$182),"")</f>
        <v>4.738372332</v>
      </c>
      <c r="P182">
        <f ca="1">IFERROR(IF(0=LEN(ReferenceData!$G$182),"",ReferenceData!$G$182),"")</f>
        <v>7.0178259860000001</v>
      </c>
      <c r="Q182">
        <f ca="1">IFERROR(IF(0=LEN(ReferenceData!$F$182),"",ReferenceData!$F$182),"")</f>
        <v>6.8447715259999997</v>
      </c>
    </row>
    <row r="183" spans="1:17" x14ac:dyDescent="0.25">
      <c r="A183" t="str">
        <f>IFERROR(IF(0=LEN(ReferenceData!$A$183),"",ReferenceData!$A$183),"")</f>
        <v xml:space="preserve">    Tata Consultancy Services Ltd</v>
      </c>
      <c r="B183" t="str">
        <f>IFERROR(IF(0=LEN(ReferenceData!$B$183),"",ReferenceData!$B$183),"")</f>
        <v>TCS IN Equity</v>
      </c>
      <c r="C183" t="str">
        <f>IFERROR(IF(0=LEN(ReferenceData!$C$183),"",ReferenceData!$C$183),"")</f>
        <v>RR028</v>
      </c>
      <c r="D183" t="str">
        <f>IFERROR(IF(0=LEN(ReferenceData!$D$183),"",ReferenceData!$D$183),"")</f>
        <v>RETURN_ON_ASSET</v>
      </c>
      <c r="E183" t="str">
        <f>IFERROR(IF(0=LEN(ReferenceData!$E$183),"",ReferenceData!$E$183),"")</f>
        <v>Dynamic</v>
      </c>
      <c r="F183">
        <f ca="1">IFERROR(IF(0=LEN(ReferenceData!$Q$183),"",ReferenceData!$Q$183),"")</f>
        <v>26.149619489999999</v>
      </c>
      <c r="G183">
        <f ca="1">IFERROR(IF(0=LEN(ReferenceData!$P$183),"",ReferenceData!$P$183),"")</f>
        <v>27.98489593</v>
      </c>
      <c r="H183">
        <f ca="1">IFERROR(IF(0=LEN(ReferenceData!$O$183),"",ReferenceData!$O$183),"")</f>
        <v>30.18893302</v>
      </c>
      <c r="I183">
        <f ca="1">IFERROR(IF(0=LEN(ReferenceData!$N$183),"",ReferenceData!$N$183),"")</f>
        <v>28.140183019999998</v>
      </c>
      <c r="J183">
        <f ca="1">IFERROR(IF(0=LEN(ReferenceData!$M$183),"",ReferenceData!$M$183),"")</f>
        <v>29.77016923</v>
      </c>
      <c r="K183">
        <f ca="1">IFERROR(IF(0=LEN(ReferenceData!$L$183),"",ReferenceData!$L$183),"")</f>
        <v>31.577067799999998</v>
      </c>
      <c r="L183">
        <f ca="1">IFERROR(IF(0=LEN(ReferenceData!$K$183),"",ReferenceData!$K$183),"")</f>
        <v>27.28956384</v>
      </c>
      <c r="M183">
        <f ca="1">IFERROR(IF(0=LEN(ReferenceData!$J$183),"",ReferenceData!$J$183),"")</f>
        <v>29.12209657</v>
      </c>
      <c r="N183">
        <f ca="1">IFERROR(IF(0=LEN(ReferenceData!$I$183),"",ReferenceData!$I$183),"")</f>
        <v>26.748267760000001</v>
      </c>
      <c r="O183">
        <f ca="1">IFERROR(IF(0=LEN(ReferenceData!$H$183),"",ReferenceData!$H$183),"")</f>
        <v>24.163321830000001</v>
      </c>
      <c r="P183">
        <f ca="1">IFERROR(IF(0=LEN(ReferenceData!$G$183),"",ReferenceData!$G$183),"")</f>
        <v>27.917786589999999</v>
      </c>
      <c r="Q183">
        <f ca="1">IFERROR(IF(0=LEN(ReferenceData!$F$183),"",ReferenceData!$F$183),"")</f>
        <v>26.942590790000001</v>
      </c>
    </row>
    <row r="184" spans="1:17" x14ac:dyDescent="0.25">
      <c r="A184" t="str">
        <f>IFERROR(IF(0=LEN(ReferenceData!$A$184),"",ReferenceData!$A$184),"")</f>
        <v xml:space="preserve">    Tech Mahindra Ltd</v>
      </c>
      <c r="B184" t="str">
        <f>IFERROR(IF(0=LEN(ReferenceData!$B$184),"",ReferenceData!$B$184),"")</f>
        <v>TECHM IN Equity</v>
      </c>
      <c r="C184" t="str">
        <f>IFERROR(IF(0=LEN(ReferenceData!$C$184),"",ReferenceData!$C$184),"")</f>
        <v>RR028</v>
      </c>
      <c r="D184" t="str">
        <f>IFERROR(IF(0=LEN(ReferenceData!$D$184),"",ReferenceData!$D$184),"")</f>
        <v>RETURN_ON_ASSET</v>
      </c>
      <c r="E184" t="str">
        <f>IFERROR(IF(0=LEN(ReferenceData!$E$184),"",ReferenceData!$E$184),"")</f>
        <v>Dynamic</v>
      </c>
      <c r="F184">
        <f ca="1">IFERROR(IF(0=LEN(ReferenceData!$Q$184),"",ReferenceData!$Q$184),"")</f>
        <v>40.033147210000003</v>
      </c>
      <c r="G184">
        <f ca="1">IFERROR(IF(0=LEN(ReferenceData!$P$184),"",ReferenceData!$P$184),"")</f>
        <v>16.02058319</v>
      </c>
      <c r="H184">
        <f ca="1">IFERROR(IF(0=LEN(ReferenceData!$O$184),"",ReferenceData!$O$184),"")</f>
        <v>10.77518796</v>
      </c>
      <c r="I184">
        <f ca="1">IFERROR(IF(0=LEN(ReferenceData!$N$184),"",ReferenceData!$N$184),"")</f>
        <v>16.887100749999998</v>
      </c>
      <c r="J184">
        <f ca="1">IFERROR(IF(0=LEN(ReferenceData!$M$184),"",ReferenceData!$M$184),"")</f>
        <v>16.19517716</v>
      </c>
      <c r="K184">
        <f ca="1">IFERROR(IF(0=LEN(ReferenceData!$L$184),"",ReferenceData!$L$184),"")</f>
        <v>24.305650289999999</v>
      </c>
      <c r="L184">
        <f ca="1">IFERROR(IF(0=LEN(ReferenceData!$K$184),"",ReferenceData!$K$184),"")</f>
        <v>14.68550814</v>
      </c>
      <c r="M184">
        <f ca="1">IFERROR(IF(0=LEN(ReferenceData!$J$184),"",ReferenceData!$J$184),"")</f>
        <v>14.126515120000001</v>
      </c>
      <c r="N184">
        <f ca="1">IFERROR(IF(0=LEN(ReferenceData!$I$184),"",ReferenceData!$I$184),"")</f>
        <v>11.57781656</v>
      </c>
      <c r="O184">
        <f ca="1">IFERROR(IF(0=LEN(ReferenceData!$H$184),"",ReferenceData!$H$184),"")</f>
        <v>13.44973869</v>
      </c>
      <c r="P184">
        <f ca="1">IFERROR(IF(0=LEN(ReferenceData!$G$184),"",ReferenceData!$G$184),"")</f>
        <v>13.45436501</v>
      </c>
      <c r="Q184">
        <f ca="1">IFERROR(IF(0=LEN(ReferenceData!$F$184),"",ReferenceData!$F$184),"")</f>
        <v>11.39253062</v>
      </c>
    </row>
    <row r="185" spans="1:17" x14ac:dyDescent="0.25">
      <c r="A185" t="str">
        <f>IFERROR(IF(0=LEN(ReferenceData!$A$185),"",ReferenceData!$A$185),"")</f>
        <v xml:space="preserve">    Wipro Ltd</v>
      </c>
      <c r="B185" t="str">
        <f>IFERROR(IF(0=LEN(ReferenceData!$B$185),"",ReferenceData!$B$185),"")</f>
        <v>WIT US Equity</v>
      </c>
      <c r="C185" t="str">
        <f>IFERROR(IF(0=LEN(ReferenceData!$C$185),"",ReferenceData!$C$185),"")</f>
        <v>RR028</v>
      </c>
      <c r="D185" t="str">
        <f>IFERROR(IF(0=LEN(ReferenceData!$D$185),"",ReferenceData!$D$185),"")</f>
        <v>RETURN_ON_ASSET</v>
      </c>
      <c r="E185" t="str">
        <f>IFERROR(IF(0=LEN(ReferenceData!$E$185),"",ReferenceData!$E$185),"")</f>
        <v>Dynamic</v>
      </c>
      <c r="F185">
        <f ca="1">IFERROR(IF(0=LEN(ReferenceData!$Q$185),"",ReferenceData!$Q$185),"")</f>
        <v>15.761916210000001</v>
      </c>
      <c r="G185">
        <f ca="1">IFERROR(IF(0=LEN(ReferenceData!$P$185),"",ReferenceData!$P$185),"")</f>
        <v>15.319371350000001</v>
      </c>
      <c r="H185">
        <f ca="1">IFERROR(IF(0=LEN(ReferenceData!$O$185),"",ReferenceData!$O$185),"")</f>
        <v>15.18997141</v>
      </c>
      <c r="I185">
        <f ca="1">IFERROR(IF(0=LEN(ReferenceData!$N$185),"",ReferenceData!$N$185),"")</f>
        <v>13.80405328</v>
      </c>
      <c r="J185">
        <f ca="1">IFERROR(IF(0=LEN(ReferenceData!$M$185),"",ReferenceData!$M$185),"")</f>
        <v>15.15511042</v>
      </c>
      <c r="K185">
        <f ca="1">IFERROR(IF(0=LEN(ReferenceData!$L$185),"",ReferenceData!$L$185),"")</f>
        <v>16.552905729999999</v>
      </c>
      <c r="L185">
        <f ca="1">IFERROR(IF(0=LEN(ReferenceData!$K$185),"",ReferenceData!$K$185),"")</f>
        <v>15.699010380000001</v>
      </c>
      <c r="M185">
        <f ca="1">IFERROR(IF(0=LEN(ReferenceData!$J$185),"",ReferenceData!$J$185),"")</f>
        <v>13.45507222</v>
      </c>
      <c r="N185">
        <f ca="1">IFERROR(IF(0=LEN(ReferenceData!$I$185),"",ReferenceData!$I$185),"")</f>
        <v>11.188657279999999</v>
      </c>
      <c r="O185">
        <f ca="1">IFERROR(IF(0=LEN(ReferenceData!$H$185),"",ReferenceData!$H$185),"")</f>
        <v>10.30540049</v>
      </c>
      <c r="P185">
        <f ca="1">IFERROR(IF(0=LEN(ReferenceData!$G$185),"",ReferenceData!$G$185),"")</f>
        <v>11.29757543</v>
      </c>
      <c r="Q185">
        <f ca="1">IFERROR(IF(0=LEN(ReferenceData!$F$185),"",ReferenceData!$F$185),"")</f>
        <v>11.782336190000001</v>
      </c>
    </row>
    <row r="186" spans="1:17" x14ac:dyDescent="0.25">
      <c r="A186" t="str">
        <f>IFERROR(IF(0=LEN(ReferenceData!$A$186),"",ReferenceData!$A$186),"")</f>
        <v>Return on Equity</v>
      </c>
      <c r="B186" t="str">
        <f>IFERROR(IF(0=LEN(ReferenceData!$B$186),"",ReferenceData!$B$186),"")</f>
        <v>BRITBPOV Index</v>
      </c>
      <c r="C186" t="str">
        <f>IFERROR(IF(0=LEN(ReferenceData!$C$186),"",ReferenceData!$C$186),"")</f>
        <v/>
      </c>
      <c r="D186" t="str">
        <f>IFERROR(IF(0=LEN(ReferenceData!$D$186),"",ReferenceData!$D$186),"")</f>
        <v/>
      </c>
      <c r="E186" t="str">
        <f>IFERROR(IF(0=LEN(ReferenceData!$E$186),"",ReferenceData!$E$186),"")</f>
        <v>Average</v>
      </c>
      <c r="F186">
        <f ca="1">IFERROR(IF(0=LEN(ReferenceData!$Q$186),"",ReferenceData!$Q$186),"")</f>
        <v>32.516317488461539</v>
      </c>
      <c r="G186">
        <f ca="1">IFERROR(IF(0=LEN(ReferenceData!$P$186),"",ReferenceData!$P$186),"")</f>
        <v>26.621421876357147</v>
      </c>
      <c r="H186">
        <f ca="1">IFERROR(IF(0=LEN(ReferenceData!$O$186),"",ReferenceData!$O$186),"")</f>
        <v>26.319912330200001</v>
      </c>
      <c r="I186">
        <f ca="1">IFERROR(IF(0=LEN(ReferenceData!$N$186),"",ReferenceData!$N$186),"")</f>
        <v>26.930163457066666</v>
      </c>
      <c r="J186">
        <f ca="1">IFERROR(IF(0=LEN(ReferenceData!$M$186),"",ReferenceData!$M$186),"")</f>
        <v>27.53051872193334</v>
      </c>
      <c r="K186">
        <f ca="1">IFERROR(IF(0=LEN(ReferenceData!$L$186),"",ReferenceData!$L$186),"")</f>
        <v>29.011064345200001</v>
      </c>
      <c r="L186">
        <f ca="1">IFERROR(IF(0=LEN(ReferenceData!$K$186),"",ReferenceData!$K$186),"")</f>
        <v>23.326623281499998</v>
      </c>
      <c r="M186">
        <f ca="1">IFERROR(IF(0=LEN(ReferenceData!$J$186),"",ReferenceData!$J$186),"")</f>
        <v>17.198353859000001</v>
      </c>
      <c r="N186">
        <f ca="1">IFERROR(IF(0=LEN(ReferenceData!$I$186),"",ReferenceData!$I$186),"")</f>
        <v>22.243941550624999</v>
      </c>
      <c r="O186">
        <f ca="1">IFERROR(IF(0=LEN(ReferenceData!$H$186),"",ReferenceData!$H$186),"")</f>
        <v>19.400879276647061</v>
      </c>
      <c r="P186">
        <f ca="1">IFERROR(IF(0=LEN(ReferenceData!$G$186),"",ReferenceData!$G$186),"")</f>
        <v>20.119610658823529</v>
      </c>
      <c r="Q186">
        <f ca="1">IFERROR(IF(0=LEN(ReferenceData!$F$186),"",ReferenceData!$F$186),"")</f>
        <v>13.279618085294119</v>
      </c>
    </row>
    <row r="187" spans="1:17" x14ac:dyDescent="0.25">
      <c r="A187" t="str">
        <f>IFERROR(IF(0=LEN(ReferenceData!$A$187),"",ReferenceData!$A$187),"")</f>
        <v xml:space="preserve">    Accenture PLC</v>
      </c>
      <c r="B187" t="str">
        <f>IFERROR(IF(0=LEN(ReferenceData!$B$187),"",ReferenceData!$B$187),"")</f>
        <v>ACN US Equity</v>
      </c>
      <c r="C187" t="str">
        <f>IFERROR(IF(0=LEN(ReferenceData!$C$187),"",ReferenceData!$C$187),"")</f>
        <v>RR029</v>
      </c>
      <c r="D187" t="str">
        <f>IFERROR(IF(0=LEN(ReferenceData!$D$187),"",ReferenceData!$D$187),"")</f>
        <v>RETURN_COM_EQY</v>
      </c>
      <c r="E187" t="str">
        <f>IFERROR(IF(0=LEN(ReferenceData!$E$187),"",ReferenceData!$E$187),"")</f>
        <v>Dynamic</v>
      </c>
      <c r="F187">
        <f ca="1">IFERROR(IF(0=LEN(ReferenceData!$Q$187),"",ReferenceData!$Q$187),"")</f>
        <v>73.493072519999998</v>
      </c>
      <c r="G187">
        <f ca="1">IFERROR(IF(0=LEN(ReferenceData!$P$187),"",ReferenceData!$P$187),"")</f>
        <v>58.593476920000001</v>
      </c>
      <c r="H187">
        <f ca="1">IFERROR(IF(0=LEN(ReferenceData!$O$187),"",ReferenceData!$O$187),"")</f>
        <v>62.235250309999998</v>
      </c>
      <c r="I187">
        <f ca="1">IFERROR(IF(0=LEN(ReferenceData!$N$187),"",ReferenceData!$N$187),"")</f>
        <v>67.841542219999994</v>
      </c>
      <c r="J187">
        <f ca="1">IFERROR(IF(0=LEN(ReferenceData!$M$187),"",ReferenceData!$M$187),"")</f>
        <v>63.640591450000002</v>
      </c>
      <c r="K187">
        <f ca="1">IFERROR(IF(0=LEN(ReferenceData!$L$187),"",ReferenceData!$L$187),"")</f>
        <v>72.081510039999998</v>
      </c>
      <c r="L187">
        <f ca="1">IFERROR(IF(0=LEN(ReferenceData!$K$187),"",ReferenceData!$K$187),"")</f>
        <v>55.021272009999997</v>
      </c>
      <c r="M187">
        <f ca="1">IFERROR(IF(0=LEN(ReferenceData!$J$187),"",ReferenceData!$J$187),"")</f>
        <v>51.468780760000001</v>
      </c>
      <c r="N187">
        <f ca="1">IFERROR(IF(0=LEN(ReferenceData!$I$187),"",ReferenceData!$I$187),"")</f>
        <v>60.075913579999998</v>
      </c>
      <c r="O187">
        <f ca="1">IFERROR(IF(0=LEN(ReferenceData!$H$187),"",ReferenceData!$H$187),"")</f>
        <v>41.747391460000003</v>
      </c>
      <c r="P187">
        <f ca="1">IFERROR(IF(0=LEN(ReferenceData!$G$187),"",ReferenceData!$G$187),"")</f>
        <v>42.040578369999999</v>
      </c>
      <c r="Q187">
        <f ca="1">IFERROR(IF(0=LEN(ReferenceData!$F$187),"",ReferenceData!$F$187),"")</f>
        <v>38.582046550000001</v>
      </c>
    </row>
    <row r="188" spans="1:17" x14ac:dyDescent="0.25">
      <c r="A188" t="str">
        <f>IFERROR(IF(0=LEN(ReferenceData!$A$188),"",ReferenceData!$A$188),"")</f>
        <v xml:space="preserve">    Amdocs Ltd</v>
      </c>
      <c r="B188" t="str">
        <f>IFERROR(IF(0=LEN(ReferenceData!$B$188),"",ReferenceData!$B$188),"")</f>
        <v>DOX US Equity</v>
      </c>
      <c r="C188" t="str">
        <f>IFERROR(IF(0=LEN(ReferenceData!$C$188),"",ReferenceData!$C$188),"")</f>
        <v>RR029</v>
      </c>
      <c r="D188" t="str">
        <f>IFERROR(IF(0=LEN(ReferenceData!$D$188),"",ReferenceData!$D$188),"")</f>
        <v>RETURN_COM_EQY</v>
      </c>
      <c r="E188" t="str">
        <f>IFERROR(IF(0=LEN(ReferenceData!$E$188),"",ReferenceData!$E$188),"")</f>
        <v>Dynamic</v>
      </c>
      <c r="F188">
        <f ca="1">IFERROR(IF(0=LEN(ReferenceData!$Q$188),"",ReferenceData!$Q$188),"")</f>
        <v>14.01944784</v>
      </c>
      <c r="G188">
        <f ca="1">IFERROR(IF(0=LEN(ReferenceData!$P$188),"",ReferenceData!$P$188),"")</f>
        <v>10.8395738</v>
      </c>
      <c r="H188">
        <f ca="1">IFERROR(IF(0=LEN(ReferenceData!$O$188),"",ReferenceData!$O$188),"")</f>
        <v>10.676277109999999</v>
      </c>
      <c r="I188">
        <f ca="1">IFERROR(IF(0=LEN(ReferenceData!$N$188),"",ReferenceData!$N$188),"")</f>
        <v>11.08852347</v>
      </c>
      <c r="J188">
        <f ca="1">IFERROR(IF(0=LEN(ReferenceData!$M$188),"",ReferenceData!$M$188),"")</f>
        <v>12.923992610000001</v>
      </c>
      <c r="K188">
        <f ca="1">IFERROR(IF(0=LEN(ReferenceData!$L$188),"",ReferenceData!$L$188),"")</f>
        <v>13.076727350000001</v>
      </c>
      <c r="L188">
        <f ca="1">IFERROR(IF(0=LEN(ReferenceData!$K$188),"",ReferenceData!$K$188),"")</f>
        <v>12.6561568</v>
      </c>
      <c r="M188">
        <f ca="1">IFERROR(IF(0=LEN(ReferenceData!$J$188),"",ReferenceData!$J$188),"")</f>
        <v>12.98300463</v>
      </c>
      <c r="N188">
        <f ca="1">IFERROR(IF(0=LEN(ReferenceData!$I$188),"",ReferenceData!$I$188),"")</f>
        <v>11.828430490000001</v>
      </c>
      <c r="O188">
        <f ca="1">IFERROR(IF(0=LEN(ReferenceData!$H$188),"",ReferenceData!$H$188),"")</f>
        <v>12.33158087</v>
      </c>
      <c r="P188">
        <f ca="1">IFERROR(IF(0=LEN(ReferenceData!$G$188),"",ReferenceData!$G$188),"")</f>
        <v>10.017045550000001</v>
      </c>
      <c r="Q188">
        <f ca="1">IFERROR(IF(0=LEN(ReferenceData!$F$188),"",ReferenceData!$F$188),"")</f>
        <v>13.7044823</v>
      </c>
    </row>
    <row r="189" spans="1:17" x14ac:dyDescent="0.25">
      <c r="A189" t="str">
        <f>IFERROR(IF(0=LEN(ReferenceData!$A$189),"",ReferenceData!$A$189),"")</f>
        <v xml:space="preserve">    Atos SE</v>
      </c>
      <c r="B189" t="str">
        <f>IFERROR(IF(0=LEN(ReferenceData!$B$189),"",ReferenceData!$B$189),"")</f>
        <v>ATO FP Equity</v>
      </c>
      <c r="C189" t="str">
        <f>IFERROR(IF(0=LEN(ReferenceData!$C$189),"",ReferenceData!$C$189),"")</f>
        <v>RR029</v>
      </c>
      <c r="D189" t="str">
        <f>IFERROR(IF(0=LEN(ReferenceData!$D$189),"",ReferenceData!$D$189),"")</f>
        <v>RETURN_COM_EQY</v>
      </c>
      <c r="E189" t="str">
        <f>IFERROR(IF(0=LEN(ReferenceData!$E$189),"",ReferenceData!$E$189),"")</f>
        <v>Dynamic</v>
      </c>
      <c r="F189">
        <f ca="1">IFERROR(IF(0=LEN(ReferenceData!$Q$189),"",ReferenceData!$Q$189),"")</f>
        <v>1.40246362</v>
      </c>
      <c r="G189">
        <f ca="1">IFERROR(IF(0=LEN(ReferenceData!$P$189),"",ReferenceData!$P$189),"")</f>
        <v>0.25306599200000002</v>
      </c>
      <c r="H189">
        <f ca="1">IFERROR(IF(0=LEN(ReferenceData!$O$189),"",ReferenceData!$O$189),"")</f>
        <v>7.3090119299999996</v>
      </c>
      <c r="I189">
        <f ca="1">IFERROR(IF(0=LEN(ReferenceData!$N$189),"",ReferenceData!$N$189),"")</f>
        <v>9.1926094660000004</v>
      </c>
      <c r="J189">
        <f ca="1">IFERROR(IF(0=LEN(ReferenceData!$M$189),"",ReferenceData!$M$189),"")</f>
        <v>9.5776094490000006</v>
      </c>
      <c r="K189">
        <f ca="1">IFERROR(IF(0=LEN(ReferenceData!$L$189),"",ReferenceData!$L$189),"")</f>
        <v>9.9511193109999994</v>
      </c>
      <c r="L189">
        <f ca="1">IFERROR(IF(0=LEN(ReferenceData!$K$189),"",ReferenceData!$K$189),"")</f>
        <v>8.6915198690000004</v>
      </c>
      <c r="M189">
        <f ca="1">IFERROR(IF(0=LEN(ReferenceData!$J$189),"",ReferenceData!$J$189),"")</f>
        <v>11.54633314</v>
      </c>
      <c r="N189">
        <f ca="1">IFERROR(IF(0=LEN(ReferenceData!$I$189),"",ReferenceData!$I$189),"")</f>
        <v>14.18888276</v>
      </c>
      <c r="O189">
        <f ca="1">IFERROR(IF(0=LEN(ReferenceData!$H$189),"",ReferenceData!$H$189),"")</f>
        <v>13.38858072</v>
      </c>
      <c r="P189">
        <f ca="1">IFERROR(IF(0=LEN(ReferenceData!$G$189),"",ReferenceData!$G$189),"")</f>
        <v>11.736214609999999</v>
      </c>
      <c r="Q189">
        <f ca="1">IFERROR(IF(0=LEN(ReferenceData!$F$189),"",ReferenceData!$F$189),"")</f>
        <v>51.69974903</v>
      </c>
    </row>
    <row r="190" spans="1:17" x14ac:dyDescent="0.25">
      <c r="A190" t="str">
        <f>IFERROR(IF(0=LEN(ReferenceData!$A$190),"",ReferenceData!$A$190),"")</f>
        <v xml:space="preserve">    Capgemini SE</v>
      </c>
      <c r="B190" t="str">
        <f>IFERROR(IF(0=LEN(ReferenceData!$B$190),"",ReferenceData!$B$190),"")</f>
        <v>CAP FP Equity</v>
      </c>
      <c r="C190" t="str">
        <f>IFERROR(IF(0=LEN(ReferenceData!$C$190),"",ReferenceData!$C$190),"")</f>
        <v>RR029</v>
      </c>
      <c r="D190" t="str">
        <f>IFERROR(IF(0=LEN(ReferenceData!$D$190),"",ReferenceData!$D$190),"")</f>
        <v>RETURN_COM_EQY</v>
      </c>
      <c r="E190" t="str">
        <f>IFERROR(IF(0=LEN(ReferenceData!$E$190),"",ReferenceData!$E$190),"")</f>
        <v>Dynamic</v>
      </c>
      <c r="F190">
        <f ca="1">IFERROR(IF(0=LEN(ReferenceData!$Q$190),"",ReferenceData!$Q$190),"")</f>
        <v>11.57894737</v>
      </c>
      <c r="G190">
        <f ca="1">IFERROR(IF(0=LEN(ReferenceData!$P$190),"",ReferenceData!$P$190),"")</f>
        <v>4.3670264970000003</v>
      </c>
      <c r="H190">
        <f ca="1">IFERROR(IF(0=LEN(ReferenceData!$O$190),"",ReferenceData!$O$190),"")</f>
        <v>6.5673742229999998</v>
      </c>
      <c r="I190">
        <f ca="1">IFERROR(IF(0=LEN(ReferenceData!$N$190),"",ReferenceData!$N$190),"")</f>
        <v>9.4282380400000001</v>
      </c>
      <c r="J190">
        <f ca="1">IFERROR(IF(0=LEN(ReferenceData!$M$190),"",ReferenceData!$M$190),"")</f>
        <v>8.0796520940000001</v>
      </c>
      <c r="K190">
        <f ca="1">IFERROR(IF(0=LEN(ReferenceData!$L$190),"",ReferenceData!$L$190),"")</f>
        <v>9.8881431769999999</v>
      </c>
      <c r="L190">
        <f ca="1">IFERROR(IF(0=LEN(ReferenceData!$K$190),"",ReferenceData!$K$190),"")</f>
        <v>12.191276930000001</v>
      </c>
      <c r="M190">
        <f ca="1">IFERROR(IF(0=LEN(ReferenceData!$J$190),"",ReferenceData!$J$190),"")</f>
        <v>18.821165440000001</v>
      </c>
      <c r="N190">
        <f ca="1">IFERROR(IF(0=LEN(ReferenceData!$I$190),"",ReferenceData!$I$190),"")</f>
        <v>13.009393319999999</v>
      </c>
      <c r="O190">
        <f ca="1">IFERROR(IF(0=LEN(ReferenceData!$H$190),"",ReferenceData!$H$190),"")</f>
        <v>11.526567330000001</v>
      </c>
      <c r="P190">
        <f ca="1">IFERROR(IF(0=LEN(ReferenceData!$G$190),"",ReferenceData!$G$190),"")</f>
        <v>10.11360488</v>
      </c>
      <c r="Q190">
        <f ca="1">IFERROR(IF(0=LEN(ReferenceData!$F$190),"",ReferenceData!$F$190),"")</f>
        <v>10.76458753</v>
      </c>
    </row>
    <row r="191" spans="1:17" x14ac:dyDescent="0.25">
      <c r="A191" t="str">
        <f>IFERROR(IF(0=LEN(ReferenceData!$A$191),"",ReferenceData!$A$191),"")</f>
        <v xml:space="preserve">    CGI Inc</v>
      </c>
      <c r="B191" t="str">
        <f>IFERROR(IF(0=LEN(ReferenceData!$B$191),"",ReferenceData!$B$191),"")</f>
        <v>GIB US Equity</v>
      </c>
      <c r="C191" t="str">
        <f>IFERROR(IF(0=LEN(ReferenceData!$C$191),"",ReferenceData!$C$191),"")</f>
        <v>RR029</v>
      </c>
      <c r="D191" t="str">
        <f>IFERROR(IF(0=LEN(ReferenceData!$D$191),"",ReferenceData!$D$191),"")</f>
        <v>RETURN_COM_EQY</v>
      </c>
      <c r="E191" t="str">
        <f>IFERROR(IF(0=LEN(ReferenceData!$E$191),"",ReferenceData!$E$191),"")</f>
        <v>Dynamic</v>
      </c>
      <c r="F191">
        <f ca="1">IFERROR(IF(0=LEN(ReferenceData!$Q$191),"",ReferenceData!$Q$191),"")</f>
        <v>15.36625596</v>
      </c>
      <c r="G191">
        <f ca="1">IFERROR(IF(0=LEN(ReferenceData!$P$191),"",ReferenceData!$P$191),"")</f>
        <v>14.814939649999999</v>
      </c>
      <c r="H191">
        <f ca="1">IFERROR(IF(0=LEN(ReferenceData!$O$191),"",ReferenceData!$O$191),"")</f>
        <v>16.36835645</v>
      </c>
      <c r="I191">
        <f ca="1">IFERROR(IF(0=LEN(ReferenceData!$N$191),"",ReferenceData!$N$191),"")</f>
        <v>19.464790350000001</v>
      </c>
      <c r="J191">
        <f ca="1">IFERROR(IF(0=LEN(ReferenceData!$M$191),"",ReferenceData!$M$191),"")</f>
        <v>4.5573786060000003</v>
      </c>
      <c r="K191">
        <f ca="1">IFERROR(IF(0=LEN(ReferenceData!$L$191),"",ReferenceData!$L$191),"")</f>
        <v>12.18998208</v>
      </c>
      <c r="L191">
        <f ca="1">IFERROR(IF(0=LEN(ReferenceData!$K$191),"",ReferenceData!$K$191),"")</f>
        <v>19.004929229999998</v>
      </c>
      <c r="M191">
        <f ca="1">IFERROR(IF(0=LEN(ReferenceData!$J$191),"",ReferenceData!$J$191),"")</f>
        <v>17.659928820000001</v>
      </c>
      <c r="N191">
        <f ca="1">IFERROR(IF(0=LEN(ReferenceData!$I$191),"",ReferenceData!$I$191),"")</f>
        <v>17.035705660000001</v>
      </c>
      <c r="O191">
        <f ca="1">IFERROR(IF(0=LEN(ReferenceData!$H$191),"",ReferenceData!$H$191),"")</f>
        <v>16.344452149999999</v>
      </c>
      <c r="P191">
        <f ca="1">IFERROR(IF(0=LEN(ReferenceData!$G$191),"",ReferenceData!$G$191),"")</f>
        <v>17.713411199999999</v>
      </c>
      <c r="Q191">
        <f ca="1">IFERROR(IF(0=LEN(ReferenceData!$F$191),"",ReferenceData!$F$191),"")</f>
        <v>18.619137429999999</v>
      </c>
    </row>
    <row r="192" spans="1:17" x14ac:dyDescent="0.25">
      <c r="A192" t="str">
        <f>IFERROR(IF(0=LEN(ReferenceData!$A$192),"",ReferenceData!$A$192),"")</f>
        <v xml:space="preserve">    Cognizant Technology Solutions Corp</v>
      </c>
      <c r="B192" t="str">
        <f>IFERROR(IF(0=LEN(ReferenceData!$B$192),"",ReferenceData!$B$192),"")</f>
        <v>CTSH US Equity</v>
      </c>
      <c r="C192" t="str">
        <f>IFERROR(IF(0=LEN(ReferenceData!$C$192),"",ReferenceData!$C$192),"")</f>
        <v>RR029</v>
      </c>
      <c r="D192" t="str">
        <f>IFERROR(IF(0=LEN(ReferenceData!$D$192),"",ReferenceData!$D$192),"")</f>
        <v>RETURN_COM_EQY</v>
      </c>
      <c r="E192" t="str">
        <f>IFERROR(IF(0=LEN(ReferenceData!$E$192),"",ReferenceData!$E$192),"")</f>
        <v>Dynamic</v>
      </c>
      <c r="F192">
        <f ca="1">IFERROR(IF(0=LEN(ReferenceData!$Q$192),"",ReferenceData!$Q$192),"")</f>
        <v>25.094443800000001</v>
      </c>
      <c r="G192">
        <f ca="1">IFERROR(IF(0=LEN(ReferenceData!$P$192),"",ReferenceData!$P$192),"")</f>
        <v>23.164813890000001</v>
      </c>
      <c r="H192">
        <f ca="1">IFERROR(IF(0=LEN(ReferenceData!$O$192),"",ReferenceData!$O$192),"")</f>
        <v>23.5199134</v>
      </c>
      <c r="I192">
        <f ca="1">IFERROR(IF(0=LEN(ReferenceData!$N$192),"",ReferenceData!$N$192),"")</f>
        <v>23.446486329999999</v>
      </c>
      <c r="J192">
        <f ca="1">IFERROR(IF(0=LEN(ReferenceData!$M$192),"",ReferenceData!$M$192),"")</f>
        <v>23.872621580000001</v>
      </c>
      <c r="K192">
        <f ca="1">IFERROR(IF(0=LEN(ReferenceData!$L$192),"",ReferenceData!$L$192),"")</f>
        <v>22.357753389999999</v>
      </c>
      <c r="L192">
        <f ca="1">IFERROR(IF(0=LEN(ReferenceData!$K$192),"",ReferenceData!$K$192),"")</f>
        <v>20.74518497</v>
      </c>
      <c r="M192">
        <f ca="1">IFERROR(IF(0=LEN(ReferenceData!$J$192),"",ReferenceData!$J$192),"")</f>
        <v>19.085449700000002</v>
      </c>
      <c r="N192">
        <f ca="1">IFERROR(IF(0=LEN(ReferenceData!$I$192),"",ReferenceData!$I$192),"")</f>
        <v>15.5253424</v>
      </c>
      <c r="O192">
        <f ca="1">IFERROR(IF(0=LEN(ReferenceData!$H$192),"",ReferenceData!$H$192),"")</f>
        <v>14.05804552</v>
      </c>
      <c r="P192">
        <f ca="1">IFERROR(IF(0=LEN(ReferenceData!$G$192),"",ReferenceData!$G$192),"")</f>
        <v>19.019598970000001</v>
      </c>
      <c r="Q192">
        <f ca="1">IFERROR(IF(0=LEN(ReferenceData!$F$192),"",ReferenceData!$F$192),"")</f>
        <v>16.412723870000001</v>
      </c>
    </row>
    <row r="193" spans="1:17" x14ac:dyDescent="0.25">
      <c r="A193" t="str">
        <f>IFERROR(IF(0=LEN(ReferenceData!$A$193),"",ReferenceData!$A$193),"")</f>
        <v xml:space="preserve">    Conduent Inc</v>
      </c>
      <c r="B193" t="str">
        <f>IFERROR(IF(0=LEN(ReferenceData!$B$193),"",ReferenceData!$B$193),"")</f>
        <v>CNDT US Equity</v>
      </c>
      <c r="C193" t="str">
        <f>IFERROR(IF(0=LEN(ReferenceData!$C$193),"",ReferenceData!$C$193),"")</f>
        <v>RR029</v>
      </c>
      <c r="D193" t="str">
        <f>IFERROR(IF(0=LEN(ReferenceData!$D$193),"",ReferenceData!$D$193),"")</f>
        <v>RETURN_COM_EQY</v>
      </c>
      <c r="E193" t="str">
        <f>IFERROR(IF(0=LEN(ReferenceData!$E$193),"",ReferenceData!$E$193),"")</f>
        <v>Dynamic</v>
      </c>
      <c r="F193" t="str">
        <f ca="1">IFERROR(IF(0=LEN(ReferenceData!$Q$193),"",ReferenceData!$Q$193),"")</f>
        <v/>
      </c>
      <c r="G193" t="str">
        <f ca="1">IFERROR(IF(0=LEN(ReferenceData!$P$193),"",ReferenceData!$P$193),"")</f>
        <v/>
      </c>
      <c r="H193" t="str">
        <f ca="1">IFERROR(IF(0=LEN(ReferenceData!$O$193),"",ReferenceData!$O$193),"")</f>
        <v/>
      </c>
      <c r="I193" t="str">
        <f ca="1">IFERROR(IF(0=LEN(ReferenceData!$N$193),"",ReferenceData!$N$193),"")</f>
        <v/>
      </c>
      <c r="J193" t="str">
        <f ca="1">IFERROR(IF(0=LEN(ReferenceData!$M$193),"",ReferenceData!$M$193),"")</f>
        <v/>
      </c>
      <c r="K193" t="str">
        <f ca="1">IFERROR(IF(0=LEN(ReferenceData!$L$193),"",ReferenceData!$L$193),"")</f>
        <v/>
      </c>
      <c r="L193" t="str">
        <f ca="1">IFERROR(IF(0=LEN(ReferenceData!$K$193),"",ReferenceData!$K$193),"")</f>
        <v/>
      </c>
      <c r="M193">
        <f ca="1">IFERROR(IF(0=LEN(ReferenceData!$J$193),"",ReferenceData!$J$193),"")</f>
        <v>-7.8312683249999999</v>
      </c>
      <c r="N193">
        <f ca="1">IFERROR(IF(0=LEN(ReferenceData!$I$193),"",ReferenceData!$I$193),"")</f>
        <v>-23.20585458</v>
      </c>
      <c r="O193">
        <f ca="1">IFERROR(IF(0=LEN(ReferenceData!$H$193),"",ReferenceData!$H$193),"")</f>
        <v>5.2761988049999999</v>
      </c>
      <c r="P193">
        <f ca="1">IFERROR(IF(0=LEN(ReferenceData!$G$193),"",ReferenceData!$G$193),"")</f>
        <v>-12.2840691</v>
      </c>
      <c r="Q193">
        <f ca="1">IFERROR(IF(0=LEN(ReferenceData!$F$193),"",ReferenceData!$F$193),"")</f>
        <v>-85.123239440000006</v>
      </c>
    </row>
    <row r="194" spans="1:17" x14ac:dyDescent="0.25">
      <c r="A194" t="str">
        <f>IFERROR(IF(0=LEN(ReferenceData!$A$194),"",ReferenceData!$A$194),"")</f>
        <v xml:space="preserve">    DXC Technology Co</v>
      </c>
      <c r="B194" t="str">
        <f>IFERROR(IF(0=LEN(ReferenceData!$B$194),"",ReferenceData!$B$194),"")</f>
        <v>DXC US Equity</v>
      </c>
      <c r="C194" t="str">
        <f>IFERROR(IF(0=LEN(ReferenceData!$C$194),"",ReferenceData!$C$194),"")</f>
        <v>RR029</v>
      </c>
      <c r="D194" t="str">
        <f>IFERROR(IF(0=LEN(ReferenceData!$D$194),"",ReferenceData!$D$194),"")</f>
        <v>RETURN_COM_EQY</v>
      </c>
      <c r="E194" t="str">
        <f>IFERROR(IF(0=LEN(ReferenceData!$E$194),"",ReferenceData!$E$194),"")</f>
        <v>Dynamic</v>
      </c>
      <c r="F194" t="str">
        <f ca="1">IFERROR(IF(0=LEN(ReferenceData!$Q$194),"",ReferenceData!$Q$194),"")</f>
        <v/>
      </c>
      <c r="G194" t="str">
        <f ca="1">IFERROR(IF(0=LEN(ReferenceData!$P$194),"",ReferenceData!$P$194),"")</f>
        <v/>
      </c>
      <c r="H194" t="str">
        <f ca="1">IFERROR(IF(0=LEN(ReferenceData!$O$194),"",ReferenceData!$O$194),"")</f>
        <v/>
      </c>
      <c r="I194" t="str">
        <f ca="1">IFERROR(IF(0=LEN(ReferenceData!$N$194),"",ReferenceData!$N$194),"")</f>
        <v/>
      </c>
      <c r="J194" t="str">
        <f ca="1">IFERROR(IF(0=LEN(ReferenceData!$M$194),"",ReferenceData!$M$194),"")</f>
        <v/>
      </c>
      <c r="K194" t="str">
        <f ca="1">IFERROR(IF(0=LEN(ReferenceData!$L$194),"",ReferenceData!$L$194),"")</f>
        <v/>
      </c>
      <c r="L194" t="str">
        <f ca="1">IFERROR(IF(0=LEN(ReferenceData!$K$194),"",ReferenceData!$K$194),"")</f>
        <v/>
      </c>
      <c r="M194" t="str">
        <f ca="1">IFERROR(IF(0=LEN(ReferenceData!$J$194),"",ReferenceData!$J$194),"")</f>
        <v/>
      </c>
      <c r="N194" t="str">
        <f ca="1">IFERROR(IF(0=LEN(ReferenceData!$I$194),"",ReferenceData!$I$194),"")</f>
        <v/>
      </c>
      <c r="O194">
        <f ca="1">IFERROR(IF(0=LEN(ReferenceData!$H$194),"",ReferenceData!$H$194),"")</f>
        <v>13.8402561</v>
      </c>
      <c r="P194">
        <f ca="1">IFERROR(IF(0=LEN(ReferenceData!$G$194),"",ReferenceData!$G$194),"")</f>
        <v>10.100847760000001</v>
      </c>
      <c r="Q194">
        <f ca="1">IFERROR(IF(0=LEN(ReferenceData!$F$194),"",ReferenceData!$F$194),"")</f>
        <v>-66.337184160000007</v>
      </c>
    </row>
    <row r="195" spans="1:17" x14ac:dyDescent="0.25">
      <c r="A195" t="str">
        <f>IFERROR(IF(0=LEN(ReferenceData!$A$195),"",ReferenceData!$A$195),"")</f>
        <v xml:space="preserve">    EPAM Systems Inc</v>
      </c>
      <c r="B195" t="str">
        <f>IFERROR(IF(0=LEN(ReferenceData!$B$195),"",ReferenceData!$B$195),"")</f>
        <v>EPAM US Equity</v>
      </c>
      <c r="C195" t="str">
        <f>IFERROR(IF(0=LEN(ReferenceData!$C$195),"",ReferenceData!$C$195),"")</f>
        <v>RR029</v>
      </c>
      <c r="D195" t="str">
        <f>IFERROR(IF(0=LEN(ReferenceData!$D$195),"",ReferenceData!$D$195),"")</f>
        <v>RETURN_COM_EQY</v>
      </c>
      <c r="E195" t="str">
        <f>IFERROR(IF(0=LEN(ReferenceData!$E$195),"",ReferenceData!$E$195),"")</f>
        <v>Dynamic</v>
      </c>
      <c r="F195" t="str">
        <f ca="1">IFERROR(IF(0=LEN(ReferenceData!$Q$195),"",ReferenceData!$Q$195),"")</f>
        <v/>
      </c>
      <c r="G195" t="str">
        <f ca="1">IFERROR(IF(0=LEN(ReferenceData!$P$195),"",ReferenceData!$P$195),"")</f>
        <v/>
      </c>
      <c r="H195">
        <f ca="1">IFERROR(IF(0=LEN(ReferenceData!$O$195),"",ReferenceData!$O$195),"")</f>
        <v>33.918392019999999</v>
      </c>
      <c r="I195">
        <f ca="1">IFERROR(IF(0=LEN(ReferenceData!$N$195),"",ReferenceData!$N$195),"")</f>
        <v>14.55704034</v>
      </c>
      <c r="J195">
        <f ca="1">IFERROR(IF(0=LEN(ReferenceData!$M$195),"",ReferenceData!$M$195),"")</f>
        <v>26.822853160000001</v>
      </c>
      <c r="K195">
        <f ca="1">IFERROR(IF(0=LEN(ReferenceData!$L$195),"",ReferenceData!$L$195),"")</f>
        <v>18.718532079999999</v>
      </c>
      <c r="L195">
        <f ca="1">IFERROR(IF(0=LEN(ReferenceData!$K$195),"",ReferenceData!$K$195),"")</f>
        <v>16.578210349999999</v>
      </c>
      <c r="M195">
        <f ca="1">IFERROR(IF(0=LEN(ReferenceData!$J$195),"",ReferenceData!$J$195),"")</f>
        <v>15.67959097</v>
      </c>
      <c r="N195">
        <f ca="1">IFERROR(IF(0=LEN(ReferenceData!$I$195),"",ReferenceData!$I$195),"")</f>
        <v>14.235409260000001</v>
      </c>
      <c r="O195">
        <f ca="1">IFERROR(IF(0=LEN(ReferenceData!$H$195),"",ReferenceData!$H$195),"")</f>
        <v>8.2853220780000001</v>
      </c>
      <c r="P195">
        <f ca="1">IFERROR(IF(0=LEN(ReferenceData!$G$195),"",ReferenceData!$G$195),"")</f>
        <v>21.474983940000001</v>
      </c>
      <c r="Q195">
        <f ca="1">IFERROR(IF(0=LEN(ReferenceData!$F$195),"",ReferenceData!$F$195),"")</f>
        <v>18.263774160000001</v>
      </c>
    </row>
    <row r="196" spans="1:17" x14ac:dyDescent="0.25">
      <c r="A196" t="str">
        <f>IFERROR(IF(0=LEN(ReferenceData!$A$196),"",ReferenceData!$A$196),"")</f>
        <v xml:space="preserve">    Genpact Ltd</v>
      </c>
      <c r="B196" t="str">
        <f>IFERROR(IF(0=LEN(ReferenceData!$B$196),"",ReferenceData!$B$196),"")</f>
        <v>G US Equity</v>
      </c>
      <c r="C196" t="str">
        <f>IFERROR(IF(0=LEN(ReferenceData!$C$196),"",ReferenceData!$C$196),"")</f>
        <v>RR029</v>
      </c>
      <c r="D196" t="str">
        <f>IFERROR(IF(0=LEN(ReferenceData!$D$196),"",ReferenceData!$D$196),"")</f>
        <v>RETURN_COM_EQY</v>
      </c>
      <c r="E196" t="str">
        <f>IFERROR(IF(0=LEN(ReferenceData!$E$196),"",ReferenceData!$E$196),"")</f>
        <v>Dynamic</v>
      </c>
      <c r="F196" t="str">
        <f ca="1">IFERROR(IF(0=LEN(ReferenceData!$Q$196),"",ReferenceData!$Q$196),"")</f>
        <v/>
      </c>
      <c r="G196">
        <f ca="1">IFERROR(IF(0=LEN(ReferenceData!$P$196),"",ReferenceData!$P$196),"")</f>
        <v>12.48545378</v>
      </c>
      <c r="H196">
        <f ca="1">IFERROR(IF(0=LEN(ReferenceData!$O$196),"",ReferenceData!$O$196),"")</f>
        <v>10.626112640000001</v>
      </c>
      <c r="I196">
        <f ca="1">IFERROR(IF(0=LEN(ReferenceData!$N$196),"",ReferenceData!$N$196),"")</f>
        <v>12.65872866</v>
      </c>
      <c r="J196">
        <f ca="1">IFERROR(IF(0=LEN(ReferenceData!$M$196),"",ReferenceData!$M$196),"")</f>
        <v>13.701181910000001</v>
      </c>
      <c r="K196">
        <f ca="1">IFERROR(IF(0=LEN(ReferenceData!$L$196),"",ReferenceData!$L$196),"")</f>
        <v>18.442646969999998</v>
      </c>
      <c r="L196">
        <f ca="1">IFERROR(IF(0=LEN(ReferenceData!$K$196),"",ReferenceData!$K$196),"")</f>
        <v>14.72478551</v>
      </c>
      <c r="M196">
        <f ca="1">IFERROR(IF(0=LEN(ReferenceData!$J$196),"",ReferenceData!$J$196),"")</f>
        <v>18.52232021</v>
      </c>
      <c r="N196">
        <f ca="1">IFERROR(IF(0=LEN(ReferenceData!$I$196),"",ReferenceData!$I$196),"")</f>
        <v>20.81694972</v>
      </c>
      <c r="O196">
        <f ca="1">IFERROR(IF(0=LEN(ReferenceData!$H$196),"",ReferenceData!$H$196),"")</f>
        <v>19.412828900000001</v>
      </c>
      <c r="P196">
        <f ca="1">IFERROR(IF(0=LEN(ReferenceData!$G$196),"",ReferenceData!$G$196),"")</f>
        <v>19.943172860000001</v>
      </c>
      <c r="Q196">
        <f ca="1">IFERROR(IF(0=LEN(ReferenceData!$F$196),"",ReferenceData!$F$196),"")</f>
        <v>19.712008300000001</v>
      </c>
    </row>
    <row r="197" spans="1:17" x14ac:dyDescent="0.25">
      <c r="A197" t="str">
        <f>IFERROR(IF(0=LEN(ReferenceData!$A$197),"",ReferenceData!$A$197),"")</f>
        <v xml:space="preserve">    HCL Technologies Ltd</v>
      </c>
      <c r="B197" t="str">
        <f>IFERROR(IF(0=LEN(ReferenceData!$B$197),"",ReferenceData!$B$197),"")</f>
        <v>HCLT IN Equity</v>
      </c>
      <c r="C197" t="str">
        <f>IFERROR(IF(0=LEN(ReferenceData!$C$197),"",ReferenceData!$C$197),"")</f>
        <v>RR029</v>
      </c>
      <c r="D197" t="str">
        <f>IFERROR(IF(0=LEN(ReferenceData!$D$197),"",ReferenceData!$D$197),"")</f>
        <v>RETURN_COM_EQY</v>
      </c>
      <c r="E197" t="str">
        <f>IFERROR(IF(0=LEN(ReferenceData!$E$197),"",ReferenceData!$E$197),"")</f>
        <v>Dynamic</v>
      </c>
      <c r="F197">
        <f ca="1">IFERROR(IF(0=LEN(ReferenceData!$Q$197),"",ReferenceData!$Q$197),"")</f>
        <v>28.927137980000001</v>
      </c>
      <c r="G197">
        <f ca="1">IFERROR(IF(0=LEN(ReferenceData!$P$197),"",ReferenceData!$P$197),"")</f>
        <v>22.422212980000001</v>
      </c>
      <c r="H197">
        <f ca="1">IFERROR(IF(0=LEN(ReferenceData!$O$197),"",ReferenceData!$O$197),"")</f>
        <v>23.61972827</v>
      </c>
      <c r="I197">
        <f ca="1">IFERROR(IF(0=LEN(ReferenceData!$N$197),"",ReferenceData!$N$197),"")</f>
        <v>27.702484439999999</v>
      </c>
      <c r="J197">
        <f ca="1">IFERROR(IF(0=LEN(ReferenceData!$M$197),"",ReferenceData!$M$197),"")</f>
        <v>35.12839185</v>
      </c>
      <c r="K197">
        <f ca="1">IFERROR(IF(0=LEN(ReferenceData!$L$197),"",ReferenceData!$L$197),"")</f>
        <v>37.406698489999997</v>
      </c>
      <c r="L197" t="str">
        <f ca="1">IFERROR(IF(0=LEN(ReferenceData!$K$197),"",ReferenceData!$K$197),"")</f>
        <v/>
      </c>
      <c r="M197" t="str">
        <f ca="1">IFERROR(IF(0=LEN(ReferenceData!$J$197),"",ReferenceData!$J$197),"")</f>
        <v/>
      </c>
      <c r="N197">
        <f ca="1">IFERROR(IF(0=LEN(ReferenceData!$I$197),"",ReferenceData!$I$197),"")</f>
        <v>28.252974739999999</v>
      </c>
      <c r="O197">
        <f ca="1">IFERROR(IF(0=LEN(ReferenceData!$H$197),"",ReferenceData!$H$197),"")</f>
        <v>25.156126050000001</v>
      </c>
      <c r="P197">
        <f ca="1">IFERROR(IF(0=LEN(ReferenceData!$G$197),"",ReferenceData!$G$197),"")</f>
        <v>24.778918990000001</v>
      </c>
      <c r="Q197">
        <f ca="1">IFERROR(IF(0=LEN(ReferenceData!$F$197),"",ReferenceData!$F$197),"")</f>
        <v>24.146477130000001</v>
      </c>
    </row>
    <row r="198" spans="1:17" x14ac:dyDescent="0.25">
      <c r="A198" t="str">
        <f>IFERROR(IF(0=LEN(ReferenceData!$A$198),"",ReferenceData!$A$198),"")</f>
        <v xml:space="preserve">    Indra Sistemas SA</v>
      </c>
      <c r="B198" t="str">
        <f>IFERROR(IF(0=LEN(ReferenceData!$B$198),"",ReferenceData!$B$198),"")</f>
        <v>IDR SM Equity</v>
      </c>
      <c r="C198" t="str">
        <f>IFERROR(IF(0=LEN(ReferenceData!$C$198),"",ReferenceData!$C$198),"")</f>
        <v>RR029</v>
      </c>
      <c r="D198" t="str">
        <f>IFERROR(IF(0=LEN(ReferenceData!$D$198),"",ReferenceData!$D$198),"")</f>
        <v>RETURN_COM_EQY</v>
      </c>
      <c r="E198" t="str">
        <f>IFERROR(IF(0=LEN(ReferenceData!$E$198),"",ReferenceData!$E$198),"")</f>
        <v>Dynamic</v>
      </c>
      <c r="F198">
        <f ca="1">IFERROR(IF(0=LEN(ReferenceData!$Q$198),"",ReferenceData!$Q$198),"")</f>
        <v>24.684557049999999</v>
      </c>
      <c r="G198">
        <f ca="1">IFERROR(IF(0=LEN(ReferenceData!$P$198),"",ReferenceData!$P$198),"")</f>
        <v>22.833427700000001</v>
      </c>
      <c r="H198">
        <f ca="1">IFERROR(IF(0=LEN(ReferenceData!$O$198),"",ReferenceData!$O$198),"")</f>
        <v>19.609099480000001</v>
      </c>
      <c r="I198">
        <f ca="1">IFERROR(IF(0=LEN(ReferenceData!$N$198),"",ReferenceData!$N$198),"")</f>
        <v>17.773262970000001</v>
      </c>
      <c r="J198">
        <f ca="1">IFERROR(IF(0=LEN(ReferenceData!$M$198),"",ReferenceData!$M$198),"")</f>
        <v>12.429051400000001</v>
      </c>
      <c r="K198">
        <f ca="1">IFERROR(IF(0=LEN(ReferenceData!$L$198),"",ReferenceData!$L$198),"")</f>
        <v>10.46806784</v>
      </c>
      <c r="L198">
        <f ca="1">IFERROR(IF(0=LEN(ReferenceData!$K$198),"",ReferenceData!$K$198),"")</f>
        <v>-8.9020142080000007</v>
      </c>
      <c r="M198">
        <f ca="1">IFERROR(IF(0=LEN(ReferenceData!$J$198),"",ReferenceData!$J$198),"")</f>
        <v>-103.8414884</v>
      </c>
      <c r="N198">
        <f ca="1">IFERROR(IF(0=LEN(ReferenceData!$I$198),"",ReferenceData!$I$198),"")</f>
        <v>21.224753660000001</v>
      </c>
      <c r="O198">
        <f ca="1">IFERROR(IF(0=LEN(ReferenceData!$H$198),"",ReferenceData!$H$198),"")</f>
        <v>25.474363539999999</v>
      </c>
      <c r="P198">
        <f ca="1">IFERROR(IF(0=LEN(ReferenceData!$G$198),"",ReferenceData!$G$198),"")</f>
        <v>18.592765499999999</v>
      </c>
      <c r="Q198">
        <f ca="1">IFERROR(IF(0=LEN(ReferenceData!$F$198),"",ReferenceData!$F$198),"")</f>
        <v>16.925328650000001</v>
      </c>
    </row>
    <row r="199" spans="1:17" x14ac:dyDescent="0.25">
      <c r="A199" t="str">
        <f>IFERROR(IF(0=LEN(ReferenceData!$A$199),"",ReferenceData!$A$199),"")</f>
        <v xml:space="preserve">    Infosys Ltd</v>
      </c>
      <c r="B199" t="str">
        <f>IFERROR(IF(0=LEN(ReferenceData!$B$199),"",ReferenceData!$B$199),"")</f>
        <v>INFY US Equity</v>
      </c>
      <c r="C199" t="str">
        <f>IFERROR(IF(0=LEN(ReferenceData!$C$199),"",ReferenceData!$C$199),"")</f>
        <v>RR029</v>
      </c>
      <c r="D199" t="str">
        <f>IFERROR(IF(0=LEN(ReferenceData!$D$199),"",ReferenceData!$D$199),"")</f>
        <v>RETURN_COM_EQY</v>
      </c>
      <c r="E199" t="str">
        <f>IFERROR(IF(0=LEN(ReferenceData!$E$199),"",ReferenceData!$E$199),"")</f>
        <v>Dynamic</v>
      </c>
      <c r="F199">
        <f ca="1">IFERROR(IF(0=LEN(ReferenceData!$Q$199),"",ReferenceData!$Q$199),"")</f>
        <v>37.367780590000002</v>
      </c>
      <c r="G199">
        <f ca="1">IFERROR(IF(0=LEN(ReferenceData!$P$199),"",ReferenceData!$P$199),"")</f>
        <v>29.38549862</v>
      </c>
      <c r="H199">
        <f ca="1">IFERROR(IF(0=LEN(ReferenceData!$O$199),"",ReferenceData!$O$199),"")</f>
        <v>27.313233029999999</v>
      </c>
      <c r="I199">
        <f ca="1">IFERROR(IF(0=LEN(ReferenceData!$N$199),"",ReferenceData!$N$199),"")</f>
        <v>27.982569779999999</v>
      </c>
      <c r="J199">
        <f ca="1">IFERROR(IF(0=LEN(ReferenceData!$M$199),"",ReferenceData!$M$199),"")</f>
        <v>25.720057879999999</v>
      </c>
      <c r="K199">
        <f ca="1">IFERROR(IF(0=LEN(ReferenceData!$L$199),"",ReferenceData!$L$199),"")</f>
        <v>24.38650131</v>
      </c>
      <c r="L199">
        <f ca="1">IFERROR(IF(0=LEN(ReferenceData!$K$199),"",ReferenceData!$K$199),"")</f>
        <v>24.10526625</v>
      </c>
      <c r="M199">
        <f ca="1">IFERROR(IF(0=LEN(ReferenceData!$J$199),"",ReferenceData!$J$199),"")</f>
        <v>23.15569022</v>
      </c>
      <c r="N199">
        <f ca="1">IFERROR(IF(0=LEN(ReferenceData!$I$199),"",ReferenceData!$I$199),"")</f>
        <v>21.958906410000001</v>
      </c>
      <c r="O199">
        <f ca="1">IFERROR(IF(0=LEN(ReferenceData!$H$199),"",ReferenceData!$H$199),"")</f>
        <v>23.94085359</v>
      </c>
      <c r="P199">
        <f ca="1">IFERROR(IF(0=LEN(ReferenceData!$G$199),"",ReferenceData!$G$199),"")</f>
        <v>23.72200106</v>
      </c>
      <c r="Q199">
        <f ca="1">IFERROR(IF(0=LEN(ReferenceData!$F$199),"",ReferenceData!$F$199),"")</f>
        <v>25.451310599999999</v>
      </c>
    </row>
    <row r="200" spans="1:17" x14ac:dyDescent="0.25">
      <c r="A200" t="str">
        <f>IFERROR(IF(0=LEN(ReferenceData!$A$200),"",ReferenceData!$A$200),"")</f>
        <v xml:space="preserve">    International Business Machines Corp</v>
      </c>
      <c r="B200" t="str">
        <f>IFERROR(IF(0=LEN(ReferenceData!$B$200),"",ReferenceData!$B$200),"")</f>
        <v>IBM US Equity</v>
      </c>
      <c r="C200" t="str">
        <f>IFERROR(IF(0=LEN(ReferenceData!$C$200),"",ReferenceData!$C$200),"")</f>
        <v>RR029</v>
      </c>
      <c r="D200" t="str">
        <f>IFERROR(IF(0=LEN(ReferenceData!$D$200),"",ReferenceData!$D$200),"")</f>
        <v>RETURN_COM_EQY</v>
      </c>
      <c r="E200" t="str">
        <f>IFERROR(IF(0=LEN(ReferenceData!$E$200),"",ReferenceData!$E$200),"")</f>
        <v>Dynamic</v>
      </c>
      <c r="F200">
        <f ca="1">IFERROR(IF(0=LEN(ReferenceData!$Q$200),"",ReferenceData!$Q$200),"")</f>
        <v>58.824371050000003</v>
      </c>
      <c r="G200">
        <f ca="1">IFERROR(IF(0=LEN(ReferenceData!$P$200),"",ReferenceData!$P$200),"")</f>
        <v>74.370550919999999</v>
      </c>
      <c r="H200">
        <f ca="1">IFERROR(IF(0=LEN(ReferenceData!$O$200),"",ReferenceData!$O$200),"")</f>
        <v>64.938817499999999</v>
      </c>
      <c r="I200">
        <f ca="1">IFERROR(IF(0=LEN(ReferenceData!$N$200),"",ReferenceData!$N$200),"")</f>
        <v>73.429974060000006</v>
      </c>
      <c r="J200">
        <f ca="1">IFERROR(IF(0=LEN(ReferenceData!$M$200),"",ReferenceData!$M$200),"")</f>
        <v>85.153084770000007</v>
      </c>
      <c r="K200">
        <f ca="1">IFERROR(IF(0=LEN(ReferenceData!$L$200),"",ReferenceData!$L$200),"")</f>
        <v>79.146259479999998</v>
      </c>
      <c r="L200">
        <f ca="1">IFERROR(IF(0=LEN(ReferenceData!$K$200),"",ReferenceData!$K$200),"")</f>
        <v>69.371032889999995</v>
      </c>
      <c r="M200">
        <f ca="1">IFERROR(IF(0=LEN(ReferenceData!$J$200),"",ReferenceData!$J$200),"")</f>
        <v>100.9567547</v>
      </c>
      <c r="N200">
        <f ca="1">IFERROR(IF(0=LEN(ReferenceData!$I$200),"",ReferenceData!$I$200),"")</f>
        <v>73.040482339999997</v>
      </c>
      <c r="O200">
        <f ca="1">IFERROR(IF(0=LEN(ReferenceData!$H$200),"",ReferenceData!$H$200),"")</f>
        <v>32.105138330000003</v>
      </c>
      <c r="P200">
        <f ca="1">IFERROR(IF(0=LEN(ReferenceData!$G$200),"",ReferenceData!$G$200),"")</f>
        <v>50.761155619999997</v>
      </c>
      <c r="Q200">
        <f ca="1">IFERROR(IF(0=LEN(ReferenceData!$F$200),"",ReferenceData!$F$200),"")</f>
        <v>50.118906850000002</v>
      </c>
    </row>
    <row r="201" spans="1:17" x14ac:dyDescent="0.25">
      <c r="A201" t="str">
        <f>IFERROR(IF(0=LEN(ReferenceData!$A$201),"",ReferenceData!$A$201),"")</f>
        <v xml:space="preserve">    Tata Consultancy Services Ltd</v>
      </c>
      <c r="B201" t="str">
        <f>IFERROR(IF(0=LEN(ReferenceData!$B$201),"",ReferenceData!$B$201),"")</f>
        <v>TCS IN Equity</v>
      </c>
      <c r="C201" t="str">
        <f>IFERROR(IF(0=LEN(ReferenceData!$C$201),"",ReferenceData!$C$201),"")</f>
        <v>RR029</v>
      </c>
      <c r="D201" t="str">
        <f>IFERROR(IF(0=LEN(ReferenceData!$D$201),"",ReferenceData!$D$201),"")</f>
        <v>RETURN_COM_EQY</v>
      </c>
      <c r="E201" t="str">
        <f>IFERROR(IF(0=LEN(ReferenceData!$E$201),"",ReferenceData!$E$201),"")</f>
        <v>Dynamic</v>
      </c>
      <c r="F201">
        <f ca="1">IFERROR(IF(0=LEN(ReferenceData!$Q$201),"",ReferenceData!$Q$201),"")</f>
        <v>37.756873800000001</v>
      </c>
      <c r="G201">
        <f ca="1">IFERROR(IF(0=LEN(ReferenceData!$P$201),"",ReferenceData!$P$201),"")</f>
        <v>41.103868400000003</v>
      </c>
      <c r="H201">
        <f ca="1">IFERROR(IF(0=LEN(ReferenceData!$O$201),"",ReferenceData!$O$201),"")</f>
        <v>42.342464720000002</v>
      </c>
      <c r="I201">
        <f ca="1">IFERROR(IF(0=LEN(ReferenceData!$N$201),"",ReferenceData!$N$201),"")</f>
        <v>38.556574449999999</v>
      </c>
      <c r="J201">
        <f ca="1">IFERROR(IF(0=LEN(ReferenceData!$M$201),"",ReferenceData!$M$201),"")</f>
        <v>40.852886939999998</v>
      </c>
      <c r="K201">
        <f ca="1">IFERROR(IF(0=LEN(ReferenceData!$L$201),"",ReferenceData!$L$201),"")</f>
        <v>40.725672400000001</v>
      </c>
      <c r="L201">
        <f ca="1">IFERROR(IF(0=LEN(ReferenceData!$K$201),"",ReferenceData!$K$201),"")</f>
        <v>34.833910709999998</v>
      </c>
      <c r="M201">
        <f ca="1">IFERROR(IF(0=LEN(ReferenceData!$J$201),"",ReferenceData!$J$201),"")</f>
        <v>37.064046869999999</v>
      </c>
      <c r="N201">
        <f ca="1">IFERROR(IF(0=LEN(ReferenceData!$I$201),"",ReferenceData!$I$201),"")</f>
        <v>32.555230829999999</v>
      </c>
      <c r="O201">
        <f ca="1">IFERROR(IF(0=LEN(ReferenceData!$H$201),"",ReferenceData!$H$201),"")</f>
        <v>29.42195083</v>
      </c>
      <c r="P201">
        <f ca="1">IFERROR(IF(0=LEN(ReferenceData!$G$201),"",ReferenceData!$G$201),"")</f>
        <v>35.204170089999998</v>
      </c>
      <c r="Q201">
        <f ca="1">IFERROR(IF(0=LEN(ReferenceData!$F$201),"",ReferenceData!$F$201),"")</f>
        <v>36.378771180000001</v>
      </c>
    </row>
    <row r="202" spans="1:17" x14ac:dyDescent="0.25">
      <c r="A202" t="str">
        <f>IFERROR(IF(0=LEN(ReferenceData!$A$202),"",ReferenceData!$A$202),"")</f>
        <v xml:space="preserve">    Tech Mahindra Ltd</v>
      </c>
      <c r="B202" t="str">
        <f>IFERROR(IF(0=LEN(ReferenceData!$B$202),"",ReferenceData!$B$202),"")</f>
        <v>TECHM IN Equity</v>
      </c>
      <c r="C202" t="str">
        <f>IFERROR(IF(0=LEN(ReferenceData!$C$202),"",ReferenceData!$C$202),"")</f>
        <v>RR029</v>
      </c>
      <c r="D202" t="str">
        <f>IFERROR(IF(0=LEN(ReferenceData!$D$202),"",ReferenceData!$D$202),"")</f>
        <v>RETURN_COM_EQY</v>
      </c>
      <c r="E202" t="str">
        <f>IFERROR(IF(0=LEN(ReferenceData!$E$202),"",ReferenceData!$E$202),"")</f>
        <v>Dynamic</v>
      </c>
      <c r="F202">
        <f ca="1">IFERROR(IF(0=LEN(ReferenceData!$Q$202),"",ReferenceData!$Q$202),"")</f>
        <v>63.398325210000003</v>
      </c>
      <c r="G202">
        <f ca="1">IFERROR(IF(0=LEN(ReferenceData!$P$202),"",ReferenceData!$P$202),"")</f>
        <v>29.008012919999999</v>
      </c>
      <c r="H202">
        <f ca="1">IFERROR(IF(0=LEN(ReferenceData!$O$202),"",ReferenceData!$O$202),"")</f>
        <v>20.654386890000001</v>
      </c>
      <c r="I202">
        <f ca="1">IFERROR(IF(0=LEN(ReferenceData!$N$202),"",ReferenceData!$N$202),"")</f>
        <v>29.59890845</v>
      </c>
      <c r="J202">
        <f ca="1">IFERROR(IF(0=LEN(ReferenceData!$M$202),"",ReferenceData!$M$202),"")</f>
        <v>27.178810739999999</v>
      </c>
      <c r="K202">
        <f ca="1">IFERROR(IF(0=LEN(ReferenceData!$L$202),"",ReferenceData!$L$202),"")</f>
        <v>41.46882445</v>
      </c>
      <c r="L202">
        <f ca="1">IFERROR(IF(0=LEN(ReferenceData!$K$202),"",ReferenceData!$K$202),"")</f>
        <v>24.522535220000002</v>
      </c>
      <c r="M202">
        <f ca="1">IFERROR(IF(0=LEN(ReferenceData!$J$202),"",ReferenceData!$J$202),"")</f>
        <v>22.301954559999999</v>
      </c>
      <c r="N202">
        <f ca="1">IFERROR(IF(0=LEN(ReferenceData!$I$202),"",ReferenceData!$I$202),"")</f>
        <v>18.131306779999999</v>
      </c>
      <c r="O202">
        <f ca="1">IFERROR(IF(0=LEN(ReferenceData!$H$202),"",ReferenceData!$H$202),"")</f>
        <v>21.540816329999998</v>
      </c>
      <c r="P202">
        <f ca="1">IFERROR(IF(0=LEN(ReferenceData!$G$202),"",ReferenceData!$G$202),"")</f>
        <v>21.967383219999999</v>
      </c>
      <c r="Q202">
        <f ca="1">IFERROR(IF(0=LEN(ReferenceData!$F$202),"",ReferenceData!$F$202),"")</f>
        <v>19.160241249999999</v>
      </c>
    </row>
    <row r="203" spans="1:17" x14ac:dyDescent="0.25">
      <c r="A203" t="str">
        <f>IFERROR(IF(0=LEN(ReferenceData!$A$203),"",ReferenceData!$A$203),"")</f>
        <v xml:space="preserve">    Wipro Ltd</v>
      </c>
      <c r="B203" t="str">
        <f>IFERROR(IF(0=LEN(ReferenceData!$B$203),"",ReferenceData!$B$203),"")</f>
        <v>WIT US Equity</v>
      </c>
      <c r="C203" t="str">
        <f>IFERROR(IF(0=LEN(ReferenceData!$C$203),"",ReferenceData!$C$203),"")</f>
        <v>RR029</v>
      </c>
      <c r="D203" t="str">
        <f>IFERROR(IF(0=LEN(ReferenceData!$D$203),"",ReferenceData!$D$203),"")</f>
        <v>RETURN_COM_EQY</v>
      </c>
      <c r="E203" t="str">
        <f>IFERROR(IF(0=LEN(ReferenceData!$E$203),"",ReferenceData!$E$203),"")</f>
        <v>Dynamic</v>
      </c>
      <c r="F203">
        <f ca="1">IFERROR(IF(0=LEN(ReferenceData!$Q$203),"",ReferenceData!$Q$203),"")</f>
        <v>30.798450559999999</v>
      </c>
      <c r="G203">
        <f ca="1">IFERROR(IF(0=LEN(ReferenceData!$P$203),"",ReferenceData!$P$203),"")</f>
        <v>29.0579842</v>
      </c>
      <c r="H203">
        <f ca="1">IFERROR(IF(0=LEN(ReferenceData!$O$203),"",ReferenceData!$O$203),"")</f>
        <v>25.100266980000001</v>
      </c>
      <c r="I203">
        <f ca="1">IFERROR(IF(0=LEN(ReferenceData!$N$203),"",ReferenceData!$N$203),"")</f>
        <v>21.230718830000001</v>
      </c>
      <c r="J203">
        <f ca="1">IFERROR(IF(0=LEN(ReferenceData!$M$203),"",ReferenceData!$M$203),"")</f>
        <v>23.31961639</v>
      </c>
      <c r="K203">
        <f ca="1">IFERROR(IF(0=LEN(ReferenceData!$L$203),"",ReferenceData!$L$203),"")</f>
        <v>24.85752681</v>
      </c>
      <c r="L203">
        <f ca="1">IFERROR(IF(0=LEN(ReferenceData!$K$203),"",ReferenceData!$K$203),"")</f>
        <v>23.028659409999999</v>
      </c>
      <c r="M203">
        <f ca="1">IFERROR(IF(0=LEN(ReferenceData!$J$203),"",ReferenceData!$J$203),"")</f>
        <v>20.40304459</v>
      </c>
      <c r="N203">
        <f ca="1">IFERROR(IF(0=LEN(ReferenceData!$I$203),"",ReferenceData!$I$203),"")</f>
        <v>17.229237439999999</v>
      </c>
      <c r="O203">
        <f ca="1">IFERROR(IF(0=LEN(ReferenceData!$H$203),"",ReferenceData!$H$203),"")</f>
        <v>15.9644751</v>
      </c>
      <c r="P203">
        <f ca="1">IFERROR(IF(0=LEN(ReferenceData!$G$203),"",ReferenceData!$G$203),"")</f>
        <v>17.131597679999999</v>
      </c>
      <c r="Q203">
        <f ca="1">IFERROR(IF(0=LEN(ReferenceData!$F$203),"",ReferenceData!$F$203),"")</f>
        <v>17.27438622</v>
      </c>
    </row>
    <row r="204" spans="1:17" x14ac:dyDescent="0.25">
      <c r="A204" t="str">
        <f>IFERROR(IF(0=LEN(ReferenceData!$A$204),"",ReferenceData!$A$204),"")</f>
        <v>Return on Invested Capital</v>
      </c>
      <c r="B204" t="str">
        <f>IFERROR(IF(0=LEN(ReferenceData!$B$204),"",ReferenceData!$B$204),"")</f>
        <v>BRITBPOV Index</v>
      </c>
      <c r="C204" t="str">
        <f>IFERROR(IF(0=LEN(ReferenceData!$C$204),"",ReferenceData!$C$204),"")</f>
        <v/>
      </c>
      <c r="D204" t="str">
        <f>IFERROR(IF(0=LEN(ReferenceData!$D$204),"",ReferenceData!$D$204),"")</f>
        <v/>
      </c>
      <c r="E204" t="str">
        <f>IFERROR(IF(0=LEN(ReferenceData!$E$204),"",ReferenceData!$E$204),"")</f>
        <v>Average</v>
      </c>
      <c r="F204">
        <f ca="1">IFERROR(IF(0=LEN(ReferenceData!$Q$204),"",ReferenceData!$Q$204),"")</f>
        <v>42.568756184999998</v>
      </c>
      <c r="G204">
        <f ca="1">IFERROR(IF(0=LEN(ReferenceData!$P$204),"",ReferenceData!$P$204),"")</f>
        <v>34.230057476142861</v>
      </c>
      <c r="H204">
        <f ca="1">IFERROR(IF(0=LEN(ReferenceData!$O$204),"",ReferenceData!$O$204),"")</f>
        <v>31.701443810066664</v>
      </c>
      <c r="I204">
        <f ca="1">IFERROR(IF(0=LEN(ReferenceData!$N$204),"",ReferenceData!$N$204),"")</f>
        <v>22.168851445533335</v>
      </c>
      <c r="J204">
        <f ca="1">IFERROR(IF(0=LEN(ReferenceData!$M$204),"",ReferenceData!$M$204),"")</f>
        <v>20.874883065533329</v>
      </c>
      <c r="K204">
        <f ca="1">IFERROR(IF(0=LEN(ReferenceData!$L$204),"",ReferenceData!$L$204),"")</f>
        <v>23.158489745199997</v>
      </c>
      <c r="L204">
        <f ca="1">IFERROR(IF(0=LEN(ReferenceData!$K$204),"",ReferenceData!$K$204),"")</f>
        <v>18.487316874214287</v>
      </c>
      <c r="M204">
        <f ca="1">IFERROR(IF(0=LEN(ReferenceData!$J$204),"",ReferenceData!$J$204),"")</f>
        <v>15.081097037933331</v>
      </c>
      <c r="N204">
        <f ca="1">IFERROR(IF(0=LEN(ReferenceData!$I$204),"",ReferenceData!$I$204),"")</f>
        <v>16.254831846187503</v>
      </c>
      <c r="O204">
        <f ca="1">IFERROR(IF(0=LEN(ReferenceData!$H$204),"",ReferenceData!$H$204),"")</f>
        <v>14.89705881364706</v>
      </c>
      <c r="P204">
        <f ca="1">IFERROR(IF(0=LEN(ReferenceData!$G$204),"",ReferenceData!$G$204),"")</f>
        <v>15.36776284758824</v>
      </c>
      <c r="Q204">
        <f ca="1">IFERROR(IF(0=LEN(ReferenceData!$F$204),"",ReferenceData!$F$204),"")</f>
        <v>10.008666566764706</v>
      </c>
    </row>
    <row r="205" spans="1:17" x14ac:dyDescent="0.25">
      <c r="A205" t="str">
        <f>IFERROR(IF(0=LEN(ReferenceData!$A$205),"",ReferenceData!$A$205),"")</f>
        <v xml:space="preserve">    Accenture PLC</v>
      </c>
      <c r="B205" t="str">
        <f>IFERROR(IF(0=LEN(ReferenceData!$B$205),"",ReferenceData!$B$205),"")</f>
        <v>ACN US Equity</v>
      </c>
      <c r="C205" t="str">
        <f>IFERROR(IF(0=LEN(ReferenceData!$C$205),"",ReferenceData!$C$205),"")</f>
        <v>RR710</v>
      </c>
      <c r="D205" t="str">
        <f>IFERROR(IF(0=LEN(ReferenceData!$D$205),"",ReferenceData!$D$205),"")</f>
        <v>RETURN_ON_INV_CAPITAL</v>
      </c>
      <c r="E205" t="str">
        <f>IFERROR(IF(0=LEN(ReferenceData!$E$205),"",ReferenceData!$E$205),"")</f>
        <v>Dynamic</v>
      </c>
      <c r="F205">
        <f ca="1">IFERROR(IF(0=LEN(ReferenceData!$Q$205),"",ReferenceData!$Q$205),"")</f>
        <v>65.86554932</v>
      </c>
      <c r="G205">
        <f ca="1">IFERROR(IF(0=LEN(ReferenceData!$P$205),"",ReferenceData!$P$205),"")</f>
        <v>63.762273440000001</v>
      </c>
      <c r="H205">
        <f ca="1">IFERROR(IF(0=LEN(ReferenceData!$O$205),"",ReferenceData!$O$205),"")</f>
        <v>67.210468349999999</v>
      </c>
      <c r="I205">
        <f ca="1">IFERROR(IF(0=LEN(ReferenceData!$N$205),"",ReferenceData!$N$205),"")</f>
        <v>72.672751860000005</v>
      </c>
      <c r="J205">
        <f ca="1">IFERROR(IF(0=LEN(ReferenceData!$M$205),"",ReferenceData!$M$205),"")</f>
        <v>69.563401729999995</v>
      </c>
      <c r="K205">
        <f ca="1">IFERROR(IF(0=LEN(ReferenceData!$L$205),"",ReferenceData!$L$205),"")</f>
        <v>78.299355719999994</v>
      </c>
      <c r="L205">
        <f ca="1">IFERROR(IF(0=LEN(ReferenceData!$K$205),"",ReferenceData!$K$205),"")</f>
        <v>59.843898709999998</v>
      </c>
      <c r="M205">
        <f ca="1">IFERROR(IF(0=LEN(ReferenceData!$J$205),"",ReferenceData!$J$205),"")</f>
        <v>61.348834439999997</v>
      </c>
      <c r="N205">
        <f ca="1">IFERROR(IF(0=LEN(ReferenceData!$I$205),"",ReferenceData!$I$205),"")</f>
        <v>63.369137790000003</v>
      </c>
      <c r="O205">
        <f ca="1">IFERROR(IF(0=LEN(ReferenceData!$H$205),"",ReferenceData!$H$205),"")</f>
        <v>55.718440149999999</v>
      </c>
      <c r="P205">
        <f ca="1">IFERROR(IF(0=LEN(ReferenceData!$G$205),"",ReferenceData!$G$205),"")</f>
        <v>48.910323409999997</v>
      </c>
      <c r="Q205">
        <f ca="1">IFERROR(IF(0=LEN(ReferenceData!$F$205),"",ReferenceData!$F$205),"")</f>
        <v>48.595242169999999</v>
      </c>
    </row>
    <row r="206" spans="1:17" x14ac:dyDescent="0.25">
      <c r="A206" t="str">
        <f>IFERROR(IF(0=LEN(ReferenceData!$A$206),"",ReferenceData!$A$206),"")</f>
        <v xml:space="preserve">    Amdocs Ltd</v>
      </c>
      <c r="B206" t="str">
        <f>IFERROR(IF(0=LEN(ReferenceData!$B$206),"",ReferenceData!$B$206),"")</f>
        <v>DOX US Equity</v>
      </c>
      <c r="C206" t="str">
        <f>IFERROR(IF(0=LEN(ReferenceData!$C$206),"",ReferenceData!$C$206),"")</f>
        <v>RR710</v>
      </c>
      <c r="D206" t="str">
        <f>IFERROR(IF(0=LEN(ReferenceData!$D$206),"",ReferenceData!$D$206),"")</f>
        <v>RETURN_ON_INV_CAPITAL</v>
      </c>
      <c r="E206" t="str">
        <f>IFERROR(IF(0=LEN(ReferenceData!$E$206),"",ReferenceData!$E$206),"")</f>
        <v>Dynamic</v>
      </c>
      <c r="F206">
        <f ca="1">IFERROR(IF(0=LEN(ReferenceData!$Q$206),"",ReferenceData!$Q$206),"")</f>
        <v>11.543801439999999</v>
      </c>
      <c r="G206">
        <f ca="1">IFERROR(IF(0=LEN(ReferenceData!$P$206),"",ReferenceData!$P$206),"")</f>
        <v>9.6669318499999992</v>
      </c>
      <c r="H206">
        <f ca="1">IFERROR(IF(0=LEN(ReferenceData!$O$206),"",ReferenceData!$O$206),"")</f>
        <v>10.48338038</v>
      </c>
      <c r="I206">
        <f ca="1">IFERROR(IF(0=LEN(ReferenceData!$N$206),"",ReferenceData!$N$206),"")</f>
        <v>9.9631788530000005</v>
      </c>
      <c r="J206">
        <f ca="1">IFERROR(IF(0=LEN(ReferenceData!$M$206),"",ReferenceData!$M$206),"")</f>
        <v>11.295128739999999</v>
      </c>
      <c r="K206">
        <f ca="1">IFERROR(IF(0=LEN(ReferenceData!$L$206),"",ReferenceData!$L$206),"")</f>
        <v>11.618573870000001</v>
      </c>
      <c r="L206">
        <f ca="1">IFERROR(IF(0=LEN(ReferenceData!$K$206),"",ReferenceData!$K$206),"")</f>
        <v>11.18936218</v>
      </c>
      <c r="M206">
        <f ca="1">IFERROR(IF(0=LEN(ReferenceData!$J$206),"",ReferenceData!$J$206),"")</f>
        <v>11.50728024</v>
      </c>
      <c r="N206">
        <f ca="1">IFERROR(IF(0=LEN(ReferenceData!$I$206),"",ReferenceData!$I$206),"")</f>
        <v>10.99586101</v>
      </c>
      <c r="O206">
        <f ca="1">IFERROR(IF(0=LEN(ReferenceData!$H$206),"",ReferenceData!$H$206),"")</f>
        <v>12.29347973</v>
      </c>
      <c r="P206">
        <f ca="1">IFERROR(IF(0=LEN(ReferenceData!$G$206),"",ReferenceData!$G$206),"")</f>
        <v>10.032948579999999</v>
      </c>
      <c r="Q206">
        <f ca="1">IFERROR(IF(0=LEN(ReferenceData!$F$206),"",ReferenceData!$F$206),"")</f>
        <v>13.458709389999999</v>
      </c>
    </row>
    <row r="207" spans="1:17" x14ac:dyDescent="0.25">
      <c r="A207" t="str">
        <f>IFERROR(IF(0=LEN(ReferenceData!$A$207),"",ReferenceData!$A$207),"")</f>
        <v xml:space="preserve">    Atos SE</v>
      </c>
      <c r="B207" t="str">
        <f>IFERROR(IF(0=LEN(ReferenceData!$B$207),"",ReferenceData!$B$207),"")</f>
        <v>ATO FP Equity</v>
      </c>
      <c r="C207" t="str">
        <f>IFERROR(IF(0=LEN(ReferenceData!$C$207),"",ReferenceData!$C$207),"")</f>
        <v>RR710</v>
      </c>
      <c r="D207" t="str">
        <f>IFERROR(IF(0=LEN(ReferenceData!$D$207),"",ReferenceData!$D$207),"")</f>
        <v>RETURN_ON_INV_CAPITAL</v>
      </c>
      <c r="E207" t="str">
        <f>IFERROR(IF(0=LEN(ReferenceData!$E$207),"",ReferenceData!$E$207),"")</f>
        <v>Dynamic</v>
      </c>
      <c r="F207">
        <f ca="1">IFERROR(IF(0=LEN(ReferenceData!$Q$207),"",ReferenceData!$Q$207),"")</f>
        <v>3.2375664049999999</v>
      </c>
      <c r="G207">
        <f ca="1">IFERROR(IF(0=LEN(ReferenceData!$P$207),"",ReferenceData!$P$207),"")</f>
        <v>1.318967097</v>
      </c>
      <c r="H207">
        <f ca="1">IFERROR(IF(0=LEN(ReferenceData!$O$207),"",ReferenceData!$O$207),"")</f>
        <v>6.6695109270000001</v>
      </c>
      <c r="I207">
        <f ca="1">IFERROR(IF(0=LEN(ReferenceData!$N$207),"",ReferenceData!$N$207),"")</f>
        <v>6.7517647050000003</v>
      </c>
      <c r="J207">
        <f ca="1">IFERROR(IF(0=LEN(ReferenceData!$M$207),"",ReferenceData!$M$207),"")</f>
        <v>3.420308409</v>
      </c>
      <c r="K207">
        <f ca="1">IFERROR(IF(0=LEN(ReferenceData!$L$207),"",ReferenceData!$L$207),"")</f>
        <v>5.4264752950000004</v>
      </c>
      <c r="L207">
        <f ca="1">IFERROR(IF(0=LEN(ReferenceData!$K$207),"",ReferenceData!$K$207),"")</f>
        <v>6.5522723510000001</v>
      </c>
      <c r="M207">
        <f ca="1">IFERROR(IF(0=LEN(ReferenceData!$J$207),"",ReferenceData!$J$207),"")</f>
        <v>8.4593196190000004</v>
      </c>
      <c r="N207">
        <f ca="1">IFERROR(IF(0=LEN(ReferenceData!$I$207),"",ReferenceData!$I$207),"")</f>
        <v>10.263433879999999</v>
      </c>
      <c r="O207">
        <f ca="1">IFERROR(IF(0=LEN(ReferenceData!$H$207),"",ReferenceData!$H$207),"")</f>
        <v>8.3195333229999999</v>
      </c>
      <c r="P207">
        <f ca="1">IFERROR(IF(0=LEN(ReferenceData!$G$207),"",ReferenceData!$G$207),"")</f>
        <v>5.6058217350000001</v>
      </c>
      <c r="Q207">
        <f ca="1">IFERROR(IF(0=LEN(ReferenceData!$F$207),"",ReferenceData!$F$207),"")</f>
        <v>4.2382832590000001</v>
      </c>
    </row>
    <row r="208" spans="1:17" x14ac:dyDescent="0.25">
      <c r="A208" t="str">
        <f>IFERROR(IF(0=LEN(ReferenceData!$A$208),"",ReferenceData!$A$208),"")</f>
        <v xml:space="preserve">    Capgemini SE</v>
      </c>
      <c r="B208" t="str">
        <f>IFERROR(IF(0=LEN(ReferenceData!$B$208),"",ReferenceData!$B$208),"")</f>
        <v>CAP FP Equity</v>
      </c>
      <c r="C208" t="str">
        <f>IFERROR(IF(0=LEN(ReferenceData!$C$208),"",ReferenceData!$C$208),"")</f>
        <v>RR710</v>
      </c>
      <c r="D208" t="str">
        <f>IFERROR(IF(0=LEN(ReferenceData!$D$208),"",ReferenceData!$D$208),"")</f>
        <v>RETURN_ON_INV_CAPITAL</v>
      </c>
      <c r="E208" t="str">
        <f>IFERROR(IF(0=LEN(ReferenceData!$E$208),"",ReferenceData!$E$208),"")</f>
        <v>Dynamic</v>
      </c>
      <c r="F208">
        <f ca="1">IFERROR(IF(0=LEN(ReferenceData!$Q$208),"",ReferenceData!$Q$208),"")</f>
        <v>12.69354405</v>
      </c>
      <c r="G208">
        <f ca="1">IFERROR(IF(0=LEN(ReferenceData!$P$208),"",ReferenceData!$P$208),"")</f>
        <v>4.7662720890000001</v>
      </c>
      <c r="H208">
        <f ca="1">IFERROR(IF(0=LEN(ReferenceData!$O$208),"",ReferenceData!$O$208),"")</f>
        <v>7.664157704</v>
      </c>
      <c r="I208">
        <f ca="1">IFERROR(IF(0=LEN(ReferenceData!$N$208),"",ReferenceData!$N$208),"")</f>
        <v>9.8953816890000006</v>
      </c>
      <c r="J208">
        <f ca="1">IFERROR(IF(0=LEN(ReferenceData!$M$208),"",ReferenceData!$M$208),"")</f>
        <v>7.3622851679999997</v>
      </c>
      <c r="K208">
        <f ca="1">IFERROR(IF(0=LEN(ReferenceData!$L$208),"",ReferenceData!$L$208),"")</f>
        <v>9.1670692759999994</v>
      </c>
      <c r="L208">
        <f ca="1">IFERROR(IF(0=LEN(ReferenceData!$K$208),"",ReferenceData!$K$208),"")</f>
        <v>13.357990020000001</v>
      </c>
      <c r="M208">
        <f ca="1">IFERROR(IF(0=LEN(ReferenceData!$J$208),"",ReferenceData!$J$208),"")</f>
        <v>16.165289260000002</v>
      </c>
      <c r="N208">
        <f ca="1">IFERROR(IF(0=LEN(ReferenceData!$I$208),"",ReferenceData!$I$208),"")</f>
        <v>11.258853459999999</v>
      </c>
      <c r="O208">
        <f ca="1">IFERROR(IF(0=LEN(ReferenceData!$H$208),"",ReferenceData!$H$208),"")</f>
        <v>9.2450241510000009</v>
      </c>
      <c r="P208">
        <f ca="1">IFERROR(IF(0=LEN(ReferenceData!$G$208),"",ReferenceData!$G$208),"")</f>
        <v>7.8572263040000001</v>
      </c>
      <c r="Q208">
        <f ca="1">IFERROR(IF(0=LEN(ReferenceData!$F$208),"",ReferenceData!$F$208),"")</f>
        <v>8.1720312150000005</v>
      </c>
    </row>
    <row r="209" spans="1:17" x14ac:dyDescent="0.25">
      <c r="A209" t="str">
        <f>IFERROR(IF(0=LEN(ReferenceData!$A$209),"",ReferenceData!$A$209),"")</f>
        <v xml:space="preserve">    CGI Inc</v>
      </c>
      <c r="B209" t="str">
        <f>IFERROR(IF(0=LEN(ReferenceData!$B$209),"",ReferenceData!$B$209),"")</f>
        <v>GIB US Equity</v>
      </c>
      <c r="C209" t="str">
        <f>IFERROR(IF(0=LEN(ReferenceData!$C$209),"",ReferenceData!$C$209),"")</f>
        <v>RR710</v>
      </c>
      <c r="D209" t="str">
        <f>IFERROR(IF(0=LEN(ReferenceData!$D$209),"",ReferenceData!$D$209),"")</f>
        <v>RETURN_ON_INV_CAPITAL</v>
      </c>
      <c r="E209" t="str">
        <f>IFERROR(IF(0=LEN(ReferenceData!$E$209),"",ReferenceData!$E$209),"")</f>
        <v>Dynamic</v>
      </c>
      <c r="F209">
        <f ca="1">IFERROR(IF(0=LEN(ReferenceData!$Q$209),"",ReferenceData!$Q$209),"")</f>
        <v>212.0426531</v>
      </c>
      <c r="G209">
        <f ca="1">IFERROR(IF(0=LEN(ReferenceData!$P$209),"",ReferenceData!$P$209),"")</f>
        <v>193.47619270000001</v>
      </c>
      <c r="H209">
        <f ca="1">IFERROR(IF(0=LEN(ReferenceData!$O$209),"",ReferenceData!$O$209),"")</f>
        <v>176.60918369999999</v>
      </c>
      <c r="I209">
        <f ca="1">IFERROR(IF(0=LEN(ReferenceData!$N$209),"",ReferenceData!$N$209),"")</f>
        <v>11.93799699</v>
      </c>
      <c r="J209">
        <f ca="1">IFERROR(IF(0=LEN(ReferenceData!$M$209),"",ReferenceData!$M$209),"")</f>
        <v>2.84468122</v>
      </c>
      <c r="K209">
        <f ca="1">IFERROR(IF(0=LEN(ReferenceData!$L$209),"",ReferenceData!$L$209),"")</f>
        <v>7.8903736069999999</v>
      </c>
      <c r="L209">
        <f ca="1">IFERROR(IF(0=LEN(ReferenceData!$K$209),"",ReferenceData!$K$209),"")</f>
        <v>12.96784175</v>
      </c>
      <c r="M209">
        <f ca="1">IFERROR(IF(0=LEN(ReferenceData!$J$209),"",ReferenceData!$J$209),"")</f>
        <v>13.270909</v>
      </c>
      <c r="N209">
        <f ca="1">IFERROR(IF(0=LEN(ReferenceData!$I$209),"",ReferenceData!$I$209),"")</f>
        <v>13.521724239999999</v>
      </c>
      <c r="O209">
        <f ca="1">IFERROR(IF(0=LEN(ReferenceData!$H$209),"",ReferenceData!$H$209),"")</f>
        <v>12.95472681</v>
      </c>
      <c r="P209">
        <f ca="1">IFERROR(IF(0=LEN(ReferenceData!$G$209),"",ReferenceData!$G$209),"")</f>
        <v>14.192945</v>
      </c>
      <c r="Q209">
        <f ca="1">IFERROR(IF(0=LEN(ReferenceData!$F$209),"",ReferenceData!$F$209),"")</f>
        <v>14.62322904</v>
      </c>
    </row>
    <row r="210" spans="1:17" x14ac:dyDescent="0.25">
      <c r="A210" t="str">
        <f>IFERROR(IF(0=LEN(ReferenceData!$A$210),"",ReferenceData!$A$210),"")</f>
        <v xml:space="preserve">    Cognizant Technology Solutions Corp</v>
      </c>
      <c r="B210" t="str">
        <f>IFERROR(IF(0=LEN(ReferenceData!$B$210),"",ReferenceData!$B$210),"")</f>
        <v>CTSH US Equity</v>
      </c>
      <c r="C210" t="str">
        <f>IFERROR(IF(0=LEN(ReferenceData!$C$210),"",ReferenceData!$C$210),"")</f>
        <v>RR710</v>
      </c>
      <c r="D210" t="str">
        <f>IFERROR(IF(0=LEN(ReferenceData!$D$210),"",ReferenceData!$D$210),"")</f>
        <v>RETURN_ON_INV_CAPITAL</v>
      </c>
      <c r="E210" t="str">
        <f>IFERROR(IF(0=LEN(ReferenceData!$E$210),"",ReferenceData!$E$210),"")</f>
        <v>Dynamic</v>
      </c>
      <c r="F210">
        <f ca="1">IFERROR(IF(0=LEN(ReferenceData!$Q$210),"",ReferenceData!$Q$210),"")</f>
        <v>25.33188363</v>
      </c>
      <c r="G210">
        <f ca="1">IFERROR(IF(0=LEN(ReferenceData!$P$210),"",ReferenceData!$P$210),"")</f>
        <v>22.919853140000001</v>
      </c>
      <c r="H210">
        <f ca="1">IFERROR(IF(0=LEN(ReferenceData!$O$210),"",ReferenceData!$O$210),"")</f>
        <v>23.53515299</v>
      </c>
      <c r="I210">
        <f ca="1">IFERROR(IF(0=LEN(ReferenceData!$N$210),"",ReferenceData!$N$210),"")</f>
        <v>23.340408419999999</v>
      </c>
      <c r="J210">
        <f ca="1">IFERROR(IF(0=LEN(ReferenceData!$M$210),"",ReferenceData!$M$210),"")</f>
        <v>24.04939512</v>
      </c>
      <c r="K210">
        <f ca="1">IFERROR(IF(0=LEN(ReferenceData!$L$210),"",ReferenceData!$L$210),"")</f>
        <v>22.627727230000001</v>
      </c>
      <c r="L210">
        <f ca="1">IFERROR(IF(0=LEN(ReferenceData!$K$210),"",ReferenceData!$K$210),"")</f>
        <v>18.459841489999999</v>
      </c>
      <c r="M210">
        <f ca="1">IFERROR(IF(0=LEN(ReferenceData!$J$210),"",ReferenceData!$J$210),"")</f>
        <v>16.49722736</v>
      </c>
      <c r="N210">
        <f ca="1">IFERROR(IF(0=LEN(ReferenceData!$I$210),"",ReferenceData!$I$210),"")</f>
        <v>14.018910050000001</v>
      </c>
      <c r="O210">
        <f ca="1">IFERROR(IF(0=LEN(ReferenceData!$H$210),"",ReferenceData!$H$210),"")</f>
        <v>12.42322646</v>
      </c>
      <c r="P210">
        <f ca="1">IFERROR(IF(0=LEN(ReferenceData!$G$210),"",ReferenceData!$G$210),"")</f>
        <v>17.881288300000001</v>
      </c>
      <c r="Q210">
        <f ca="1">IFERROR(IF(0=LEN(ReferenceData!$F$210),"",ReferenceData!$F$210),"")</f>
        <v>14.45712436</v>
      </c>
    </row>
    <row r="211" spans="1:17" x14ac:dyDescent="0.25">
      <c r="A211" t="str">
        <f>IFERROR(IF(0=LEN(ReferenceData!$A$211),"",ReferenceData!$A$211),"")</f>
        <v xml:space="preserve">    Conduent Inc</v>
      </c>
      <c r="B211" t="str">
        <f>IFERROR(IF(0=LEN(ReferenceData!$B$211),"",ReferenceData!$B$211),"")</f>
        <v>CNDT US Equity</v>
      </c>
      <c r="C211" t="str">
        <f>IFERROR(IF(0=LEN(ReferenceData!$C$211),"",ReferenceData!$C$211),"")</f>
        <v>RR710</v>
      </c>
      <c r="D211" t="str">
        <f>IFERROR(IF(0=LEN(ReferenceData!$D$211),"",ReferenceData!$D$211),"")</f>
        <v>RETURN_ON_INV_CAPITAL</v>
      </c>
      <c r="E211" t="str">
        <f>IFERROR(IF(0=LEN(ReferenceData!$E$211),"",ReferenceData!$E$211),"")</f>
        <v>Dynamic</v>
      </c>
      <c r="F211" t="str">
        <f ca="1">IFERROR(IF(0=LEN(ReferenceData!$Q$211),"",ReferenceData!$Q$211),"")</f>
        <v/>
      </c>
      <c r="G211" t="str">
        <f ca="1">IFERROR(IF(0=LEN(ReferenceData!$P$211),"",ReferenceData!$P$211),"")</f>
        <v/>
      </c>
      <c r="H211" t="str">
        <f ca="1">IFERROR(IF(0=LEN(ReferenceData!$O$211),"",ReferenceData!$O$211),"")</f>
        <v/>
      </c>
      <c r="I211" t="str">
        <f ca="1">IFERROR(IF(0=LEN(ReferenceData!$N$211),"",ReferenceData!$N$211),"")</f>
        <v/>
      </c>
      <c r="J211" t="str">
        <f ca="1">IFERROR(IF(0=LEN(ReferenceData!$M$211),"",ReferenceData!$M$211),"")</f>
        <v/>
      </c>
      <c r="K211" t="str">
        <f ca="1">IFERROR(IF(0=LEN(ReferenceData!$L$211),"",ReferenceData!$L$211),"")</f>
        <v/>
      </c>
      <c r="L211" t="str">
        <f ca="1">IFERROR(IF(0=LEN(ReferenceData!$K$211),"",ReferenceData!$K$211),"")</f>
        <v/>
      </c>
      <c r="M211">
        <f ca="1">IFERROR(IF(0=LEN(ReferenceData!$J$211),"",ReferenceData!$J$211),"")</f>
        <v>-3.8031803599999998</v>
      </c>
      <c r="N211">
        <f ca="1">IFERROR(IF(0=LEN(ReferenceData!$I$211),"",ReferenceData!$I$211),"")</f>
        <v>-15.54156386</v>
      </c>
      <c r="O211">
        <f ca="1">IFERROR(IF(0=LEN(ReferenceData!$H$211),"",ReferenceData!$H$211),"")</f>
        <v>4.6685256810000002</v>
      </c>
      <c r="P211">
        <f ca="1">IFERROR(IF(0=LEN(ReferenceData!$G$211),"",ReferenceData!$G$211),"")</f>
        <v>-6.067885607</v>
      </c>
      <c r="Q211">
        <f ca="1">IFERROR(IF(0=LEN(ReferenceData!$F$211),"",ReferenceData!$F$211),"")</f>
        <v>-45.578870500000001</v>
      </c>
    </row>
    <row r="212" spans="1:17" x14ac:dyDescent="0.25">
      <c r="A212" t="str">
        <f>IFERROR(IF(0=LEN(ReferenceData!$A$212),"",ReferenceData!$A$212),"")</f>
        <v xml:space="preserve">    DXC Technology Co</v>
      </c>
      <c r="B212" t="str">
        <f>IFERROR(IF(0=LEN(ReferenceData!$B$212),"",ReferenceData!$B$212),"")</f>
        <v>DXC US Equity</v>
      </c>
      <c r="C212" t="str">
        <f>IFERROR(IF(0=LEN(ReferenceData!$C$212),"",ReferenceData!$C$212),"")</f>
        <v>RR710</v>
      </c>
      <c r="D212" t="str">
        <f>IFERROR(IF(0=LEN(ReferenceData!$D$212),"",ReferenceData!$D$212),"")</f>
        <v>RETURN_ON_INV_CAPITAL</v>
      </c>
      <c r="E212" t="str">
        <f>IFERROR(IF(0=LEN(ReferenceData!$E$212),"",ReferenceData!$E$212),"")</f>
        <v>Dynamic</v>
      </c>
      <c r="F212" t="str">
        <f ca="1">IFERROR(IF(0=LEN(ReferenceData!$Q$212),"",ReferenceData!$Q$212),"")</f>
        <v/>
      </c>
      <c r="G212" t="str">
        <f ca="1">IFERROR(IF(0=LEN(ReferenceData!$P$212),"",ReferenceData!$P$212),"")</f>
        <v/>
      </c>
      <c r="H212" t="str">
        <f ca="1">IFERROR(IF(0=LEN(ReferenceData!$O$212),"",ReferenceData!$O$212),"")</f>
        <v/>
      </c>
      <c r="I212" t="str">
        <f ca="1">IFERROR(IF(0=LEN(ReferenceData!$N$212),"",ReferenceData!$N$212),"")</f>
        <v/>
      </c>
      <c r="J212" t="str">
        <f ca="1">IFERROR(IF(0=LEN(ReferenceData!$M$212),"",ReferenceData!$M$212),"")</f>
        <v/>
      </c>
      <c r="K212" t="str">
        <f ca="1">IFERROR(IF(0=LEN(ReferenceData!$L$212),"",ReferenceData!$L$212),"")</f>
        <v/>
      </c>
      <c r="L212" t="str">
        <f ca="1">IFERROR(IF(0=LEN(ReferenceData!$K$212),"",ReferenceData!$K$212),"")</f>
        <v/>
      </c>
      <c r="M212" t="str">
        <f ca="1">IFERROR(IF(0=LEN(ReferenceData!$J$212),"",ReferenceData!$J$212),"")</f>
        <v/>
      </c>
      <c r="N212" t="str">
        <f ca="1">IFERROR(IF(0=LEN(ReferenceData!$I$212),"",ReferenceData!$I$212),"")</f>
        <v/>
      </c>
      <c r="O212">
        <f ca="1">IFERROR(IF(0=LEN(ReferenceData!$H$212),"",ReferenceData!$H$212),"")</f>
        <v>5.3932946780000002</v>
      </c>
      <c r="P212">
        <f ca="1">IFERROR(IF(0=LEN(ReferenceData!$G$212),"",ReferenceData!$G$212),"")</f>
        <v>5.6125071630000001</v>
      </c>
      <c r="Q212">
        <f ca="1">IFERROR(IF(0=LEN(ReferenceData!$F$212),"",ReferenceData!$F$212),"")</f>
        <v>-33.831438439999999</v>
      </c>
    </row>
    <row r="213" spans="1:17" x14ac:dyDescent="0.25">
      <c r="A213" t="str">
        <f>IFERROR(IF(0=LEN(ReferenceData!$A$213),"",ReferenceData!$A$213),"")</f>
        <v xml:space="preserve">    EPAM Systems Inc</v>
      </c>
      <c r="B213" t="str">
        <f>IFERROR(IF(0=LEN(ReferenceData!$B$213),"",ReferenceData!$B$213),"")</f>
        <v>EPAM US Equity</v>
      </c>
      <c r="C213" t="str">
        <f>IFERROR(IF(0=LEN(ReferenceData!$C$213),"",ReferenceData!$C$213),"")</f>
        <v>RR710</v>
      </c>
      <c r="D213" t="str">
        <f>IFERROR(IF(0=LEN(ReferenceData!$D$213),"",ReferenceData!$D$213),"")</f>
        <v>RETURN_ON_INV_CAPITAL</v>
      </c>
      <c r="E213" t="str">
        <f>IFERROR(IF(0=LEN(ReferenceData!$E$213),"",ReferenceData!$E$213),"")</f>
        <v>Dynamic</v>
      </c>
      <c r="F213" t="str">
        <f ca="1">IFERROR(IF(0=LEN(ReferenceData!$Q$213),"",ReferenceData!$Q$213),"")</f>
        <v/>
      </c>
      <c r="G213" t="str">
        <f ca="1">IFERROR(IF(0=LEN(ReferenceData!$P$213),"",ReferenceData!$P$213),"")</f>
        <v/>
      </c>
      <c r="H213">
        <f ca="1">IFERROR(IF(0=LEN(ReferenceData!$O$213),"",ReferenceData!$O$213),"")</f>
        <v>22.709507290000001</v>
      </c>
      <c r="I213">
        <f ca="1">IFERROR(IF(0=LEN(ReferenceData!$N$213),"",ReferenceData!$N$213),"")</f>
        <v>27.634459119999999</v>
      </c>
      <c r="J213">
        <f ca="1">IFERROR(IF(0=LEN(ReferenceData!$M$213),"",ReferenceData!$M$213),"")</f>
        <v>22.185502920000001</v>
      </c>
      <c r="K213">
        <f ca="1">IFERROR(IF(0=LEN(ReferenceData!$L$213),"",ReferenceData!$L$213),"")</f>
        <v>17.949442650000002</v>
      </c>
      <c r="L213">
        <f ca="1">IFERROR(IF(0=LEN(ReferenceData!$K$213),"",ReferenceData!$K$213),"")</f>
        <v>15.81044771</v>
      </c>
      <c r="M213">
        <f ca="1">IFERROR(IF(0=LEN(ReferenceData!$J$213),"",ReferenceData!$J$213),"")</f>
        <v>14.687965289999999</v>
      </c>
      <c r="N213">
        <f ca="1">IFERROR(IF(0=LEN(ReferenceData!$I$213),"",ReferenceData!$I$213),"")</f>
        <v>14.31883032</v>
      </c>
      <c r="O213">
        <f ca="1">IFERROR(IF(0=LEN(ReferenceData!$H$213),"",ReferenceData!$H$213),"")</f>
        <v>7.8996180760000003</v>
      </c>
      <c r="P213">
        <f ca="1">IFERROR(IF(0=LEN(ReferenceData!$G$213),"",ReferenceData!$G$213),"")</f>
        <v>20.415799920000001</v>
      </c>
      <c r="Q213">
        <f ca="1">IFERROR(IF(0=LEN(ReferenceData!$F$213),"",ReferenceData!$F$213),"")</f>
        <v>17.078294240000002</v>
      </c>
    </row>
    <row r="214" spans="1:17" x14ac:dyDescent="0.25">
      <c r="A214" t="str">
        <f>IFERROR(IF(0=LEN(ReferenceData!$A$214),"",ReferenceData!$A$214),"")</f>
        <v xml:space="preserve">    Genpact Ltd</v>
      </c>
      <c r="B214" t="str">
        <f>IFERROR(IF(0=LEN(ReferenceData!$B$214),"",ReferenceData!$B$214),"")</f>
        <v>G US Equity</v>
      </c>
      <c r="C214" t="str">
        <f>IFERROR(IF(0=LEN(ReferenceData!$C$214),"",ReferenceData!$C$214),"")</f>
        <v>RR710</v>
      </c>
      <c r="D214" t="str">
        <f>IFERROR(IF(0=LEN(ReferenceData!$D$214),"",ReferenceData!$D$214),"")</f>
        <v>RETURN_ON_INV_CAPITAL</v>
      </c>
      <c r="E214" t="str">
        <f>IFERROR(IF(0=LEN(ReferenceData!$E$214),"",ReferenceData!$E$214),"")</f>
        <v>Dynamic</v>
      </c>
      <c r="F214" t="str">
        <f ca="1">IFERROR(IF(0=LEN(ReferenceData!$Q$214),"",ReferenceData!$Q$214),"")</f>
        <v/>
      </c>
      <c r="G214">
        <f ca="1">IFERROR(IF(0=LEN(ReferenceData!$P$214),"",ReferenceData!$P$214),"")</f>
        <v>12.62086247</v>
      </c>
      <c r="H214">
        <f ca="1">IFERROR(IF(0=LEN(ReferenceData!$O$214),"",ReferenceData!$O$214),"")</f>
        <v>10.62234273</v>
      </c>
      <c r="I214">
        <f ca="1">IFERROR(IF(0=LEN(ReferenceData!$N$214),"",ReferenceData!$N$214),"")</f>
        <v>9.8900044460000007</v>
      </c>
      <c r="J214">
        <f ca="1">IFERROR(IF(0=LEN(ReferenceData!$M$214),"",ReferenceData!$M$214),"")</f>
        <v>10.432108380000001</v>
      </c>
      <c r="K214">
        <f ca="1">IFERROR(IF(0=LEN(ReferenceData!$L$214),"",ReferenceData!$L$214),"")</f>
        <v>12.60529603</v>
      </c>
      <c r="L214">
        <f ca="1">IFERROR(IF(0=LEN(ReferenceData!$K$214),"",ReferenceData!$K$214),"")</f>
        <v>11.40705517</v>
      </c>
      <c r="M214">
        <f ca="1">IFERROR(IF(0=LEN(ReferenceData!$J$214),"",ReferenceData!$J$214),"")</f>
        <v>13.007695010000001</v>
      </c>
      <c r="N214">
        <f ca="1">IFERROR(IF(0=LEN(ReferenceData!$I$214),"",ReferenceData!$I$214),"")</f>
        <v>13.2040484</v>
      </c>
      <c r="O214">
        <f ca="1">IFERROR(IF(0=LEN(ReferenceData!$H$214),"",ReferenceData!$H$214),"")</f>
        <v>11.36834277</v>
      </c>
      <c r="P214">
        <f ca="1">IFERROR(IF(0=LEN(ReferenceData!$G$214),"",ReferenceData!$G$214),"")</f>
        <v>10.235797850000001</v>
      </c>
      <c r="Q214">
        <f ca="1">IFERROR(IF(0=LEN(ReferenceData!$F$214),"",ReferenceData!$F$214),"")</f>
        <v>10.67333595</v>
      </c>
    </row>
    <row r="215" spans="1:17" x14ac:dyDescent="0.25">
      <c r="A215" t="str">
        <f>IFERROR(IF(0=LEN(ReferenceData!$A$215),"",ReferenceData!$A$215),"")</f>
        <v xml:space="preserve">    HCL Technologies Ltd</v>
      </c>
      <c r="B215" t="str">
        <f>IFERROR(IF(0=LEN(ReferenceData!$B$215),"",ReferenceData!$B$215),"")</f>
        <v>HCLT IN Equity</v>
      </c>
      <c r="C215" t="str">
        <f>IFERROR(IF(0=LEN(ReferenceData!$C$215),"",ReferenceData!$C$215),"")</f>
        <v>RR710</v>
      </c>
      <c r="D215" t="str">
        <f>IFERROR(IF(0=LEN(ReferenceData!$D$215),"",ReferenceData!$D$215),"")</f>
        <v>RETURN_ON_INV_CAPITAL</v>
      </c>
      <c r="E215" t="str">
        <f>IFERROR(IF(0=LEN(ReferenceData!$E$215),"",ReferenceData!$E$215),"")</f>
        <v>Dynamic</v>
      </c>
      <c r="F215">
        <f ca="1">IFERROR(IF(0=LEN(ReferenceData!$Q$215),"",ReferenceData!$Q$215),"")</f>
        <v>23.232610940000001</v>
      </c>
      <c r="G215">
        <f ca="1">IFERROR(IF(0=LEN(ReferenceData!$P$215),"",ReferenceData!$P$215),"")</f>
        <v>15.4475578</v>
      </c>
      <c r="H215">
        <f ca="1">IFERROR(IF(0=LEN(ReferenceData!$O$215),"",ReferenceData!$O$215),"")</f>
        <v>16.206045700000001</v>
      </c>
      <c r="I215">
        <f ca="1">IFERROR(IF(0=LEN(ReferenceData!$N$215),"",ReferenceData!$N$215),"")</f>
        <v>21.384975730000001</v>
      </c>
      <c r="J215">
        <f ca="1">IFERROR(IF(0=LEN(ReferenceData!$M$215),"",ReferenceData!$M$215),"")</f>
        <v>28.544308149999999</v>
      </c>
      <c r="K215">
        <f ca="1">IFERROR(IF(0=LEN(ReferenceData!$L$215),"",ReferenceData!$L$215),"")</f>
        <v>35.100862429999999</v>
      </c>
      <c r="L215" t="str">
        <f ca="1">IFERROR(IF(0=LEN(ReferenceData!$K$215),"",ReferenceData!$K$215),"")</f>
        <v/>
      </c>
      <c r="M215" t="str">
        <f ca="1">IFERROR(IF(0=LEN(ReferenceData!$J$215),"",ReferenceData!$J$215),"")</f>
        <v/>
      </c>
      <c r="N215">
        <f ca="1">IFERROR(IF(0=LEN(ReferenceData!$I$215),"",ReferenceData!$I$215),"")</f>
        <v>25.60693947</v>
      </c>
      <c r="O215">
        <f ca="1">IFERROR(IF(0=LEN(ReferenceData!$H$215),"",ReferenceData!$H$215),"")</f>
        <v>23.332406020000001</v>
      </c>
      <c r="P215">
        <f ca="1">IFERROR(IF(0=LEN(ReferenceData!$G$215),"",ReferenceData!$G$215),"")</f>
        <v>22.586966889999999</v>
      </c>
      <c r="Q215">
        <f ca="1">IFERROR(IF(0=LEN(ReferenceData!$F$215),"",ReferenceData!$F$215),"")</f>
        <v>21.450927759999999</v>
      </c>
    </row>
    <row r="216" spans="1:17" x14ac:dyDescent="0.25">
      <c r="A216" t="str">
        <f>IFERROR(IF(0=LEN(ReferenceData!$A$216),"",ReferenceData!$A$216),"")</f>
        <v xml:space="preserve">    Indra Sistemas SA</v>
      </c>
      <c r="B216" t="str">
        <f>IFERROR(IF(0=LEN(ReferenceData!$B$216),"",ReferenceData!$B$216),"")</f>
        <v>IDR SM Equity</v>
      </c>
      <c r="C216" t="str">
        <f>IFERROR(IF(0=LEN(ReferenceData!$C$216),"",ReferenceData!$C$216),"")</f>
        <v>RR710</v>
      </c>
      <c r="D216" t="str">
        <f>IFERROR(IF(0=LEN(ReferenceData!$D$216),"",ReferenceData!$D$216),"")</f>
        <v>RETURN_ON_INV_CAPITAL</v>
      </c>
      <c r="E216" t="str">
        <f>IFERROR(IF(0=LEN(ReferenceData!$E$216),"",ReferenceData!$E$216),"")</f>
        <v>Dynamic</v>
      </c>
      <c r="F216">
        <f ca="1">IFERROR(IF(0=LEN(ReferenceData!$Q$216),"",ReferenceData!$Q$216),"")</f>
        <v>21.044040899999999</v>
      </c>
      <c r="G216">
        <f ca="1">IFERROR(IF(0=LEN(ReferenceData!$P$216),"",ReferenceData!$P$216),"")</f>
        <v>19.65751225</v>
      </c>
      <c r="H216">
        <f ca="1">IFERROR(IF(0=LEN(ReferenceData!$O$216),"",ReferenceData!$O$216),"")</f>
        <v>15.24602215</v>
      </c>
      <c r="I216">
        <f ca="1">IFERROR(IF(0=LEN(ReferenceData!$N$216),"",ReferenceData!$N$216),"")</f>
        <v>13.10966075</v>
      </c>
      <c r="J216">
        <f ca="1">IFERROR(IF(0=LEN(ReferenceData!$M$216),"",ReferenceData!$M$216),"")</f>
        <v>9.407336656</v>
      </c>
      <c r="K216">
        <f ca="1">IFERROR(IF(0=LEN(ReferenceData!$L$216),"",ReferenceData!$L$216),"")</f>
        <v>7.9035478100000001</v>
      </c>
      <c r="L216">
        <f ca="1">IFERROR(IF(0=LEN(ReferenceData!$K$216),"",ReferenceData!$K$216),"")</f>
        <v>-2.6007919820000001</v>
      </c>
      <c r="M216">
        <f ca="1">IFERROR(IF(0=LEN(ReferenceData!$J$216),"",ReferenceData!$J$216),"")</f>
        <v>-36.456593900000001</v>
      </c>
      <c r="N216">
        <f ca="1">IFERROR(IF(0=LEN(ReferenceData!$I$216),"",ReferenceData!$I$216),"")</f>
        <v>6.1418126690000001</v>
      </c>
      <c r="O216">
        <f ca="1">IFERROR(IF(0=LEN(ReferenceData!$H$216),"",ReferenceData!$H$216),"")</f>
        <v>8.7402828059999997</v>
      </c>
      <c r="P216">
        <f ca="1">IFERROR(IF(0=LEN(ReferenceData!$G$216),"",ReferenceData!$G$216),"")</f>
        <v>7.5439391340000004</v>
      </c>
      <c r="Q216">
        <f ca="1">IFERROR(IF(0=LEN(ReferenceData!$F$216),"",ReferenceData!$F$216),"")</f>
        <v>7.1832695009999998</v>
      </c>
    </row>
    <row r="217" spans="1:17" x14ac:dyDescent="0.25">
      <c r="A217" t="str">
        <f>IFERROR(IF(0=LEN(ReferenceData!$A$217),"",ReferenceData!$A$217),"")</f>
        <v xml:space="preserve">    Infosys Ltd</v>
      </c>
      <c r="B217" t="str">
        <f>IFERROR(IF(0=LEN(ReferenceData!$B$217),"",ReferenceData!$B$217),"")</f>
        <v>INFY US Equity</v>
      </c>
      <c r="C217" t="str">
        <f>IFERROR(IF(0=LEN(ReferenceData!$C$217),"",ReferenceData!$C$217),"")</f>
        <v>RR710</v>
      </c>
      <c r="D217" t="str">
        <f>IFERROR(IF(0=LEN(ReferenceData!$D$217),"",ReferenceData!$D$217),"")</f>
        <v>RETURN_ON_INV_CAPITAL</v>
      </c>
      <c r="E217" t="str">
        <f>IFERROR(IF(0=LEN(ReferenceData!$E$217),"",ReferenceData!$E$217),"")</f>
        <v>Dynamic</v>
      </c>
      <c r="F217">
        <f ca="1">IFERROR(IF(0=LEN(ReferenceData!$Q$217),"",ReferenceData!$Q$217),"")</f>
        <v>36.834443890000003</v>
      </c>
      <c r="G217">
        <f ca="1">IFERROR(IF(0=LEN(ReferenceData!$P$217),"",ReferenceData!$P$217),"")</f>
        <v>25.30919183</v>
      </c>
      <c r="H217">
        <f ca="1">IFERROR(IF(0=LEN(ReferenceData!$O$217),"",ReferenceData!$O$217),"")</f>
        <v>23.52236804</v>
      </c>
      <c r="I217">
        <f ca="1">IFERROR(IF(0=LEN(ReferenceData!$N$217),"",ReferenceData!$N$217),"")</f>
        <v>23.09751936</v>
      </c>
      <c r="J217">
        <f ca="1">IFERROR(IF(0=LEN(ReferenceData!$M$217),"",ReferenceData!$M$217),"")</f>
        <v>19.99396861</v>
      </c>
      <c r="K217">
        <f ca="1">IFERROR(IF(0=LEN(ReferenceData!$L$217),"",ReferenceData!$L$217),"")</f>
        <v>19.01352378</v>
      </c>
      <c r="L217">
        <f ca="1">IFERROR(IF(0=LEN(ReferenceData!$K$217),"",ReferenceData!$K$217),"")</f>
        <v>17.91062033</v>
      </c>
      <c r="M217">
        <f ca="1">IFERROR(IF(0=LEN(ReferenceData!$J$217),"",ReferenceData!$J$217),"")</f>
        <v>18.352852370000001</v>
      </c>
      <c r="N217">
        <f ca="1">IFERROR(IF(0=LEN(ReferenceData!$I$217),"",ReferenceData!$I$217),"")</f>
        <v>17.66072595</v>
      </c>
      <c r="O217">
        <f ca="1">IFERROR(IF(0=LEN(ReferenceData!$H$217),"",ReferenceData!$H$217),"")</f>
        <v>19.544828299999999</v>
      </c>
      <c r="P217">
        <f ca="1">IFERROR(IF(0=LEN(ReferenceData!$G$217),"",ReferenceData!$G$217),"")</f>
        <v>20.934795260000001</v>
      </c>
      <c r="Q217">
        <f ca="1">IFERROR(IF(0=LEN(ReferenceData!$F$217),"",ReferenceData!$F$217),"")</f>
        <v>21.526345589999998</v>
      </c>
    </row>
    <row r="218" spans="1:17" x14ac:dyDescent="0.25">
      <c r="A218" t="str">
        <f>IFERROR(IF(0=LEN(ReferenceData!$A$218),"",ReferenceData!$A$218),"")</f>
        <v xml:space="preserve">    International Business Machines Corp</v>
      </c>
      <c r="B218" t="str">
        <f>IFERROR(IF(0=LEN(ReferenceData!$B$218),"",ReferenceData!$B$218),"")</f>
        <v>IBM US Equity</v>
      </c>
      <c r="C218" t="str">
        <f>IFERROR(IF(0=LEN(ReferenceData!$C$218),"",ReferenceData!$C$218),"")</f>
        <v>RR710</v>
      </c>
      <c r="D218" t="str">
        <f>IFERROR(IF(0=LEN(ReferenceData!$D$218),"",ReferenceData!$D$218),"")</f>
        <v>RETURN_ON_INV_CAPITAL</v>
      </c>
      <c r="E218" t="str">
        <f>IFERROR(IF(0=LEN(ReferenceData!$E$218),"",ReferenceData!$E$218),"")</f>
        <v>Dynamic</v>
      </c>
      <c r="F218">
        <f ca="1">IFERROR(IF(0=LEN(ReferenceData!$Q$218),"",ReferenceData!$Q$218),"")</f>
        <v>19.41513608</v>
      </c>
      <c r="G218">
        <f ca="1">IFERROR(IF(0=LEN(ReferenceData!$P$218),"",ReferenceData!$P$218),"")</f>
        <v>24.932310860000001</v>
      </c>
      <c r="H218">
        <f ca="1">IFERROR(IF(0=LEN(ReferenceData!$O$218),"",ReferenceData!$O$218),"")</f>
        <v>24.126803880000001</v>
      </c>
      <c r="I218">
        <f ca="1">IFERROR(IF(0=LEN(ReferenceData!$N$218),"",ReferenceData!$N$218),"")</f>
        <v>27.250133309999999</v>
      </c>
      <c r="J218">
        <f ca="1">IFERROR(IF(0=LEN(ReferenceData!$M$218),"",ReferenceData!$M$218),"")</f>
        <v>29.531286219999998</v>
      </c>
      <c r="K218">
        <f ca="1">IFERROR(IF(0=LEN(ReferenceData!$L$218),"",ReferenceData!$L$218),"")</f>
        <v>29.08445863</v>
      </c>
      <c r="L218">
        <f ca="1">IFERROR(IF(0=LEN(ReferenceData!$K$218),"",ReferenceData!$K$218),"")</f>
        <v>24.88127209</v>
      </c>
      <c r="M218">
        <f ca="1">IFERROR(IF(0=LEN(ReferenceData!$J$218),"",ReferenceData!$J$218),"")</f>
        <v>26.29837079</v>
      </c>
      <c r="N218">
        <f ca="1">IFERROR(IF(0=LEN(ReferenceData!$I$218),"",ReferenceData!$I$218),"")</f>
        <v>21.280145860000001</v>
      </c>
      <c r="O218">
        <f ca="1">IFERROR(IF(0=LEN(ReferenceData!$H$218),"",ReferenceData!$H$218),"")</f>
        <v>11.80399265</v>
      </c>
      <c r="P218">
        <f ca="1">IFERROR(IF(0=LEN(ReferenceData!$G$218),"",ReferenceData!$G$218),"")</f>
        <v>14.57262802</v>
      </c>
      <c r="Q218">
        <f ca="1">IFERROR(IF(0=LEN(ReferenceData!$F$218),"",ReferenceData!$F$218),"")</f>
        <v>11.98375961</v>
      </c>
    </row>
    <row r="219" spans="1:17" x14ac:dyDescent="0.25">
      <c r="A219" t="str">
        <f>IFERROR(IF(0=LEN(ReferenceData!$A$219),"",ReferenceData!$A$219),"")</f>
        <v xml:space="preserve">    Tata Consultancy Services Ltd</v>
      </c>
      <c r="B219" t="str">
        <f>IFERROR(IF(0=LEN(ReferenceData!$B$219),"",ReferenceData!$B$219),"")</f>
        <v>TCS IN Equity</v>
      </c>
      <c r="C219" t="str">
        <f>IFERROR(IF(0=LEN(ReferenceData!$C$219),"",ReferenceData!$C$219),"")</f>
        <v>RR710</v>
      </c>
      <c r="D219" t="str">
        <f>IFERROR(IF(0=LEN(ReferenceData!$D$219),"",ReferenceData!$D$219),"")</f>
        <v>RETURN_ON_INV_CAPITAL</v>
      </c>
      <c r="E219" t="str">
        <f>IFERROR(IF(0=LEN(ReferenceData!$E$219),"",ReferenceData!$E$219),"")</f>
        <v>Dynamic</v>
      </c>
      <c r="F219">
        <f ca="1">IFERROR(IF(0=LEN(ReferenceData!$Q$219),"",ReferenceData!$Q$219),"")</f>
        <v>38.636016929999997</v>
      </c>
      <c r="G219">
        <f ca="1">IFERROR(IF(0=LEN(ReferenceData!$P$219),"",ReferenceData!$P$219),"")</f>
        <v>39.204556150000002</v>
      </c>
      <c r="H219">
        <f ca="1">IFERROR(IF(0=LEN(ReferenceData!$O$219),"",ReferenceData!$O$219),"")</f>
        <v>38.79088462</v>
      </c>
      <c r="I219">
        <f ca="1">IFERROR(IF(0=LEN(ReferenceData!$N$219),"",ReferenceData!$N$219),"")</f>
        <v>36.68721189</v>
      </c>
      <c r="J219">
        <f ca="1">IFERROR(IF(0=LEN(ReferenceData!$M$219),"",ReferenceData!$M$219),"")</f>
        <v>35.390740549999997</v>
      </c>
      <c r="K219">
        <f ca="1">IFERROR(IF(0=LEN(ReferenceData!$L$219),"",ReferenceData!$L$219),"")</f>
        <v>38.167848990000003</v>
      </c>
      <c r="L219">
        <f ca="1">IFERROR(IF(0=LEN(ReferenceData!$K$219),"",ReferenceData!$K$219),"")</f>
        <v>31.030772639999999</v>
      </c>
      <c r="M219">
        <f ca="1">IFERROR(IF(0=LEN(ReferenceData!$J$219),"",ReferenceData!$J$219),"")</f>
        <v>33.922374740000002</v>
      </c>
      <c r="N219">
        <f ca="1">IFERROR(IF(0=LEN(ReferenceData!$I$219),"",ReferenceData!$I$219),"")</f>
        <v>28.765293320000001</v>
      </c>
      <c r="O219">
        <f ca="1">IFERROR(IF(0=LEN(ReferenceData!$H$219),"",ReferenceData!$H$219),"")</f>
        <v>26.37906362</v>
      </c>
      <c r="P219">
        <f ca="1">IFERROR(IF(0=LEN(ReferenceData!$G$219),"",ReferenceData!$G$219),"")</f>
        <v>31.562413060000001</v>
      </c>
      <c r="Q219">
        <f ca="1">IFERROR(IF(0=LEN(ReferenceData!$F$219),"",ReferenceData!$F$219),"")</f>
        <v>31.210096660000001</v>
      </c>
    </row>
    <row r="220" spans="1:17" x14ac:dyDescent="0.25">
      <c r="A220" t="str">
        <f>IFERROR(IF(0=LEN(ReferenceData!$A$220),"",ReferenceData!$A$220),"")</f>
        <v xml:space="preserve">    Tech Mahindra Ltd</v>
      </c>
      <c r="B220" t="str">
        <f>IFERROR(IF(0=LEN(ReferenceData!$B$220),"",ReferenceData!$B$220),"")</f>
        <v>TECHM IN Equity</v>
      </c>
      <c r="C220" t="str">
        <f>IFERROR(IF(0=LEN(ReferenceData!$C$220),"",ReferenceData!$C$220),"")</f>
        <v>RR710</v>
      </c>
      <c r="D220" t="str">
        <f>IFERROR(IF(0=LEN(ReferenceData!$D$220),"",ReferenceData!$D$220),"")</f>
        <v>RETURN_ON_INV_CAPITAL</v>
      </c>
      <c r="E220" t="str">
        <f>IFERROR(IF(0=LEN(ReferenceData!$E$220),"",ReferenceData!$E$220),"")</f>
        <v>Dynamic</v>
      </c>
      <c r="F220">
        <f ca="1">IFERROR(IF(0=LEN(ReferenceData!$Q$220),"",ReferenceData!$Q$220),"")</f>
        <v>61.610445050000003</v>
      </c>
      <c r="G220">
        <f ca="1">IFERROR(IF(0=LEN(ReferenceData!$P$220),"",ReferenceData!$P$220),"")</f>
        <v>26.099185859999999</v>
      </c>
      <c r="H220">
        <f ca="1">IFERROR(IF(0=LEN(ReferenceData!$O$220),"",ReferenceData!$O$220),"")</f>
        <v>14.102923390000001</v>
      </c>
      <c r="I220">
        <f ca="1">IFERROR(IF(0=LEN(ReferenceData!$N$220),"",ReferenceData!$N$220),"")</f>
        <v>23.559926749999999</v>
      </c>
      <c r="J220">
        <f ca="1">IFERROR(IF(0=LEN(ReferenceData!$M$220),"",ReferenceData!$M$220),"")</f>
        <v>23.744452639999999</v>
      </c>
      <c r="K220">
        <f ca="1">IFERROR(IF(0=LEN(ReferenceData!$L$220),"",ReferenceData!$L$220),"")</f>
        <v>34.48914955</v>
      </c>
      <c r="L220">
        <f ca="1">IFERROR(IF(0=LEN(ReferenceData!$K$220),"",ReferenceData!$K$220),"")</f>
        <v>21.819700789999999</v>
      </c>
      <c r="M220">
        <f ca="1">IFERROR(IF(0=LEN(ReferenceData!$J$220),"",ReferenceData!$J$220),"")</f>
        <v>19.77408866</v>
      </c>
      <c r="N220">
        <f ca="1">IFERROR(IF(0=LEN(ReferenceData!$I$220),"",ReferenceData!$I$220),"")</f>
        <v>14.581662919999999</v>
      </c>
      <c r="O220">
        <f ca="1">IFERROR(IF(0=LEN(ReferenceData!$H$220),"",ReferenceData!$H$220),"")</f>
        <v>13.49220566</v>
      </c>
      <c r="P220">
        <f ca="1">IFERROR(IF(0=LEN(ReferenceData!$G$220),"",ReferenceData!$G$220),"")</f>
        <v>18.103691560000001</v>
      </c>
      <c r="Q220">
        <f ca="1">IFERROR(IF(0=LEN(ReferenceData!$F$220),"",ReferenceData!$F$220),"")</f>
        <v>12.85554793</v>
      </c>
    </row>
    <row r="221" spans="1:17" x14ac:dyDescent="0.25">
      <c r="A221" t="str">
        <f>IFERROR(IF(0=LEN(ReferenceData!$A$221),"",ReferenceData!$A$221),"")</f>
        <v xml:space="preserve">    Wipro Ltd</v>
      </c>
      <c r="B221" t="str">
        <f>IFERROR(IF(0=LEN(ReferenceData!$B$221),"",ReferenceData!$B$221),"")</f>
        <v>WIT US Equity</v>
      </c>
      <c r="C221" t="str">
        <f>IFERROR(IF(0=LEN(ReferenceData!$C$221),"",ReferenceData!$C$221),"")</f>
        <v>RR710</v>
      </c>
      <c r="D221" t="str">
        <f>IFERROR(IF(0=LEN(ReferenceData!$D$221),"",ReferenceData!$D$221),"")</f>
        <v>RETURN_ON_INV_CAPITAL</v>
      </c>
      <c r="E221" t="str">
        <f>IFERROR(IF(0=LEN(ReferenceData!$E$221),"",ReferenceData!$E$221),"")</f>
        <v>Dynamic</v>
      </c>
      <c r="F221">
        <f ca="1">IFERROR(IF(0=LEN(ReferenceData!$Q$221),"",ReferenceData!$Q$221),"")</f>
        <v>21.906138670000001</v>
      </c>
      <c r="G221">
        <f ca="1">IFERROR(IF(0=LEN(ReferenceData!$P$221),"",ReferenceData!$P$221),"")</f>
        <v>20.03913713</v>
      </c>
      <c r="H221">
        <f ca="1">IFERROR(IF(0=LEN(ReferenceData!$O$221),"",ReferenceData!$O$221),"")</f>
        <v>18.022905300000001</v>
      </c>
      <c r="I221">
        <f ca="1">IFERROR(IF(0=LEN(ReferenceData!$N$221),"",ReferenceData!$N$221),"")</f>
        <v>15.35739781</v>
      </c>
      <c r="J221">
        <f ca="1">IFERROR(IF(0=LEN(ReferenceData!$M$221),"",ReferenceData!$M$221),"")</f>
        <v>15.358341469999999</v>
      </c>
      <c r="K221">
        <f ca="1">IFERROR(IF(0=LEN(ReferenceData!$L$221),"",ReferenceData!$L$221),"")</f>
        <v>18.03364131</v>
      </c>
      <c r="L221">
        <f ca="1">IFERROR(IF(0=LEN(ReferenceData!$K$221),"",ReferenceData!$K$221),"")</f>
        <v>16.19215299</v>
      </c>
      <c r="M221">
        <f ca="1">IFERROR(IF(0=LEN(ReferenceData!$J$221),"",ReferenceData!$J$221),"")</f>
        <v>13.18402305</v>
      </c>
      <c r="N221">
        <f ca="1">IFERROR(IF(0=LEN(ReferenceData!$I$221),"",ReferenceData!$I$221),"")</f>
        <v>10.63149406</v>
      </c>
      <c r="O221">
        <f ca="1">IFERROR(IF(0=LEN(ReferenceData!$H$221),"",ReferenceData!$H$221),"")</f>
        <v>9.6730089469999996</v>
      </c>
      <c r="P221">
        <f ca="1">IFERROR(IF(0=LEN(ReferenceData!$G$221),"",ReferenceData!$G$221),"")</f>
        <v>11.27076183</v>
      </c>
      <c r="Q221">
        <f ca="1">IFERROR(IF(0=LEN(ReferenceData!$F$221),"",ReferenceData!$F$221),"")</f>
        <v>12.051443900000001</v>
      </c>
    </row>
    <row r="222" spans="1:17" x14ac:dyDescent="0.25">
      <c r="A222" t="str">
        <f>IFERROR(IF(0=LEN(ReferenceData!$A$222),"",ReferenceData!$A$222),"")</f>
        <v>Source: Company Filings</v>
      </c>
      <c r="B222" t="str">
        <f>IFERROR(IF(0=LEN(ReferenceData!$B$222),"",ReferenceData!$B$222),"")</f>
        <v/>
      </c>
      <c r="C222" t="str">
        <f>IFERROR(IF(0=LEN(ReferenceData!$C$222),"",ReferenceData!$C$222),"")</f>
        <v/>
      </c>
      <c r="D222" t="str">
        <f>IFERROR(IF(0=LEN(ReferenceData!$D$222),"",ReferenceData!$D$222),"")</f>
        <v/>
      </c>
      <c r="E222" t="str">
        <f>IFERROR(IF(0=LEN(ReferenceData!$E$222),"",ReferenceData!$E$222),"")</f>
        <v>Heading</v>
      </c>
      <c r="F222" t="str">
        <f>IFERROR(IF(0=LEN(ReferenceData!$Q$222),"",ReferenceData!$Q$222),"")</f>
        <v/>
      </c>
      <c r="G222" t="str">
        <f>IFERROR(IF(0=LEN(ReferenceData!$P$222),"",ReferenceData!$P$222),"")</f>
        <v/>
      </c>
      <c r="H222" t="str">
        <f>IFERROR(IF(0=LEN(ReferenceData!$O$222),"",ReferenceData!$O$222),"")</f>
        <v/>
      </c>
      <c r="I222" t="str">
        <f>IFERROR(IF(0=LEN(ReferenceData!$N$222),"",ReferenceData!$N$222),"")</f>
        <v/>
      </c>
      <c r="J222" t="str">
        <f>IFERROR(IF(0=LEN(ReferenceData!$M$222),"",ReferenceData!$M$222),"")</f>
        <v/>
      </c>
      <c r="K222" t="str">
        <f>IFERROR(IF(0=LEN(ReferenceData!$L$222),"",ReferenceData!$L$222),"")</f>
        <v/>
      </c>
      <c r="L222" t="str">
        <f>IFERROR(IF(0=LEN(ReferenceData!$K$222),"",ReferenceData!$K$222),"")</f>
        <v/>
      </c>
      <c r="M222" t="str">
        <f>IFERROR(IF(0=LEN(ReferenceData!$J$222),"",ReferenceData!$J$222),"")</f>
        <v/>
      </c>
      <c r="N222" t="str">
        <f>IFERROR(IF(0=LEN(ReferenceData!$I$222),"",ReferenceData!$I$222),"")</f>
        <v/>
      </c>
      <c r="O222" t="str">
        <f>IFERROR(IF(0=LEN(ReferenceData!$H$222),"",ReferenceData!$H$222),"")</f>
        <v/>
      </c>
      <c r="P222" t="str">
        <f>IFERROR(IF(0=LEN(ReferenceData!$G$222),"",ReferenceData!$G$222),"")</f>
        <v/>
      </c>
      <c r="Q222" t="str">
        <f>IFERROR(IF(0=LEN(ReferenceData!$F$222),"",ReferenceData!$F$222),"")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DF88-B498-4D87-92E1-F6D1C076E9C6}">
  <dimension ref="A2:Q222"/>
  <sheetViews>
    <sheetView workbookViewId="0">
      <selection sqref="A1:XFD1048576"/>
    </sheetView>
  </sheetViews>
  <sheetFormatPr defaultRowHeight="15" x14ac:dyDescent="0.25"/>
  <sheetData>
    <row r="2" spans="1:1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</row>
    <row r="3" spans="1:17" x14ac:dyDescent="0.25">
      <c r="A3" t="s">
        <v>45</v>
      </c>
      <c r="B3" t="s">
        <v>46</v>
      </c>
      <c r="C3" t="s">
        <v>46</v>
      </c>
      <c r="D3" t="s">
        <v>46</v>
      </c>
      <c r="E3" t="s">
        <v>47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</row>
    <row r="4" spans="1:17" x14ac:dyDescent="0.25">
      <c r="A4" t="s">
        <v>48</v>
      </c>
      <c r="B4" t="s">
        <v>49</v>
      </c>
      <c r="C4" t="s">
        <v>46</v>
      </c>
      <c r="D4" t="s">
        <v>46</v>
      </c>
      <c r="E4" t="s">
        <v>50</v>
      </c>
      <c r="F4">
        <v>18.453172563333336</v>
      </c>
      <c r="G4">
        <v>1.925860069333333</v>
      </c>
      <c r="H4">
        <v>13.9889153846</v>
      </c>
      <c r="I4">
        <v>21.42179899826667</v>
      </c>
      <c r="J4">
        <v>15.031408218312501</v>
      </c>
      <c r="K4">
        <v>26.6486739899375</v>
      </c>
      <c r="L4">
        <v>8.4074593604000007</v>
      </c>
      <c r="M4">
        <v>8.5121854081333357</v>
      </c>
      <c r="N4">
        <v>6.9808094650625003</v>
      </c>
      <c r="O4">
        <v>3.4795207235294119</v>
      </c>
      <c r="P4">
        <v>6.7920567900588242</v>
      </c>
      <c r="Q4">
        <v>5.5819916998823524</v>
      </c>
    </row>
    <row r="5" spans="1:17" x14ac:dyDescent="0.25">
      <c r="A5" t="s">
        <v>51</v>
      </c>
      <c r="B5" t="s">
        <v>52</v>
      </c>
      <c r="C5" t="s">
        <v>53</v>
      </c>
      <c r="D5" t="s">
        <v>54</v>
      </c>
      <c r="E5" t="s">
        <v>55</v>
      </c>
      <c r="F5">
        <v>17.998063370000001</v>
      </c>
      <c r="G5">
        <v>-8.4651684019999998</v>
      </c>
      <c r="H5">
        <v>-0.331837669</v>
      </c>
      <c r="I5">
        <v>18.441247149999999</v>
      </c>
      <c r="J5">
        <v>8.8658597760000006</v>
      </c>
      <c r="K5">
        <v>2.069649777</v>
      </c>
      <c r="L5">
        <v>4.8706294620000001</v>
      </c>
      <c r="M5">
        <v>3.261981188</v>
      </c>
      <c r="N5">
        <v>5.7216161520000002</v>
      </c>
      <c r="O5">
        <v>5.6550266410000001</v>
      </c>
      <c r="P5">
        <v>11.497350859999999</v>
      </c>
      <c r="Q5">
        <v>5.4216677600000001</v>
      </c>
    </row>
    <row r="6" spans="1:17" x14ac:dyDescent="0.25">
      <c r="A6" t="s">
        <v>56</v>
      </c>
      <c r="B6" t="s">
        <v>57</v>
      </c>
      <c r="C6" t="s">
        <v>53</v>
      </c>
      <c r="D6" t="s">
        <v>54</v>
      </c>
      <c r="E6" t="s">
        <v>55</v>
      </c>
      <c r="F6">
        <v>11.491647370000001</v>
      </c>
      <c r="G6">
        <v>-9.4712178250000001</v>
      </c>
      <c r="H6">
        <v>4.2484350800000001</v>
      </c>
      <c r="I6">
        <v>6.484267429</v>
      </c>
      <c r="J6">
        <v>2.1768697640000001</v>
      </c>
      <c r="K6">
        <v>3.0475502350000001</v>
      </c>
      <c r="L6">
        <v>6.5090407409999997</v>
      </c>
      <c r="M6">
        <v>2.2421194980000001</v>
      </c>
      <c r="N6">
        <v>2.049958035</v>
      </c>
      <c r="O6">
        <v>4.0052939179999996</v>
      </c>
      <c r="P6">
        <v>2.7845276440000002</v>
      </c>
      <c r="Q6">
        <v>2.813499019</v>
      </c>
    </row>
    <row r="7" spans="1:17" x14ac:dyDescent="0.25">
      <c r="A7" t="s">
        <v>58</v>
      </c>
      <c r="B7" t="s">
        <v>59</v>
      </c>
      <c r="C7" t="s">
        <v>53</v>
      </c>
      <c r="D7" t="s">
        <v>54</v>
      </c>
      <c r="E7" t="s">
        <v>55</v>
      </c>
      <c r="F7">
        <v>-3.9604467670000001</v>
      </c>
      <c r="G7">
        <v>-8.8290210719999997</v>
      </c>
      <c r="H7">
        <v>-2.0752876929999999</v>
      </c>
      <c r="I7">
        <v>35.690953270000001</v>
      </c>
      <c r="J7">
        <v>29.82458716</v>
      </c>
      <c r="K7">
        <v>-2.5971529690000001</v>
      </c>
      <c r="L7">
        <v>5.0681401340000001</v>
      </c>
      <c r="M7">
        <v>18.056169350000001</v>
      </c>
      <c r="N7">
        <v>13.59037949</v>
      </c>
      <c r="O7">
        <v>-1.167436994</v>
      </c>
      <c r="P7">
        <v>-11.23707903</v>
      </c>
      <c r="Q7">
        <v>8.827948911</v>
      </c>
    </row>
    <row r="8" spans="1:17" x14ac:dyDescent="0.25">
      <c r="A8" t="s">
        <v>60</v>
      </c>
      <c r="B8" t="s">
        <v>61</v>
      </c>
      <c r="C8" t="s">
        <v>53</v>
      </c>
      <c r="D8" t="s">
        <v>54</v>
      </c>
      <c r="E8" t="s">
        <v>55</v>
      </c>
      <c r="F8">
        <v>8.0432034999999999E-2</v>
      </c>
      <c r="G8">
        <v>-3.8920780709999998</v>
      </c>
      <c r="H8">
        <v>3.8943973239999998</v>
      </c>
      <c r="I8">
        <v>11.45222491</v>
      </c>
      <c r="J8">
        <v>5.8908490660000004</v>
      </c>
      <c r="K8">
        <v>-1.6757599379999999</v>
      </c>
      <c r="L8">
        <v>4.7661514069999997</v>
      </c>
      <c r="M8">
        <v>12.692707840000001</v>
      </c>
      <c r="N8">
        <v>5.2370960970000002</v>
      </c>
      <c r="O8">
        <v>-0.11165164700000001</v>
      </c>
      <c r="P8">
        <v>5.3652694609999996</v>
      </c>
      <c r="Q8">
        <v>7.0319011900000001</v>
      </c>
    </row>
    <row r="9" spans="1:17" x14ac:dyDescent="0.25">
      <c r="A9" t="s">
        <v>62</v>
      </c>
      <c r="B9" t="s">
        <v>63</v>
      </c>
      <c r="C9" t="s">
        <v>53</v>
      </c>
      <c r="D9" t="s">
        <v>54</v>
      </c>
      <c r="E9" t="s">
        <v>55</v>
      </c>
      <c r="F9">
        <v>1.979061323</v>
      </c>
      <c r="G9">
        <v>3.2191691919999998</v>
      </c>
      <c r="H9">
        <v>-2.4324204919999999</v>
      </c>
      <c r="I9">
        <v>13.17817743</v>
      </c>
      <c r="J9">
        <v>12.985784369999999</v>
      </c>
      <c r="K9">
        <v>111.3089828</v>
      </c>
      <c r="L9">
        <v>4.1158500309999999</v>
      </c>
      <c r="M9">
        <v>-2.0247832030000001</v>
      </c>
      <c r="N9">
        <v>3.8511160000000002</v>
      </c>
      <c r="O9">
        <v>1.5145371299999999</v>
      </c>
      <c r="P9">
        <v>6.1019361249999999</v>
      </c>
      <c r="Q9">
        <v>5.2526305039999999</v>
      </c>
    </row>
    <row r="10" spans="1:17" x14ac:dyDescent="0.25">
      <c r="A10" t="s">
        <v>64</v>
      </c>
      <c r="B10" t="s">
        <v>65</v>
      </c>
      <c r="C10" t="s">
        <v>53</v>
      </c>
      <c r="D10" t="s">
        <v>54</v>
      </c>
      <c r="E10" t="s">
        <v>55</v>
      </c>
      <c r="F10">
        <v>31.875554009999998</v>
      </c>
      <c r="G10">
        <v>16.41722627</v>
      </c>
      <c r="H10">
        <v>40.068954939999998</v>
      </c>
      <c r="I10">
        <v>33.289144280000002</v>
      </c>
      <c r="J10">
        <v>20.01772214</v>
      </c>
      <c r="K10">
        <v>20.373275769999999</v>
      </c>
      <c r="L10">
        <v>16.05202603</v>
      </c>
      <c r="M10">
        <v>20.981807910000001</v>
      </c>
      <c r="N10">
        <v>8.6259664950000001</v>
      </c>
      <c r="O10">
        <v>9.8094461329999998</v>
      </c>
      <c r="P10">
        <v>8.8791357190000006</v>
      </c>
      <c r="Q10">
        <v>4.0806201550000001</v>
      </c>
    </row>
    <row r="11" spans="1:17" x14ac:dyDescent="0.25">
      <c r="A11" t="s">
        <v>66</v>
      </c>
      <c r="B11" t="s">
        <v>67</v>
      </c>
      <c r="C11" t="s">
        <v>53</v>
      </c>
      <c r="D11" t="s">
        <v>54</v>
      </c>
      <c r="E11" t="s">
        <v>55</v>
      </c>
      <c r="F11" t="s">
        <v>46</v>
      </c>
      <c r="G11" t="s">
        <v>46</v>
      </c>
      <c r="H11" t="s">
        <v>46</v>
      </c>
      <c r="I11" t="s">
        <v>46</v>
      </c>
      <c r="J11">
        <v>9.5473382210000004</v>
      </c>
      <c r="K11">
        <v>8.7298123000000005E-2</v>
      </c>
      <c r="L11">
        <v>0.85768280299999999</v>
      </c>
      <c r="M11">
        <v>-3.9780916689999999</v>
      </c>
      <c r="N11">
        <v>-3.8126688679999998</v>
      </c>
      <c r="O11">
        <v>-6.0237203499999996</v>
      </c>
      <c r="P11">
        <v>-10.445034870000001</v>
      </c>
      <c r="Q11">
        <v>-17.170406079999999</v>
      </c>
    </row>
    <row r="12" spans="1:17" x14ac:dyDescent="0.25">
      <c r="A12" t="s">
        <v>68</v>
      </c>
      <c r="B12" t="s">
        <v>69</v>
      </c>
      <c r="C12" t="s">
        <v>53</v>
      </c>
      <c r="D12" t="s">
        <v>54</v>
      </c>
      <c r="E12" t="s">
        <v>55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>
        <v>-14.41679137</v>
      </c>
      <c r="P12">
        <v>-4.5092716150000003</v>
      </c>
      <c r="Q12">
        <v>-5.6666506050000001</v>
      </c>
    </row>
    <row r="13" spans="1:17" x14ac:dyDescent="0.25">
      <c r="A13" t="s">
        <v>70</v>
      </c>
      <c r="B13" t="s">
        <v>71</v>
      </c>
      <c r="C13" t="s">
        <v>53</v>
      </c>
      <c r="D13" t="s">
        <v>54</v>
      </c>
      <c r="E13" t="s">
        <v>55</v>
      </c>
      <c r="F13">
        <v>40.849664609999998</v>
      </c>
      <c r="G13">
        <v>-6.6568305189999997</v>
      </c>
      <c r="H13">
        <v>47.94283008</v>
      </c>
      <c r="I13">
        <v>50.80784766</v>
      </c>
      <c r="J13">
        <v>29.674945000000001</v>
      </c>
      <c r="K13">
        <v>27.96640841</v>
      </c>
      <c r="L13">
        <v>31.508672950000001</v>
      </c>
      <c r="M13">
        <v>25.218382330000001</v>
      </c>
      <c r="N13">
        <v>26.9113297</v>
      </c>
      <c r="O13">
        <v>25.02439378</v>
      </c>
      <c r="P13">
        <v>27.058122730000001</v>
      </c>
      <c r="Q13">
        <v>24.465953880000001</v>
      </c>
    </row>
    <row r="14" spans="1:17" x14ac:dyDescent="0.25">
      <c r="A14" t="s">
        <v>72</v>
      </c>
      <c r="B14" t="s">
        <v>73</v>
      </c>
      <c r="C14" t="s">
        <v>53</v>
      </c>
      <c r="D14" t="s">
        <v>54</v>
      </c>
      <c r="E14" t="s">
        <v>55</v>
      </c>
      <c r="F14">
        <v>26.443594340000001</v>
      </c>
      <c r="G14">
        <v>7.6114933320000002</v>
      </c>
      <c r="H14">
        <v>12.40028534</v>
      </c>
      <c r="I14">
        <v>27.1233547</v>
      </c>
      <c r="J14">
        <v>18.840803380000001</v>
      </c>
      <c r="K14">
        <v>12.09408556</v>
      </c>
      <c r="L14">
        <v>6.9156288679999998</v>
      </c>
      <c r="M14">
        <v>7.9671392689999996</v>
      </c>
      <c r="N14">
        <v>4.4579454900000002</v>
      </c>
      <c r="O14">
        <v>6.4639740220000004</v>
      </c>
      <c r="P14">
        <v>9.6407689059999999</v>
      </c>
      <c r="Q14">
        <v>17.320538920000001</v>
      </c>
    </row>
    <row r="15" spans="1:17" x14ac:dyDescent="0.25">
      <c r="A15" t="s">
        <v>74</v>
      </c>
      <c r="B15" t="s">
        <v>75</v>
      </c>
      <c r="C15" t="s">
        <v>53</v>
      </c>
      <c r="D15" t="s">
        <v>54</v>
      </c>
      <c r="E15" t="s">
        <v>55</v>
      </c>
      <c r="F15">
        <v>35.259917649999998</v>
      </c>
      <c r="G15">
        <v>18.641153299999999</v>
      </c>
      <c r="H15">
        <v>29.614816390000001</v>
      </c>
      <c r="I15">
        <v>32.421999909999997</v>
      </c>
      <c r="J15">
        <v>22.805494809999999</v>
      </c>
      <c r="K15">
        <v>14.86114967</v>
      </c>
      <c r="L15" t="s">
        <v>46</v>
      </c>
      <c r="M15" t="s">
        <v>46</v>
      </c>
      <c r="N15">
        <v>16.585612229999999</v>
      </c>
      <c r="O15">
        <v>6.309913506</v>
      </c>
      <c r="P15">
        <v>10.053998350000001</v>
      </c>
      <c r="Q15">
        <v>15.10124647</v>
      </c>
    </row>
    <row r="16" spans="1:17" x14ac:dyDescent="0.25">
      <c r="A16" t="s">
        <v>76</v>
      </c>
      <c r="B16" t="s">
        <v>77</v>
      </c>
      <c r="C16" t="s">
        <v>53</v>
      </c>
      <c r="D16" t="s">
        <v>54</v>
      </c>
      <c r="E16" t="s">
        <v>55</v>
      </c>
      <c r="F16">
        <v>9.7780785689999998</v>
      </c>
      <c r="G16">
        <v>5.6179175609999996</v>
      </c>
      <c r="H16">
        <v>1.7425664890000001</v>
      </c>
      <c r="I16">
        <v>5.1408228730000003</v>
      </c>
      <c r="J16">
        <v>9.3913137280000001</v>
      </c>
      <c r="K16">
        <v>-0.91489911499999999</v>
      </c>
      <c r="L16">
        <v>0.81713807400000005</v>
      </c>
      <c r="M16">
        <v>-2.977686329</v>
      </c>
      <c r="N16">
        <v>-4.9501053180000003</v>
      </c>
      <c r="O16">
        <v>11.137649270000001</v>
      </c>
      <c r="P16">
        <v>3.0778540040000002</v>
      </c>
      <c r="Q16">
        <v>3.2284972779999999</v>
      </c>
    </row>
    <row r="17" spans="1:17" x14ac:dyDescent="0.25">
      <c r="A17" t="s">
        <v>78</v>
      </c>
      <c r="B17" t="s">
        <v>79</v>
      </c>
      <c r="C17" t="s">
        <v>53</v>
      </c>
      <c r="D17" t="s">
        <v>54</v>
      </c>
      <c r="E17" t="s">
        <v>55</v>
      </c>
      <c r="F17">
        <v>29.960460099999999</v>
      </c>
      <c r="G17">
        <v>4.8356612730000004</v>
      </c>
      <c r="H17">
        <v>20.926039930000002</v>
      </c>
      <c r="I17">
        <v>22.664630379999998</v>
      </c>
      <c r="J17">
        <v>19.618189359999999</v>
      </c>
      <c r="K17">
        <v>24.239195079999998</v>
      </c>
      <c r="L17">
        <v>6.355095446</v>
      </c>
      <c r="M17">
        <v>17.108347869999999</v>
      </c>
      <c r="N17">
        <v>9.6779359720000002</v>
      </c>
      <c r="O17">
        <v>2.9758775769999999</v>
      </c>
      <c r="P17">
        <v>17.23292022</v>
      </c>
      <c r="Q17">
        <v>9.8167523439999993</v>
      </c>
    </row>
    <row r="18" spans="1:17" x14ac:dyDescent="0.25">
      <c r="A18" t="s">
        <v>80</v>
      </c>
      <c r="B18" t="s">
        <v>81</v>
      </c>
      <c r="C18" t="s">
        <v>53</v>
      </c>
      <c r="D18" t="s">
        <v>54</v>
      </c>
      <c r="E18" t="s">
        <v>55</v>
      </c>
      <c r="F18">
        <v>4.9035288399999999</v>
      </c>
      <c r="G18">
        <v>-7.59625591</v>
      </c>
      <c r="H18">
        <v>4.2941581900000001</v>
      </c>
      <c r="I18">
        <v>7.055171723</v>
      </c>
      <c r="J18">
        <v>-3.7805379920000002</v>
      </c>
      <c r="K18">
        <v>-4.3810875439999997</v>
      </c>
      <c r="L18">
        <v>-5.6665345089999999</v>
      </c>
      <c r="M18">
        <v>-11.910381170000001</v>
      </c>
      <c r="N18">
        <v>-2.2289915709999999</v>
      </c>
      <c r="O18">
        <v>-0.97598818799999998</v>
      </c>
      <c r="P18">
        <v>0.57114696899999995</v>
      </c>
      <c r="Q18">
        <v>-3.070698948</v>
      </c>
    </row>
    <row r="19" spans="1:17" x14ac:dyDescent="0.25">
      <c r="A19" t="s">
        <v>82</v>
      </c>
      <c r="B19" t="s">
        <v>83</v>
      </c>
      <c r="C19" t="s">
        <v>53</v>
      </c>
      <c r="D19" t="s">
        <v>54</v>
      </c>
      <c r="E19" t="s">
        <v>55</v>
      </c>
      <c r="F19">
        <v>22.959638399999999</v>
      </c>
      <c r="G19">
        <v>7.9676754079999998</v>
      </c>
      <c r="H19">
        <v>24.295212750000001</v>
      </c>
      <c r="I19">
        <v>30.996575709999998</v>
      </c>
      <c r="J19">
        <v>28.829097659999999</v>
      </c>
      <c r="K19">
        <v>29.877814520000001</v>
      </c>
      <c r="L19">
        <v>15.69386437</v>
      </c>
      <c r="M19">
        <v>14.789038720000001</v>
      </c>
      <c r="N19">
        <v>8.5783185759999991</v>
      </c>
      <c r="O19">
        <v>4.3554922600000001</v>
      </c>
      <c r="P19">
        <v>18.975013000000001</v>
      </c>
      <c r="Q19">
        <v>7.1594873789999998</v>
      </c>
    </row>
    <row r="20" spans="1:17" x14ac:dyDescent="0.25">
      <c r="A20" t="s">
        <v>84</v>
      </c>
      <c r="B20" t="s">
        <v>85</v>
      </c>
      <c r="C20" t="s">
        <v>53</v>
      </c>
      <c r="D20" t="s">
        <v>54</v>
      </c>
      <c r="E20" t="s">
        <v>55</v>
      </c>
      <c r="F20">
        <v>18.549693319999999</v>
      </c>
      <c r="G20">
        <v>3.5993459809999999</v>
      </c>
      <c r="H20">
        <v>11.12984823</v>
      </c>
      <c r="I20">
        <v>6.7993463289999996</v>
      </c>
      <c r="J20">
        <v>25.199919850000001</v>
      </c>
      <c r="K20">
        <v>173.9869928</v>
      </c>
      <c r="L20">
        <v>20.125428809999999</v>
      </c>
      <c r="M20">
        <v>17.120589890000002</v>
      </c>
      <c r="N20">
        <v>9.9893561609999999</v>
      </c>
      <c r="O20">
        <v>5.6007384839999999</v>
      </c>
      <c r="P20">
        <v>12.89836187</v>
      </c>
      <c r="Q20">
        <v>6.1181655690000003</v>
      </c>
    </row>
    <row r="21" spans="1:17" x14ac:dyDescent="0.25">
      <c r="A21" t="s">
        <v>86</v>
      </c>
      <c r="B21" t="s">
        <v>87</v>
      </c>
      <c r="C21" t="s">
        <v>53</v>
      </c>
      <c r="D21" t="s">
        <v>54</v>
      </c>
      <c r="E21" t="s">
        <v>55</v>
      </c>
      <c r="F21">
        <v>28.628701280000001</v>
      </c>
      <c r="G21">
        <v>5.8888305220000001</v>
      </c>
      <c r="H21">
        <v>14.11573188</v>
      </c>
      <c r="I21">
        <v>19.781221219999999</v>
      </c>
      <c r="J21">
        <v>0.61429520000000004</v>
      </c>
      <c r="K21">
        <v>16.035280660000002</v>
      </c>
      <c r="L21">
        <v>8.1230757889999996</v>
      </c>
      <c r="M21">
        <v>9.1354396280000003</v>
      </c>
      <c r="N21">
        <v>7.4080868000000004</v>
      </c>
      <c r="O21">
        <v>-1.004901872</v>
      </c>
      <c r="P21">
        <v>7.5199450880000001</v>
      </c>
      <c r="Q21">
        <v>4.162705152</v>
      </c>
    </row>
    <row r="22" spans="1:17" x14ac:dyDescent="0.25">
      <c r="A22" t="s">
        <v>88</v>
      </c>
      <c r="B22" t="s">
        <v>49</v>
      </c>
      <c r="C22" t="s">
        <v>46</v>
      </c>
      <c r="D22" t="s">
        <v>46</v>
      </c>
      <c r="E22" t="s">
        <v>50</v>
      </c>
      <c r="F22">
        <v>23.005896214500002</v>
      </c>
      <c r="G22">
        <v>14.935493464466667</v>
      </c>
      <c r="H22">
        <v>11.060105053866668</v>
      </c>
      <c r="I22">
        <v>11.924707142533332</v>
      </c>
      <c r="J22">
        <v>16.71235553813333</v>
      </c>
      <c r="K22">
        <v>19.634570966999998</v>
      </c>
      <c r="L22">
        <v>15.319241979666664</v>
      </c>
      <c r="M22">
        <v>13.224117087733333</v>
      </c>
      <c r="N22">
        <v>7.7024082493333328</v>
      </c>
      <c r="O22">
        <v>6.3493847076000005</v>
      </c>
      <c r="P22">
        <v>6.305733188375001</v>
      </c>
      <c r="Q22">
        <v>5.2886489293529406</v>
      </c>
    </row>
    <row r="23" spans="1:17" x14ac:dyDescent="0.25">
      <c r="A23" t="s">
        <v>51</v>
      </c>
      <c r="B23" t="s">
        <v>52</v>
      </c>
      <c r="C23" t="s">
        <v>89</v>
      </c>
      <c r="D23" t="s">
        <v>90</v>
      </c>
      <c r="E23" t="s">
        <v>55</v>
      </c>
      <c r="F23">
        <v>13.981527679999999</v>
      </c>
      <c r="G23">
        <v>8.3258600539999996</v>
      </c>
      <c r="H23">
        <v>2.4878948090000002</v>
      </c>
      <c r="I23">
        <v>2.6160444420000002</v>
      </c>
      <c r="J23">
        <v>8.7219024279999999</v>
      </c>
      <c r="K23">
        <v>9.5881934540000007</v>
      </c>
      <c r="L23">
        <v>5.2318976360000002</v>
      </c>
      <c r="M23">
        <v>3.3943921079999999</v>
      </c>
      <c r="N23">
        <v>4.613092473</v>
      </c>
      <c r="O23">
        <v>4.8732685</v>
      </c>
      <c r="P23">
        <v>7.5902298689999999</v>
      </c>
      <c r="Q23">
        <v>7.4883835120000004</v>
      </c>
    </row>
    <row r="24" spans="1:17" x14ac:dyDescent="0.25">
      <c r="A24" t="s">
        <v>56</v>
      </c>
      <c r="B24" t="s">
        <v>57</v>
      </c>
      <c r="C24" t="s">
        <v>89</v>
      </c>
      <c r="D24" t="s">
        <v>90</v>
      </c>
      <c r="E24" t="s">
        <v>55</v>
      </c>
      <c r="F24">
        <v>15.756712889999999</v>
      </c>
      <c r="G24">
        <v>4.8979733019999996</v>
      </c>
      <c r="H24">
        <v>1.7105926760000001</v>
      </c>
      <c r="I24">
        <v>0.164514416</v>
      </c>
      <c r="J24">
        <v>4.288365733</v>
      </c>
      <c r="K24">
        <v>3.886369894</v>
      </c>
      <c r="L24">
        <v>3.8944255750000001</v>
      </c>
      <c r="M24">
        <v>3.9165363879999999</v>
      </c>
      <c r="N24">
        <v>3.5801134960000001</v>
      </c>
      <c r="O24">
        <v>2.7620375199999998</v>
      </c>
      <c r="P24">
        <v>2.9434392370000002</v>
      </c>
      <c r="Q24">
        <v>3.1995435809999999</v>
      </c>
    </row>
    <row r="25" spans="1:17" x14ac:dyDescent="0.25">
      <c r="A25" t="s">
        <v>58</v>
      </c>
      <c r="B25" t="s">
        <v>59</v>
      </c>
      <c r="C25" t="s">
        <v>89</v>
      </c>
      <c r="D25" t="s">
        <v>90</v>
      </c>
      <c r="E25" t="s">
        <v>55</v>
      </c>
      <c r="F25">
        <v>0.99515040099999996</v>
      </c>
      <c r="G25">
        <v>-1.69559427</v>
      </c>
      <c r="H25">
        <v>-4.9979410350000002</v>
      </c>
      <c r="I25">
        <v>6.6023074490000004</v>
      </c>
      <c r="J25">
        <v>19.931532359999999</v>
      </c>
      <c r="K25">
        <v>19.718104400000001</v>
      </c>
      <c r="L25">
        <v>9.9342999889999994</v>
      </c>
      <c r="M25">
        <v>6.5067488009999996</v>
      </c>
      <c r="N25">
        <v>12.10726584</v>
      </c>
      <c r="O25">
        <v>9.8441076850000009</v>
      </c>
      <c r="P25">
        <v>-0.11711806800000001</v>
      </c>
      <c r="Q25">
        <v>-1.533002411</v>
      </c>
    </row>
    <row r="26" spans="1:17" x14ac:dyDescent="0.25">
      <c r="A26" t="s">
        <v>60</v>
      </c>
      <c r="B26" t="s">
        <v>61</v>
      </c>
      <c r="C26" t="s">
        <v>89</v>
      </c>
      <c r="D26" t="s">
        <v>90</v>
      </c>
      <c r="E26" t="s">
        <v>55</v>
      </c>
      <c r="F26">
        <v>7.7939755789999996</v>
      </c>
      <c r="G26">
        <v>2.8242472699999999</v>
      </c>
      <c r="H26">
        <v>-2.2985864000000002E-2</v>
      </c>
      <c r="I26">
        <v>3.6286926469999998</v>
      </c>
      <c r="J26">
        <v>7.0318668549999996</v>
      </c>
      <c r="K26">
        <v>5.0838374399999999</v>
      </c>
      <c r="L26">
        <v>2.9390145780000001</v>
      </c>
      <c r="M26">
        <v>5.0975199340000001</v>
      </c>
      <c r="N26">
        <v>7.5049727669999999</v>
      </c>
      <c r="O26">
        <v>5.8099479570000003</v>
      </c>
      <c r="P26">
        <v>3.46506224</v>
      </c>
      <c r="Q26">
        <v>4.0499441349999996</v>
      </c>
    </row>
    <row r="27" spans="1:17" x14ac:dyDescent="0.25">
      <c r="A27" t="s">
        <v>62</v>
      </c>
      <c r="B27" t="s">
        <v>63</v>
      </c>
      <c r="C27" t="s">
        <v>89</v>
      </c>
      <c r="D27" t="s">
        <v>90</v>
      </c>
      <c r="E27" t="s">
        <v>55</v>
      </c>
      <c r="F27">
        <v>0.179430752</v>
      </c>
      <c r="G27">
        <v>4.0732193759999999</v>
      </c>
      <c r="H27">
        <v>0.89251934399999999</v>
      </c>
      <c r="I27">
        <v>4.4582779590000001</v>
      </c>
      <c r="J27">
        <v>7.654125466</v>
      </c>
      <c r="K27">
        <v>39.284082179999999</v>
      </c>
      <c r="L27">
        <v>35.462640810000003</v>
      </c>
      <c r="M27">
        <v>29.17654975</v>
      </c>
      <c r="N27">
        <v>1.9408107809999999</v>
      </c>
      <c r="O27">
        <v>1.0846503599999999</v>
      </c>
      <c r="P27">
        <v>3.8056291949999999</v>
      </c>
      <c r="Q27">
        <v>4.2705110460000002</v>
      </c>
    </row>
    <row r="28" spans="1:17" x14ac:dyDescent="0.25">
      <c r="A28" t="s">
        <v>64</v>
      </c>
      <c r="B28" t="s">
        <v>65</v>
      </c>
      <c r="C28" t="s">
        <v>89</v>
      </c>
      <c r="D28" t="s">
        <v>90</v>
      </c>
      <c r="E28" t="s">
        <v>55</v>
      </c>
      <c r="F28">
        <v>47.04255801</v>
      </c>
      <c r="G28">
        <v>32.038867060000001</v>
      </c>
      <c r="H28">
        <v>29.074705959999999</v>
      </c>
      <c r="I28">
        <v>29.534257069999999</v>
      </c>
      <c r="J28">
        <v>30.856113090000001</v>
      </c>
      <c r="K28">
        <v>24.410417160000002</v>
      </c>
      <c r="L28">
        <v>18.798072789999999</v>
      </c>
      <c r="M28">
        <v>19.115320990000001</v>
      </c>
      <c r="N28">
        <v>15.10710999</v>
      </c>
      <c r="O28">
        <v>13.005038669999999</v>
      </c>
      <c r="P28">
        <v>9.1036650469999998</v>
      </c>
      <c r="Q28">
        <v>7.5601532569999996</v>
      </c>
    </row>
    <row r="29" spans="1:17" x14ac:dyDescent="0.25">
      <c r="A29" t="s">
        <v>66</v>
      </c>
      <c r="B29" t="s">
        <v>67</v>
      </c>
      <c r="C29" t="s">
        <v>89</v>
      </c>
      <c r="D29" t="s">
        <v>90</v>
      </c>
      <c r="E29" t="s">
        <v>55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>
        <v>3.410171976</v>
      </c>
      <c r="M29">
        <v>-1.0339823450000001</v>
      </c>
      <c r="N29">
        <v>-2.3364744339999999</v>
      </c>
      <c r="O29">
        <v>-4.6101530689999999</v>
      </c>
      <c r="P29">
        <v>-6.8015698020000004</v>
      </c>
      <c r="Q29">
        <v>-11.33249601</v>
      </c>
    </row>
    <row r="30" spans="1:17" x14ac:dyDescent="0.25">
      <c r="A30" t="s">
        <v>68</v>
      </c>
      <c r="B30" t="s">
        <v>69</v>
      </c>
      <c r="C30" t="s">
        <v>89</v>
      </c>
      <c r="D30" t="s">
        <v>90</v>
      </c>
      <c r="E30" t="s">
        <v>55</v>
      </c>
      <c r="F30" t="s">
        <v>46</v>
      </c>
      <c r="G30" t="s">
        <v>46</v>
      </c>
      <c r="H30" t="s">
        <v>46</v>
      </c>
      <c r="I30" t="s">
        <v>46</v>
      </c>
      <c r="J30" t="s">
        <v>46</v>
      </c>
      <c r="K30" t="s">
        <v>46</v>
      </c>
      <c r="L30" t="s">
        <v>46</v>
      </c>
      <c r="M30" t="s">
        <v>46</v>
      </c>
      <c r="N30" t="s">
        <v>46</v>
      </c>
      <c r="O30" t="s">
        <v>46</v>
      </c>
      <c r="P30" t="s">
        <v>46</v>
      </c>
      <c r="Q30">
        <v>-8.3065440190000004</v>
      </c>
    </row>
    <row r="31" spans="1:17" x14ac:dyDescent="0.25">
      <c r="A31" t="s">
        <v>70</v>
      </c>
      <c r="B31" t="s">
        <v>71</v>
      </c>
      <c r="C31" t="s">
        <v>89</v>
      </c>
      <c r="D31" t="s">
        <v>90</v>
      </c>
      <c r="E31" t="s">
        <v>55</v>
      </c>
      <c r="F31" t="s">
        <v>46</v>
      </c>
      <c r="G31">
        <v>29.028105849999999</v>
      </c>
      <c r="H31">
        <v>24.827640330000001</v>
      </c>
      <c r="I31">
        <v>27.70271653</v>
      </c>
      <c r="J31">
        <v>42.492272309999997</v>
      </c>
      <c r="K31">
        <v>35.76630497</v>
      </c>
      <c r="L31">
        <v>29.70861326</v>
      </c>
      <c r="M31">
        <v>28.205351889999999</v>
      </c>
      <c r="N31">
        <v>27.852029470000002</v>
      </c>
      <c r="O31">
        <v>25.715187350000001</v>
      </c>
      <c r="P31">
        <v>26.32787634</v>
      </c>
      <c r="Q31">
        <v>25.511230640000001</v>
      </c>
    </row>
    <row r="32" spans="1:17" x14ac:dyDescent="0.25">
      <c r="A32" t="s">
        <v>72</v>
      </c>
      <c r="B32" t="s">
        <v>73</v>
      </c>
      <c r="C32" t="s">
        <v>89</v>
      </c>
      <c r="D32" t="s">
        <v>90</v>
      </c>
      <c r="E32" t="s">
        <v>55</v>
      </c>
      <c r="F32">
        <v>28.382291519999999</v>
      </c>
      <c r="G32">
        <v>22.250485860000001</v>
      </c>
      <c r="H32">
        <v>15.21463144</v>
      </c>
      <c r="I32">
        <v>15.42072705</v>
      </c>
      <c r="J32">
        <v>19.30338862</v>
      </c>
      <c r="K32">
        <v>19.194955050000001</v>
      </c>
      <c r="L32">
        <v>12.511390159999999</v>
      </c>
      <c r="M32">
        <v>8.9695512720000004</v>
      </c>
      <c r="N32">
        <v>6.4367053619999997</v>
      </c>
      <c r="O32">
        <v>6.2866165909999996</v>
      </c>
      <c r="P32">
        <v>6.8329961700000004</v>
      </c>
      <c r="Q32">
        <v>11.04941243</v>
      </c>
    </row>
    <row r="33" spans="1:17" x14ac:dyDescent="0.25">
      <c r="A33" t="s">
        <v>74</v>
      </c>
      <c r="B33" t="s">
        <v>75</v>
      </c>
      <c r="C33" t="s">
        <v>89</v>
      </c>
      <c r="D33" t="s">
        <v>90</v>
      </c>
      <c r="E33" t="s">
        <v>55</v>
      </c>
      <c r="F33">
        <v>30.796087719999999</v>
      </c>
      <c r="G33">
        <v>25.98798729</v>
      </c>
      <c r="H33">
        <v>27.649673750000002</v>
      </c>
      <c r="I33">
        <v>26.750607760000001</v>
      </c>
      <c r="J33">
        <v>28.216582500000001</v>
      </c>
      <c r="K33">
        <v>15.595081950000001</v>
      </c>
      <c r="L33" t="s">
        <v>46</v>
      </c>
      <c r="M33" t="s">
        <v>46</v>
      </c>
      <c r="N33" t="s">
        <v>46</v>
      </c>
      <c r="O33" t="s">
        <v>46</v>
      </c>
      <c r="P33">
        <v>11.45231126</v>
      </c>
      <c r="Q33">
        <v>11.8763953</v>
      </c>
    </row>
    <row r="34" spans="1:17" x14ac:dyDescent="0.25">
      <c r="A34" t="s">
        <v>76</v>
      </c>
      <c r="B34" t="s">
        <v>77</v>
      </c>
      <c r="C34" t="s">
        <v>89</v>
      </c>
      <c r="D34" t="s">
        <v>90</v>
      </c>
      <c r="E34" t="s">
        <v>55</v>
      </c>
      <c r="F34">
        <v>25.55562922</v>
      </c>
      <c r="G34">
        <v>21.33972206</v>
      </c>
      <c r="H34">
        <v>5.6619540580000001</v>
      </c>
      <c r="I34">
        <v>4.1527049659999999</v>
      </c>
      <c r="J34">
        <v>5.3785696559999998</v>
      </c>
      <c r="K34">
        <v>4.4529849180000003</v>
      </c>
      <c r="L34">
        <v>3.001097659</v>
      </c>
      <c r="M34">
        <v>-1.0373196920000001</v>
      </c>
      <c r="N34">
        <v>-2.3993873200000002</v>
      </c>
      <c r="O34">
        <v>0.82343538000000005</v>
      </c>
      <c r="P34">
        <v>2.8788430470000002</v>
      </c>
      <c r="Q34">
        <v>5.7487867359999996</v>
      </c>
    </row>
    <row r="35" spans="1:17" x14ac:dyDescent="0.25">
      <c r="A35" t="s">
        <v>78</v>
      </c>
      <c r="B35" t="s">
        <v>79</v>
      </c>
      <c r="C35" t="s">
        <v>89</v>
      </c>
      <c r="D35" t="s">
        <v>90</v>
      </c>
      <c r="E35" t="s">
        <v>55</v>
      </c>
      <c r="F35">
        <v>31.586807490000002</v>
      </c>
      <c r="G35">
        <v>17.85396725</v>
      </c>
      <c r="H35">
        <v>18.108196159999999</v>
      </c>
      <c r="I35">
        <v>15.855344990000001</v>
      </c>
      <c r="J35">
        <v>21.063196479999998</v>
      </c>
      <c r="K35">
        <v>22.158887589999999</v>
      </c>
      <c r="L35">
        <v>16.485370400000001</v>
      </c>
      <c r="M35">
        <v>15.664902189999999</v>
      </c>
      <c r="N35">
        <v>10.957111279999999</v>
      </c>
      <c r="O35">
        <v>9.7692949969999994</v>
      </c>
      <c r="P35">
        <v>9.8082030509999996</v>
      </c>
      <c r="Q35">
        <v>9.8545106029999996</v>
      </c>
    </row>
    <row r="36" spans="1:17" x14ac:dyDescent="0.25">
      <c r="A36" t="s">
        <v>80</v>
      </c>
      <c r="B36" t="s">
        <v>81</v>
      </c>
      <c r="C36" t="s">
        <v>89</v>
      </c>
      <c r="D36" t="s">
        <v>90</v>
      </c>
      <c r="E36" t="s">
        <v>55</v>
      </c>
      <c r="F36">
        <v>4.3762497509999996</v>
      </c>
      <c r="G36">
        <v>1.5558509149999999</v>
      </c>
      <c r="H36">
        <v>0.36444401999999998</v>
      </c>
      <c r="I36">
        <v>1.045986463</v>
      </c>
      <c r="J36">
        <v>2.4181326539999999</v>
      </c>
      <c r="K36">
        <v>-0.50418995099999997</v>
      </c>
      <c r="L36">
        <v>-4.612638102</v>
      </c>
      <c r="M36">
        <v>-7.3785789399999997</v>
      </c>
      <c r="N36">
        <v>-6.6888507859999997</v>
      </c>
      <c r="O36">
        <v>-5.1672275279999997</v>
      </c>
      <c r="P36">
        <v>-0.88455428899999999</v>
      </c>
      <c r="Q36">
        <v>-1.169801621</v>
      </c>
    </row>
    <row r="37" spans="1:17" x14ac:dyDescent="0.25">
      <c r="A37" t="s">
        <v>82</v>
      </c>
      <c r="B37" t="s">
        <v>83</v>
      </c>
      <c r="C37" t="s">
        <v>89</v>
      </c>
      <c r="D37" t="s">
        <v>90</v>
      </c>
      <c r="E37" t="s">
        <v>55</v>
      </c>
      <c r="F37">
        <v>28.03239602</v>
      </c>
      <c r="G37">
        <v>17.133353329999998</v>
      </c>
      <c r="H37">
        <v>18.169004470000001</v>
      </c>
      <c r="I37">
        <v>20.689465909999999</v>
      </c>
      <c r="J37">
        <v>28.009667660000002</v>
      </c>
      <c r="K37">
        <v>29.898148249999998</v>
      </c>
      <c r="L37">
        <v>24.629184949999999</v>
      </c>
      <c r="M37">
        <v>19.926522179999999</v>
      </c>
      <c r="N37">
        <v>12.975590370000001</v>
      </c>
      <c r="O37">
        <v>9.1573408300000008</v>
      </c>
      <c r="P37">
        <v>10.468399359999999</v>
      </c>
      <c r="Q37">
        <v>9.9851115929999992</v>
      </c>
    </row>
    <row r="38" spans="1:17" x14ac:dyDescent="0.25">
      <c r="A38" t="s">
        <v>84</v>
      </c>
      <c r="B38" t="s">
        <v>85</v>
      </c>
      <c r="C38" t="s">
        <v>89</v>
      </c>
      <c r="D38" t="s">
        <v>90</v>
      </c>
      <c r="E38" t="s">
        <v>55</v>
      </c>
      <c r="F38">
        <v>53.275777040000001</v>
      </c>
      <c r="G38">
        <v>16.45054592</v>
      </c>
      <c r="H38">
        <v>10.92498788</v>
      </c>
      <c r="I38">
        <v>7.1318924160000003</v>
      </c>
      <c r="J38">
        <v>14.11282462</v>
      </c>
      <c r="K38">
        <v>54.158519339999998</v>
      </c>
      <c r="L38">
        <v>60.320717989999999</v>
      </c>
      <c r="M38">
        <v>56.795182840000002</v>
      </c>
      <c r="N38">
        <v>15.66615191</v>
      </c>
      <c r="O38">
        <v>10.80268609</v>
      </c>
      <c r="P38">
        <v>9.4548689180000007</v>
      </c>
      <c r="Q38">
        <v>8.1553756029999995</v>
      </c>
    </row>
    <row r="39" spans="1:17" x14ac:dyDescent="0.25">
      <c r="A39" t="s">
        <v>86</v>
      </c>
      <c r="B39" t="s">
        <v>87</v>
      </c>
      <c r="C39" t="s">
        <v>89</v>
      </c>
      <c r="D39" t="s">
        <v>90</v>
      </c>
      <c r="E39" t="s">
        <v>55</v>
      </c>
      <c r="F39">
        <v>34.327952930000002</v>
      </c>
      <c r="G39">
        <v>21.967810700000001</v>
      </c>
      <c r="H39">
        <v>15.836257809999999</v>
      </c>
      <c r="I39">
        <v>13.117067069999999</v>
      </c>
      <c r="J39">
        <v>11.20679264</v>
      </c>
      <c r="K39">
        <v>11.82686786</v>
      </c>
      <c r="L39">
        <v>8.0743700240000003</v>
      </c>
      <c r="M39">
        <v>11.043058950000001</v>
      </c>
      <c r="N39">
        <v>8.2198825410000005</v>
      </c>
      <c r="O39">
        <v>5.0845392809999996</v>
      </c>
      <c r="P39">
        <v>4.5634494390000002</v>
      </c>
      <c r="Q39">
        <v>3.499517424</v>
      </c>
    </row>
    <row r="40" spans="1:17" x14ac:dyDescent="0.25">
      <c r="A40" t="s">
        <v>91</v>
      </c>
      <c r="B40" t="s">
        <v>49</v>
      </c>
      <c r="C40" t="s">
        <v>46</v>
      </c>
      <c r="D40" t="s">
        <v>46</v>
      </c>
      <c r="E40" t="s">
        <v>50</v>
      </c>
      <c r="F40">
        <v>19.897682178500002</v>
      </c>
      <c r="G40">
        <v>-0.2796322160666655</v>
      </c>
      <c r="H40">
        <v>20.247055099333327</v>
      </c>
      <c r="I40">
        <v>21.002509346133333</v>
      </c>
      <c r="J40">
        <v>13.221683896999997</v>
      </c>
      <c r="K40">
        <v>33.965887448000004</v>
      </c>
      <c r="L40">
        <v>-0.19403004619999956</v>
      </c>
      <c r="M40">
        <v>4.8497405495000008</v>
      </c>
      <c r="N40">
        <v>7.7559166282142851</v>
      </c>
      <c r="O40">
        <v>9.7721743972499997</v>
      </c>
      <c r="P40">
        <v>5.6990587842352953</v>
      </c>
      <c r="Q40">
        <v>15.509857617533333</v>
      </c>
    </row>
    <row r="41" spans="1:17" x14ac:dyDescent="0.25">
      <c r="A41" t="s">
        <v>51</v>
      </c>
      <c r="B41" t="s">
        <v>52</v>
      </c>
      <c r="C41" t="s">
        <v>92</v>
      </c>
      <c r="D41" t="s">
        <v>93</v>
      </c>
      <c r="E41" t="s">
        <v>55</v>
      </c>
      <c r="F41">
        <v>19.2666757</v>
      </c>
      <c r="G41">
        <v>-10.292511879999999</v>
      </c>
      <c r="H41">
        <v>7.8625444560000002</v>
      </c>
      <c r="I41">
        <v>17.529848510000001</v>
      </c>
      <c r="J41">
        <v>12.083701810000001</v>
      </c>
      <c r="K41">
        <v>10.45028625</v>
      </c>
      <c r="L41">
        <v>-0.21195496599999999</v>
      </c>
      <c r="M41">
        <v>3.2621150499999998</v>
      </c>
      <c r="N41">
        <v>9.0067637559999998</v>
      </c>
      <c r="O41">
        <v>-1.8972661239999999</v>
      </c>
      <c r="P41">
        <v>25.599100400000001</v>
      </c>
      <c r="Q41">
        <v>5.4541938349999999</v>
      </c>
    </row>
    <row r="42" spans="1:17" x14ac:dyDescent="0.25">
      <c r="A42" t="s">
        <v>56</v>
      </c>
      <c r="B42" t="s">
        <v>57</v>
      </c>
      <c r="C42" t="s">
        <v>92</v>
      </c>
      <c r="D42" t="s">
        <v>93</v>
      </c>
      <c r="E42" t="s">
        <v>55</v>
      </c>
      <c r="F42">
        <v>15.729948520000001</v>
      </c>
      <c r="G42">
        <v>-7.6728894289999996</v>
      </c>
      <c r="H42">
        <v>7.2395205130000004</v>
      </c>
      <c r="I42">
        <v>-3.3860346680000002</v>
      </c>
      <c r="J42">
        <v>2.7729366839999998</v>
      </c>
      <c r="K42">
        <v>3.3619781889999998</v>
      </c>
      <c r="L42">
        <v>5.799514083</v>
      </c>
      <c r="M42">
        <v>4.9091765130000002</v>
      </c>
      <c r="N42">
        <v>0.60644841900000002</v>
      </c>
      <c r="O42">
        <v>5.3654170480000003</v>
      </c>
      <c r="P42">
        <v>-12.65838862</v>
      </c>
      <c r="Q42">
        <v>21.263550949999999</v>
      </c>
    </row>
    <row r="43" spans="1:17" x14ac:dyDescent="0.25">
      <c r="A43" t="s">
        <v>58</v>
      </c>
      <c r="B43" t="s">
        <v>59</v>
      </c>
      <c r="C43" t="s">
        <v>92</v>
      </c>
      <c r="D43" t="s">
        <v>93</v>
      </c>
      <c r="E43" t="s">
        <v>55</v>
      </c>
      <c r="F43">
        <v>0.63825406600000001</v>
      </c>
      <c r="G43">
        <v>-48.179214399999999</v>
      </c>
      <c r="H43">
        <v>63.363600470000002</v>
      </c>
      <c r="I43">
        <v>56.234896089999999</v>
      </c>
      <c r="J43">
        <v>18.979118329999999</v>
      </c>
      <c r="K43">
        <v>2.7171086839999998</v>
      </c>
      <c r="L43">
        <v>1.759270978</v>
      </c>
      <c r="M43">
        <v>32.686567160000003</v>
      </c>
      <c r="N43">
        <v>26.284214469999998</v>
      </c>
      <c r="O43">
        <v>6.294536817</v>
      </c>
      <c r="P43">
        <v>-24.790502790000001</v>
      </c>
      <c r="Q43">
        <v>38.254410399999998</v>
      </c>
    </row>
    <row r="44" spans="1:17" x14ac:dyDescent="0.25">
      <c r="A44" t="s">
        <v>60</v>
      </c>
      <c r="B44" t="s">
        <v>61</v>
      </c>
      <c r="C44" t="s">
        <v>92</v>
      </c>
      <c r="D44" t="s">
        <v>93</v>
      </c>
      <c r="E44" t="s">
        <v>55</v>
      </c>
      <c r="F44">
        <v>17.625899279999999</v>
      </c>
      <c r="G44">
        <v>-49.337410810000002</v>
      </c>
      <c r="H44">
        <v>33.802816900000003</v>
      </c>
      <c r="I44">
        <v>17.7443609</v>
      </c>
      <c r="J44">
        <v>6.5134099619999999</v>
      </c>
      <c r="K44">
        <v>11.270983210000001</v>
      </c>
      <c r="L44">
        <v>13.900862070000001</v>
      </c>
      <c r="M44">
        <v>21.66508988</v>
      </c>
      <c r="N44">
        <v>12.519440120000001</v>
      </c>
      <c r="O44">
        <v>2.5570145129999999</v>
      </c>
      <c r="P44">
        <v>4.6495956869999997</v>
      </c>
      <c r="Q44">
        <v>27.366387639999999</v>
      </c>
    </row>
    <row r="45" spans="1:17" x14ac:dyDescent="0.25">
      <c r="A45" t="s">
        <v>62</v>
      </c>
      <c r="B45" t="s">
        <v>63</v>
      </c>
      <c r="C45" t="s">
        <v>92</v>
      </c>
      <c r="D45" t="s">
        <v>93</v>
      </c>
      <c r="E45" t="s">
        <v>55</v>
      </c>
      <c r="F45">
        <v>2.4090656030000002</v>
      </c>
      <c r="G45">
        <v>9.5509917469999994</v>
      </c>
      <c r="H45">
        <v>4.9079799910000004</v>
      </c>
      <c r="I45">
        <v>5.9620279539999999</v>
      </c>
      <c r="J45">
        <v>-30.643410509999999</v>
      </c>
      <c r="K45">
        <v>124.09467069999999</v>
      </c>
      <c r="L45">
        <v>44.192563120000003</v>
      </c>
      <c r="M45">
        <v>10.04213916</v>
      </c>
      <c r="N45">
        <v>4.1543878779999996</v>
      </c>
      <c r="O45">
        <v>-3.4975521070000002</v>
      </c>
      <c r="P45">
        <v>5.0471223050000003</v>
      </c>
      <c r="Q45">
        <v>9.3004020740000009</v>
      </c>
    </row>
    <row r="46" spans="1:17" x14ac:dyDescent="0.25">
      <c r="A46" t="s">
        <v>64</v>
      </c>
      <c r="B46" t="s">
        <v>65</v>
      </c>
      <c r="C46" t="s">
        <v>92</v>
      </c>
      <c r="D46" t="s">
        <v>93</v>
      </c>
      <c r="E46" t="s">
        <v>55</v>
      </c>
      <c r="F46">
        <v>35.832031970000003</v>
      </c>
      <c r="G46">
        <v>19.678866280000001</v>
      </c>
      <c r="H46">
        <v>37.318484840000004</v>
      </c>
      <c r="I46">
        <v>29.692579609999999</v>
      </c>
      <c r="J46">
        <v>20.421403999999999</v>
      </c>
      <c r="K46">
        <v>22.380579730000001</v>
      </c>
      <c r="L46">
        <v>12.657710030000001</v>
      </c>
      <c r="M46">
        <v>18.107978979999999</v>
      </c>
      <c r="N46">
        <v>7.928802589</v>
      </c>
      <c r="O46">
        <v>9.5952023989999997</v>
      </c>
      <c r="P46">
        <v>12.824897399999999</v>
      </c>
      <c r="Q46">
        <v>-2.243103971</v>
      </c>
    </row>
    <row r="47" spans="1:17" x14ac:dyDescent="0.25">
      <c r="A47" t="s">
        <v>66</v>
      </c>
      <c r="B47" t="s">
        <v>67</v>
      </c>
      <c r="C47" t="s">
        <v>92</v>
      </c>
      <c r="D47" t="s">
        <v>93</v>
      </c>
      <c r="E47" t="s">
        <v>55</v>
      </c>
      <c r="F47" t="s">
        <v>46</v>
      </c>
      <c r="G47" t="s">
        <v>46</v>
      </c>
      <c r="H47" t="s">
        <v>46</v>
      </c>
      <c r="I47" t="s">
        <v>46</v>
      </c>
      <c r="J47" t="s">
        <v>46</v>
      </c>
      <c r="K47" t="s">
        <v>46</v>
      </c>
      <c r="L47">
        <v>-6.4102564099999997</v>
      </c>
      <c r="M47">
        <v>-86.828240249999993</v>
      </c>
      <c r="N47" t="s">
        <v>46</v>
      </c>
      <c r="O47" t="s">
        <v>46</v>
      </c>
      <c r="P47">
        <v>-70.114942529999993</v>
      </c>
      <c r="Q47" t="s">
        <v>46</v>
      </c>
    </row>
    <row r="48" spans="1:17" x14ac:dyDescent="0.25">
      <c r="A48" t="s">
        <v>68</v>
      </c>
      <c r="B48" t="s">
        <v>69</v>
      </c>
      <c r="C48" t="s">
        <v>92</v>
      </c>
      <c r="D48" t="s">
        <v>93</v>
      </c>
      <c r="E48" t="s">
        <v>55</v>
      </c>
      <c r="F48" t="s">
        <v>46</v>
      </c>
      <c r="G48" t="s">
        <v>46</v>
      </c>
      <c r="H48" t="s">
        <v>46</v>
      </c>
      <c r="I48" t="s">
        <v>46</v>
      </c>
      <c r="J48" t="s">
        <v>46</v>
      </c>
      <c r="K48" t="s">
        <v>46</v>
      </c>
      <c r="L48" t="s">
        <v>46</v>
      </c>
      <c r="M48" t="s">
        <v>46</v>
      </c>
      <c r="N48" t="s">
        <v>46</v>
      </c>
      <c r="O48">
        <v>74.655511809999993</v>
      </c>
      <c r="P48">
        <v>5.4945054950000003</v>
      </c>
      <c r="Q48" t="s">
        <v>46</v>
      </c>
    </row>
    <row r="49" spans="1:17" x14ac:dyDescent="0.25">
      <c r="A49" t="s">
        <v>70</v>
      </c>
      <c r="B49" t="s">
        <v>71</v>
      </c>
      <c r="C49" t="s">
        <v>92</v>
      </c>
      <c r="D49" t="s">
        <v>93</v>
      </c>
      <c r="E49" t="s">
        <v>55</v>
      </c>
      <c r="F49">
        <v>-14.27112876</v>
      </c>
      <c r="G49">
        <v>42.913854700000002</v>
      </c>
      <c r="H49">
        <v>80.703703700000005</v>
      </c>
      <c r="I49">
        <v>60.242877640000003</v>
      </c>
      <c r="J49">
        <v>22.93032328</v>
      </c>
      <c r="K49">
        <v>19.151232960000002</v>
      </c>
      <c r="L49">
        <v>13.15642976</v>
      </c>
      <c r="M49">
        <v>18.999479099999999</v>
      </c>
      <c r="N49">
        <v>27.334997810000001</v>
      </c>
      <c r="O49">
        <v>28.28122712</v>
      </c>
      <c r="P49">
        <v>40.145304400000001</v>
      </c>
      <c r="Q49">
        <v>45.503250659999999</v>
      </c>
    </row>
    <row r="50" spans="1:17" x14ac:dyDescent="0.25">
      <c r="A50" t="s">
        <v>72</v>
      </c>
      <c r="B50" t="s">
        <v>73</v>
      </c>
      <c r="C50" t="s">
        <v>92</v>
      </c>
      <c r="D50" t="s">
        <v>93</v>
      </c>
      <c r="E50" t="s">
        <v>55</v>
      </c>
      <c r="F50" t="s">
        <v>46</v>
      </c>
      <c r="G50">
        <v>7.0812608790000002</v>
      </c>
      <c r="H50">
        <v>4.2408600019999998</v>
      </c>
      <c r="I50">
        <v>16.948258070000001</v>
      </c>
      <c r="J50">
        <v>16.627252460000001</v>
      </c>
      <c r="K50">
        <v>12.29072058</v>
      </c>
      <c r="L50">
        <v>-3.1993305470000002</v>
      </c>
      <c r="M50">
        <v>11.602941879999999</v>
      </c>
      <c r="N50">
        <v>1.4271291230000001</v>
      </c>
      <c r="O50">
        <v>0.76889975499999996</v>
      </c>
      <c r="P50">
        <v>6.0244865010000002</v>
      </c>
      <c r="Q50">
        <v>39.979418860000003</v>
      </c>
    </row>
    <row r="51" spans="1:17" x14ac:dyDescent="0.25">
      <c r="A51" t="s">
        <v>74</v>
      </c>
      <c r="B51" t="s">
        <v>75</v>
      </c>
      <c r="C51" t="s">
        <v>92</v>
      </c>
      <c r="D51" t="s">
        <v>93</v>
      </c>
      <c r="E51" t="s">
        <v>55</v>
      </c>
      <c r="F51">
        <v>21.48939919</v>
      </c>
      <c r="G51">
        <v>-6.1896935129999999</v>
      </c>
      <c r="H51">
        <v>27.131343529999999</v>
      </c>
      <c r="I51">
        <v>51.184000390000001</v>
      </c>
      <c r="J51">
        <v>51.781864980000002</v>
      </c>
      <c r="K51">
        <v>36.645543799999999</v>
      </c>
      <c r="L51" t="s">
        <v>46</v>
      </c>
      <c r="M51" t="s">
        <v>46</v>
      </c>
      <c r="N51">
        <v>18.63755656</v>
      </c>
      <c r="O51">
        <v>8.2968524000000006</v>
      </c>
      <c r="P51">
        <v>14.075349429999999</v>
      </c>
      <c r="Q51">
        <v>17.835067089999999</v>
      </c>
    </row>
    <row r="52" spans="1:17" x14ac:dyDescent="0.25">
      <c r="A52" t="s">
        <v>76</v>
      </c>
      <c r="B52" t="s">
        <v>77</v>
      </c>
      <c r="C52" t="s">
        <v>92</v>
      </c>
      <c r="D52" t="s">
        <v>93</v>
      </c>
      <c r="E52" t="s">
        <v>55</v>
      </c>
      <c r="F52">
        <v>20.077845499999999</v>
      </c>
      <c r="G52">
        <v>8.5504011389999999</v>
      </c>
      <c r="H52">
        <v>-8.5358112479999999</v>
      </c>
      <c r="I52">
        <v>5.1116128889999999</v>
      </c>
      <c r="J52">
        <v>-21.924258439999999</v>
      </c>
      <c r="K52">
        <v>-0.66304045700000003</v>
      </c>
      <c r="L52">
        <v>-91.303756989999997</v>
      </c>
      <c r="M52" t="s">
        <v>46</v>
      </c>
      <c r="N52" t="s">
        <v>46</v>
      </c>
      <c r="O52">
        <v>16.078038150000001</v>
      </c>
      <c r="P52">
        <v>10.05994276</v>
      </c>
      <c r="Q52">
        <v>18.15696887</v>
      </c>
    </row>
    <row r="53" spans="1:17" x14ac:dyDescent="0.25">
      <c r="A53" t="s">
        <v>78</v>
      </c>
      <c r="B53" t="s">
        <v>79</v>
      </c>
      <c r="C53" t="s">
        <v>92</v>
      </c>
      <c r="D53" t="s">
        <v>93</v>
      </c>
      <c r="E53" t="s">
        <v>55</v>
      </c>
      <c r="F53">
        <v>45.742649870000001</v>
      </c>
      <c r="G53">
        <v>2.4626670160000002</v>
      </c>
      <c r="H53">
        <v>14.11403733</v>
      </c>
      <c r="I53">
        <v>19.471207710000002</v>
      </c>
      <c r="J53">
        <v>5.9639909979999999</v>
      </c>
      <c r="K53">
        <v>16.68141593</v>
      </c>
      <c r="L53">
        <v>9.4122108460000007</v>
      </c>
      <c r="M53">
        <v>18.390406209999998</v>
      </c>
      <c r="N53">
        <v>8.9290942090000005</v>
      </c>
      <c r="O53">
        <v>2.1877015700000002</v>
      </c>
      <c r="P53">
        <v>9.8890116250000002</v>
      </c>
      <c r="Q53">
        <v>6.586568379</v>
      </c>
    </row>
    <row r="54" spans="1:17" x14ac:dyDescent="0.25">
      <c r="A54" t="s">
        <v>80</v>
      </c>
      <c r="B54" t="s">
        <v>81</v>
      </c>
      <c r="C54" t="s">
        <v>92</v>
      </c>
      <c r="D54" t="s">
        <v>93</v>
      </c>
      <c r="E54" t="s">
        <v>55</v>
      </c>
      <c r="F54">
        <v>14.270449320000001</v>
      </c>
      <c r="G54">
        <v>2.8941462499999999</v>
      </c>
      <c r="H54">
        <v>4.4213204890000002</v>
      </c>
      <c r="I54">
        <v>9.2297650129999997</v>
      </c>
      <c r="J54">
        <v>2.6174256009999999</v>
      </c>
      <c r="K54">
        <v>-6.1728395059999999</v>
      </c>
      <c r="L54">
        <v>-7.8037073819999998</v>
      </c>
      <c r="M54">
        <v>-15.348711959999999</v>
      </c>
      <c r="N54">
        <v>-15.94210582</v>
      </c>
      <c r="O54">
        <v>2.2642699460000002</v>
      </c>
      <c r="P54">
        <v>2.8123843590000002</v>
      </c>
      <c r="Q54">
        <v>5.428914217</v>
      </c>
    </row>
    <row r="55" spans="1:17" x14ac:dyDescent="0.25">
      <c r="A55" t="s">
        <v>82</v>
      </c>
      <c r="B55" t="s">
        <v>83</v>
      </c>
      <c r="C55" t="s">
        <v>92</v>
      </c>
      <c r="D55" t="s">
        <v>93</v>
      </c>
      <c r="E55" t="s">
        <v>55</v>
      </c>
      <c r="F55">
        <v>24.445231289999999</v>
      </c>
      <c r="G55">
        <v>21.26628358</v>
      </c>
      <c r="H55">
        <v>28.567435920000001</v>
      </c>
      <c r="I55">
        <v>29.13620603</v>
      </c>
      <c r="J55">
        <v>24.970714170000001</v>
      </c>
      <c r="K55">
        <v>39.314497690000003</v>
      </c>
      <c r="L55">
        <v>-1.853597435</v>
      </c>
      <c r="M55">
        <v>24.371816509999999</v>
      </c>
      <c r="N55">
        <v>5.3230327920000002</v>
      </c>
      <c r="O55">
        <v>0.63445885300000004</v>
      </c>
      <c r="P55">
        <v>21.497109120000001</v>
      </c>
      <c r="Q55">
        <v>6.588872576</v>
      </c>
    </row>
    <row r="56" spans="1:17" x14ac:dyDescent="0.25">
      <c r="A56" t="s">
        <v>84</v>
      </c>
      <c r="B56" t="s">
        <v>85</v>
      </c>
      <c r="C56" t="s">
        <v>92</v>
      </c>
      <c r="D56" t="s">
        <v>93</v>
      </c>
      <c r="E56" t="s">
        <v>55</v>
      </c>
      <c r="F56">
        <v>52.207453119999997</v>
      </c>
      <c r="G56">
        <v>-11.68810916</v>
      </c>
      <c r="H56">
        <v>-11.416210489999999</v>
      </c>
      <c r="I56">
        <v>-8.3624040669999999</v>
      </c>
      <c r="J56">
        <v>54.905373070000003</v>
      </c>
      <c r="K56">
        <v>193.7649207</v>
      </c>
      <c r="L56">
        <v>-0.73856302900000004</v>
      </c>
      <c r="M56">
        <v>2.8341640780000001</v>
      </c>
      <c r="N56">
        <v>-2.0184517400000002</v>
      </c>
      <c r="O56">
        <v>12.551381320000001</v>
      </c>
      <c r="P56">
        <v>34.552828269999999</v>
      </c>
      <c r="Q56">
        <v>-13.071388219999999</v>
      </c>
    </row>
    <row r="57" spans="1:17" x14ac:dyDescent="0.25">
      <c r="A57" t="s">
        <v>86</v>
      </c>
      <c r="B57" t="s">
        <v>87</v>
      </c>
      <c r="C57" t="s">
        <v>92</v>
      </c>
      <c r="D57" t="s">
        <v>93</v>
      </c>
      <c r="E57" t="s">
        <v>55</v>
      </c>
      <c r="F57">
        <v>23.10377583</v>
      </c>
      <c r="G57">
        <v>14.766874359999999</v>
      </c>
      <c r="H57">
        <v>9.9842000869999996</v>
      </c>
      <c r="I57">
        <v>8.2984381210000002</v>
      </c>
      <c r="J57">
        <v>10.32541206</v>
      </c>
      <c r="K57">
        <v>24.20025326</v>
      </c>
      <c r="L57">
        <v>7.7321551790000003</v>
      </c>
      <c r="M57">
        <v>3.2014453820000002</v>
      </c>
      <c r="N57">
        <v>4.3915226289999998</v>
      </c>
      <c r="O57">
        <v>-7.780903114</v>
      </c>
      <c r="P57">
        <v>11.77619552</v>
      </c>
      <c r="Q57">
        <v>6.244350903</v>
      </c>
    </row>
    <row r="58" spans="1:17" x14ac:dyDescent="0.25">
      <c r="A58" t="s">
        <v>94</v>
      </c>
      <c r="B58" t="s">
        <v>49</v>
      </c>
      <c r="C58" t="s">
        <v>46</v>
      </c>
      <c r="D58" t="s">
        <v>46</v>
      </c>
      <c r="E58" t="s">
        <v>50</v>
      </c>
      <c r="F58">
        <v>44.127218560133329</v>
      </c>
      <c r="G58">
        <v>-6.6177062871333323</v>
      </c>
      <c r="H58">
        <v>210.45396240513338</v>
      </c>
      <c r="I58">
        <v>18.229316149666666</v>
      </c>
      <c r="J58">
        <v>12.71668963066667</v>
      </c>
      <c r="K58">
        <v>30.269210079399997</v>
      </c>
      <c r="L58">
        <v>10.182551499307692</v>
      </c>
      <c r="M58">
        <v>-23.869647509142858</v>
      </c>
      <c r="N58">
        <v>-6.2191400596666675</v>
      </c>
      <c r="O58">
        <v>1.9650384296666668</v>
      </c>
      <c r="P58">
        <v>21.845311264999999</v>
      </c>
      <c r="Q58">
        <v>-15.608750856874998</v>
      </c>
    </row>
    <row r="59" spans="1:17" x14ac:dyDescent="0.25">
      <c r="A59" t="s">
        <v>51</v>
      </c>
      <c r="B59" t="s">
        <v>52</v>
      </c>
      <c r="C59" t="s">
        <v>95</v>
      </c>
      <c r="D59" t="s">
        <v>96</v>
      </c>
      <c r="E59" t="s">
        <v>55</v>
      </c>
      <c r="F59">
        <v>34.466019420000002</v>
      </c>
      <c r="G59">
        <v>-7.9422382669999996</v>
      </c>
      <c r="H59">
        <v>9.4117647059999996</v>
      </c>
      <c r="I59">
        <v>26.523297490000001</v>
      </c>
      <c r="J59">
        <v>12.46458924</v>
      </c>
      <c r="K59">
        <v>27.959697729999998</v>
      </c>
      <c r="L59">
        <v>-8.6614173230000002</v>
      </c>
      <c r="M59">
        <v>4.9568965519999999</v>
      </c>
      <c r="N59">
        <v>35.112936339999997</v>
      </c>
      <c r="O59">
        <v>-15.501519760000001</v>
      </c>
      <c r="P59">
        <v>16.187050360000001</v>
      </c>
      <c r="Q59">
        <v>15.94427245</v>
      </c>
    </row>
    <row r="60" spans="1:17" x14ac:dyDescent="0.25">
      <c r="A60" t="s">
        <v>56</v>
      </c>
      <c r="B60" t="s">
        <v>57</v>
      </c>
      <c r="C60" t="s">
        <v>95</v>
      </c>
      <c r="D60" t="s">
        <v>96</v>
      </c>
      <c r="E60" t="s">
        <v>55</v>
      </c>
      <c r="F60">
        <v>3.9772727269999999</v>
      </c>
      <c r="G60">
        <v>-12.02185792</v>
      </c>
      <c r="H60">
        <v>5.590062112</v>
      </c>
      <c r="I60">
        <v>10</v>
      </c>
      <c r="J60">
        <v>24.59893048</v>
      </c>
      <c r="K60">
        <v>9.871244635</v>
      </c>
      <c r="L60">
        <v>3.515625</v>
      </c>
      <c r="M60">
        <v>9.0566037739999992</v>
      </c>
      <c r="N60">
        <v>-5.1903114190000004</v>
      </c>
      <c r="O60">
        <v>9.1240875910000003</v>
      </c>
      <c r="P60">
        <v>-16.72240803</v>
      </c>
      <c r="Q60">
        <v>39.155943780000001</v>
      </c>
    </row>
    <row r="61" spans="1:17" x14ac:dyDescent="0.25">
      <c r="A61" t="s">
        <v>58</v>
      </c>
      <c r="B61" t="s">
        <v>59</v>
      </c>
      <c r="C61" t="s">
        <v>95</v>
      </c>
      <c r="D61" t="s">
        <v>96</v>
      </c>
      <c r="E61" t="s">
        <v>55</v>
      </c>
      <c r="F61">
        <v>-54.285714290000001</v>
      </c>
      <c r="G61">
        <v>-81.25</v>
      </c>
      <c r="H61">
        <v>2683.333333</v>
      </c>
      <c r="I61">
        <v>43.11377246</v>
      </c>
      <c r="J61">
        <v>11.297071130000001</v>
      </c>
      <c r="K61">
        <v>12.03007519</v>
      </c>
      <c r="L61">
        <v>-10.402684560000001</v>
      </c>
      <c r="M61">
        <v>50.187265920000002</v>
      </c>
      <c r="N61">
        <v>39.1521197</v>
      </c>
      <c r="O61">
        <v>2.508960573</v>
      </c>
      <c r="P61">
        <v>-19.0291958</v>
      </c>
      <c r="Q61">
        <v>-35.028014499999998</v>
      </c>
    </row>
    <row r="62" spans="1:17" x14ac:dyDescent="0.25">
      <c r="A62" t="s">
        <v>60</v>
      </c>
      <c r="B62" t="s">
        <v>61</v>
      </c>
      <c r="C62" t="s">
        <v>95</v>
      </c>
      <c r="D62" t="s">
        <v>96</v>
      </c>
      <c r="E62" t="s">
        <v>55</v>
      </c>
      <c r="F62">
        <v>3.2894736839999998</v>
      </c>
      <c r="G62">
        <v>-60.828025480000001</v>
      </c>
      <c r="H62">
        <v>48.780487800000003</v>
      </c>
      <c r="I62">
        <v>43.715846990000003</v>
      </c>
      <c r="J62">
        <v>-14.06844106</v>
      </c>
      <c r="K62">
        <v>23.893805310000001</v>
      </c>
      <c r="L62">
        <v>31.428571430000002</v>
      </c>
      <c r="M62">
        <v>81.25</v>
      </c>
      <c r="N62">
        <v>-18.44077961</v>
      </c>
      <c r="O62">
        <v>-10.29411765</v>
      </c>
      <c r="P62">
        <v>-10.45081967</v>
      </c>
      <c r="Q62">
        <v>17.848970250000001</v>
      </c>
    </row>
    <row r="63" spans="1:17" x14ac:dyDescent="0.25">
      <c r="A63" t="s">
        <v>62</v>
      </c>
      <c r="B63" t="s">
        <v>63</v>
      </c>
      <c r="C63" t="s">
        <v>95</v>
      </c>
      <c r="D63" t="s">
        <v>96</v>
      </c>
      <c r="E63" t="s">
        <v>55</v>
      </c>
      <c r="F63">
        <v>32.3943662</v>
      </c>
      <c r="G63">
        <v>9.5744680849999995</v>
      </c>
      <c r="H63">
        <v>23.30097087</v>
      </c>
      <c r="I63">
        <v>29.921259840000001</v>
      </c>
      <c r="J63">
        <v>-69.696969699999997</v>
      </c>
      <c r="K63">
        <v>196</v>
      </c>
      <c r="L63">
        <v>87.837837840000006</v>
      </c>
      <c r="M63">
        <v>12.94964029</v>
      </c>
      <c r="N63">
        <v>11.783439489999999</v>
      </c>
      <c r="O63">
        <v>-0.85470085500000004</v>
      </c>
      <c r="P63">
        <v>15.51724138</v>
      </c>
      <c r="Q63">
        <v>15.174129349999999</v>
      </c>
    </row>
    <row r="64" spans="1:17" x14ac:dyDescent="0.25">
      <c r="A64" t="s">
        <v>64</v>
      </c>
      <c r="B64" t="s">
        <v>65</v>
      </c>
      <c r="C64" t="s">
        <v>95</v>
      </c>
      <c r="D64" t="s">
        <v>96</v>
      </c>
      <c r="E64" t="s">
        <v>55</v>
      </c>
      <c r="F64">
        <v>22.131147540000001</v>
      </c>
      <c r="G64">
        <v>22.147651010000001</v>
      </c>
      <c r="H64">
        <v>34.065934069999997</v>
      </c>
      <c r="I64">
        <v>19.262295080000001</v>
      </c>
      <c r="J64">
        <v>19.931271479999999</v>
      </c>
      <c r="K64">
        <v>16.618911170000001</v>
      </c>
      <c r="L64">
        <v>16.461916460000001</v>
      </c>
      <c r="M64">
        <v>12.658227849999999</v>
      </c>
      <c r="N64">
        <v>-4.1198501869999999</v>
      </c>
      <c r="O64">
        <v>-0.78125</v>
      </c>
      <c r="P64">
        <v>42.125984250000002</v>
      </c>
      <c r="Q64">
        <v>-8.5872576180000006</v>
      </c>
    </row>
    <row r="65" spans="1:17" x14ac:dyDescent="0.25">
      <c r="A65" t="s">
        <v>66</v>
      </c>
      <c r="B65" t="s">
        <v>67</v>
      </c>
      <c r="C65" t="s">
        <v>95</v>
      </c>
      <c r="D65" t="s">
        <v>96</v>
      </c>
      <c r="E65" t="s">
        <v>55</v>
      </c>
      <c r="F65" t="s">
        <v>46</v>
      </c>
      <c r="G65" t="s">
        <v>46</v>
      </c>
      <c r="H65" t="s">
        <v>46</v>
      </c>
      <c r="I65" t="s">
        <v>46</v>
      </c>
      <c r="J65" t="s">
        <v>46</v>
      </c>
      <c r="K65" t="s">
        <v>46</v>
      </c>
      <c r="L65" t="s">
        <v>46</v>
      </c>
      <c r="M65" t="s">
        <v>46</v>
      </c>
      <c r="N65">
        <v>-193.9393939</v>
      </c>
      <c r="O65" t="s">
        <v>46</v>
      </c>
      <c r="P65" t="s">
        <v>46</v>
      </c>
      <c r="Q65">
        <v>-350.97087379999999</v>
      </c>
    </row>
    <row r="66" spans="1:17" x14ac:dyDescent="0.25">
      <c r="A66" t="s">
        <v>68</v>
      </c>
      <c r="B66" t="s">
        <v>69</v>
      </c>
      <c r="C66" t="s">
        <v>95</v>
      </c>
      <c r="D66" t="s">
        <v>96</v>
      </c>
      <c r="E66" t="s">
        <v>55</v>
      </c>
      <c r="F66" t="s">
        <v>46</v>
      </c>
      <c r="G66" t="s">
        <v>46</v>
      </c>
      <c r="H66" t="s">
        <v>46</v>
      </c>
      <c r="I66" t="s">
        <v>46</v>
      </c>
      <c r="J66" t="s">
        <v>46</v>
      </c>
      <c r="K66" t="s">
        <v>46</v>
      </c>
      <c r="L66" t="s">
        <v>46</v>
      </c>
      <c r="M66" t="s">
        <v>46</v>
      </c>
      <c r="N66" t="s">
        <v>46</v>
      </c>
      <c r="O66" t="s">
        <v>46</v>
      </c>
      <c r="P66">
        <v>-17.29323308</v>
      </c>
      <c r="Q66" t="s">
        <v>46</v>
      </c>
    </row>
    <row r="67" spans="1:17" x14ac:dyDescent="0.25">
      <c r="A67" t="s">
        <v>70</v>
      </c>
      <c r="B67" t="s">
        <v>71</v>
      </c>
      <c r="C67" t="s">
        <v>95</v>
      </c>
      <c r="D67" t="s">
        <v>96</v>
      </c>
      <c r="E67" t="s">
        <v>55</v>
      </c>
      <c r="F67">
        <v>-64.788732390000007</v>
      </c>
      <c r="G67">
        <v>-6.5</v>
      </c>
      <c r="H67">
        <v>258.82352939999998</v>
      </c>
      <c r="I67">
        <v>-89.742876300000006</v>
      </c>
      <c r="J67">
        <v>84.525167339999996</v>
      </c>
      <c r="K67">
        <v>6.2992125980000004</v>
      </c>
      <c r="L67">
        <v>9.6296296300000002</v>
      </c>
      <c r="M67">
        <v>16.89189189</v>
      </c>
      <c r="N67">
        <v>13.872832369999999</v>
      </c>
      <c r="O67">
        <v>-28.934010149999999</v>
      </c>
      <c r="P67">
        <v>220</v>
      </c>
      <c r="Q67">
        <v>6.4732142860000002</v>
      </c>
    </row>
    <row r="68" spans="1:17" x14ac:dyDescent="0.25">
      <c r="A68" t="s">
        <v>72</v>
      </c>
      <c r="B68" t="s">
        <v>73</v>
      </c>
      <c r="C68" t="s">
        <v>95</v>
      </c>
      <c r="D68" t="s">
        <v>96</v>
      </c>
      <c r="E68" t="s">
        <v>55</v>
      </c>
      <c r="F68">
        <v>353.84615380000002</v>
      </c>
      <c r="G68">
        <v>0</v>
      </c>
      <c r="H68">
        <v>10.16949153</v>
      </c>
      <c r="I68">
        <v>27.69230769</v>
      </c>
      <c r="J68">
        <v>-3.6144578310000002</v>
      </c>
      <c r="K68">
        <v>25</v>
      </c>
      <c r="L68">
        <v>-13</v>
      </c>
      <c r="M68">
        <v>27.586206900000001</v>
      </c>
      <c r="N68">
        <v>17.11711712</v>
      </c>
      <c r="O68">
        <v>4.615384615</v>
      </c>
      <c r="P68">
        <v>8.8235294119999992</v>
      </c>
      <c r="Q68">
        <v>8.1081081079999997</v>
      </c>
    </row>
    <row r="69" spans="1:17" x14ac:dyDescent="0.25">
      <c r="A69" t="s">
        <v>74</v>
      </c>
      <c r="B69" t="s">
        <v>75</v>
      </c>
      <c r="C69" t="s">
        <v>95</v>
      </c>
      <c r="D69" t="s">
        <v>96</v>
      </c>
      <c r="E69" t="s">
        <v>55</v>
      </c>
      <c r="F69">
        <v>24.617875900000001</v>
      </c>
      <c r="G69">
        <v>-5.2231237320000004</v>
      </c>
      <c r="H69">
        <v>28.892455859999998</v>
      </c>
      <c r="I69">
        <v>45.537567459999998</v>
      </c>
      <c r="J69">
        <v>65.858528239999998</v>
      </c>
      <c r="K69">
        <v>39.525988230000003</v>
      </c>
      <c r="L69" t="s">
        <v>46</v>
      </c>
      <c r="M69" t="s">
        <v>46</v>
      </c>
      <c r="N69">
        <v>16.030446269999999</v>
      </c>
      <c r="O69">
        <v>3.1493452679999998</v>
      </c>
      <c r="P69">
        <v>8.5725696330000005</v>
      </c>
      <c r="Q69">
        <v>9.2879770990000008</v>
      </c>
    </row>
    <row r="70" spans="1:17" x14ac:dyDescent="0.25">
      <c r="A70" t="s">
        <v>76</v>
      </c>
      <c r="B70" t="s">
        <v>77</v>
      </c>
      <c r="C70" t="s">
        <v>95</v>
      </c>
      <c r="D70" t="s">
        <v>96</v>
      </c>
      <c r="E70" t="s">
        <v>55</v>
      </c>
      <c r="F70">
        <v>24.456581100000001</v>
      </c>
      <c r="G70">
        <v>6.5861857119999998</v>
      </c>
      <c r="H70">
        <v>-4.4417893639999999</v>
      </c>
      <c r="I70">
        <v>-4.1040930629999997</v>
      </c>
      <c r="J70">
        <v>-26.68671689</v>
      </c>
      <c r="K70">
        <v>-13.460385860000001</v>
      </c>
      <c r="L70" t="s">
        <v>46</v>
      </c>
      <c r="M70">
        <v>-597.5753254</v>
      </c>
      <c r="N70" t="s">
        <v>46</v>
      </c>
      <c r="O70">
        <v>72.786885249999997</v>
      </c>
      <c r="P70">
        <v>-7.8747628079999998</v>
      </c>
      <c r="Q70">
        <v>1.265264087</v>
      </c>
    </row>
    <row r="71" spans="1:17" x14ac:dyDescent="0.25">
      <c r="A71" t="s">
        <v>78</v>
      </c>
      <c r="B71" t="s">
        <v>79</v>
      </c>
      <c r="C71" t="s">
        <v>95</v>
      </c>
      <c r="D71" t="s">
        <v>96</v>
      </c>
      <c r="E71" t="s">
        <v>55</v>
      </c>
      <c r="F71">
        <v>28.28561096</v>
      </c>
      <c r="G71">
        <v>4.225621415</v>
      </c>
      <c r="H71">
        <v>9.7596771229999995</v>
      </c>
      <c r="I71">
        <v>21.636302860000001</v>
      </c>
      <c r="J71">
        <v>13.27378908</v>
      </c>
      <c r="K71">
        <v>13.028446649999999</v>
      </c>
      <c r="L71">
        <v>15.7821304</v>
      </c>
      <c r="M71">
        <v>9.4178717089999999</v>
      </c>
      <c r="N71">
        <v>6.4046086070000001</v>
      </c>
      <c r="O71">
        <v>13.16878981</v>
      </c>
      <c r="P71">
        <v>-0.26734205700000002</v>
      </c>
      <c r="Q71">
        <v>9.9604966140000002</v>
      </c>
    </row>
    <row r="72" spans="1:17" x14ac:dyDescent="0.25">
      <c r="A72" t="s">
        <v>80</v>
      </c>
      <c r="B72" t="s">
        <v>81</v>
      </c>
      <c r="C72" t="s">
        <v>95</v>
      </c>
      <c r="D72" t="s">
        <v>96</v>
      </c>
      <c r="E72" t="s">
        <v>55</v>
      </c>
      <c r="F72">
        <v>23.90710383</v>
      </c>
      <c r="G72">
        <v>11.57662624</v>
      </c>
      <c r="H72">
        <v>15.51383399</v>
      </c>
      <c r="I72">
        <v>13.344739089999999</v>
      </c>
      <c r="J72">
        <v>12.301886789999999</v>
      </c>
      <c r="K72">
        <v>3.6290322580000001</v>
      </c>
      <c r="L72">
        <v>1.6861219199999999</v>
      </c>
      <c r="M72">
        <v>-12.882653060000001</v>
      </c>
      <c r="N72">
        <v>-8.9311859439999992</v>
      </c>
      <c r="O72">
        <v>-50.401929260000003</v>
      </c>
      <c r="P72">
        <v>54.943273910000002</v>
      </c>
      <c r="Q72">
        <v>11.19246862</v>
      </c>
    </row>
    <row r="73" spans="1:17" x14ac:dyDescent="0.25">
      <c r="A73" t="s">
        <v>82</v>
      </c>
      <c r="B73" t="s">
        <v>83</v>
      </c>
      <c r="C73" t="s">
        <v>95</v>
      </c>
      <c r="D73" t="s">
        <v>96</v>
      </c>
      <c r="E73" t="s">
        <v>55</v>
      </c>
      <c r="F73">
        <v>4.4197819310000002</v>
      </c>
      <c r="G73">
        <v>33.022562000000001</v>
      </c>
      <c r="H73">
        <v>29.716848890000001</v>
      </c>
      <c r="I73">
        <v>14.696347530000001</v>
      </c>
      <c r="J73">
        <v>33.766723200000001</v>
      </c>
      <c r="K73">
        <v>37.484152700000003</v>
      </c>
      <c r="L73">
        <v>2.7766393439999999</v>
      </c>
      <c r="M73">
        <v>22.789353009999999</v>
      </c>
      <c r="N73">
        <v>8.3137127549999992</v>
      </c>
      <c r="O73">
        <v>0.584663818</v>
      </c>
      <c r="P73">
        <v>23.779715329999998</v>
      </c>
      <c r="Q73">
        <v>3.7808549070000002</v>
      </c>
    </row>
    <row r="74" spans="1:17" x14ac:dyDescent="0.25">
      <c r="A74" t="s">
        <v>84</v>
      </c>
      <c r="B74" t="s">
        <v>85</v>
      </c>
      <c r="C74" t="s">
        <v>95</v>
      </c>
      <c r="D74" t="s">
        <v>96</v>
      </c>
      <c r="E74" t="s">
        <v>55</v>
      </c>
      <c r="F74">
        <v>206.66790739999999</v>
      </c>
      <c r="G74">
        <v>-31.171322379999999</v>
      </c>
      <c r="H74">
        <v>-10.12018812</v>
      </c>
      <c r="I74">
        <v>67.151162790000001</v>
      </c>
      <c r="J74">
        <v>16.927536230000001</v>
      </c>
      <c r="K74">
        <v>29.152206249999999</v>
      </c>
      <c r="L74">
        <v>-15.669865639999999</v>
      </c>
      <c r="M74">
        <v>25.67370721</v>
      </c>
      <c r="N74">
        <v>-6.8675746159999997</v>
      </c>
      <c r="O74">
        <v>33.851897950000001</v>
      </c>
      <c r="P74">
        <v>12.668526269999999</v>
      </c>
      <c r="Q74">
        <v>-4.5530389930000004</v>
      </c>
    </row>
    <row r="75" spans="1:17" x14ac:dyDescent="0.25">
      <c r="A75" t="s">
        <v>86</v>
      </c>
      <c r="B75" t="s">
        <v>87</v>
      </c>
      <c r="C75" t="s">
        <v>95</v>
      </c>
      <c r="D75" t="s">
        <v>96</v>
      </c>
      <c r="E75" t="s">
        <v>55</v>
      </c>
      <c r="F75">
        <v>18.52343059</v>
      </c>
      <c r="G75">
        <v>18.537859009999998</v>
      </c>
      <c r="H75">
        <v>14.013024209999999</v>
      </c>
      <c r="I75">
        <v>4.6918123280000001</v>
      </c>
      <c r="J75">
        <v>9.8714367309999993</v>
      </c>
      <c r="K75">
        <v>27.005764330000002</v>
      </c>
      <c r="L75">
        <v>10.98866499</v>
      </c>
      <c r="M75">
        <v>2.8652482269999999</v>
      </c>
      <c r="N75">
        <v>-3.5852178709999998</v>
      </c>
      <c r="O75">
        <v>-3.5469107549999999</v>
      </c>
      <c r="P75">
        <v>18.544851139999999</v>
      </c>
      <c r="Q75">
        <v>11.20747165</v>
      </c>
    </row>
    <row r="76" spans="1:17" x14ac:dyDescent="0.25">
      <c r="A76" t="s">
        <v>97</v>
      </c>
      <c r="B76" t="s">
        <v>49</v>
      </c>
      <c r="C76" t="s">
        <v>46</v>
      </c>
      <c r="D76" t="s">
        <v>46</v>
      </c>
      <c r="E76" t="s">
        <v>50</v>
      </c>
      <c r="F76">
        <v>32.960063736000002</v>
      </c>
      <c r="G76">
        <v>23.190266688000001</v>
      </c>
      <c r="H76">
        <v>17.860764325399998</v>
      </c>
      <c r="I76">
        <v>14.0691062806</v>
      </c>
      <c r="J76">
        <v>28.319835771133327</v>
      </c>
      <c r="K76">
        <v>13.333837020400003</v>
      </c>
      <c r="L76">
        <v>13.254711522615384</v>
      </c>
      <c r="M76">
        <v>19.153107092076919</v>
      </c>
      <c r="N76">
        <v>10.81245583669231</v>
      </c>
      <c r="O76">
        <v>6.2459168526923081</v>
      </c>
      <c r="P76">
        <v>6.7049648592142859</v>
      </c>
      <c r="Q76">
        <v>7.3488887856666674</v>
      </c>
    </row>
    <row r="77" spans="1:17" x14ac:dyDescent="0.25">
      <c r="A77" t="s">
        <v>51</v>
      </c>
      <c r="B77" t="s">
        <v>52</v>
      </c>
      <c r="C77" t="s">
        <v>98</v>
      </c>
      <c r="D77" t="s">
        <v>99</v>
      </c>
      <c r="E77" t="s">
        <v>55</v>
      </c>
      <c r="F77">
        <v>20.123453349999998</v>
      </c>
      <c r="G77">
        <v>15.61621444</v>
      </c>
      <c r="H77">
        <v>10.640040900000001</v>
      </c>
      <c r="I77">
        <v>8.4172312490000003</v>
      </c>
      <c r="J77">
        <v>15.900001639999999</v>
      </c>
      <c r="K77">
        <v>22.110545030000001</v>
      </c>
      <c r="L77">
        <v>9.5421073940000003</v>
      </c>
      <c r="M77">
        <v>7.0482285249999999</v>
      </c>
      <c r="N77">
        <v>9.0069179049999999</v>
      </c>
      <c r="O77">
        <v>6.2149389150000003</v>
      </c>
      <c r="P77">
        <v>9.8755812639999991</v>
      </c>
      <c r="Q77">
        <v>4.4123750499999996</v>
      </c>
    </row>
    <row r="78" spans="1:17" x14ac:dyDescent="0.25">
      <c r="A78" t="s">
        <v>56</v>
      </c>
      <c r="B78" t="s">
        <v>57</v>
      </c>
      <c r="C78" t="s">
        <v>98</v>
      </c>
      <c r="D78" t="s">
        <v>99</v>
      </c>
      <c r="E78" t="s">
        <v>55</v>
      </c>
      <c r="F78">
        <v>8.316894284</v>
      </c>
      <c r="G78">
        <v>0.842144911</v>
      </c>
      <c r="H78">
        <v>-1.149527129</v>
      </c>
      <c r="I78">
        <v>0.72335244600000004</v>
      </c>
      <c r="J78">
        <v>13.11234732</v>
      </c>
      <c r="K78">
        <v>14.62086493</v>
      </c>
      <c r="L78">
        <v>12.32284346</v>
      </c>
      <c r="M78">
        <v>7.4436220740000003</v>
      </c>
      <c r="N78">
        <v>2.2908684620000002</v>
      </c>
      <c r="O78">
        <v>4.1058428979999997</v>
      </c>
      <c r="P78">
        <v>-4.8445133309999999</v>
      </c>
      <c r="Q78">
        <v>8.1392903200000006</v>
      </c>
    </row>
    <row r="79" spans="1:17" x14ac:dyDescent="0.25">
      <c r="A79" t="s">
        <v>58</v>
      </c>
      <c r="B79" t="s">
        <v>59</v>
      </c>
      <c r="C79" t="s">
        <v>98</v>
      </c>
      <c r="D79" t="s">
        <v>99</v>
      </c>
      <c r="E79" t="s">
        <v>55</v>
      </c>
      <c r="F79">
        <v>-54.950084779999997</v>
      </c>
      <c r="G79" t="s">
        <v>46</v>
      </c>
      <c r="H79">
        <v>33.620413190000001</v>
      </c>
      <c r="I79">
        <v>95.471137780000007</v>
      </c>
      <c r="J79">
        <v>253.92409380000001</v>
      </c>
      <c r="K79">
        <v>21.292309190000001</v>
      </c>
      <c r="L79">
        <v>3.7618692330000001</v>
      </c>
      <c r="M79">
        <v>14.662369440000001</v>
      </c>
      <c r="N79">
        <v>23.255406480000001</v>
      </c>
      <c r="O79">
        <v>28.91246786</v>
      </c>
      <c r="P79">
        <v>4.9204238330000001</v>
      </c>
      <c r="Q79">
        <v>-18.603548190000001</v>
      </c>
    </row>
    <row r="80" spans="1:17" x14ac:dyDescent="0.25">
      <c r="A80" t="s">
        <v>60</v>
      </c>
      <c r="B80" t="s">
        <v>61</v>
      </c>
      <c r="C80" t="s">
        <v>98</v>
      </c>
      <c r="D80" t="s">
        <v>99</v>
      </c>
      <c r="E80" t="s">
        <v>55</v>
      </c>
      <c r="F80">
        <v>43.168878659999997</v>
      </c>
      <c r="G80">
        <v>-17.743363720000001</v>
      </c>
      <c r="H80">
        <v>-15.56435304</v>
      </c>
      <c r="I80">
        <v>-5.7368315619999999</v>
      </c>
      <c r="J80">
        <v>22.480732750000001</v>
      </c>
      <c r="K80">
        <v>15.23090706</v>
      </c>
      <c r="L80">
        <v>11.848635440000001</v>
      </c>
      <c r="M80">
        <v>43.440722780000002</v>
      </c>
      <c r="N80">
        <v>24.780567399999999</v>
      </c>
      <c r="O80">
        <v>9.8644875760000001</v>
      </c>
      <c r="P80">
        <v>-13.146924609999999</v>
      </c>
      <c r="Q80">
        <v>-1.809506423</v>
      </c>
    </row>
    <row r="81" spans="1:17" x14ac:dyDescent="0.25">
      <c r="A81" t="s">
        <v>62</v>
      </c>
      <c r="B81" t="s">
        <v>63</v>
      </c>
      <c r="C81" t="s">
        <v>98</v>
      </c>
      <c r="D81" t="s">
        <v>99</v>
      </c>
      <c r="E81" t="s">
        <v>55</v>
      </c>
      <c r="F81">
        <v>23.420115859999999</v>
      </c>
      <c r="G81">
        <v>38.226360300000003</v>
      </c>
      <c r="H81">
        <v>21.38968676</v>
      </c>
      <c r="I81">
        <v>20.629084049999999</v>
      </c>
      <c r="J81">
        <v>-21.408135290000001</v>
      </c>
      <c r="K81">
        <v>5.2331728379999998</v>
      </c>
      <c r="L81">
        <v>18.99269039</v>
      </c>
      <c r="M81">
        <v>84.495827149999997</v>
      </c>
      <c r="N81">
        <v>33.356790169999996</v>
      </c>
      <c r="O81">
        <v>7.773374842</v>
      </c>
      <c r="P81">
        <v>8.5839080540000001</v>
      </c>
      <c r="Q81">
        <v>9.6708707199999999</v>
      </c>
    </row>
    <row r="82" spans="1:17" x14ac:dyDescent="0.25">
      <c r="A82" t="s">
        <v>64</v>
      </c>
      <c r="B82" t="s">
        <v>65</v>
      </c>
      <c r="C82" t="s">
        <v>98</v>
      </c>
      <c r="D82" t="s">
        <v>99</v>
      </c>
      <c r="E82" t="s">
        <v>55</v>
      </c>
      <c r="F82">
        <v>34.674532859999999</v>
      </c>
      <c r="G82">
        <v>30.178465070000001</v>
      </c>
      <c r="H82">
        <v>25.992104990000001</v>
      </c>
      <c r="I82">
        <v>24.997762819999998</v>
      </c>
      <c r="J82">
        <v>24.237111729999999</v>
      </c>
      <c r="K82">
        <v>18.5954956</v>
      </c>
      <c r="L82">
        <v>17.659893490000002</v>
      </c>
      <c r="M82">
        <v>15.23169319</v>
      </c>
      <c r="N82">
        <v>7.9506306699999998</v>
      </c>
      <c r="O82">
        <v>2.33600451</v>
      </c>
      <c r="P82">
        <v>10.577129940000001</v>
      </c>
      <c r="Q82">
        <v>8.8323461400000003</v>
      </c>
    </row>
    <row r="83" spans="1:17" x14ac:dyDescent="0.25">
      <c r="A83" t="s">
        <v>66</v>
      </c>
      <c r="B83" t="s">
        <v>67</v>
      </c>
      <c r="C83" t="s">
        <v>98</v>
      </c>
      <c r="D83" t="s">
        <v>99</v>
      </c>
      <c r="E83" t="s">
        <v>55</v>
      </c>
      <c r="F83" t="s">
        <v>46</v>
      </c>
      <c r="G83" t="s">
        <v>46</v>
      </c>
      <c r="H83" t="s">
        <v>46</v>
      </c>
      <c r="I83" t="s">
        <v>46</v>
      </c>
      <c r="J83" t="s">
        <v>46</v>
      </c>
      <c r="K83" t="s">
        <v>46</v>
      </c>
      <c r="L83" t="s">
        <v>46</v>
      </c>
      <c r="M83" t="s">
        <v>46</v>
      </c>
      <c r="N83" t="s">
        <v>46</v>
      </c>
      <c r="O83" t="s">
        <v>46</v>
      </c>
      <c r="P83" t="s">
        <v>46</v>
      </c>
      <c r="Q83" t="s">
        <v>46</v>
      </c>
    </row>
    <row r="84" spans="1:17" x14ac:dyDescent="0.25">
      <c r="A84" t="s">
        <v>68</v>
      </c>
      <c r="B84" t="s">
        <v>69</v>
      </c>
      <c r="C84" t="s">
        <v>98</v>
      </c>
      <c r="D84" t="s">
        <v>99</v>
      </c>
      <c r="E84" t="s">
        <v>55</v>
      </c>
      <c r="F84" t="s">
        <v>46</v>
      </c>
      <c r="G84" t="s">
        <v>46</v>
      </c>
      <c r="H84" t="s">
        <v>46</v>
      </c>
      <c r="I84" t="s">
        <v>46</v>
      </c>
      <c r="J84" t="s">
        <v>46</v>
      </c>
      <c r="K84" t="s">
        <v>46</v>
      </c>
      <c r="L84" t="s">
        <v>46</v>
      </c>
      <c r="M84" t="s">
        <v>46</v>
      </c>
      <c r="N84" t="s">
        <v>46</v>
      </c>
      <c r="O84" t="s">
        <v>46</v>
      </c>
      <c r="P84" t="s">
        <v>46</v>
      </c>
      <c r="Q84" t="s">
        <v>46</v>
      </c>
    </row>
    <row r="85" spans="1:17" x14ac:dyDescent="0.25">
      <c r="A85" t="s">
        <v>70</v>
      </c>
      <c r="B85" t="s">
        <v>71</v>
      </c>
      <c r="C85" t="s">
        <v>98</v>
      </c>
      <c r="D85" t="s">
        <v>99</v>
      </c>
      <c r="E85" t="s">
        <v>55</v>
      </c>
      <c r="F85" t="s">
        <v>46</v>
      </c>
      <c r="G85">
        <v>-26.811798379999999</v>
      </c>
      <c r="H85">
        <v>5.7121067820000002</v>
      </c>
      <c r="I85">
        <v>-29.92345109</v>
      </c>
      <c r="J85">
        <v>-12.100304319999999</v>
      </c>
      <c r="K85">
        <v>-41.403670009999999</v>
      </c>
      <c r="L85">
        <v>29.073732039999999</v>
      </c>
      <c r="M85">
        <v>10.85300252</v>
      </c>
      <c r="N85">
        <v>13.42553051</v>
      </c>
      <c r="O85">
        <v>-1.835278207</v>
      </c>
      <c r="P85">
        <v>37.323217450000001</v>
      </c>
      <c r="Q85">
        <v>34.281871150000001</v>
      </c>
    </row>
    <row r="86" spans="1:17" x14ac:dyDescent="0.25">
      <c r="A86" t="s">
        <v>72</v>
      </c>
      <c r="B86" t="s">
        <v>73</v>
      </c>
      <c r="C86" t="s">
        <v>98</v>
      </c>
      <c r="D86" t="s">
        <v>99</v>
      </c>
      <c r="E86" t="s">
        <v>55</v>
      </c>
      <c r="F86">
        <v>194.9226031</v>
      </c>
      <c r="G86">
        <v>127.66381149999999</v>
      </c>
      <c r="H86">
        <v>70.997594669999998</v>
      </c>
      <c r="I86">
        <v>12.049182829999999</v>
      </c>
      <c r="J86">
        <v>10.68259304</v>
      </c>
      <c r="K86">
        <v>15.44156733</v>
      </c>
      <c r="L86">
        <v>1.5812891499999999</v>
      </c>
      <c r="M86">
        <v>11.534955220000001</v>
      </c>
      <c r="N86">
        <v>9.1392883059999992</v>
      </c>
      <c r="O86">
        <v>16.057501980000001</v>
      </c>
      <c r="P86">
        <v>10.06424163</v>
      </c>
      <c r="Q86">
        <v>7.1664579670000004</v>
      </c>
    </row>
    <row r="87" spans="1:17" x14ac:dyDescent="0.25">
      <c r="A87" t="s">
        <v>74</v>
      </c>
      <c r="B87" t="s">
        <v>75</v>
      </c>
      <c r="C87" t="s">
        <v>98</v>
      </c>
      <c r="D87" t="s">
        <v>99</v>
      </c>
      <c r="E87" t="s">
        <v>55</v>
      </c>
      <c r="F87">
        <v>22.43387027</v>
      </c>
      <c r="G87">
        <v>-2.5566482389999998</v>
      </c>
      <c r="H87">
        <v>15.03678736</v>
      </c>
      <c r="I87">
        <v>21.143932410000001</v>
      </c>
      <c r="J87">
        <v>45.986760850000003</v>
      </c>
      <c r="K87">
        <v>40.694892619999997</v>
      </c>
      <c r="L87" t="s">
        <v>46</v>
      </c>
      <c r="M87" t="s">
        <v>46</v>
      </c>
      <c r="N87" t="s">
        <v>46</v>
      </c>
      <c r="O87" t="s">
        <v>46</v>
      </c>
      <c r="P87">
        <v>9.6647572089999993</v>
      </c>
      <c r="Q87">
        <v>8.3689633580000002</v>
      </c>
    </row>
    <row r="88" spans="1:17" x14ac:dyDescent="0.25">
      <c r="A88" t="s">
        <v>76</v>
      </c>
      <c r="B88" t="s">
        <v>77</v>
      </c>
      <c r="C88" t="s">
        <v>98</v>
      </c>
      <c r="D88" t="s">
        <v>99</v>
      </c>
      <c r="E88" t="s">
        <v>55</v>
      </c>
      <c r="F88">
        <v>17.253700569999999</v>
      </c>
      <c r="G88">
        <v>15.178944019999999</v>
      </c>
      <c r="H88">
        <v>8.2253333180000006</v>
      </c>
      <c r="I88">
        <v>-0.78218313100000003</v>
      </c>
      <c r="J88">
        <v>-12.417585040000001</v>
      </c>
      <c r="K88">
        <v>-15.264402159999999</v>
      </c>
      <c r="L88" t="s">
        <v>46</v>
      </c>
      <c r="M88" t="s">
        <v>46</v>
      </c>
      <c r="N88" t="s">
        <v>46</v>
      </c>
      <c r="O88" t="s">
        <v>46</v>
      </c>
      <c r="P88" t="s">
        <v>46</v>
      </c>
      <c r="Q88">
        <v>17.25102055</v>
      </c>
    </row>
    <row r="89" spans="1:17" x14ac:dyDescent="0.25">
      <c r="A89" t="s">
        <v>78</v>
      </c>
      <c r="B89" t="s">
        <v>79</v>
      </c>
      <c r="C89" t="s">
        <v>98</v>
      </c>
      <c r="D89" t="s">
        <v>99</v>
      </c>
      <c r="E89" t="s">
        <v>55</v>
      </c>
      <c r="F89">
        <v>32.447746279999997</v>
      </c>
      <c r="G89">
        <v>16.333037489999999</v>
      </c>
      <c r="H89">
        <v>13.640138309999999</v>
      </c>
      <c r="I89">
        <v>11.641803019999999</v>
      </c>
      <c r="J89">
        <v>14.783241930000001</v>
      </c>
      <c r="K89">
        <v>15.911573000000001</v>
      </c>
      <c r="L89">
        <v>14.02136642</v>
      </c>
      <c r="M89">
        <v>12.71261337</v>
      </c>
      <c r="N89">
        <v>10.46636906</v>
      </c>
      <c r="O89">
        <v>9.6289171539999998</v>
      </c>
      <c r="P89">
        <v>6.2938574090000001</v>
      </c>
      <c r="Q89">
        <v>7.4649693700000004</v>
      </c>
    </row>
    <row r="90" spans="1:17" x14ac:dyDescent="0.25">
      <c r="A90" t="s">
        <v>80</v>
      </c>
      <c r="B90" t="s">
        <v>81</v>
      </c>
      <c r="C90" t="s">
        <v>98</v>
      </c>
      <c r="D90" t="s">
        <v>99</v>
      </c>
      <c r="E90" t="s">
        <v>55</v>
      </c>
      <c r="F90">
        <v>22.04001354</v>
      </c>
      <c r="G90">
        <v>18.059733600000001</v>
      </c>
      <c r="H90">
        <v>16.887430030000001</v>
      </c>
      <c r="I90">
        <v>13.466988990000001</v>
      </c>
      <c r="J90">
        <v>13.712307600000001</v>
      </c>
      <c r="K90">
        <v>9.6705330079999996</v>
      </c>
      <c r="L90">
        <v>5.7734638279999997</v>
      </c>
      <c r="M90">
        <v>-2.8112665020000001</v>
      </c>
      <c r="N90">
        <v>-6.9080768719999996</v>
      </c>
      <c r="O90">
        <v>-26.720971689999999</v>
      </c>
      <c r="P90">
        <v>-11.215790760000001</v>
      </c>
      <c r="Q90">
        <v>-5.1062459179999999</v>
      </c>
    </row>
    <row r="91" spans="1:17" x14ac:dyDescent="0.25">
      <c r="A91" t="s">
        <v>82</v>
      </c>
      <c r="B91" t="s">
        <v>83</v>
      </c>
      <c r="C91" t="s">
        <v>98</v>
      </c>
      <c r="D91" t="s">
        <v>99</v>
      </c>
      <c r="E91" t="s">
        <v>55</v>
      </c>
      <c r="F91">
        <v>20.942626109999999</v>
      </c>
      <c r="G91">
        <v>18.33954267</v>
      </c>
      <c r="H91">
        <v>21.684378049999999</v>
      </c>
      <c r="I91">
        <v>25.55203667</v>
      </c>
      <c r="J91">
        <v>25.785724519999999</v>
      </c>
      <c r="K91">
        <v>28.247853809999999</v>
      </c>
      <c r="L91">
        <v>23.641722739999999</v>
      </c>
      <c r="M91">
        <v>20.16258294</v>
      </c>
      <c r="N91">
        <v>10.98037523</v>
      </c>
      <c r="O91">
        <v>10.185718380000001</v>
      </c>
      <c r="P91">
        <v>10.48116124</v>
      </c>
      <c r="Q91">
        <v>8.9179597140000002</v>
      </c>
    </row>
    <row r="92" spans="1:17" x14ac:dyDescent="0.25">
      <c r="A92" t="s">
        <v>84</v>
      </c>
      <c r="B92" t="s">
        <v>85</v>
      </c>
      <c r="C92" t="s">
        <v>98</v>
      </c>
      <c r="D92" t="s">
        <v>99</v>
      </c>
      <c r="E92" t="s">
        <v>55</v>
      </c>
      <c r="F92">
        <v>54.465076029999999</v>
      </c>
      <c r="G92">
        <v>75.822730370000002</v>
      </c>
      <c r="H92">
        <v>23.794106630000002</v>
      </c>
      <c r="I92">
        <v>1.1223128570000001</v>
      </c>
      <c r="J92">
        <v>20.659851150000001</v>
      </c>
      <c r="K92">
        <v>36.157847400000001</v>
      </c>
      <c r="L92">
        <v>8.3928095789999997</v>
      </c>
      <c r="M92">
        <v>11.030684190000001</v>
      </c>
      <c r="N92">
        <v>-0.43438577699999997</v>
      </c>
      <c r="O92">
        <v>16.142175770000001</v>
      </c>
      <c r="P92">
        <v>11.989168510000001</v>
      </c>
      <c r="Q92">
        <v>12.909309329999999</v>
      </c>
    </row>
    <row r="93" spans="1:17" x14ac:dyDescent="0.25">
      <c r="A93" t="s">
        <v>86</v>
      </c>
      <c r="B93" t="s">
        <v>87</v>
      </c>
      <c r="C93" t="s">
        <v>98</v>
      </c>
      <c r="D93" t="s">
        <v>99</v>
      </c>
      <c r="E93" t="s">
        <v>55</v>
      </c>
      <c r="F93">
        <v>22.18146617</v>
      </c>
      <c r="G93">
        <v>15.5145596</v>
      </c>
      <c r="H93">
        <v>17.00522406</v>
      </c>
      <c r="I93">
        <v>12.264234869999999</v>
      </c>
      <c r="J93">
        <v>9.4587948869999998</v>
      </c>
      <c r="K93">
        <v>13.468065660000001</v>
      </c>
      <c r="L93">
        <v>15.698826629999999</v>
      </c>
      <c r="M93">
        <v>13.1853573</v>
      </c>
      <c r="N93">
        <v>3.2516443330000002</v>
      </c>
      <c r="O93">
        <v>-1.468260903</v>
      </c>
      <c r="P93">
        <v>3.3032901909999999</v>
      </c>
      <c r="Q93">
        <v>8.3371986469999992</v>
      </c>
    </row>
    <row r="94" spans="1:17" x14ac:dyDescent="0.25">
      <c r="A94" t="s">
        <v>100</v>
      </c>
      <c r="B94" t="s">
        <v>46</v>
      </c>
      <c r="C94" t="s">
        <v>46</v>
      </c>
      <c r="D94" t="s">
        <v>46</v>
      </c>
      <c r="E94" t="s">
        <v>47</v>
      </c>
      <c r="F94" t="s">
        <v>46</v>
      </c>
      <c r="G94" t="s">
        <v>46</v>
      </c>
      <c r="H94" t="s">
        <v>46</v>
      </c>
      <c r="I94" t="s">
        <v>46</v>
      </c>
      <c r="J94" t="s">
        <v>46</v>
      </c>
      <c r="K94" t="s">
        <v>46</v>
      </c>
      <c r="L94" t="s">
        <v>46</v>
      </c>
      <c r="M94" t="s">
        <v>46</v>
      </c>
      <c r="N94" t="s">
        <v>46</v>
      </c>
      <c r="O94" t="s">
        <v>46</v>
      </c>
      <c r="P94" t="s">
        <v>46</v>
      </c>
      <c r="Q94" t="s">
        <v>46</v>
      </c>
    </row>
    <row r="95" spans="1:17" x14ac:dyDescent="0.25">
      <c r="A95" t="s">
        <v>101</v>
      </c>
      <c r="B95" t="s">
        <v>49</v>
      </c>
      <c r="C95" t="s">
        <v>46</v>
      </c>
      <c r="D95" t="s">
        <v>46</v>
      </c>
      <c r="E95" t="s">
        <v>50</v>
      </c>
      <c r="F95">
        <v>34.966045215000001</v>
      </c>
      <c r="G95">
        <v>35.158759947999997</v>
      </c>
      <c r="H95">
        <v>35.284276332000005</v>
      </c>
      <c r="I95">
        <v>33.700265584</v>
      </c>
      <c r="J95">
        <v>33.620739675999999</v>
      </c>
      <c r="K95">
        <v>33.716280089999998</v>
      </c>
      <c r="L95">
        <v>33.276126554166666</v>
      </c>
      <c r="M95">
        <v>32.615461653333341</v>
      </c>
      <c r="N95">
        <v>31.92296132615385</v>
      </c>
      <c r="O95">
        <v>32.342173974615385</v>
      </c>
      <c r="P95">
        <v>32.543260568571426</v>
      </c>
      <c r="Q95">
        <v>32.023191274999995</v>
      </c>
    </row>
    <row r="96" spans="1:17" x14ac:dyDescent="0.25">
      <c r="A96" t="s">
        <v>51</v>
      </c>
      <c r="B96" t="s">
        <v>52</v>
      </c>
      <c r="C96" t="s">
        <v>102</v>
      </c>
      <c r="D96" t="s">
        <v>103</v>
      </c>
      <c r="E96" t="s">
        <v>55</v>
      </c>
      <c r="F96">
        <v>28.386009290000001</v>
      </c>
      <c r="G96">
        <v>29.5245067</v>
      </c>
      <c r="H96">
        <v>31.396564089999998</v>
      </c>
      <c r="I96">
        <v>30.661153689999999</v>
      </c>
      <c r="J96">
        <v>30.18236795</v>
      </c>
      <c r="K96">
        <v>30.874800969999999</v>
      </c>
      <c r="L96">
        <v>30.382945360000001</v>
      </c>
      <c r="M96">
        <v>29.802250220000001</v>
      </c>
      <c r="N96">
        <v>29.534821319999999</v>
      </c>
      <c r="O96">
        <v>30.00230814</v>
      </c>
      <c r="P96">
        <v>30.477169329999999</v>
      </c>
      <c r="Q96">
        <v>30.810329729999999</v>
      </c>
    </row>
    <row r="97" spans="1:17" x14ac:dyDescent="0.25">
      <c r="A97" t="s">
        <v>56</v>
      </c>
      <c r="B97" t="s">
        <v>57</v>
      </c>
      <c r="C97" t="s">
        <v>102</v>
      </c>
      <c r="D97" t="s">
        <v>103</v>
      </c>
      <c r="E97" t="s">
        <v>55</v>
      </c>
      <c r="F97">
        <v>35.9193712</v>
      </c>
      <c r="G97">
        <v>35.910413130000002</v>
      </c>
      <c r="H97">
        <v>36.141970620000002</v>
      </c>
      <c r="I97">
        <v>34.87903936</v>
      </c>
      <c r="J97">
        <v>35.770548120000001</v>
      </c>
      <c r="K97">
        <v>35.231722599999998</v>
      </c>
      <c r="L97">
        <v>35.26579727</v>
      </c>
      <c r="M97">
        <v>35.516303110000003</v>
      </c>
      <c r="N97">
        <v>35.236909830000002</v>
      </c>
      <c r="O97">
        <v>35.155017059999999</v>
      </c>
      <c r="P97">
        <v>34.70736033</v>
      </c>
      <c r="Q97">
        <v>35.077394329999997</v>
      </c>
    </row>
    <row r="98" spans="1:17" x14ac:dyDescent="0.25">
      <c r="A98" t="s">
        <v>58</v>
      </c>
      <c r="B98" t="s">
        <v>59</v>
      </c>
      <c r="C98" t="s">
        <v>102</v>
      </c>
      <c r="D98" t="s">
        <v>103</v>
      </c>
      <c r="E98" t="s">
        <v>55</v>
      </c>
      <c r="F98" t="s">
        <v>46</v>
      </c>
      <c r="G98" t="s">
        <v>46</v>
      </c>
      <c r="H98" t="s">
        <v>46</v>
      </c>
      <c r="I98" t="s">
        <v>46</v>
      </c>
      <c r="J98" t="s">
        <v>46</v>
      </c>
      <c r="K98" t="s">
        <v>46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</row>
    <row r="99" spans="1:17" x14ac:dyDescent="0.25">
      <c r="A99" t="s">
        <v>60</v>
      </c>
      <c r="B99" t="s">
        <v>61</v>
      </c>
      <c r="C99" t="s">
        <v>102</v>
      </c>
      <c r="D99" t="s">
        <v>103</v>
      </c>
      <c r="E99" t="s">
        <v>55</v>
      </c>
      <c r="F99">
        <v>25.625717569999999</v>
      </c>
      <c r="G99">
        <v>23.95173814</v>
      </c>
      <c r="H99">
        <v>23.75531793</v>
      </c>
      <c r="I99">
        <v>23.39832869</v>
      </c>
      <c r="J99">
        <v>23.597038189999999</v>
      </c>
      <c r="K99">
        <v>24.336107810000001</v>
      </c>
      <c r="L99">
        <v>24.713893880000001</v>
      </c>
      <c r="M99">
        <v>25.82459085</v>
      </c>
      <c r="N99">
        <v>26.76449478</v>
      </c>
      <c r="O99">
        <v>27.017964070000001</v>
      </c>
      <c r="P99">
        <v>27.051602639999999</v>
      </c>
      <c r="Q99">
        <v>27.263716809999998</v>
      </c>
    </row>
    <row r="100" spans="1:17" x14ac:dyDescent="0.25">
      <c r="A100" t="s">
        <v>62</v>
      </c>
      <c r="B100" t="s">
        <v>63</v>
      </c>
      <c r="C100" t="s">
        <v>102</v>
      </c>
      <c r="D100" t="s">
        <v>103</v>
      </c>
      <c r="E100" t="s">
        <v>55</v>
      </c>
      <c r="F100">
        <v>11.65534182</v>
      </c>
      <c r="G100">
        <v>17.117057299999999</v>
      </c>
      <c r="H100">
        <v>18.924755040000001</v>
      </c>
      <c r="I100">
        <v>12.618118340000001</v>
      </c>
      <c r="J100">
        <v>11.432168860000001</v>
      </c>
      <c r="K100">
        <v>10.63315796</v>
      </c>
      <c r="L100">
        <v>13.0470589</v>
      </c>
      <c r="M100">
        <v>14.2707038</v>
      </c>
      <c r="N100">
        <v>14.624135470000001</v>
      </c>
      <c r="O100">
        <v>14.637135450000001</v>
      </c>
      <c r="P100">
        <v>14.817588689999999</v>
      </c>
      <c r="Q100">
        <v>15.087056349999999</v>
      </c>
    </row>
    <row r="101" spans="1:17" x14ac:dyDescent="0.25">
      <c r="A101" t="s">
        <v>64</v>
      </c>
      <c r="B101" t="s">
        <v>65</v>
      </c>
      <c r="C101" t="s">
        <v>102</v>
      </c>
      <c r="D101" t="s">
        <v>103</v>
      </c>
      <c r="E101" t="s">
        <v>55</v>
      </c>
      <c r="F101">
        <v>44.153188010000001</v>
      </c>
      <c r="G101">
        <v>43.591549360000002</v>
      </c>
      <c r="H101">
        <v>42.196338330000003</v>
      </c>
      <c r="I101">
        <v>42.1902987</v>
      </c>
      <c r="J101">
        <v>41.764686509999997</v>
      </c>
      <c r="K101">
        <v>40.457350849999997</v>
      </c>
      <c r="L101">
        <v>40.160971279999998</v>
      </c>
      <c r="M101">
        <v>40.077319590000002</v>
      </c>
      <c r="N101">
        <v>39.882850150000003</v>
      </c>
      <c r="O101">
        <v>38.203916270000001</v>
      </c>
      <c r="P101">
        <v>38.989147289999998</v>
      </c>
      <c r="Q101">
        <v>36.638264909999997</v>
      </c>
    </row>
    <row r="102" spans="1:17" x14ac:dyDescent="0.25">
      <c r="A102" t="s">
        <v>66</v>
      </c>
      <c r="B102" t="s">
        <v>67</v>
      </c>
      <c r="C102" t="s">
        <v>102</v>
      </c>
      <c r="D102" t="s">
        <v>103</v>
      </c>
      <c r="E102" t="s">
        <v>55</v>
      </c>
      <c r="F102" t="s">
        <v>46</v>
      </c>
      <c r="G102" t="s">
        <v>46</v>
      </c>
      <c r="H102" t="s">
        <v>46</v>
      </c>
      <c r="I102" t="s">
        <v>46</v>
      </c>
      <c r="J102" t="s">
        <v>46</v>
      </c>
      <c r="K102">
        <v>18.011338859999999</v>
      </c>
      <c r="L102">
        <v>16.402421449999999</v>
      </c>
      <c r="M102">
        <v>10.28219754</v>
      </c>
      <c r="N102">
        <v>14.20099875</v>
      </c>
      <c r="O102">
        <v>21.45466622</v>
      </c>
      <c r="P102">
        <v>22.455034300000001</v>
      </c>
      <c r="Q102">
        <v>21.781956569999998</v>
      </c>
    </row>
    <row r="103" spans="1:17" x14ac:dyDescent="0.25">
      <c r="A103" t="s">
        <v>68</v>
      </c>
      <c r="B103" t="s">
        <v>69</v>
      </c>
      <c r="C103" t="s">
        <v>102</v>
      </c>
      <c r="D103" t="s">
        <v>103</v>
      </c>
      <c r="E103" t="s">
        <v>55</v>
      </c>
      <c r="F103" t="s">
        <v>46</v>
      </c>
      <c r="G103" t="s">
        <v>46</v>
      </c>
      <c r="H103" t="s">
        <v>46</v>
      </c>
      <c r="I103" t="s">
        <v>46</v>
      </c>
      <c r="J103" t="s">
        <v>46</v>
      </c>
      <c r="K103" t="s">
        <v>46</v>
      </c>
      <c r="L103" t="s">
        <v>46</v>
      </c>
      <c r="M103" t="s">
        <v>46</v>
      </c>
      <c r="N103">
        <v>21.83980468</v>
      </c>
      <c r="O103">
        <v>24.920627620000001</v>
      </c>
      <c r="P103">
        <v>27.98149665</v>
      </c>
      <c r="Q103">
        <v>23.885171369999998</v>
      </c>
    </row>
    <row r="104" spans="1:17" x14ac:dyDescent="0.25">
      <c r="A104" t="s">
        <v>70</v>
      </c>
      <c r="B104" t="s">
        <v>71</v>
      </c>
      <c r="C104" t="s">
        <v>102</v>
      </c>
      <c r="D104" t="s">
        <v>103</v>
      </c>
      <c r="E104" t="s">
        <v>55</v>
      </c>
      <c r="F104">
        <v>43.221151450000001</v>
      </c>
      <c r="G104">
        <v>41.29145853</v>
      </c>
      <c r="H104">
        <v>40.255337560000001</v>
      </c>
      <c r="I104">
        <v>38.619188829999999</v>
      </c>
      <c r="J104">
        <v>37.675974359999998</v>
      </c>
      <c r="K104">
        <v>37.37356269</v>
      </c>
      <c r="L104">
        <v>37.463956809999999</v>
      </c>
      <c r="M104">
        <v>37.983192729999999</v>
      </c>
      <c r="N104">
        <v>36.456713550000003</v>
      </c>
      <c r="O104">
        <v>36.478108829999996</v>
      </c>
      <c r="P104">
        <v>35.595351270000002</v>
      </c>
      <c r="Q104">
        <v>35.120790929999998</v>
      </c>
    </row>
    <row r="105" spans="1:17" x14ac:dyDescent="0.25">
      <c r="A105" t="s">
        <v>72</v>
      </c>
      <c r="B105" t="s">
        <v>73</v>
      </c>
      <c r="C105" t="s">
        <v>102</v>
      </c>
      <c r="D105" t="s">
        <v>103</v>
      </c>
      <c r="E105" t="s">
        <v>55</v>
      </c>
      <c r="F105">
        <v>40.50701016</v>
      </c>
      <c r="G105">
        <v>39.948092580000001</v>
      </c>
      <c r="H105">
        <v>37.36734122</v>
      </c>
      <c r="I105">
        <v>37.210922519999997</v>
      </c>
      <c r="J105">
        <v>39.128093960000001</v>
      </c>
      <c r="K105">
        <v>38.106338800000003</v>
      </c>
      <c r="L105">
        <v>39.54264165</v>
      </c>
      <c r="M105">
        <v>39.312462519999997</v>
      </c>
      <c r="N105">
        <v>39.537630180000001</v>
      </c>
      <c r="O105">
        <v>38.564792879999999</v>
      </c>
      <c r="P105">
        <v>35.957931080000002</v>
      </c>
      <c r="Q105">
        <v>34.820054749999997</v>
      </c>
    </row>
    <row r="106" spans="1:17" x14ac:dyDescent="0.25">
      <c r="A106" t="s">
        <v>74</v>
      </c>
      <c r="B106" t="s">
        <v>75</v>
      </c>
      <c r="C106" t="s">
        <v>102</v>
      </c>
      <c r="D106" t="s">
        <v>103</v>
      </c>
      <c r="E106" t="s">
        <v>55</v>
      </c>
      <c r="F106" t="s">
        <v>46</v>
      </c>
      <c r="G106" t="s">
        <v>46</v>
      </c>
      <c r="H106" t="s">
        <v>46</v>
      </c>
      <c r="I106" t="s">
        <v>46</v>
      </c>
      <c r="J106" t="s">
        <v>46</v>
      </c>
      <c r="K106">
        <v>38.589126460000003</v>
      </c>
      <c r="L106" t="s">
        <v>46</v>
      </c>
      <c r="M106">
        <v>34.211117170000001</v>
      </c>
      <c r="N106" t="s">
        <v>46</v>
      </c>
      <c r="O106" t="s">
        <v>46</v>
      </c>
      <c r="P106">
        <v>34.965942259999998</v>
      </c>
      <c r="Q106">
        <v>37.720410630000003</v>
      </c>
    </row>
    <row r="107" spans="1:17" x14ac:dyDescent="0.25">
      <c r="A107" t="s">
        <v>76</v>
      </c>
      <c r="B107" t="s">
        <v>77</v>
      </c>
      <c r="C107" t="s">
        <v>102</v>
      </c>
      <c r="D107" t="s">
        <v>103</v>
      </c>
      <c r="E107" t="s">
        <v>55</v>
      </c>
      <c r="F107" t="s">
        <v>46</v>
      </c>
      <c r="G107" t="s">
        <v>46</v>
      </c>
      <c r="H107" t="s">
        <v>46</v>
      </c>
      <c r="I107" t="s">
        <v>46</v>
      </c>
      <c r="J107" t="s">
        <v>46</v>
      </c>
      <c r="K107" t="s">
        <v>46</v>
      </c>
      <c r="L107" t="s">
        <v>46</v>
      </c>
      <c r="M107" t="s">
        <v>46</v>
      </c>
      <c r="N107" t="s">
        <v>46</v>
      </c>
      <c r="O107" t="s">
        <v>46</v>
      </c>
      <c r="P107" t="s">
        <v>46</v>
      </c>
      <c r="Q107" t="s">
        <v>46</v>
      </c>
    </row>
    <row r="108" spans="1:17" x14ac:dyDescent="0.25">
      <c r="A108" t="s">
        <v>78</v>
      </c>
      <c r="B108" t="s">
        <v>79</v>
      </c>
      <c r="C108" t="s">
        <v>102</v>
      </c>
      <c r="D108" t="s">
        <v>103</v>
      </c>
      <c r="E108" t="s">
        <v>55</v>
      </c>
      <c r="F108">
        <v>45.765915270000001</v>
      </c>
      <c r="G108">
        <v>42.749098580000002</v>
      </c>
      <c r="H108">
        <v>45.260172359999999</v>
      </c>
      <c r="I108">
        <v>41.281792850000002</v>
      </c>
      <c r="J108">
        <v>37.351308490000001</v>
      </c>
      <c r="K108">
        <v>35.88853649</v>
      </c>
      <c r="L108">
        <v>38.327800600000003</v>
      </c>
      <c r="M108" t="s">
        <v>46</v>
      </c>
      <c r="N108">
        <v>36.842182119999997</v>
      </c>
      <c r="O108">
        <v>36.005785430000003</v>
      </c>
      <c r="P108">
        <v>34.844874509999997</v>
      </c>
      <c r="Q108">
        <v>33.107907169999997</v>
      </c>
    </row>
    <row r="109" spans="1:17" x14ac:dyDescent="0.25">
      <c r="A109" t="s">
        <v>80</v>
      </c>
      <c r="B109" t="s">
        <v>81</v>
      </c>
      <c r="C109" t="s">
        <v>102</v>
      </c>
      <c r="D109" t="s">
        <v>103</v>
      </c>
      <c r="E109" t="s">
        <v>55</v>
      </c>
      <c r="F109">
        <v>44.061565180000002</v>
      </c>
      <c r="G109">
        <v>45.724639189999998</v>
      </c>
      <c r="H109">
        <v>46.072894759999997</v>
      </c>
      <c r="I109">
        <v>46.894758500000002</v>
      </c>
      <c r="J109">
        <v>48.954060310000003</v>
      </c>
      <c r="K109">
        <v>49.492207749999999</v>
      </c>
      <c r="L109">
        <v>50.011315510000003</v>
      </c>
      <c r="M109">
        <v>49.771840320000003</v>
      </c>
      <c r="N109">
        <v>47.916014969999999</v>
      </c>
      <c r="O109">
        <v>46.681155939999996</v>
      </c>
      <c r="P109">
        <v>46.407257100000002</v>
      </c>
      <c r="Q109">
        <v>47.296719250000002</v>
      </c>
    </row>
    <row r="110" spans="1:17" x14ac:dyDescent="0.25">
      <c r="A110" t="s">
        <v>82</v>
      </c>
      <c r="B110" t="s">
        <v>83</v>
      </c>
      <c r="C110" t="s">
        <v>102</v>
      </c>
      <c r="D110" t="s">
        <v>103</v>
      </c>
      <c r="E110" t="s">
        <v>55</v>
      </c>
      <c r="F110" t="s">
        <v>46</v>
      </c>
      <c r="G110" t="s">
        <v>46</v>
      </c>
      <c r="H110" t="s">
        <v>46</v>
      </c>
      <c r="I110" t="s">
        <v>46</v>
      </c>
      <c r="J110" t="s">
        <v>46</v>
      </c>
      <c r="K110">
        <v>47.36000868</v>
      </c>
      <c r="L110">
        <v>42.419254590000001</v>
      </c>
      <c r="M110">
        <v>43.94639471</v>
      </c>
      <c r="N110">
        <v>43.299764340000003</v>
      </c>
      <c r="O110">
        <v>42.09123993</v>
      </c>
      <c r="P110">
        <v>41.856987770000003</v>
      </c>
      <c r="Q110">
        <v>41.177070260000001</v>
      </c>
    </row>
    <row r="111" spans="1:17" x14ac:dyDescent="0.25">
      <c r="A111" t="s">
        <v>84</v>
      </c>
      <c r="B111" t="s">
        <v>85</v>
      </c>
      <c r="C111" t="s">
        <v>102</v>
      </c>
      <c r="D111" t="s">
        <v>103</v>
      </c>
      <c r="E111" t="s">
        <v>55</v>
      </c>
      <c r="F111" t="s">
        <v>46</v>
      </c>
      <c r="G111" t="s">
        <v>46</v>
      </c>
      <c r="H111" t="s">
        <v>46</v>
      </c>
      <c r="I111" t="s">
        <v>46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46</v>
      </c>
      <c r="Q111" t="s">
        <v>46</v>
      </c>
    </row>
    <row r="112" spans="1:17" x14ac:dyDescent="0.25">
      <c r="A112" t="s">
        <v>86</v>
      </c>
      <c r="B112" t="s">
        <v>87</v>
      </c>
      <c r="C112" t="s">
        <v>102</v>
      </c>
      <c r="D112" t="s">
        <v>103</v>
      </c>
      <c r="E112" t="s">
        <v>55</v>
      </c>
      <c r="F112">
        <v>30.3651822</v>
      </c>
      <c r="G112">
        <v>31.779045969999999</v>
      </c>
      <c r="H112">
        <v>31.472071410000002</v>
      </c>
      <c r="I112">
        <v>29.249054359999999</v>
      </c>
      <c r="J112">
        <v>30.351150010000001</v>
      </c>
      <c r="K112">
        <v>31.957381250000001</v>
      </c>
      <c r="L112">
        <v>31.575461350000001</v>
      </c>
      <c r="M112">
        <v>30.38716728</v>
      </c>
      <c r="N112">
        <v>28.8621771</v>
      </c>
      <c r="O112">
        <v>29.235543830000001</v>
      </c>
      <c r="P112">
        <v>29.497904739999999</v>
      </c>
      <c r="Q112">
        <v>28.537834790000002</v>
      </c>
    </row>
    <row r="113" spans="1:17" x14ac:dyDescent="0.25">
      <c r="A113" t="s">
        <v>104</v>
      </c>
      <c r="B113" t="s">
        <v>49</v>
      </c>
      <c r="C113" t="s">
        <v>46</v>
      </c>
      <c r="D113" t="s">
        <v>46</v>
      </c>
      <c r="E113" t="s">
        <v>50</v>
      </c>
      <c r="F113">
        <v>15.323846437333335</v>
      </c>
      <c r="G113">
        <v>14.945814077266668</v>
      </c>
      <c r="H113">
        <v>15.338385249733332</v>
      </c>
      <c r="I113">
        <v>15.235211953533334</v>
      </c>
      <c r="J113">
        <v>15.069235447066667</v>
      </c>
      <c r="K113">
        <v>15.117819672875001</v>
      </c>
      <c r="L113">
        <v>13.309275023866666</v>
      </c>
      <c r="M113">
        <v>11.86119248925</v>
      </c>
      <c r="N113">
        <v>11.668699216411763</v>
      </c>
      <c r="O113">
        <v>13.117544243470588</v>
      </c>
      <c r="P113">
        <v>12.98844779964706</v>
      </c>
      <c r="Q113">
        <v>8.0727683491176467</v>
      </c>
    </row>
    <row r="114" spans="1:17" x14ac:dyDescent="0.25">
      <c r="A114" t="s">
        <v>51</v>
      </c>
      <c r="B114" t="s">
        <v>52</v>
      </c>
      <c r="C114" t="s">
        <v>105</v>
      </c>
      <c r="D114" t="s">
        <v>106</v>
      </c>
      <c r="E114" t="s">
        <v>55</v>
      </c>
      <c r="F114">
        <v>11.896984679999999</v>
      </c>
      <c r="G114">
        <v>11.410248380000001</v>
      </c>
      <c r="H114">
        <v>12.621612349999999</v>
      </c>
      <c r="I114">
        <v>12.68770486</v>
      </c>
      <c r="J114">
        <v>13.001376690000001</v>
      </c>
      <c r="K114">
        <v>14.274657230000001</v>
      </c>
      <c r="L114">
        <v>13.49193865</v>
      </c>
      <c r="M114">
        <v>13.47697593</v>
      </c>
      <c r="N114">
        <v>13.824046969999999</v>
      </c>
      <c r="O114">
        <v>12.60043185</v>
      </c>
      <c r="P114">
        <v>14.389886219999999</v>
      </c>
      <c r="Q114">
        <v>14.590008340000001</v>
      </c>
    </row>
    <row r="115" spans="1:17" x14ac:dyDescent="0.25">
      <c r="A115" t="s">
        <v>56</v>
      </c>
      <c r="B115" t="s">
        <v>57</v>
      </c>
      <c r="C115" t="s">
        <v>105</v>
      </c>
      <c r="D115" t="s">
        <v>106</v>
      </c>
      <c r="E115" t="s">
        <v>55</v>
      </c>
      <c r="F115">
        <v>13.2662639</v>
      </c>
      <c r="G115">
        <v>12.83162516</v>
      </c>
      <c r="H115">
        <v>13.753429280000001</v>
      </c>
      <c r="I115">
        <v>12.724940589999999</v>
      </c>
      <c r="J115">
        <v>13.62750904</v>
      </c>
      <c r="K115">
        <v>14.3924989</v>
      </c>
      <c r="L115">
        <v>13.90848731</v>
      </c>
      <c r="M115">
        <v>14.160631779999999</v>
      </c>
      <c r="N115">
        <v>12.99384734</v>
      </c>
      <c r="O115">
        <v>13.37761222</v>
      </c>
      <c r="P115">
        <v>10.775460730000001</v>
      </c>
      <c r="Q115">
        <v>13.94157442</v>
      </c>
    </row>
    <row r="116" spans="1:17" x14ac:dyDescent="0.25">
      <c r="A116" t="s">
        <v>58</v>
      </c>
      <c r="B116" t="s">
        <v>59</v>
      </c>
      <c r="C116" t="s">
        <v>105</v>
      </c>
      <c r="D116" t="s">
        <v>106</v>
      </c>
      <c r="E116" t="s">
        <v>55</v>
      </c>
      <c r="F116">
        <v>4.4011736460000002</v>
      </c>
      <c r="G116">
        <v>0.61049346599999998</v>
      </c>
      <c r="H116">
        <v>3.985579413</v>
      </c>
      <c r="I116">
        <v>5.1038532109999997</v>
      </c>
      <c r="J116">
        <v>4.3123819860000001</v>
      </c>
      <c r="K116">
        <v>4.837136954</v>
      </c>
      <c r="L116">
        <v>4.8645483470000004</v>
      </c>
      <c r="M116">
        <v>5.5149501660000002</v>
      </c>
      <c r="N116">
        <v>6.8126580819999996</v>
      </c>
      <c r="O116">
        <v>7.294098033</v>
      </c>
      <c r="P116">
        <v>5.9541697969999996</v>
      </c>
      <c r="Q116">
        <v>5.7128063510000002</v>
      </c>
    </row>
    <row r="117" spans="1:17" x14ac:dyDescent="0.25">
      <c r="A117" t="s">
        <v>60</v>
      </c>
      <c r="B117" t="s">
        <v>61</v>
      </c>
      <c r="C117" t="s">
        <v>105</v>
      </c>
      <c r="D117" t="s">
        <v>106</v>
      </c>
      <c r="E117" t="s">
        <v>55</v>
      </c>
      <c r="F117">
        <v>8.5419058549999995</v>
      </c>
      <c r="G117">
        <v>3.9780193530000001</v>
      </c>
      <c r="H117">
        <v>5.6226284929999997</v>
      </c>
      <c r="I117">
        <v>6.1384504279999996</v>
      </c>
      <c r="J117">
        <v>5.9041309430000002</v>
      </c>
      <c r="K117">
        <v>7.134363853</v>
      </c>
      <c r="L117">
        <v>8.0677196630000001</v>
      </c>
      <c r="M117">
        <v>8.5774234160000002</v>
      </c>
      <c r="N117">
        <v>9.1554350430000007</v>
      </c>
      <c r="O117">
        <v>9.4451097799999992</v>
      </c>
      <c r="P117">
        <v>9.4794271430000006</v>
      </c>
      <c r="Q117">
        <v>10.145132739999999</v>
      </c>
    </row>
    <row r="118" spans="1:17" x14ac:dyDescent="0.25">
      <c r="A118" t="s">
        <v>62</v>
      </c>
      <c r="B118" t="s">
        <v>63</v>
      </c>
      <c r="C118" t="s">
        <v>105</v>
      </c>
      <c r="D118" t="s">
        <v>106</v>
      </c>
      <c r="E118" t="s">
        <v>55</v>
      </c>
      <c r="F118">
        <v>11.65534182</v>
      </c>
      <c r="G118">
        <v>11.99933807</v>
      </c>
      <c r="H118">
        <v>13.14460399</v>
      </c>
      <c r="I118">
        <v>12.5311143</v>
      </c>
      <c r="J118">
        <v>6.0895715289999997</v>
      </c>
      <c r="K118">
        <v>7.2771676960000002</v>
      </c>
      <c r="L118">
        <v>11.8342519</v>
      </c>
      <c r="M118">
        <v>13.92169374</v>
      </c>
      <c r="N118">
        <v>14.35174681</v>
      </c>
      <c r="O118">
        <v>13.724886509999999</v>
      </c>
      <c r="P118">
        <v>13.6194389</v>
      </c>
      <c r="Q118">
        <v>14.44784001</v>
      </c>
    </row>
    <row r="119" spans="1:17" x14ac:dyDescent="0.25">
      <c r="A119" t="s">
        <v>64</v>
      </c>
      <c r="B119" t="s">
        <v>65</v>
      </c>
      <c r="C119" t="s">
        <v>105</v>
      </c>
      <c r="D119" t="s">
        <v>106</v>
      </c>
      <c r="E119" t="s">
        <v>55</v>
      </c>
      <c r="F119">
        <v>18.345675750000002</v>
      </c>
      <c r="G119">
        <v>18.864091859999998</v>
      </c>
      <c r="H119">
        <v>18.766964210000001</v>
      </c>
      <c r="I119">
        <v>18.566231609999999</v>
      </c>
      <c r="J119">
        <v>18.53265077</v>
      </c>
      <c r="K119">
        <v>18.97403753</v>
      </c>
      <c r="L119">
        <v>18.36651174</v>
      </c>
      <c r="M119">
        <v>17.25193299</v>
      </c>
      <c r="N119">
        <v>16.97189887</v>
      </c>
      <c r="O119">
        <v>16.752194459999998</v>
      </c>
      <c r="P119">
        <v>17.37054264</v>
      </c>
      <c r="Q119">
        <v>14.615980459999999</v>
      </c>
    </row>
    <row r="120" spans="1:17" x14ac:dyDescent="0.25">
      <c r="A120" t="s">
        <v>66</v>
      </c>
      <c r="B120" t="s">
        <v>67</v>
      </c>
      <c r="C120" t="s">
        <v>105</v>
      </c>
      <c r="D120" t="s">
        <v>106</v>
      </c>
      <c r="E120" t="s">
        <v>55</v>
      </c>
      <c r="F120" t="s">
        <v>46</v>
      </c>
      <c r="G120" t="s">
        <v>46</v>
      </c>
      <c r="H120" t="s">
        <v>46</v>
      </c>
      <c r="I120" t="s">
        <v>46</v>
      </c>
      <c r="J120" t="s">
        <v>46</v>
      </c>
      <c r="K120">
        <v>4.0703590639999998</v>
      </c>
      <c r="L120">
        <v>2.3349668490000002</v>
      </c>
      <c r="M120">
        <v>-7.1299909939999999</v>
      </c>
      <c r="N120">
        <v>-18.242821469999999</v>
      </c>
      <c r="O120">
        <v>1.8930587839999999</v>
      </c>
      <c r="P120">
        <v>-5.1548303359999998</v>
      </c>
      <c r="Q120">
        <v>-45.399597040000003</v>
      </c>
    </row>
    <row r="121" spans="1:17" x14ac:dyDescent="0.25">
      <c r="A121" t="s">
        <v>68</v>
      </c>
      <c r="B121" t="s">
        <v>69</v>
      </c>
      <c r="C121" t="s">
        <v>105</v>
      </c>
      <c r="D121" t="s">
        <v>106</v>
      </c>
      <c r="E121" t="s">
        <v>55</v>
      </c>
      <c r="F121" t="s">
        <v>46</v>
      </c>
      <c r="G121" t="s">
        <v>46</v>
      </c>
      <c r="H121" t="s">
        <v>46</v>
      </c>
      <c r="I121" t="s">
        <v>46</v>
      </c>
      <c r="J121" t="s">
        <v>46</v>
      </c>
      <c r="K121" t="s">
        <v>46</v>
      </c>
      <c r="L121" t="s">
        <v>46</v>
      </c>
      <c r="M121" t="s">
        <v>46</v>
      </c>
      <c r="N121">
        <v>-0.37016618099999998</v>
      </c>
      <c r="O121">
        <v>7.0629917640000004</v>
      </c>
      <c r="P121">
        <v>8.2927769480000002</v>
      </c>
      <c r="Q121">
        <v>-29.269040199999999</v>
      </c>
    </row>
    <row r="122" spans="1:17" x14ac:dyDescent="0.25">
      <c r="A122" t="s">
        <v>70</v>
      </c>
      <c r="B122" t="s">
        <v>71</v>
      </c>
      <c r="C122" t="s">
        <v>105</v>
      </c>
      <c r="D122" t="s">
        <v>106</v>
      </c>
      <c r="E122" t="s">
        <v>55</v>
      </c>
      <c r="F122">
        <v>6.3654813490000004</v>
      </c>
      <c r="G122">
        <v>10.659001330000001</v>
      </c>
      <c r="H122">
        <v>14.781989319999999</v>
      </c>
      <c r="I122">
        <v>16.443466619999999</v>
      </c>
      <c r="J122">
        <v>15.21580271</v>
      </c>
      <c r="K122">
        <v>13.779617630000001</v>
      </c>
      <c r="L122">
        <v>11.80545377</v>
      </c>
      <c r="M122">
        <v>11.59214027</v>
      </c>
      <c r="N122">
        <v>11.524205869999999</v>
      </c>
      <c r="O122">
        <v>11.92362636</v>
      </c>
      <c r="P122">
        <v>13.33563404</v>
      </c>
      <c r="Q122">
        <v>13.20299346</v>
      </c>
    </row>
    <row r="123" spans="1:17" x14ac:dyDescent="0.25">
      <c r="A123" t="s">
        <v>72</v>
      </c>
      <c r="B123" t="s">
        <v>73</v>
      </c>
      <c r="C123" t="s">
        <v>105</v>
      </c>
      <c r="D123" t="s">
        <v>106</v>
      </c>
      <c r="E123" t="s">
        <v>55</v>
      </c>
      <c r="F123">
        <v>12.846556700000001</v>
      </c>
      <c r="G123">
        <v>14.47943925</v>
      </c>
      <c r="H123">
        <v>14.127817889999999</v>
      </c>
      <c r="I123">
        <v>13.5115681</v>
      </c>
      <c r="J123">
        <v>13.8984769</v>
      </c>
      <c r="K123">
        <v>14.518172399999999</v>
      </c>
      <c r="L123">
        <v>12.899276049999999</v>
      </c>
      <c r="M123">
        <v>13.57927774</v>
      </c>
      <c r="N123">
        <v>13.27259374</v>
      </c>
      <c r="O123">
        <v>12.104040700000001</v>
      </c>
      <c r="P123">
        <v>11.602011470000001</v>
      </c>
      <c r="Q123">
        <v>12.1963004</v>
      </c>
    </row>
    <row r="124" spans="1:17" x14ac:dyDescent="0.25">
      <c r="A124" t="s">
        <v>74</v>
      </c>
      <c r="B124" t="s">
        <v>75</v>
      </c>
      <c r="C124" t="s">
        <v>105</v>
      </c>
      <c r="D124" t="s">
        <v>106</v>
      </c>
      <c r="E124" t="s">
        <v>55</v>
      </c>
      <c r="F124">
        <v>16.551589969999998</v>
      </c>
      <c r="G124">
        <v>12.54460795</v>
      </c>
      <c r="H124">
        <v>12.76106248</v>
      </c>
      <c r="I124">
        <v>15.2687279</v>
      </c>
      <c r="J124">
        <v>19.64109384</v>
      </c>
      <c r="K124">
        <v>24.10164558</v>
      </c>
      <c r="L124" t="s">
        <v>46</v>
      </c>
      <c r="M124">
        <v>20.06286686</v>
      </c>
      <c r="N124">
        <v>20.090216999999999</v>
      </c>
      <c r="O124">
        <v>19.504043979999999</v>
      </c>
      <c r="P124">
        <v>19.49863306</v>
      </c>
      <c r="Q124">
        <v>19.58132045</v>
      </c>
    </row>
    <row r="125" spans="1:17" x14ac:dyDescent="0.25">
      <c r="A125" t="s">
        <v>76</v>
      </c>
      <c r="B125" t="s">
        <v>77</v>
      </c>
      <c r="C125" t="s">
        <v>105</v>
      </c>
      <c r="D125" t="s">
        <v>106</v>
      </c>
      <c r="E125" t="s">
        <v>55</v>
      </c>
      <c r="F125">
        <v>11.404773560000001</v>
      </c>
      <c r="G125">
        <v>11.3559869</v>
      </c>
      <c r="H125">
        <v>9.8518131499999999</v>
      </c>
      <c r="I125">
        <v>9.9601821840000007</v>
      </c>
      <c r="J125">
        <v>7.3855993580000003</v>
      </c>
      <c r="K125">
        <v>6.8044280290000003</v>
      </c>
      <c r="L125">
        <v>-1.445733921</v>
      </c>
      <c r="M125">
        <v>-22.504248520000001</v>
      </c>
      <c r="N125">
        <v>5.9623756050000001</v>
      </c>
      <c r="O125">
        <v>6.4970164979999998</v>
      </c>
      <c r="P125">
        <v>6.422584402</v>
      </c>
      <c r="Q125">
        <v>6.8984459439999997</v>
      </c>
    </row>
    <row r="126" spans="1:17" x14ac:dyDescent="0.25">
      <c r="A126" t="s">
        <v>78</v>
      </c>
      <c r="B126" t="s">
        <v>79</v>
      </c>
      <c r="C126" t="s">
        <v>105</v>
      </c>
      <c r="D126" t="s">
        <v>106</v>
      </c>
      <c r="E126" t="s">
        <v>55</v>
      </c>
      <c r="F126">
        <v>31.68303139</v>
      </c>
      <c r="G126">
        <v>30.252396449999999</v>
      </c>
      <c r="H126">
        <v>29.351659940000001</v>
      </c>
      <c r="I126">
        <v>28.834410389999999</v>
      </c>
      <c r="J126">
        <v>25.205689929999998</v>
      </c>
      <c r="K126">
        <v>23.559332179999998</v>
      </c>
      <c r="L126">
        <v>25.05110749</v>
      </c>
      <c r="M126">
        <v>25.01561474</v>
      </c>
      <c r="N126">
        <v>24.67875708</v>
      </c>
      <c r="O126">
        <v>24.315816340000001</v>
      </c>
      <c r="P126">
        <v>22.836407619999999</v>
      </c>
      <c r="Q126">
        <v>21.339119520000001</v>
      </c>
    </row>
    <row r="127" spans="1:17" x14ac:dyDescent="0.25">
      <c r="A127" t="s">
        <v>80</v>
      </c>
      <c r="B127" t="s">
        <v>81</v>
      </c>
      <c r="C127" t="s">
        <v>105</v>
      </c>
      <c r="D127" t="s">
        <v>106</v>
      </c>
      <c r="E127" t="s">
        <v>55</v>
      </c>
      <c r="F127">
        <v>15.3797163</v>
      </c>
      <c r="G127">
        <v>17.766661790000001</v>
      </c>
      <c r="H127">
        <v>18.17362571</v>
      </c>
      <c r="I127">
        <v>18.9737738</v>
      </c>
      <c r="J127">
        <v>20.493030310000002</v>
      </c>
      <c r="K127">
        <v>19.813555359999999</v>
      </c>
      <c r="L127">
        <v>19.171704760000001</v>
      </c>
      <c r="M127">
        <v>18.359207739999999</v>
      </c>
      <c r="N127">
        <v>14.3570365</v>
      </c>
      <c r="O127">
        <v>14.74999684</v>
      </c>
      <c r="P127">
        <v>15.31705846</v>
      </c>
      <c r="Q127">
        <v>12.826163040000001</v>
      </c>
    </row>
    <row r="128" spans="1:17" x14ac:dyDescent="0.25">
      <c r="A128" t="s">
        <v>82</v>
      </c>
      <c r="B128" t="s">
        <v>83</v>
      </c>
      <c r="C128" t="s">
        <v>105</v>
      </c>
      <c r="D128" t="s">
        <v>106</v>
      </c>
      <c r="E128" t="s">
        <v>55</v>
      </c>
      <c r="F128">
        <v>23.750578869999998</v>
      </c>
      <c r="G128">
        <v>26.753076700000001</v>
      </c>
      <c r="H128">
        <v>27.979201870000001</v>
      </c>
      <c r="I128">
        <v>27.646371739999999</v>
      </c>
      <c r="J128">
        <v>26.92511511</v>
      </c>
      <c r="K128">
        <v>29.101780040000001</v>
      </c>
      <c r="L128">
        <v>24.08543366</v>
      </c>
      <c r="M128">
        <v>26.498904700000001</v>
      </c>
      <c r="N128">
        <v>25.705711820000001</v>
      </c>
      <c r="O128">
        <v>24.777423970000001</v>
      </c>
      <c r="P128">
        <v>25.569597779999999</v>
      </c>
      <c r="Q128">
        <v>24.581233390000001</v>
      </c>
    </row>
    <row r="129" spans="1:17" x14ac:dyDescent="0.25">
      <c r="A129" t="s">
        <v>84</v>
      </c>
      <c r="B129" t="s">
        <v>85</v>
      </c>
      <c r="C129" t="s">
        <v>105</v>
      </c>
      <c r="D129" t="s">
        <v>106</v>
      </c>
      <c r="E129" t="s">
        <v>55</v>
      </c>
      <c r="F129">
        <v>26.268282299999999</v>
      </c>
      <c r="G129">
        <v>21.591646130000001</v>
      </c>
      <c r="H129">
        <v>16.726975599999999</v>
      </c>
      <c r="I129">
        <v>13.80949779</v>
      </c>
      <c r="J129">
        <v>17.8114679</v>
      </c>
      <c r="K129">
        <v>19.444119929999999</v>
      </c>
      <c r="L129">
        <v>15.65559893</v>
      </c>
      <c r="M129">
        <v>13.25459912</v>
      </c>
      <c r="N129">
        <v>11.00278647</v>
      </c>
      <c r="O129">
        <v>11.77854541</v>
      </c>
      <c r="P129">
        <v>14.989594759999999</v>
      </c>
      <c r="Q129">
        <v>11.019894089999999</v>
      </c>
    </row>
    <row r="130" spans="1:17" x14ac:dyDescent="0.25">
      <c r="A130" t="s">
        <v>86</v>
      </c>
      <c r="B130" t="s">
        <v>87</v>
      </c>
      <c r="C130" t="s">
        <v>105</v>
      </c>
      <c r="D130" t="s">
        <v>106</v>
      </c>
      <c r="E130" t="s">
        <v>55</v>
      </c>
      <c r="F130">
        <v>17.500340470000001</v>
      </c>
      <c r="G130">
        <v>19.090578369999999</v>
      </c>
      <c r="H130">
        <v>18.426815049999998</v>
      </c>
      <c r="I130">
        <v>16.327885779999999</v>
      </c>
      <c r="J130">
        <v>17.994634690000002</v>
      </c>
      <c r="K130">
        <v>19.80224239</v>
      </c>
      <c r="L130">
        <v>19.547860159999999</v>
      </c>
      <c r="M130">
        <v>18.14710015</v>
      </c>
      <c r="N130">
        <v>16.277557130000002</v>
      </c>
      <c r="O130">
        <v>15.197358639999999</v>
      </c>
      <c r="P130">
        <v>16.505218960000001</v>
      </c>
      <c r="Q130">
        <v>16.806886559999999</v>
      </c>
    </row>
    <row r="131" spans="1:17" x14ac:dyDescent="0.25">
      <c r="A131" t="s">
        <v>107</v>
      </c>
      <c r="B131" t="s">
        <v>49</v>
      </c>
      <c r="C131" t="s">
        <v>46</v>
      </c>
      <c r="D131" t="s">
        <v>46</v>
      </c>
      <c r="E131" t="s">
        <v>50</v>
      </c>
      <c r="F131">
        <v>19.043938778533334</v>
      </c>
      <c r="G131">
        <v>18.766270195266667</v>
      </c>
      <c r="H131">
        <v>18.825905985000002</v>
      </c>
      <c r="I131">
        <v>18.427375169733338</v>
      </c>
      <c r="J131">
        <v>18.116471793866666</v>
      </c>
      <c r="K131">
        <v>18.5143620381875</v>
      </c>
      <c r="L131">
        <v>16.802166195400002</v>
      </c>
      <c r="M131">
        <v>15.202585471562502</v>
      </c>
      <c r="N131">
        <v>15.52768856017647</v>
      </c>
      <c r="O131">
        <v>17.039667132647057</v>
      </c>
      <c r="P131">
        <v>16.921182897588238</v>
      </c>
      <c r="Q131">
        <v>13.398578316470589</v>
      </c>
    </row>
    <row r="132" spans="1:17" x14ac:dyDescent="0.25">
      <c r="A132" t="s">
        <v>51</v>
      </c>
      <c r="B132" t="s">
        <v>52</v>
      </c>
      <c r="C132" t="s">
        <v>108</v>
      </c>
      <c r="D132" t="s">
        <v>109</v>
      </c>
      <c r="E132" t="s">
        <v>55</v>
      </c>
      <c r="F132">
        <v>13.838299279999999</v>
      </c>
      <c r="G132">
        <v>13.56204022</v>
      </c>
      <c r="H132">
        <v>14.6770657</v>
      </c>
      <c r="I132">
        <v>14.564126509999999</v>
      </c>
      <c r="J132">
        <v>14.99461095</v>
      </c>
      <c r="K132">
        <v>16.225774019999999</v>
      </c>
      <c r="L132">
        <v>15.43938734</v>
      </c>
      <c r="M132">
        <v>15.439407360000001</v>
      </c>
      <c r="N132">
        <v>15.919164800000001</v>
      </c>
      <c r="O132">
        <v>14.78125213</v>
      </c>
      <c r="P132">
        <v>16.650727180000001</v>
      </c>
      <c r="Q132">
        <v>16.655864480000002</v>
      </c>
    </row>
    <row r="133" spans="1:17" x14ac:dyDescent="0.25">
      <c r="A133" t="s">
        <v>56</v>
      </c>
      <c r="B133" t="s">
        <v>57</v>
      </c>
      <c r="C133" t="s">
        <v>108</v>
      </c>
      <c r="D133" t="s">
        <v>109</v>
      </c>
      <c r="E133" t="s">
        <v>55</v>
      </c>
      <c r="F133">
        <v>19.36781805</v>
      </c>
      <c r="G133">
        <v>19.752554230000001</v>
      </c>
      <c r="H133">
        <v>20.319292489999999</v>
      </c>
      <c r="I133">
        <v>18.435844729999999</v>
      </c>
      <c r="J133">
        <v>18.543393500000001</v>
      </c>
      <c r="K133">
        <v>18.599974769999999</v>
      </c>
      <c r="L133">
        <v>18.476068130000002</v>
      </c>
      <c r="M133">
        <v>18.95802926</v>
      </c>
      <c r="N133">
        <v>18.689865520000001</v>
      </c>
      <c r="O133">
        <v>18.93428114</v>
      </c>
      <c r="P133">
        <v>16.089489960000002</v>
      </c>
      <c r="Q133">
        <v>18.976775459999999</v>
      </c>
    </row>
    <row r="134" spans="1:17" x14ac:dyDescent="0.25">
      <c r="A134" t="s">
        <v>58</v>
      </c>
      <c r="B134" t="s">
        <v>59</v>
      </c>
      <c r="C134" t="s">
        <v>108</v>
      </c>
      <c r="D134" t="s">
        <v>109</v>
      </c>
      <c r="E134" t="s">
        <v>55</v>
      </c>
      <c r="F134">
        <v>8.6920956700000005</v>
      </c>
      <c r="G134">
        <v>4.9405110199999998</v>
      </c>
      <c r="H134">
        <v>8.2420427840000006</v>
      </c>
      <c r="I134">
        <v>9.4899082569999997</v>
      </c>
      <c r="J134">
        <v>8.6971269630000005</v>
      </c>
      <c r="K134">
        <v>9.1716388460000005</v>
      </c>
      <c r="L134">
        <v>8.8828000710000001</v>
      </c>
      <c r="M134">
        <v>9.9836226660000005</v>
      </c>
      <c r="N134">
        <v>11.09930217</v>
      </c>
      <c r="O134">
        <v>11.937312439999999</v>
      </c>
      <c r="P134">
        <v>10.11457551</v>
      </c>
      <c r="Q134">
        <v>12.84949948</v>
      </c>
    </row>
    <row r="135" spans="1:17" x14ac:dyDescent="0.25">
      <c r="A135" t="s">
        <v>60</v>
      </c>
      <c r="B135" t="s">
        <v>61</v>
      </c>
      <c r="C135" t="s">
        <v>108</v>
      </c>
      <c r="D135" t="s">
        <v>109</v>
      </c>
      <c r="E135" t="s">
        <v>55</v>
      </c>
      <c r="F135">
        <v>11.26291619</v>
      </c>
      <c r="G135">
        <v>5.9371640189999999</v>
      </c>
      <c r="H135">
        <v>7.6463148209999998</v>
      </c>
      <c r="I135">
        <v>8.0779944290000003</v>
      </c>
      <c r="J135">
        <v>8.1254871400000006</v>
      </c>
      <c r="K135">
        <v>9.1954022989999995</v>
      </c>
      <c r="L135">
        <v>9.9971625839999998</v>
      </c>
      <c r="M135">
        <v>10.79311792</v>
      </c>
      <c r="N135">
        <v>11.539995210000001</v>
      </c>
      <c r="O135">
        <v>11.84830339</v>
      </c>
      <c r="P135">
        <v>11.767826019999999</v>
      </c>
      <c r="Q135">
        <v>14.00353982</v>
      </c>
    </row>
    <row r="136" spans="1:17" x14ac:dyDescent="0.25">
      <c r="A136" t="s">
        <v>62</v>
      </c>
      <c r="B136" t="s">
        <v>63</v>
      </c>
      <c r="C136" t="s">
        <v>108</v>
      </c>
      <c r="D136" t="s">
        <v>109</v>
      </c>
      <c r="E136" t="s">
        <v>55</v>
      </c>
      <c r="F136">
        <v>16.677653759999998</v>
      </c>
      <c r="G136">
        <v>17.700718999999999</v>
      </c>
      <c r="H136">
        <v>19.032415109999999</v>
      </c>
      <c r="I136">
        <v>17.818923649999999</v>
      </c>
      <c r="J136">
        <v>10.93818819</v>
      </c>
      <c r="K136">
        <v>11.60002594</v>
      </c>
      <c r="L136">
        <v>16.065156959999999</v>
      </c>
      <c r="M136">
        <v>18.043790009999999</v>
      </c>
      <c r="N136">
        <v>18.0964825</v>
      </c>
      <c r="O136">
        <v>17.203002730000001</v>
      </c>
      <c r="P136">
        <v>17.031978850000002</v>
      </c>
      <c r="Q136">
        <v>17.68698917</v>
      </c>
    </row>
    <row r="137" spans="1:17" x14ac:dyDescent="0.25">
      <c r="A137" t="s">
        <v>64</v>
      </c>
      <c r="B137" t="s">
        <v>65</v>
      </c>
      <c r="C137" t="s">
        <v>108</v>
      </c>
      <c r="D137" t="s">
        <v>109</v>
      </c>
      <c r="E137" t="s">
        <v>55</v>
      </c>
      <c r="F137">
        <v>21.001532510000001</v>
      </c>
      <c r="G137">
        <v>21.589928579999999</v>
      </c>
      <c r="H137">
        <v>21.165977009999999</v>
      </c>
      <c r="I137">
        <v>20.594851689999999</v>
      </c>
      <c r="J137">
        <v>20.664122859999999</v>
      </c>
      <c r="K137">
        <v>21.00871077</v>
      </c>
      <c r="L137">
        <v>20.394243230000001</v>
      </c>
      <c r="M137">
        <v>19.90979381</v>
      </c>
      <c r="N137">
        <v>19.782012309999999</v>
      </c>
      <c r="O137">
        <v>19.743416610000001</v>
      </c>
      <c r="P137">
        <v>20.45891473</v>
      </c>
      <c r="Q137">
        <v>19.215873210000002</v>
      </c>
    </row>
    <row r="138" spans="1:17" x14ac:dyDescent="0.25">
      <c r="A138" t="s">
        <v>66</v>
      </c>
      <c r="B138" t="s">
        <v>67</v>
      </c>
      <c r="C138" t="s">
        <v>108</v>
      </c>
      <c r="D138" t="s">
        <v>109</v>
      </c>
      <c r="E138" t="s">
        <v>55</v>
      </c>
      <c r="F138" t="s">
        <v>46</v>
      </c>
      <c r="G138" t="s">
        <v>46</v>
      </c>
      <c r="H138" t="s">
        <v>46</v>
      </c>
      <c r="I138" t="s">
        <v>46</v>
      </c>
      <c r="J138" t="s">
        <v>46</v>
      </c>
      <c r="K138">
        <v>14.74051461</v>
      </c>
      <c r="L138">
        <v>13.678293460000001</v>
      </c>
      <c r="M138">
        <v>1.8763134189999999</v>
      </c>
      <c r="N138">
        <v>-8.676654182</v>
      </c>
      <c r="O138">
        <v>10.1129193</v>
      </c>
      <c r="P138">
        <v>3.3747450400000001</v>
      </c>
      <c r="Q138">
        <v>-35.28094918</v>
      </c>
    </row>
    <row r="139" spans="1:17" x14ac:dyDescent="0.25">
      <c r="A139" t="s">
        <v>68</v>
      </c>
      <c r="B139" t="s">
        <v>69</v>
      </c>
      <c r="C139" t="s">
        <v>108</v>
      </c>
      <c r="D139" t="s">
        <v>109</v>
      </c>
      <c r="E139" t="s">
        <v>55</v>
      </c>
      <c r="F139" t="s">
        <v>46</v>
      </c>
      <c r="G139" t="s">
        <v>46</v>
      </c>
      <c r="H139" t="s">
        <v>46</v>
      </c>
      <c r="I139" t="s">
        <v>46</v>
      </c>
      <c r="J139" t="s">
        <v>46</v>
      </c>
      <c r="K139" t="s">
        <v>46</v>
      </c>
      <c r="L139" t="s">
        <v>46</v>
      </c>
      <c r="M139" t="s">
        <v>46</v>
      </c>
      <c r="N139">
        <v>8.0018902099999991</v>
      </c>
      <c r="O139">
        <v>16.330005060000001</v>
      </c>
      <c r="P139">
        <v>18.040765189999998</v>
      </c>
      <c r="Q139">
        <v>-15.9217449</v>
      </c>
    </row>
    <row r="140" spans="1:17" x14ac:dyDescent="0.25">
      <c r="A140" t="s">
        <v>70</v>
      </c>
      <c r="B140" t="s">
        <v>71</v>
      </c>
      <c r="C140" t="s">
        <v>108</v>
      </c>
      <c r="D140" t="s">
        <v>109</v>
      </c>
      <c r="E140" t="s">
        <v>55</v>
      </c>
      <c r="F140">
        <v>9.4090841180000009</v>
      </c>
      <c r="G140">
        <v>14.40585838</v>
      </c>
      <c r="H140">
        <v>17.595931910000001</v>
      </c>
      <c r="I140">
        <v>18.696790700000001</v>
      </c>
      <c r="J140">
        <v>17.724337770000002</v>
      </c>
      <c r="K140">
        <v>16.50336776</v>
      </c>
      <c r="L140">
        <v>14.200296700000001</v>
      </c>
      <c r="M140">
        <v>13.495046650000001</v>
      </c>
      <c r="N140">
        <v>13.54009716</v>
      </c>
      <c r="O140">
        <v>13.892811050000001</v>
      </c>
      <c r="P140">
        <v>15.323791910000001</v>
      </c>
      <c r="Q140">
        <v>17.913826759999999</v>
      </c>
    </row>
    <row r="141" spans="1:17" x14ac:dyDescent="0.25">
      <c r="A141" t="s">
        <v>72</v>
      </c>
      <c r="B141" t="s">
        <v>73</v>
      </c>
      <c r="C141" t="s">
        <v>108</v>
      </c>
      <c r="D141" t="s">
        <v>109</v>
      </c>
      <c r="E141" t="s">
        <v>55</v>
      </c>
      <c r="F141">
        <v>21.69185289</v>
      </c>
      <c r="G141">
        <v>21.584970949999999</v>
      </c>
      <c r="H141">
        <v>20.018062480000001</v>
      </c>
      <c r="I141">
        <v>18.415794200000001</v>
      </c>
      <c r="J141">
        <v>18.072778190000001</v>
      </c>
      <c r="K141">
        <v>18.10448139</v>
      </c>
      <c r="L141">
        <v>16.391671980000002</v>
      </c>
      <c r="M141">
        <v>16.943662929999999</v>
      </c>
      <c r="N141">
        <v>16.452047570000001</v>
      </c>
      <c r="O141">
        <v>15.57197867</v>
      </c>
      <c r="P141">
        <v>15.05836796</v>
      </c>
      <c r="Q141">
        <v>17.966688659999999</v>
      </c>
    </row>
    <row r="142" spans="1:17" x14ac:dyDescent="0.25">
      <c r="A142" t="s">
        <v>74</v>
      </c>
      <c r="B142" t="s">
        <v>75</v>
      </c>
      <c r="C142" t="s">
        <v>108</v>
      </c>
      <c r="D142" t="s">
        <v>109</v>
      </c>
      <c r="E142" t="s">
        <v>55</v>
      </c>
      <c r="F142">
        <v>20.222085140000001</v>
      </c>
      <c r="G142">
        <v>15.98972998</v>
      </c>
      <c r="H142">
        <v>15.68336021</v>
      </c>
      <c r="I142">
        <v>17.905432170000001</v>
      </c>
      <c r="J142">
        <v>22.1302792</v>
      </c>
      <c r="K142">
        <v>26.327474909999999</v>
      </c>
      <c r="L142" t="s">
        <v>46</v>
      </c>
      <c r="M142">
        <v>21.453314939999999</v>
      </c>
      <c r="N142">
        <v>21.830900199999999</v>
      </c>
      <c r="O142">
        <v>22.238921080000001</v>
      </c>
      <c r="P142">
        <v>23.051526809999999</v>
      </c>
      <c r="Q142">
        <v>23.599033819999999</v>
      </c>
    </row>
    <row r="143" spans="1:17" x14ac:dyDescent="0.25">
      <c r="A143" t="s">
        <v>76</v>
      </c>
      <c r="B143" t="s">
        <v>77</v>
      </c>
      <c r="C143" t="s">
        <v>108</v>
      </c>
      <c r="D143" t="s">
        <v>109</v>
      </c>
      <c r="E143" t="s">
        <v>55</v>
      </c>
      <c r="F143">
        <v>12.99060963</v>
      </c>
      <c r="G143">
        <v>13.35129416</v>
      </c>
      <c r="H143">
        <v>12.002501329999999</v>
      </c>
      <c r="I143">
        <v>11.999166819999999</v>
      </c>
      <c r="J143">
        <v>8.5641520849999999</v>
      </c>
      <c r="K143">
        <v>8.5859208060000007</v>
      </c>
      <c r="L143">
        <v>0.740600806</v>
      </c>
      <c r="M143">
        <v>-19.50537538</v>
      </c>
      <c r="N143">
        <v>8.4661902349999991</v>
      </c>
      <c r="O143">
        <v>8.8425367949999991</v>
      </c>
      <c r="P143">
        <v>9.4414954889999994</v>
      </c>
      <c r="Q143">
        <v>10.8068849</v>
      </c>
    </row>
    <row r="144" spans="1:17" x14ac:dyDescent="0.25">
      <c r="A144" t="s">
        <v>78</v>
      </c>
      <c r="B144" t="s">
        <v>79</v>
      </c>
      <c r="C144" t="s">
        <v>108</v>
      </c>
      <c r="D144" t="s">
        <v>109</v>
      </c>
      <c r="E144" t="s">
        <v>55</v>
      </c>
      <c r="F144">
        <v>35.19107546</v>
      </c>
      <c r="G144">
        <v>34.39451236</v>
      </c>
      <c r="H144">
        <v>32.457001560000002</v>
      </c>
      <c r="I144">
        <v>31.612023480000001</v>
      </c>
      <c r="J144">
        <v>28.003568600000001</v>
      </c>
      <c r="K144">
        <v>26.300041889999999</v>
      </c>
      <c r="L144">
        <v>27.056021309999998</v>
      </c>
      <c r="M144">
        <v>27.352220500000001</v>
      </c>
      <c r="N144">
        <v>27.165469309999999</v>
      </c>
      <c r="O144">
        <v>26.957545159999999</v>
      </c>
      <c r="P144">
        <v>25.268823709999999</v>
      </c>
      <c r="Q144">
        <v>24.525558700000001</v>
      </c>
    </row>
    <row r="145" spans="1:17" x14ac:dyDescent="0.25">
      <c r="A145" t="s">
        <v>80</v>
      </c>
      <c r="B145" t="s">
        <v>81</v>
      </c>
      <c r="C145" t="s">
        <v>108</v>
      </c>
      <c r="D145" t="s">
        <v>109</v>
      </c>
      <c r="E145" t="s">
        <v>55</v>
      </c>
      <c r="F145">
        <v>20.638811159999999</v>
      </c>
      <c r="G145">
        <v>22.98189185</v>
      </c>
      <c r="H145">
        <v>23.009912889999999</v>
      </c>
      <c r="I145">
        <v>23.477309290000001</v>
      </c>
      <c r="J145">
        <v>25.03839649</v>
      </c>
      <c r="K145">
        <v>24.569215289999999</v>
      </c>
      <c r="L145">
        <v>24.012587159999999</v>
      </c>
      <c r="M145">
        <v>23.075323279999999</v>
      </c>
      <c r="N145">
        <v>19.838836820000001</v>
      </c>
      <c r="O145">
        <v>20.488002120000001</v>
      </c>
      <c r="P145">
        <v>20.94457916</v>
      </c>
      <c r="Q145">
        <v>22.781183970000001</v>
      </c>
    </row>
    <row r="146" spans="1:17" x14ac:dyDescent="0.25">
      <c r="A146" t="s">
        <v>82</v>
      </c>
      <c r="B146" t="s">
        <v>83</v>
      </c>
      <c r="C146" t="s">
        <v>108</v>
      </c>
      <c r="D146" t="s">
        <v>109</v>
      </c>
      <c r="E146" t="s">
        <v>55</v>
      </c>
      <c r="F146">
        <v>25.778703969999999</v>
      </c>
      <c r="G146">
        <v>28.953921749999999</v>
      </c>
      <c r="H146">
        <v>29.949113870000001</v>
      </c>
      <c r="I146">
        <v>29.52378654</v>
      </c>
      <c r="J146">
        <v>28.63956013</v>
      </c>
      <c r="K146">
        <v>30.7204579</v>
      </c>
      <c r="L146">
        <v>26.061040009999999</v>
      </c>
      <c r="M146">
        <v>28.236658510000002</v>
      </c>
      <c r="N146">
        <v>27.39009545</v>
      </c>
      <c r="O146">
        <v>26.41343904</v>
      </c>
      <c r="P146">
        <v>26.97336529</v>
      </c>
      <c r="Q146">
        <v>26.829734500000001</v>
      </c>
    </row>
    <row r="147" spans="1:17" x14ac:dyDescent="0.25">
      <c r="A147" t="s">
        <v>84</v>
      </c>
      <c r="B147" t="s">
        <v>85</v>
      </c>
      <c r="C147" t="s">
        <v>108</v>
      </c>
      <c r="D147" t="s">
        <v>109</v>
      </c>
      <c r="E147" t="s">
        <v>55</v>
      </c>
      <c r="F147">
        <v>28.725334289999999</v>
      </c>
      <c r="G147">
        <v>24.486530890000001</v>
      </c>
      <c r="H147">
        <v>19.518695770000001</v>
      </c>
      <c r="I147">
        <v>16.747727560000001</v>
      </c>
      <c r="J147">
        <v>20.721362989999999</v>
      </c>
      <c r="K147">
        <v>22.217147959999998</v>
      </c>
      <c r="L147">
        <v>18.358361370000001</v>
      </c>
      <c r="M147">
        <v>16.118999630000001</v>
      </c>
      <c r="N147">
        <v>14.35924889</v>
      </c>
      <c r="O147">
        <v>15.30437495</v>
      </c>
      <c r="P147">
        <v>18.239830059999999</v>
      </c>
      <c r="Q147">
        <v>14.9414862</v>
      </c>
    </row>
    <row r="148" spans="1:17" x14ac:dyDescent="0.25">
      <c r="A148" t="s">
        <v>86</v>
      </c>
      <c r="B148" t="s">
        <v>87</v>
      </c>
      <c r="C148" t="s">
        <v>108</v>
      </c>
      <c r="D148" t="s">
        <v>109</v>
      </c>
      <c r="E148" t="s">
        <v>55</v>
      </c>
      <c r="F148">
        <v>20.171209560000001</v>
      </c>
      <c r="G148">
        <v>21.86242554</v>
      </c>
      <c r="H148">
        <v>21.070901840000001</v>
      </c>
      <c r="I148">
        <v>19.050947520000001</v>
      </c>
      <c r="J148">
        <v>20.889711850000001</v>
      </c>
      <c r="K148">
        <v>22.35964345</v>
      </c>
      <c r="L148">
        <v>22.278801820000002</v>
      </c>
      <c r="M148">
        <v>21.06744204</v>
      </c>
      <c r="N148">
        <v>20.475761349999999</v>
      </c>
      <c r="O148">
        <v>19.074239590000001</v>
      </c>
      <c r="P148">
        <v>19.829306389999999</v>
      </c>
      <c r="Q148">
        <v>20.225586329999999</v>
      </c>
    </row>
    <row r="149" spans="1:17" x14ac:dyDescent="0.25">
      <c r="A149" t="s">
        <v>110</v>
      </c>
      <c r="B149" t="s">
        <v>46</v>
      </c>
      <c r="C149" t="s">
        <v>46</v>
      </c>
      <c r="D149" t="s">
        <v>46</v>
      </c>
      <c r="E149" t="s">
        <v>50</v>
      </c>
      <c r="F149">
        <v>22.484851088599999</v>
      </c>
      <c r="G149">
        <v>18.880391168214285</v>
      </c>
      <c r="H149">
        <v>20.859324790333336</v>
      </c>
      <c r="I149">
        <v>23.523669920666666</v>
      </c>
      <c r="J149">
        <v>25.464327202666663</v>
      </c>
      <c r="K149">
        <v>23.121169223750002</v>
      </c>
      <c r="L149">
        <v>23.63921521538462</v>
      </c>
      <c r="M149">
        <v>21.77484127692308</v>
      </c>
      <c r="N149">
        <v>22.153104464066665</v>
      </c>
      <c r="O149">
        <v>27.290525985333336</v>
      </c>
      <c r="P149">
        <v>21.1727665730625</v>
      </c>
      <c r="Q149">
        <v>21.836761561466673</v>
      </c>
    </row>
    <row r="150" spans="1:17" x14ac:dyDescent="0.25">
      <c r="A150" t="s">
        <v>51</v>
      </c>
      <c r="B150" t="s">
        <v>52</v>
      </c>
      <c r="C150" t="s">
        <v>111</v>
      </c>
      <c r="D150" t="s">
        <v>112</v>
      </c>
      <c r="E150" t="s">
        <v>55</v>
      </c>
      <c r="F150">
        <v>29.299991439999999</v>
      </c>
      <c r="G150">
        <v>27.619974490000001</v>
      </c>
      <c r="H150">
        <v>29.299995989999999</v>
      </c>
      <c r="I150">
        <v>27.299999830000001</v>
      </c>
      <c r="J150">
        <v>27.643260779999999</v>
      </c>
      <c r="K150">
        <v>18.085315260000002</v>
      </c>
      <c r="L150">
        <v>26.101001440000001</v>
      </c>
      <c r="M150">
        <v>25.77334243</v>
      </c>
      <c r="N150">
        <v>22.378029590000001</v>
      </c>
      <c r="O150">
        <v>21.254185410000002</v>
      </c>
      <c r="P150">
        <v>27.435838230000002</v>
      </c>
      <c r="Q150">
        <v>22.482431850000001</v>
      </c>
    </row>
    <row r="151" spans="1:17" x14ac:dyDescent="0.25">
      <c r="A151" t="s">
        <v>56</v>
      </c>
      <c r="B151" t="s">
        <v>57</v>
      </c>
      <c r="C151" t="s">
        <v>111</v>
      </c>
      <c r="D151" t="s">
        <v>112</v>
      </c>
      <c r="E151" t="s">
        <v>55</v>
      </c>
      <c r="F151">
        <v>9.2551568549999992</v>
      </c>
      <c r="G151">
        <v>10.91835676</v>
      </c>
      <c r="H151">
        <v>10.74285358</v>
      </c>
      <c r="I151">
        <v>12.39351338</v>
      </c>
      <c r="J151">
        <v>11.35906542</v>
      </c>
      <c r="K151">
        <v>13.25784423</v>
      </c>
      <c r="L151">
        <v>13.77346543</v>
      </c>
      <c r="M151">
        <v>13.097093129999999</v>
      </c>
      <c r="N151">
        <v>15.54926985</v>
      </c>
      <c r="O151">
        <v>14.834123590000001</v>
      </c>
      <c r="P151">
        <v>15.928462469999999</v>
      </c>
      <c r="Q151">
        <v>15.57369688</v>
      </c>
    </row>
    <row r="152" spans="1:17" x14ac:dyDescent="0.25">
      <c r="A152" t="s">
        <v>58</v>
      </c>
      <c r="B152" t="s">
        <v>59</v>
      </c>
      <c r="C152" t="s">
        <v>111</v>
      </c>
      <c r="D152" t="s">
        <v>112</v>
      </c>
      <c r="E152" t="s">
        <v>55</v>
      </c>
      <c r="F152">
        <v>62.064516130000001</v>
      </c>
      <c r="G152" t="s">
        <v>46</v>
      </c>
      <c r="H152">
        <v>32.840909089999997</v>
      </c>
      <c r="I152">
        <v>41.402497599999997</v>
      </c>
      <c r="J152">
        <v>31.219660189999999</v>
      </c>
      <c r="K152">
        <v>27.090395480000002</v>
      </c>
      <c r="L152">
        <v>26.781579619999999</v>
      </c>
      <c r="M152">
        <v>20.161734979999999</v>
      </c>
      <c r="N152">
        <v>18.310224179999999</v>
      </c>
      <c r="O152">
        <v>18.327183269999999</v>
      </c>
      <c r="P152">
        <v>0.176366843</v>
      </c>
      <c r="Q152">
        <v>18.061674010000001</v>
      </c>
    </row>
    <row r="153" spans="1:17" x14ac:dyDescent="0.25">
      <c r="A153" t="s">
        <v>60</v>
      </c>
      <c r="B153" t="s">
        <v>61</v>
      </c>
      <c r="C153" t="s">
        <v>111</v>
      </c>
      <c r="D153" t="s">
        <v>112</v>
      </c>
      <c r="E153" t="s">
        <v>55</v>
      </c>
      <c r="F153">
        <v>20.45855379</v>
      </c>
      <c r="G153">
        <v>25.523012550000001</v>
      </c>
      <c r="H153">
        <v>30.84577114</v>
      </c>
      <c r="I153">
        <v>20.6122449</v>
      </c>
      <c r="J153">
        <v>28.18371608</v>
      </c>
      <c r="K153">
        <v>29.449838190000001</v>
      </c>
      <c r="L153">
        <v>26.819923370000001</v>
      </c>
      <c r="M153" t="s">
        <v>46</v>
      </c>
      <c r="N153">
        <v>9.3812375249999995</v>
      </c>
      <c r="O153">
        <v>27.272727270000001</v>
      </c>
      <c r="P153">
        <v>38.172502129999998</v>
      </c>
      <c r="Q153">
        <v>37.075332349999996</v>
      </c>
    </row>
    <row r="154" spans="1:17" x14ac:dyDescent="0.25">
      <c r="A154" t="s">
        <v>62</v>
      </c>
      <c r="B154" t="s">
        <v>63</v>
      </c>
      <c r="C154" t="s">
        <v>111</v>
      </c>
      <c r="D154" t="s">
        <v>112</v>
      </c>
      <c r="E154" t="s">
        <v>55</v>
      </c>
      <c r="F154">
        <v>24.447946739999999</v>
      </c>
      <c r="G154">
        <v>28.387513599999998</v>
      </c>
      <c r="H154">
        <v>24.065592710000001</v>
      </c>
      <c r="I154">
        <v>18.53654002</v>
      </c>
      <c r="J154">
        <v>49.97489788</v>
      </c>
      <c r="K154">
        <v>27.373482769999999</v>
      </c>
      <c r="L154">
        <v>23.959920369999999</v>
      </c>
      <c r="M154">
        <v>26.419218579999999</v>
      </c>
      <c r="N154">
        <v>26.43674047</v>
      </c>
      <c r="O154">
        <v>26.990818090000001</v>
      </c>
      <c r="P154">
        <v>23.394810669999998</v>
      </c>
      <c r="Q154">
        <v>24.672261750000001</v>
      </c>
    </row>
    <row r="155" spans="1:17" x14ac:dyDescent="0.25">
      <c r="A155" t="s">
        <v>64</v>
      </c>
      <c r="B155" t="s">
        <v>65</v>
      </c>
      <c r="C155" t="s">
        <v>111</v>
      </c>
      <c r="D155" t="s">
        <v>112</v>
      </c>
      <c r="E155" t="s">
        <v>55</v>
      </c>
      <c r="F155">
        <v>16.374876260000001</v>
      </c>
      <c r="G155">
        <v>16.011906719999999</v>
      </c>
      <c r="H155">
        <v>16.50845683</v>
      </c>
      <c r="I155">
        <v>24.422122420000001</v>
      </c>
      <c r="J155">
        <v>24.238539169999999</v>
      </c>
      <c r="K155">
        <v>27.213364160000001</v>
      </c>
      <c r="L155">
        <v>25.19230769</v>
      </c>
      <c r="M155">
        <v>24.953789279999999</v>
      </c>
      <c r="N155">
        <v>34.153585069999998</v>
      </c>
      <c r="O155">
        <v>43.427495290000003</v>
      </c>
      <c r="P155">
        <v>24.95530926</v>
      </c>
      <c r="Q155">
        <v>25.285096339999999</v>
      </c>
    </row>
    <row r="156" spans="1:17" x14ac:dyDescent="0.25">
      <c r="A156" t="s">
        <v>66</v>
      </c>
      <c r="B156" t="s">
        <v>67</v>
      </c>
      <c r="C156" t="s">
        <v>111</v>
      </c>
      <c r="D156" t="s">
        <v>112</v>
      </c>
      <c r="E156" t="s">
        <v>55</v>
      </c>
      <c r="F156" t="s">
        <v>46</v>
      </c>
      <c r="G156" t="s">
        <v>46</v>
      </c>
      <c r="H156" t="s">
        <v>46</v>
      </c>
      <c r="I156" t="s">
        <v>46</v>
      </c>
      <c r="J156" t="s">
        <v>46</v>
      </c>
      <c r="K156">
        <v>34.782608699999997</v>
      </c>
      <c r="L156" t="s">
        <v>46</v>
      </c>
      <c r="M156" t="s">
        <v>46</v>
      </c>
      <c r="N156" t="s">
        <v>46</v>
      </c>
      <c r="O156" t="s">
        <v>46</v>
      </c>
      <c r="P156" t="s">
        <v>46</v>
      </c>
      <c r="Q156" t="s">
        <v>46</v>
      </c>
    </row>
    <row r="157" spans="1:17" x14ac:dyDescent="0.25">
      <c r="A157" t="s">
        <v>68</v>
      </c>
      <c r="B157" t="s">
        <v>69</v>
      </c>
      <c r="C157" t="s">
        <v>111</v>
      </c>
      <c r="D157" t="s">
        <v>112</v>
      </c>
      <c r="E157" t="s">
        <v>55</v>
      </c>
      <c r="F157" t="s">
        <v>46</v>
      </c>
      <c r="G157" t="s">
        <v>46</v>
      </c>
      <c r="H157" t="s">
        <v>46</v>
      </c>
      <c r="I157" t="s">
        <v>46</v>
      </c>
      <c r="J157" t="s">
        <v>46</v>
      </c>
      <c r="K157" t="s">
        <v>46</v>
      </c>
      <c r="L157" t="s">
        <v>46</v>
      </c>
      <c r="M157" t="s">
        <v>46</v>
      </c>
      <c r="N157" t="s">
        <v>46</v>
      </c>
      <c r="O157" t="s">
        <v>46</v>
      </c>
      <c r="P157">
        <v>19.009900989999998</v>
      </c>
      <c r="Q157" t="s">
        <v>46</v>
      </c>
    </row>
    <row r="158" spans="1:17" x14ac:dyDescent="0.25">
      <c r="A158" t="s">
        <v>70</v>
      </c>
      <c r="B158" t="s">
        <v>71</v>
      </c>
      <c r="C158" t="s">
        <v>111</v>
      </c>
      <c r="D158" t="s">
        <v>112</v>
      </c>
      <c r="E158" t="s">
        <v>55</v>
      </c>
      <c r="F158">
        <v>47.74867759</v>
      </c>
      <c r="G158">
        <v>6.1012008050000004</v>
      </c>
      <c r="H158">
        <v>8.9628557650000005</v>
      </c>
      <c r="I158">
        <v>15.98537657</v>
      </c>
      <c r="J158">
        <v>17.276771480000001</v>
      </c>
      <c r="K158">
        <v>19.247101730000001</v>
      </c>
      <c r="L158">
        <v>19.90960634</v>
      </c>
      <c r="M158">
        <v>20.37710946</v>
      </c>
      <c r="N158">
        <v>21.50775703</v>
      </c>
      <c r="O158">
        <v>58.257078110000002</v>
      </c>
      <c r="P158">
        <v>3.810259716</v>
      </c>
      <c r="Q158">
        <v>12.843292399999999</v>
      </c>
    </row>
    <row r="159" spans="1:17" x14ac:dyDescent="0.25">
      <c r="A159" t="s">
        <v>72</v>
      </c>
      <c r="B159" t="s">
        <v>73</v>
      </c>
      <c r="C159" t="s">
        <v>111</v>
      </c>
      <c r="D159" t="s">
        <v>112</v>
      </c>
      <c r="E159" t="s">
        <v>55</v>
      </c>
      <c r="F159">
        <v>6.1516900940000001</v>
      </c>
      <c r="G159">
        <v>15.874183410000001</v>
      </c>
      <c r="H159">
        <v>18.666295559999998</v>
      </c>
      <c r="I159">
        <v>26.995552700000001</v>
      </c>
      <c r="J159">
        <v>29.816089940000001</v>
      </c>
      <c r="K159">
        <v>23.223833989999999</v>
      </c>
      <c r="L159">
        <v>23.005328739999999</v>
      </c>
      <c r="M159">
        <v>20.52565997</v>
      </c>
      <c r="N159">
        <v>18.837840709999998</v>
      </c>
      <c r="O159">
        <v>18.635423589999998</v>
      </c>
      <c r="P159">
        <v>22.308926830000001</v>
      </c>
      <c r="Q159">
        <v>23.668496829999999</v>
      </c>
    </row>
    <row r="160" spans="1:17" x14ac:dyDescent="0.25">
      <c r="A160" t="s">
        <v>74</v>
      </c>
      <c r="B160" t="s">
        <v>75</v>
      </c>
      <c r="C160" t="s">
        <v>111</v>
      </c>
      <c r="D160" t="s">
        <v>112</v>
      </c>
      <c r="E160" t="s">
        <v>55</v>
      </c>
      <c r="F160">
        <v>17.729253830000001</v>
      </c>
      <c r="G160">
        <v>14.495086349999999</v>
      </c>
      <c r="H160">
        <v>22.878446539999999</v>
      </c>
      <c r="I160">
        <v>24.38531996</v>
      </c>
      <c r="J160">
        <v>23.25114945</v>
      </c>
      <c r="K160">
        <v>19.557038129999999</v>
      </c>
      <c r="L160" t="s">
        <v>46</v>
      </c>
      <c r="M160">
        <v>20.400028469999999</v>
      </c>
      <c r="N160">
        <v>18.365986100000001</v>
      </c>
      <c r="O160">
        <v>20.881712629999999</v>
      </c>
      <c r="P160">
        <v>19.737062000000002</v>
      </c>
      <c r="Q160">
        <v>20.940734729999999</v>
      </c>
    </row>
    <row r="161" spans="1:17" x14ac:dyDescent="0.25">
      <c r="A161" t="s">
        <v>76</v>
      </c>
      <c r="B161" t="s">
        <v>77</v>
      </c>
      <c r="C161" t="s">
        <v>111</v>
      </c>
      <c r="D161" t="s">
        <v>112</v>
      </c>
      <c r="E161" t="s">
        <v>55</v>
      </c>
      <c r="F161">
        <v>25.881565689999999</v>
      </c>
      <c r="G161">
        <v>24.063832720000001</v>
      </c>
      <c r="H161">
        <v>19.560779140000001</v>
      </c>
      <c r="I161">
        <v>22.387439130000001</v>
      </c>
      <c r="J161">
        <v>21.878597849999998</v>
      </c>
      <c r="K161">
        <v>20.434213400000001</v>
      </c>
      <c r="L161" t="s">
        <v>46</v>
      </c>
      <c r="M161" t="s">
        <v>46</v>
      </c>
      <c r="N161">
        <v>43.188679550000003</v>
      </c>
      <c r="O161">
        <v>20.73131038</v>
      </c>
      <c r="P161">
        <v>25.41918871</v>
      </c>
      <c r="Q161">
        <v>28.981826170000001</v>
      </c>
    </row>
    <row r="162" spans="1:17" x14ac:dyDescent="0.25">
      <c r="A162" t="s">
        <v>78</v>
      </c>
      <c r="B162" t="s">
        <v>79</v>
      </c>
      <c r="C162" t="s">
        <v>111</v>
      </c>
      <c r="D162" t="s">
        <v>112</v>
      </c>
      <c r="E162" t="s">
        <v>55</v>
      </c>
      <c r="F162">
        <v>13.30534241</v>
      </c>
      <c r="G162">
        <v>21.27848101</v>
      </c>
      <c r="H162">
        <v>26.70241287</v>
      </c>
      <c r="I162">
        <v>28.819652489999999</v>
      </c>
      <c r="J162">
        <v>26.329371290000001</v>
      </c>
      <c r="K162">
        <v>27.613868119999999</v>
      </c>
      <c r="L162">
        <v>28.560667519999999</v>
      </c>
      <c r="M162">
        <v>28.020277480000001</v>
      </c>
      <c r="N162">
        <v>28.058743920000001</v>
      </c>
      <c r="O162">
        <v>20.922545629999998</v>
      </c>
      <c r="P162">
        <v>26.76203602</v>
      </c>
      <c r="Q162">
        <v>24.39223883</v>
      </c>
    </row>
    <row r="163" spans="1:17" x14ac:dyDescent="0.25">
      <c r="A163" t="s">
        <v>80</v>
      </c>
      <c r="B163" t="s">
        <v>81</v>
      </c>
      <c r="C163" t="s">
        <v>111</v>
      </c>
      <c r="D163" t="s">
        <v>112</v>
      </c>
      <c r="E163" t="s">
        <v>55</v>
      </c>
      <c r="F163">
        <v>26.209991030000001</v>
      </c>
      <c r="G163">
        <v>25.984121729999998</v>
      </c>
      <c r="H163">
        <v>24.79338843</v>
      </c>
      <c r="I163">
        <v>24.510784170000001</v>
      </c>
      <c r="J163">
        <v>24.582963620000001</v>
      </c>
      <c r="K163">
        <v>16.608210249999999</v>
      </c>
      <c r="L163">
        <v>21.18482938</v>
      </c>
      <c r="M163">
        <v>16.186892440000001</v>
      </c>
      <c r="N163">
        <v>3.641524736</v>
      </c>
      <c r="O163">
        <v>49.491228069999998</v>
      </c>
      <c r="P163">
        <v>23.091165579999998</v>
      </c>
      <c r="Q163">
        <v>7.1906354520000004</v>
      </c>
    </row>
    <row r="164" spans="1:17" x14ac:dyDescent="0.25">
      <c r="A164" t="s">
        <v>82</v>
      </c>
      <c r="B164" t="s">
        <v>83</v>
      </c>
      <c r="C164" t="s">
        <v>111</v>
      </c>
      <c r="D164" t="s">
        <v>112</v>
      </c>
      <c r="E164" t="s">
        <v>55</v>
      </c>
      <c r="F164">
        <v>13.64130815</v>
      </c>
      <c r="G164">
        <v>14.43936581</v>
      </c>
      <c r="H164">
        <v>16.612767699999999</v>
      </c>
      <c r="I164">
        <v>24.4184752</v>
      </c>
      <c r="J164">
        <v>22.189607030000001</v>
      </c>
      <c r="K164">
        <v>23.905384250000001</v>
      </c>
      <c r="L164">
        <v>23.453605660000001</v>
      </c>
      <c r="M164">
        <v>23.563958419999999</v>
      </c>
      <c r="N164">
        <v>23.631675019999999</v>
      </c>
      <c r="O164">
        <v>24.087762519999998</v>
      </c>
      <c r="P164">
        <v>24.062266919999999</v>
      </c>
      <c r="Q164">
        <v>23.198731299999999</v>
      </c>
    </row>
    <row r="165" spans="1:17" x14ac:dyDescent="0.25">
      <c r="A165" t="s">
        <v>84</v>
      </c>
      <c r="B165" t="s">
        <v>85</v>
      </c>
      <c r="C165" t="s">
        <v>111</v>
      </c>
      <c r="D165" t="s">
        <v>112</v>
      </c>
      <c r="E165" t="s">
        <v>55</v>
      </c>
      <c r="F165">
        <v>10.410596030000001</v>
      </c>
      <c r="G165">
        <v>16.997167139999998</v>
      </c>
      <c r="H165">
        <v>14.99886027</v>
      </c>
      <c r="I165">
        <v>20.953630799999999</v>
      </c>
      <c r="J165">
        <v>22.503583370000001</v>
      </c>
      <c r="K165">
        <v>19.721078980000001</v>
      </c>
      <c r="L165">
        <v>26.51944391</v>
      </c>
      <c r="M165">
        <v>21.523582340000001</v>
      </c>
      <c r="N165">
        <v>26.00830522</v>
      </c>
      <c r="O165">
        <v>22.394851190000001</v>
      </c>
      <c r="P165">
        <v>22.629528069999999</v>
      </c>
      <c r="Q165">
        <v>22.942875799999999</v>
      </c>
    </row>
    <row r="166" spans="1:17" x14ac:dyDescent="0.25">
      <c r="A166" t="s">
        <v>86</v>
      </c>
      <c r="B166" t="s">
        <v>87</v>
      </c>
      <c r="C166" t="s">
        <v>111</v>
      </c>
      <c r="D166" t="s">
        <v>112</v>
      </c>
      <c r="E166" t="s">
        <v>55</v>
      </c>
      <c r="F166">
        <v>14.293300289999999</v>
      </c>
      <c r="G166">
        <v>16.63127326</v>
      </c>
      <c r="H166">
        <v>15.410486239999999</v>
      </c>
      <c r="I166">
        <v>19.731899640000002</v>
      </c>
      <c r="J166">
        <v>21.517634489999999</v>
      </c>
      <c r="K166">
        <v>22.375129940000001</v>
      </c>
      <c r="L166">
        <v>22.048118330000001</v>
      </c>
      <c r="M166">
        <v>22.070249619999998</v>
      </c>
      <c r="N166">
        <v>22.84696799</v>
      </c>
      <c r="O166">
        <v>21.849444739999999</v>
      </c>
      <c r="P166">
        <v>21.870640730000002</v>
      </c>
      <c r="Q166">
        <v>20.242098729999999</v>
      </c>
    </row>
    <row r="167" spans="1:17" x14ac:dyDescent="0.25">
      <c r="A167" t="s">
        <v>113</v>
      </c>
      <c r="B167" t="s">
        <v>46</v>
      </c>
      <c r="C167" t="s">
        <v>46</v>
      </c>
      <c r="D167" t="s">
        <v>46</v>
      </c>
      <c r="E167" t="s">
        <v>47</v>
      </c>
      <c r="F167" t="s">
        <v>46</v>
      </c>
      <c r="G167" t="s">
        <v>46</v>
      </c>
      <c r="H167" t="s">
        <v>46</v>
      </c>
      <c r="I167" t="s">
        <v>46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46</v>
      </c>
      <c r="Q167" t="s">
        <v>46</v>
      </c>
    </row>
    <row r="168" spans="1:17" x14ac:dyDescent="0.25">
      <c r="A168" t="s">
        <v>114</v>
      </c>
      <c r="B168" t="s">
        <v>49</v>
      </c>
      <c r="C168" t="s">
        <v>46</v>
      </c>
      <c r="D168" t="s">
        <v>46</v>
      </c>
      <c r="E168" t="s">
        <v>50</v>
      </c>
      <c r="F168">
        <v>15.505325020846154</v>
      </c>
      <c r="G168">
        <v>12.257281821214287</v>
      </c>
      <c r="H168">
        <v>12.838841527200001</v>
      </c>
      <c r="I168">
        <v>13.644719223666668</v>
      </c>
      <c r="J168">
        <v>12.365481170625001</v>
      </c>
      <c r="K168">
        <v>14.300359223999999</v>
      </c>
      <c r="L168">
        <v>11.570949970428572</v>
      </c>
      <c r="M168">
        <v>9.5943052664666677</v>
      </c>
      <c r="N168">
        <v>10.5965194085625</v>
      </c>
      <c r="O168">
        <v>10.007528071882355</v>
      </c>
      <c r="P168">
        <v>10.461718123882353</v>
      </c>
      <c r="Q168">
        <v>7.7678355460588246</v>
      </c>
    </row>
    <row r="169" spans="1:17" x14ac:dyDescent="0.25">
      <c r="A169" t="s">
        <v>51</v>
      </c>
      <c r="B169" t="s">
        <v>52</v>
      </c>
      <c r="C169" t="s">
        <v>115</v>
      </c>
      <c r="D169" t="s">
        <v>116</v>
      </c>
      <c r="E169" t="s">
        <v>55</v>
      </c>
      <c r="F169">
        <v>14.618282880000001</v>
      </c>
      <c r="G169">
        <v>12.8980798</v>
      </c>
      <c r="H169">
        <v>14.19359071</v>
      </c>
      <c r="I169">
        <v>15.946342960000001</v>
      </c>
      <c r="J169">
        <v>15.76390352</v>
      </c>
      <c r="K169">
        <v>19.574332500000001</v>
      </c>
      <c r="L169">
        <v>16.906374970000002</v>
      </c>
      <c r="M169">
        <v>16.901849460000001</v>
      </c>
      <c r="N169">
        <v>21.18895689</v>
      </c>
      <c r="O169">
        <v>15.913334880000001</v>
      </c>
      <c r="P169">
        <v>17.225267079999998</v>
      </c>
      <c r="Q169">
        <v>17.62243131</v>
      </c>
    </row>
    <row r="170" spans="1:17" x14ac:dyDescent="0.25">
      <c r="A170" t="s">
        <v>56</v>
      </c>
      <c r="B170" t="s">
        <v>57</v>
      </c>
      <c r="C170" t="s">
        <v>115</v>
      </c>
      <c r="D170" t="s">
        <v>116</v>
      </c>
      <c r="E170" t="s">
        <v>55</v>
      </c>
      <c r="F170">
        <v>8.4914492419999998</v>
      </c>
      <c r="G170">
        <v>7.3236426010000004</v>
      </c>
      <c r="H170">
        <v>7.5178754100000003</v>
      </c>
      <c r="I170">
        <v>7.3312582949999996</v>
      </c>
      <c r="J170">
        <v>8.4330886429999996</v>
      </c>
      <c r="K170">
        <v>8.6184818449999998</v>
      </c>
      <c r="L170">
        <v>8.3496833670000008</v>
      </c>
      <c r="M170">
        <v>8.4903142539999994</v>
      </c>
      <c r="N170">
        <v>7.6826338420000004</v>
      </c>
      <c r="O170">
        <v>8.233661476</v>
      </c>
      <c r="P170">
        <v>6.6696056669999999</v>
      </c>
      <c r="Q170">
        <v>9.0115999589999998</v>
      </c>
    </row>
    <row r="171" spans="1:17" x14ac:dyDescent="0.25">
      <c r="A171" t="s">
        <v>58</v>
      </c>
      <c r="B171" t="s">
        <v>59</v>
      </c>
      <c r="C171" t="s">
        <v>115</v>
      </c>
      <c r="D171" t="s">
        <v>116</v>
      </c>
      <c r="E171" t="s">
        <v>55</v>
      </c>
      <c r="F171">
        <v>0.48121965799999999</v>
      </c>
      <c r="G171">
        <v>8.9735624999999999E-2</v>
      </c>
      <c r="H171">
        <v>2.5962699580000002</v>
      </c>
      <c r="I171">
        <v>3.06319527</v>
      </c>
      <c r="J171">
        <v>3.0192039180000001</v>
      </c>
      <c r="K171">
        <v>3.5714529509999999</v>
      </c>
      <c r="L171">
        <v>3.2658087560000002</v>
      </c>
      <c r="M171">
        <v>4.1197590210000001</v>
      </c>
      <c r="N171">
        <v>4.8070893769999996</v>
      </c>
      <c r="O171">
        <v>4.4710109620000003</v>
      </c>
      <c r="P171">
        <v>3.5938391329999999</v>
      </c>
      <c r="Q171">
        <v>16.899937850000001</v>
      </c>
    </row>
    <row r="172" spans="1:17" x14ac:dyDescent="0.25">
      <c r="A172" t="s">
        <v>60</v>
      </c>
      <c r="B172" t="s">
        <v>61</v>
      </c>
      <c r="C172" t="s">
        <v>115</v>
      </c>
      <c r="D172" t="s">
        <v>116</v>
      </c>
      <c r="E172" t="s">
        <v>55</v>
      </c>
      <c r="F172">
        <v>5.0515232970000001</v>
      </c>
      <c r="G172">
        <v>1.984171218</v>
      </c>
      <c r="H172">
        <v>2.9195558099999999</v>
      </c>
      <c r="I172">
        <v>3.8509198360000001</v>
      </c>
      <c r="J172">
        <v>3.257960314</v>
      </c>
      <c r="K172">
        <v>4.2434715819999997</v>
      </c>
      <c r="L172">
        <v>5.3616824589999998</v>
      </c>
      <c r="M172">
        <v>8.1090830389999997</v>
      </c>
      <c r="N172">
        <v>5.629240266</v>
      </c>
      <c r="O172">
        <v>5.0612597600000004</v>
      </c>
      <c r="P172">
        <v>4.5003390669999996</v>
      </c>
      <c r="Q172">
        <v>4.9432622070000001</v>
      </c>
    </row>
    <row r="173" spans="1:17" x14ac:dyDescent="0.25">
      <c r="A173" t="s">
        <v>62</v>
      </c>
      <c r="B173" t="s">
        <v>63</v>
      </c>
      <c r="C173" t="s">
        <v>115</v>
      </c>
      <c r="D173" t="s">
        <v>116</v>
      </c>
      <c r="E173" t="s">
        <v>55</v>
      </c>
      <c r="F173">
        <v>8.1922025789999999</v>
      </c>
      <c r="G173">
        <v>8.349510875</v>
      </c>
      <c r="H173">
        <v>8.5196120279999992</v>
      </c>
      <c r="I173">
        <v>9.4584029760000004</v>
      </c>
      <c r="J173">
        <v>1.71400245</v>
      </c>
      <c r="K173">
        <v>4.2265227799999998</v>
      </c>
      <c r="L173">
        <v>7.7730783490000004</v>
      </c>
      <c r="M173">
        <v>8.4926139339999995</v>
      </c>
      <c r="N173">
        <v>9.1029693359999992</v>
      </c>
      <c r="O173">
        <v>8.9667860049999994</v>
      </c>
      <c r="P173">
        <v>9.7910220070000005</v>
      </c>
      <c r="Q173">
        <v>10.29474493</v>
      </c>
    </row>
    <row r="174" spans="1:17" x14ac:dyDescent="0.25">
      <c r="A174" t="s">
        <v>64</v>
      </c>
      <c r="B174" t="s">
        <v>65</v>
      </c>
      <c r="C174" t="s">
        <v>115</v>
      </c>
      <c r="D174" t="s">
        <v>116</v>
      </c>
      <c r="E174" t="s">
        <v>55</v>
      </c>
      <c r="F174">
        <v>20.453771849999999</v>
      </c>
      <c r="G174">
        <v>18.728574429999998</v>
      </c>
      <c r="H174">
        <v>18.520664629999999</v>
      </c>
      <c r="I174">
        <v>17.51297963</v>
      </c>
      <c r="J174">
        <v>17.47807723</v>
      </c>
      <c r="K174">
        <v>16.76519888</v>
      </c>
      <c r="L174">
        <v>14.676462669999999</v>
      </c>
      <c r="M174">
        <v>13.235533820000001</v>
      </c>
      <c r="N174">
        <v>11.36771218</v>
      </c>
      <c r="O174">
        <v>10.202489569999999</v>
      </c>
      <c r="P174">
        <v>13.525605949999999</v>
      </c>
      <c r="Q174">
        <v>11.49453978</v>
      </c>
    </row>
    <row r="175" spans="1:17" x14ac:dyDescent="0.25">
      <c r="A175" t="s">
        <v>66</v>
      </c>
      <c r="B175" t="s">
        <v>67</v>
      </c>
      <c r="C175" t="s">
        <v>115</v>
      </c>
      <c r="D175" t="s">
        <v>116</v>
      </c>
      <c r="E175" t="s">
        <v>55</v>
      </c>
      <c r="F175" t="s">
        <v>46</v>
      </c>
      <c r="G175" t="s">
        <v>46</v>
      </c>
      <c r="H175" t="s">
        <v>46</v>
      </c>
      <c r="I175" t="s">
        <v>46</v>
      </c>
      <c r="J175">
        <v>1.5467904100000001</v>
      </c>
      <c r="K175" t="s">
        <v>46</v>
      </c>
      <c r="L175" t="s">
        <v>46</v>
      </c>
      <c r="M175">
        <v>-4.1375174899999996</v>
      </c>
      <c r="N175">
        <v>-11.72541301</v>
      </c>
      <c r="O175">
        <v>2.3726813920000001</v>
      </c>
      <c r="P175">
        <v>-5.8476244030000002</v>
      </c>
      <c r="Q175">
        <v>-34.554225479999999</v>
      </c>
    </row>
    <row r="176" spans="1:17" x14ac:dyDescent="0.25">
      <c r="A176" t="s">
        <v>68</v>
      </c>
      <c r="B176" t="s">
        <v>69</v>
      </c>
      <c r="C176" t="s">
        <v>115</v>
      </c>
      <c r="D176" t="s">
        <v>116</v>
      </c>
      <c r="E176" t="s">
        <v>55</v>
      </c>
      <c r="F176" t="s">
        <v>46</v>
      </c>
      <c r="G176" t="s">
        <v>46</v>
      </c>
      <c r="H176" t="s">
        <v>46</v>
      </c>
      <c r="I176" t="s">
        <v>46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>
        <v>5.4950572729999996</v>
      </c>
      <c r="P176">
        <v>3.9593668790000001</v>
      </c>
      <c r="Q176">
        <v>-19.319899240000002</v>
      </c>
    </row>
    <row r="177" spans="1:17" x14ac:dyDescent="0.25">
      <c r="A177" t="s">
        <v>70</v>
      </c>
      <c r="B177" t="s">
        <v>71</v>
      </c>
      <c r="C177" t="s">
        <v>115</v>
      </c>
      <c r="D177" t="s">
        <v>116</v>
      </c>
      <c r="E177" t="s">
        <v>55</v>
      </c>
      <c r="F177" t="s">
        <v>46</v>
      </c>
      <c r="G177" t="s">
        <v>46</v>
      </c>
      <c r="H177">
        <v>18.485951709999998</v>
      </c>
      <c r="I177">
        <v>21.823451120000001</v>
      </c>
      <c r="J177">
        <v>18.58168195</v>
      </c>
      <c r="K177">
        <v>15.8210315</v>
      </c>
      <c r="L177">
        <v>13.563306369999999</v>
      </c>
      <c r="M177">
        <v>12.306329330000001</v>
      </c>
      <c r="N177">
        <v>11.64856687</v>
      </c>
      <c r="O177">
        <v>6.6872940950000004</v>
      </c>
      <c r="P177">
        <v>16.789037820000001</v>
      </c>
      <c r="Q177">
        <v>13.540265720000001</v>
      </c>
    </row>
    <row r="178" spans="1:17" x14ac:dyDescent="0.25">
      <c r="A178" t="s">
        <v>72</v>
      </c>
      <c r="B178" t="s">
        <v>73</v>
      </c>
      <c r="C178" t="s">
        <v>115</v>
      </c>
      <c r="D178" t="s">
        <v>116</v>
      </c>
      <c r="E178" t="s">
        <v>55</v>
      </c>
      <c r="F178" t="s">
        <v>46</v>
      </c>
      <c r="G178">
        <v>7.392858833</v>
      </c>
      <c r="H178">
        <v>7.8099414840000003</v>
      </c>
      <c r="I178">
        <v>8.5781019020000002</v>
      </c>
      <c r="J178">
        <v>7.1153854599999997</v>
      </c>
      <c r="K178">
        <v>8.6762699110000003</v>
      </c>
      <c r="L178">
        <v>7.0694180160000002</v>
      </c>
      <c r="M178">
        <v>8.663868269</v>
      </c>
      <c r="N178">
        <v>9.4969705260000001</v>
      </c>
      <c r="O178">
        <v>8.3059256090000009</v>
      </c>
      <c r="P178">
        <v>8.0818550790000003</v>
      </c>
      <c r="Q178">
        <v>7.6376545050000004</v>
      </c>
    </row>
    <row r="179" spans="1:17" x14ac:dyDescent="0.25">
      <c r="A179" t="s">
        <v>74</v>
      </c>
      <c r="B179" t="s">
        <v>75</v>
      </c>
      <c r="C179" t="s">
        <v>115</v>
      </c>
      <c r="D179" t="s">
        <v>116</v>
      </c>
      <c r="E179" t="s">
        <v>55</v>
      </c>
      <c r="F179">
        <v>14.214429859999999</v>
      </c>
      <c r="G179">
        <v>10.33555102</v>
      </c>
      <c r="H179">
        <v>12.424915179999999</v>
      </c>
      <c r="I179">
        <v>15.02988824</v>
      </c>
      <c r="J179">
        <v>19.83493674</v>
      </c>
      <c r="K179">
        <v>23.507222720000001</v>
      </c>
      <c r="L179" t="s">
        <v>46</v>
      </c>
      <c r="M179" t="s">
        <v>46</v>
      </c>
      <c r="N179">
        <v>20.140961770000001</v>
      </c>
      <c r="O179">
        <v>18.597856799999999</v>
      </c>
      <c r="P179">
        <v>18.130744979999999</v>
      </c>
      <c r="Q179">
        <v>15.919597270000001</v>
      </c>
    </row>
    <row r="180" spans="1:17" x14ac:dyDescent="0.25">
      <c r="A180" t="s">
        <v>76</v>
      </c>
      <c r="B180" t="s">
        <v>77</v>
      </c>
      <c r="C180" t="s">
        <v>115</v>
      </c>
      <c r="D180" t="s">
        <v>116</v>
      </c>
      <c r="E180" t="s">
        <v>55</v>
      </c>
      <c r="F180">
        <v>7.5654593950000004</v>
      </c>
      <c r="G180">
        <v>7.9007795549999997</v>
      </c>
      <c r="H180">
        <v>6.8987031879999998</v>
      </c>
      <c r="I180">
        <v>5.5685746060000003</v>
      </c>
      <c r="J180">
        <v>3.644051105</v>
      </c>
      <c r="K180">
        <v>3.0396228010000002</v>
      </c>
      <c r="L180">
        <v>-2.5022120459999999</v>
      </c>
      <c r="M180">
        <v>-19.591546520000001</v>
      </c>
      <c r="N180">
        <v>2.1866000200000002</v>
      </c>
      <c r="O180">
        <v>3.5258185879999999</v>
      </c>
      <c r="P180">
        <v>3.0288897810000002</v>
      </c>
      <c r="Q180">
        <v>2.9042335659999998</v>
      </c>
    </row>
    <row r="181" spans="1:17" x14ac:dyDescent="0.25">
      <c r="A181" t="s">
        <v>78</v>
      </c>
      <c r="B181" t="s">
        <v>79</v>
      </c>
      <c r="C181" t="s">
        <v>115</v>
      </c>
      <c r="D181" t="s">
        <v>116</v>
      </c>
      <c r="E181" t="s">
        <v>55</v>
      </c>
      <c r="F181">
        <v>29.828887389999998</v>
      </c>
      <c r="G181">
        <v>24.98844802</v>
      </c>
      <c r="H181">
        <v>23.206858499999999</v>
      </c>
      <c r="I181">
        <v>23.882483019999999</v>
      </c>
      <c r="J181">
        <v>22.245835249999999</v>
      </c>
      <c r="K181">
        <v>20.59454964</v>
      </c>
      <c r="L181">
        <v>19.981038349999999</v>
      </c>
      <c r="M181">
        <v>19.038545679999999</v>
      </c>
      <c r="N181">
        <v>18.087646889999998</v>
      </c>
      <c r="O181">
        <v>19.63796747</v>
      </c>
      <c r="P181">
        <v>18.713706049999999</v>
      </c>
      <c r="Q181">
        <v>18.696832780000001</v>
      </c>
    </row>
    <row r="182" spans="1:17" x14ac:dyDescent="0.25">
      <c r="A182" t="s">
        <v>80</v>
      </c>
      <c r="B182" t="s">
        <v>81</v>
      </c>
      <c r="C182" t="s">
        <v>115</v>
      </c>
      <c r="D182" t="s">
        <v>116</v>
      </c>
      <c r="E182" t="s">
        <v>55</v>
      </c>
      <c r="F182">
        <v>10.72731621</v>
      </c>
      <c r="G182">
        <v>12.285743050000001</v>
      </c>
      <c r="H182">
        <v>13.33459191</v>
      </c>
      <c r="I182">
        <v>13.79385345</v>
      </c>
      <c r="J182">
        <v>14.09232493</v>
      </c>
      <c r="K182">
        <v>13.43160743</v>
      </c>
      <c r="L182">
        <v>9.874575965</v>
      </c>
      <c r="M182">
        <v>11.58206229</v>
      </c>
      <c r="N182">
        <v>10.415633980000001</v>
      </c>
      <c r="O182">
        <v>4.738372332</v>
      </c>
      <c r="P182">
        <v>7.0178259860000001</v>
      </c>
      <c r="Q182">
        <v>6.8447715259999997</v>
      </c>
    </row>
    <row r="183" spans="1:17" x14ac:dyDescent="0.25">
      <c r="A183" t="s">
        <v>82</v>
      </c>
      <c r="B183" t="s">
        <v>83</v>
      </c>
      <c r="C183" t="s">
        <v>115</v>
      </c>
      <c r="D183" t="s">
        <v>116</v>
      </c>
      <c r="E183" t="s">
        <v>55</v>
      </c>
      <c r="F183">
        <v>26.149619489999999</v>
      </c>
      <c r="G183">
        <v>27.98489593</v>
      </c>
      <c r="H183">
        <v>30.18893302</v>
      </c>
      <c r="I183">
        <v>28.140183019999998</v>
      </c>
      <c r="J183">
        <v>29.77016923</v>
      </c>
      <c r="K183">
        <v>31.577067799999998</v>
      </c>
      <c r="L183">
        <v>27.28956384</v>
      </c>
      <c r="M183">
        <v>29.12209657</v>
      </c>
      <c r="N183">
        <v>26.748267760000001</v>
      </c>
      <c r="O183">
        <v>24.163321830000001</v>
      </c>
      <c r="P183">
        <v>27.917786589999999</v>
      </c>
      <c r="Q183">
        <v>26.942590790000001</v>
      </c>
    </row>
    <row r="184" spans="1:17" x14ac:dyDescent="0.25">
      <c r="A184" t="s">
        <v>84</v>
      </c>
      <c r="B184" t="s">
        <v>85</v>
      </c>
      <c r="C184" t="s">
        <v>115</v>
      </c>
      <c r="D184" t="s">
        <v>116</v>
      </c>
      <c r="E184" t="s">
        <v>55</v>
      </c>
      <c r="F184">
        <v>40.033147210000003</v>
      </c>
      <c r="G184">
        <v>16.02058319</v>
      </c>
      <c r="H184">
        <v>10.77518796</v>
      </c>
      <c r="I184">
        <v>16.887100749999998</v>
      </c>
      <c r="J184">
        <v>16.19517716</v>
      </c>
      <c r="K184">
        <v>24.305650289999999</v>
      </c>
      <c r="L184">
        <v>14.68550814</v>
      </c>
      <c r="M184">
        <v>14.126515120000001</v>
      </c>
      <c r="N184">
        <v>11.57781656</v>
      </c>
      <c r="O184">
        <v>13.44973869</v>
      </c>
      <c r="P184">
        <v>13.45436501</v>
      </c>
      <c r="Q184">
        <v>11.39253062</v>
      </c>
    </row>
    <row r="185" spans="1:17" x14ac:dyDescent="0.25">
      <c r="A185" t="s">
        <v>86</v>
      </c>
      <c r="B185" t="s">
        <v>87</v>
      </c>
      <c r="C185" t="s">
        <v>115</v>
      </c>
      <c r="D185" t="s">
        <v>116</v>
      </c>
      <c r="E185" t="s">
        <v>55</v>
      </c>
      <c r="F185">
        <v>15.761916210000001</v>
      </c>
      <c r="G185">
        <v>15.319371350000001</v>
      </c>
      <c r="H185">
        <v>15.18997141</v>
      </c>
      <c r="I185">
        <v>13.80405328</v>
      </c>
      <c r="J185">
        <v>15.15511042</v>
      </c>
      <c r="K185">
        <v>16.552905729999999</v>
      </c>
      <c r="L185">
        <v>15.699010380000001</v>
      </c>
      <c r="M185">
        <v>13.45507222</v>
      </c>
      <c r="N185">
        <v>11.188657279999999</v>
      </c>
      <c r="O185">
        <v>10.30540049</v>
      </c>
      <c r="P185">
        <v>11.29757543</v>
      </c>
      <c r="Q185">
        <v>11.782336190000001</v>
      </c>
    </row>
    <row r="186" spans="1:17" x14ac:dyDescent="0.25">
      <c r="A186" t="s">
        <v>117</v>
      </c>
      <c r="B186" t="s">
        <v>49</v>
      </c>
      <c r="C186" t="s">
        <v>46</v>
      </c>
      <c r="D186" t="s">
        <v>46</v>
      </c>
      <c r="E186" t="s">
        <v>50</v>
      </c>
      <c r="F186">
        <v>32.516317488461539</v>
      </c>
      <c r="G186">
        <v>26.621421876357147</v>
      </c>
      <c r="H186">
        <v>26.319912330200001</v>
      </c>
      <c r="I186">
        <v>26.930163457066666</v>
      </c>
      <c r="J186">
        <v>27.53051872193334</v>
      </c>
      <c r="K186">
        <v>29.011064345200001</v>
      </c>
      <c r="L186">
        <v>23.326623281499998</v>
      </c>
      <c r="M186">
        <v>17.198353859000001</v>
      </c>
      <c r="N186">
        <v>22.243941550624999</v>
      </c>
      <c r="O186">
        <v>19.400879276647061</v>
      </c>
      <c r="P186">
        <v>20.119610658823529</v>
      </c>
      <c r="Q186">
        <v>13.279618085294119</v>
      </c>
    </row>
    <row r="187" spans="1:17" x14ac:dyDescent="0.25">
      <c r="A187" t="s">
        <v>51</v>
      </c>
      <c r="B187" t="s">
        <v>52</v>
      </c>
      <c r="C187" t="s">
        <v>118</v>
      </c>
      <c r="D187" t="s">
        <v>119</v>
      </c>
      <c r="E187" t="s">
        <v>55</v>
      </c>
      <c r="F187">
        <v>73.493072519999998</v>
      </c>
      <c r="G187">
        <v>58.593476920000001</v>
      </c>
      <c r="H187">
        <v>62.235250309999998</v>
      </c>
      <c r="I187">
        <v>67.841542219999994</v>
      </c>
      <c r="J187">
        <v>63.640591450000002</v>
      </c>
      <c r="K187">
        <v>72.081510039999998</v>
      </c>
      <c r="L187">
        <v>55.021272009999997</v>
      </c>
      <c r="M187">
        <v>51.468780760000001</v>
      </c>
      <c r="N187">
        <v>60.075913579999998</v>
      </c>
      <c r="O187">
        <v>41.747391460000003</v>
      </c>
      <c r="P187">
        <v>42.040578369999999</v>
      </c>
      <c r="Q187">
        <v>38.582046550000001</v>
      </c>
    </row>
    <row r="188" spans="1:17" x14ac:dyDescent="0.25">
      <c r="A188" t="s">
        <v>56</v>
      </c>
      <c r="B188" t="s">
        <v>57</v>
      </c>
      <c r="C188" t="s">
        <v>118</v>
      </c>
      <c r="D188" t="s">
        <v>119</v>
      </c>
      <c r="E188" t="s">
        <v>55</v>
      </c>
      <c r="F188">
        <v>14.01944784</v>
      </c>
      <c r="G188">
        <v>10.8395738</v>
      </c>
      <c r="H188">
        <v>10.676277109999999</v>
      </c>
      <c r="I188">
        <v>11.08852347</v>
      </c>
      <c r="J188">
        <v>12.923992610000001</v>
      </c>
      <c r="K188">
        <v>13.076727350000001</v>
      </c>
      <c r="L188">
        <v>12.6561568</v>
      </c>
      <c r="M188">
        <v>12.98300463</v>
      </c>
      <c r="N188">
        <v>11.828430490000001</v>
      </c>
      <c r="O188">
        <v>12.33158087</v>
      </c>
      <c r="P188">
        <v>10.017045550000001</v>
      </c>
      <c r="Q188">
        <v>13.7044823</v>
      </c>
    </row>
    <row r="189" spans="1:17" x14ac:dyDescent="0.25">
      <c r="A189" t="s">
        <v>58</v>
      </c>
      <c r="B189" t="s">
        <v>59</v>
      </c>
      <c r="C189" t="s">
        <v>118</v>
      </c>
      <c r="D189" t="s">
        <v>119</v>
      </c>
      <c r="E189" t="s">
        <v>55</v>
      </c>
      <c r="F189">
        <v>1.40246362</v>
      </c>
      <c r="G189">
        <v>0.25306599200000002</v>
      </c>
      <c r="H189">
        <v>7.3090119299999996</v>
      </c>
      <c r="I189">
        <v>9.1926094660000004</v>
      </c>
      <c r="J189">
        <v>9.5776094490000006</v>
      </c>
      <c r="K189">
        <v>9.9511193109999994</v>
      </c>
      <c r="L189">
        <v>8.6915198690000004</v>
      </c>
      <c r="M189">
        <v>11.54633314</v>
      </c>
      <c r="N189">
        <v>14.18888276</v>
      </c>
      <c r="O189">
        <v>13.38858072</v>
      </c>
      <c r="P189">
        <v>11.736214609999999</v>
      </c>
      <c r="Q189">
        <v>51.69974903</v>
      </c>
    </row>
    <row r="190" spans="1:17" x14ac:dyDescent="0.25">
      <c r="A190" t="s">
        <v>60</v>
      </c>
      <c r="B190" t="s">
        <v>61</v>
      </c>
      <c r="C190" t="s">
        <v>118</v>
      </c>
      <c r="D190" t="s">
        <v>119</v>
      </c>
      <c r="E190" t="s">
        <v>55</v>
      </c>
      <c r="F190">
        <v>11.57894737</v>
      </c>
      <c r="G190">
        <v>4.3670264970000003</v>
      </c>
      <c r="H190">
        <v>6.5673742229999998</v>
      </c>
      <c r="I190">
        <v>9.4282380400000001</v>
      </c>
      <c r="J190">
        <v>8.0796520940000001</v>
      </c>
      <c r="K190">
        <v>9.8881431769999999</v>
      </c>
      <c r="L190">
        <v>12.191276930000001</v>
      </c>
      <c r="M190">
        <v>18.821165440000001</v>
      </c>
      <c r="N190">
        <v>13.009393319999999</v>
      </c>
      <c r="O190">
        <v>11.526567330000001</v>
      </c>
      <c r="P190">
        <v>10.11360488</v>
      </c>
      <c r="Q190">
        <v>10.76458753</v>
      </c>
    </row>
    <row r="191" spans="1:17" x14ac:dyDescent="0.25">
      <c r="A191" t="s">
        <v>62</v>
      </c>
      <c r="B191" t="s">
        <v>63</v>
      </c>
      <c r="C191" t="s">
        <v>118</v>
      </c>
      <c r="D191" t="s">
        <v>119</v>
      </c>
      <c r="E191" t="s">
        <v>55</v>
      </c>
      <c r="F191">
        <v>15.36625596</v>
      </c>
      <c r="G191">
        <v>14.814939649999999</v>
      </c>
      <c r="H191">
        <v>16.36835645</v>
      </c>
      <c r="I191">
        <v>19.464790350000001</v>
      </c>
      <c r="J191">
        <v>4.5573786060000003</v>
      </c>
      <c r="K191">
        <v>12.18998208</v>
      </c>
      <c r="L191">
        <v>19.004929229999998</v>
      </c>
      <c r="M191">
        <v>17.659928820000001</v>
      </c>
      <c r="N191">
        <v>17.035705660000001</v>
      </c>
      <c r="O191">
        <v>16.344452149999999</v>
      </c>
      <c r="P191">
        <v>17.713411199999999</v>
      </c>
      <c r="Q191">
        <v>18.619137429999999</v>
      </c>
    </row>
    <row r="192" spans="1:17" x14ac:dyDescent="0.25">
      <c r="A192" t="s">
        <v>64</v>
      </c>
      <c r="B192" t="s">
        <v>65</v>
      </c>
      <c r="C192" t="s">
        <v>118</v>
      </c>
      <c r="D192" t="s">
        <v>119</v>
      </c>
      <c r="E192" t="s">
        <v>55</v>
      </c>
      <c r="F192">
        <v>25.094443800000001</v>
      </c>
      <c r="G192">
        <v>23.164813890000001</v>
      </c>
      <c r="H192">
        <v>23.5199134</v>
      </c>
      <c r="I192">
        <v>23.446486329999999</v>
      </c>
      <c r="J192">
        <v>23.872621580000001</v>
      </c>
      <c r="K192">
        <v>22.357753389999999</v>
      </c>
      <c r="L192">
        <v>20.74518497</v>
      </c>
      <c r="M192">
        <v>19.085449700000002</v>
      </c>
      <c r="N192">
        <v>15.5253424</v>
      </c>
      <c r="O192">
        <v>14.05804552</v>
      </c>
      <c r="P192">
        <v>19.019598970000001</v>
      </c>
      <c r="Q192">
        <v>16.412723870000001</v>
      </c>
    </row>
    <row r="193" spans="1:17" x14ac:dyDescent="0.25">
      <c r="A193" t="s">
        <v>66</v>
      </c>
      <c r="B193" t="s">
        <v>67</v>
      </c>
      <c r="C193" t="s">
        <v>118</v>
      </c>
      <c r="D193" t="s">
        <v>119</v>
      </c>
      <c r="E193" t="s">
        <v>55</v>
      </c>
      <c r="F193" t="s">
        <v>46</v>
      </c>
      <c r="G193" t="s">
        <v>46</v>
      </c>
      <c r="H193" t="s">
        <v>46</v>
      </c>
      <c r="I193" t="s">
        <v>46</v>
      </c>
      <c r="J193" t="s">
        <v>46</v>
      </c>
      <c r="K193" t="s">
        <v>46</v>
      </c>
      <c r="L193" t="s">
        <v>46</v>
      </c>
      <c r="M193">
        <v>-7.8312683249999999</v>
      </c>
      <c r="N193">
        <v>-23.20585458</v>
      </c>
      <c r="O193">
        <v>5.2761988049999999</v>
      </c>
      <c r="P193">
        <v>-12.2840691</v>
      </c>
      <c r="Q193">
        <v>-85.123239440000006</v>
      </c>
    </row>
    <row r="194" spans="1:17" x14ac:dyDescent="0.25">
      <c r="A194" t="s">
        <v>68</v>
      </c>
      <c r="B194" t="s">
        <v>69</v>
      </c>
      <c r="C194" t="s">
        <v>118</v>
      </c>
      <c r="D194" t="s">
        <v>119</v>
      </c>
      <c r="E194" t="s">
        <v>55</v>
      </c>
      <c r="F194" t="s">
        <v>46</v>
      </c>
      <c r="G194" t="s">
        <v>46</v>
      </c>
      <c r="H194" t="s">
        <v>46</v>
      </c>
      <c r="I194" t="s">
        <v>46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>
        <v>13.8402561</v>
      </c>
      <c r="P194">
        <v>10.100847760000001</v>
      </c>
      <c r="Q194">
        <v>-66.337184160000007</v>
      </c>
    </row>
    <row r="195" spans="1:17" x14ac:dyDescent="0.25">
      <c r="A195" t="s">
        <v>70</v>
      </c>
      <c r="B195" t="s">
        <v>71</v>
      </c>
      <c r="C195" t="s">
        <v>118</v>
      </c>
      <c r="D195" t="s">
        <v>119</v>
      </c>
      <c r="E195" t="s">
        <v>55</v>
      </c>
      <c r="F195" t="s">
        <v>46</v>
      </c>
      <c r="G195" t="s">
        <v>46</v>
      </c>
      <c r="H195">
        <v>33.918392019999999</v>
      </c>
      <c r="I195">
        <v>14.55704034</v>
      </c>
      <c r="J195">
        <v>26.822853160000001</v>
      </c>
      <c r="K195">
        <v>18.718532079999999</v>
      </c>
      <c r="L195">
        <v>16.578210349999999</v>
      </c>
      <c r="M195">
        <v>15.67959097</v>
      </c>
      <c r="N195">
        <v>14.235409260000001</v>
      </c>
      <c r="O195">
        <v>8.2853220780000001</v>
      </c>
      <c r="P195">
        <v>21.474983940000001</v>
      </c>
      <c r="Q195">
        <v>18.263774160000001</v>
      </c>
    </row>
    <row r="196" spans="1:17" x14ac:dyDescent="0.25">
      <c r="A196" t="s">
        <v>72</v>
      </c>
      <c r="B196" t="s">
        <v>73</v>
      </c>
      <c r="C196" t="s">
        <v>118</v>
      </c>
      <c r="D196" t="s">
        <v>119</v>
      </c>
      <c r="E196" t="s">
        <v>55</v>
      </c>
      <c r="F196" t="s">
        <v>46</v>
      </c>
      <c r="G196">
        <v>12.48545378</v>
      </c>
      <c r="H196">
        <v>10.626112640000001</v>
      </c>
      <c r="I196">
        <v>12.65872866</v>
      </c>
      <c r="J196">
        <v>13.701181910000001</v>
      </c>
      <c r="K196">
        <v>18.442646969999998</v>
      </c>
      <c r="L196">
        <v>14.72478551</v>
      </c>
      <c r="M196">
        <v>18.52232021</v>
      </c>
      <c r="N196">
        <v>20.81694972</v>
      </c>
      <c r="O196">
        <v>19.412828900000001</v>
      </c>
      <c r="P196">
        <v>19.943172860000001</v>
      </c>
      <c r="Q196">
        <v>19.712008300000001</v>
      </c>
    </row>
    <row r="197" spans="1:17" x14ac:dyDescent="0.25">
      <c r="A197" t="s">
        <v>74</v>
      </c>
      <c r="B197" t="s">
        <v>75</v>
      </c>
      <c r="C197" t="s">
        <v>118</v>
      </c>
      <c r="D197" t="s">
        <v>119</v>
      </c>
      <c r="E197" t="s">
        <v>55</v>
      </c>
      <c r="F197">
        <v>28.927137980000001</v>
      </c>
      <c r="G197">
        <v>22.422212980000001</v>
      </c>
      <c r="H197">
        <v>23.61972827</v>
      </c>
      <c r="I197">
        <v>27.702484439999999</v>
      </c>
      <c r="J197">
        <v>35.12839185</v>
      </c>
      <c r="K197">
        <v>37.406698489999997</v>
      </c>
      <c r="L197" t="s">
        <v>46</v>
      </c>
      <c r="M197" t="s">
        <v>46</v>
      </c>
      <c r="N197">
        <v>28.252974739999999</v>
      </c>
      <c r="O197">
        <v>25.156126050000001</v>
      </c>
      <c r="P197">
        <v>24.778918990000001</v>
      </c>
      <c r="Q197">
        <v>24.146477130000001</v>
      </c>
    </row>
    <row r="198" spans="1:17" x14ac:dyDescent="0.25">
      <c r="A198" t="s">
        <v>76</v>
      </c>
      <c r="B198" t="s">
        <v>77</v>
      </c>
      <c r="C198" t="s">
        <v>118</v>
      </c>
      <c r="D198" t="s">
        <v>119</v>
      </c>
      <c r="E198" t="s">
        <v>55</v>
      </c>
      <c r="F198">
        <v>24.684557049999999</v>
      </c>
      <c r="G198">
        <v>22.833427700000001</v>
      </c>
      <c r="H198">
        <v>19.609099480000001</v>
      </c>
      <c r="I198">
        <v>17.773262970000001</v>
      </c>
      <c r="J198">
        <v>12.429051400000001</v>
      </c>
      <c r="K198">
        <v>10.46806784</v>
      </c>
      <c r="L198">
        <v>-8.9020142080000007</v>
      </c>
      <c r="M198">
        <v>-103.8414884</v>
      </c>
      <c r="N198">
        <v>21.224753660000001</v>
      </c>
      <c r="O198">
        <v>25.474363539999999</v>
      </c>
      <c r="P198">
        <v>18.592765499999999</v>
      </c>
      <c r="Q198">
        <v>16.925328650000001</v>
      </c>
    </row>
    <row r="199" spans="1:17" x14ac:dyDescent="0.25">
      <c r="A199" t="s">
        <v>78</v>
      </c>
      <c r="B199" t="s">
        <v>79</v>
      </c>
      <c r="C199" t="s">
        <v>118</v>
      </c>
      <c r="D199" t="s">
        <v>119</v>
      </c>
      <c r="E199" t="s">
        <v>55</v>
      </c>
      <c r="F199">
        <v>37.367780590000002</v>
      </c>
      <c r="G199">
        <v>29.38549862</v>
      </c>
      <c r="H199">
        <v>27.313233029999999</v>
      </c>
      <c r="I199">
        <v>27.982569779999999</v>
      </c>
      <c r="J199">
        <v>25.720057879999999</v>
      </c>
      <c r="K199">
        <v>24.38650131</v>
      </c>
      <c r="L199">
        <v>24.10526625</v>
      </c>
      <c r="M199">
        <v>23.15569022</v>
      </c>
      <c r="N199">
        <v>21.958906410000001</v>
      </c>
      <c r="O199">
        <v>23.94085359</v>
      </c>
      <c r="P199">
        <v>23.72200106</v>
      </c>
      <c r="Q199">
        <v>25.451310599999999</v>
      </c>
    </row>
    <row r="200" spans="1:17" x14ac:dyDescent="0.25">
      <c r="A200" t="s">
        <v>80</v>
      </c>
      <c r="B200" t="s">
        <v>81</v>
      </c>
      <c r="C200" t="s">
        <v>118</v>
      </c>
      <c r="D200" t="s">
        <v>119</v>
      </c>
      <c r="E200" t="s">
        <v>55</v>
      </c>
      <c r="F200">
        <v>58.824371050000003</v>
      </c>
      <c r="G200">
        <v>74.370550919999999</v>
      </c>
      <c r="H200">
        <v>64.938817499999999</v>
      </c>
      <c r="I200">
        <v>73.429974060000006</v>
      </c>
      <c r="J200">
        <v>85.153084770000007</v>
      </c>
      <c r="K200">
        <v>79.146259479999998</v>
      </c>
      <c r="L200">
        <v>69.371032889999995</v>
      </c>
      <c r="M200">
        <v>100.9567547</v>
      </c>
      <c r="N200">
        <v>73.040482339999997</v>
      </c>
      <c r="O200">
        <v>32.105138330000003</v>
      </c>
      <c r="P200">
        <v>50.761155619999997</v>
      </c>
      <c r="Q200">
        <v>50.118906850000002</v>
      </c>
    </row>
    <row r="201" spans="1:17" x14ac:dyDescent="0.25">
      <c r="A201" t="s">
        <v>82</v>
      </c>
      <c r="B201" t="s">
        <v>83</v>
      </c>
      <c r="C201" t="s">
        <v>118</v>
      </c>
      <c r="D201" t="s">
        <v>119</v>
      </c>
      <c r="E201" t="s">
        <v>55</v>
      </c>
      <c r="F201">
        <v>37.756873800000001</v>
      </c>
      <c r="G201">
        <v>41.103868400000003</v>
      </c>
      <c r="H201">
        <v>42.342464720000002</v>
      </c>
      <c r="I201">
        <v>38.556574449999999</v>
      </c>
      <c r="J201">
        <v>40.852886939999998</v>
      </c>
      <c r="K201">
        <v>40.725672400000001</v>
      </c>
      <c r="L201">
        <v>34.833910709999998</v>
      </c>
      <c r="M201">
        <v>37.064046869999999</v>
      </c>
      <c r="N201">
        <v>32.555230829999999</v>
      </c>
      <c r="O201">
        <v>29.42195083</v>
      </c>
      <c r="P201">
        <v>35.204170089999998</v>
      </c>
      <c r="Q201">
        <v>36.378771180000001</v>
      </c>
    </row>
    <row r="202" spans="1:17" x14ac:dyDescent="0.25">
      <c r="A202" t="s">
        <v>84</v>
      </c>
      <c r="B202" t="s">
        <v>85</v>
      </c>
      <c r="C202" t="s">
        <v>118</v>
      </c>
      <c r="D202" t="s">
        <v>119</v>
      </c>
      <c r="E202" t="s">
        <v>55</v>
      </c>
      <c r="F202">
        <v>63.398325210000003</v>
      </c>
      <c r="G202">
        <v>29.008012919999999</v>
      </c>
      <c r="H202">
        <v>20.654386890000001</v>
      </c>
      <c r="I202">
        <v>29.59890845</v>
      </c>
      <c r="J202">
        <v>27.178810739999999</v>
      </c>
      <c r="K202">
        <v>41.46882445</v>
      </c>
      <c r="L202">
        <v>24.522535220000002</v>
      </c>
      <c r="M202">
        <v>22.301954559999999</v>
      </c>
      <c r="N202">
        <v>18.131306779999999</v>
      </c>
      <c r="O202">
        <v>21.540816329999998</v>
      </c>
      <c r="P202">
        <v>21.967383219999999</v>
      </c>
      <c r="Q202">
        <v>19.160241249999999</v>
      </c>
    </row>
    <row r="203" spans="1:17" x14ac:dyDescent="0.25">
      <c r="A203" t="s">
        <v>86</v>
      </c>
      <c r="B203" t="s">
        <v>87</v>
      </c>
      <c r="C203" t="s">
        <v>118</v>
      </c>
      <c r="D203" t="s">
        <v>119</v>
      </c>
      <c r="E203" t="s">
        <v>55</v>
      </c>
      <c r="F203">
        <v>30.798450559999999</v>
      </c>
      <c r="G203">
        <v>29.0579842</v>
      </c>
      <c r="H203">
        <v>25.100266980000001</v>
      </c>
      <c r="I203">
        <v>21.230718830000001</v>
      </c>
      <c r="J203">
        <v>23.31961639</v>
      </c>
      <c r="K203">
        <v>24.85752681</v>
      </c>
      <c r="L203">
        <v>23.028659409999999</v>
      </c>
      <c r="M203">
        <v>20.40304459</v>
      </c>
      <c r="N203">
        <v>17.229237439999999</v>
      </c>
      <c r="O203">
        <v>15.9644751</v>
      </c>
      <c r="P203">
        <v>17.131597679999999</v>
      </c>
      <c r="Q203">
        <v>17.27438622</v>
      </c>
    </row>
    <row r="204" spans="1:17" x14ac:dyDescent="0.25">
      <c r="A204" t="s">
        <v>120</v>
      </c>
      <c r="B204" t="s">
        <v>49</v>
      </c>
      <c r="C204" t="s">
        <v>46</v>
      </c>
      <c r="D204" t="s">
        <v>46</v>
      </c>
      <c r="E204" t="s">
        <v>50</v>
      </c>
      <c r="F204">
        <v>42.568756184999998</v>
      </c>
      <c r="G204">
        <v>34.230057476142861</v>
      </c>
      <c r="H204">
        <v>31.701443810066664</v>
      </c>
      <c r="I204">
        <v>22.168851445533335</v>
      </c>
      <c r="J204">
        <v>20.874883065533329</v>
      </c>
      <c r="K204">
        <v>23.158489745199997</v>
      </c>
      <c r="L204">
        <v>18.487316874214287</v>
      </c>
      <c r="M204">
        <v>15.081097037933331</v>
      </c>
      <c r="N204">
        <v>16.254831846187503</v>
      </c>
      <c r="O204">
        <v>14.89705881364706</v>
      </c>
      <c r="P204">
        <v>15.36776284758824</v>
      </c>
      <c r="Q204">
        <v>10.008666566764706</v>
      </c>
    </row>
    <row r="205" spans="1:17" x14ac:dyDescent="0.25">
      <c r="A205" t="s">
        <v>51</v>
      </c>
      <c r="B205" t="s">
        <v>52</v>
      </c>
      <c r="C205" t="s">
        <v>121</v>
      </c>
      <c r="D205" t="s">
        <v>122</v>
      </c>
      <c r="E205" t="s">
        <v>55</v>
      </c>
      <c r="F205">
        <v>65.86554932</v>
      </c>
      <c r="G205">
        <v>63.762273440000001</v>
      </c>
      <c r="H205">
        <v>67.210468349999999</v>
      </c>
      <c r="I205">
        <v>72.672751860000005</v>
      </c>
      <c r="J205">
        <v>69.563401729999995</v>
      </c>
      <c r="K205">
        <v>78.299355719999994</v>
      </c>
      <c r="L205">
        <v>59.843898709999998</v>
      </c>
      <c r="M205">
        <v>61.348834439999997</v>
      </c>
      <c r="N205">
        <v>63.369137790000003</v>
      </c>
      <c r="O205">
        <v>55.718440149999999</v>
      </c>
      <c r="P205">
        <v>48.910323409999997</v>
      </c>
      <c r="Q205">
        <v>48.595242169999999</v>
      </c>
    </row>
    <row r="206" spans="1:17" x14ac:dyDescent="0.25">
      <c r="A206" t="s">
        <v>56</v>
      </c>
      <c r="B206" t="s">
        <v>57</v>
      </c>
      <c r="C206" t="s">
        <v>121</v>
      </c>
      <c r="D206" t="s">
        <v>122</v>
      </c>
      <c r="E206" t="s">
        <v>55</v>
      </c>
      <c r="F206">
        <v>11.543801439999999</v>
      </c>
      <c r="G206">
        <v>9.6669318499999992</v>
      </c>
      <c r="H206">
        <v>10.48338038</v>
      </c>
      <c r="I206">
        <v>9.9631788530000005</v>
      </c>
      <c r="J206">
        <v>11.295128739999999</v>
      </c>
      <c r="K206">
        <v>11.618573870000001</v>
      </c>
      <c r="L206">
        <v>11.18936218</v>
      </c>
      <c r="M206">
        <v>11.50728024</v>
      </c>
      <c r="N206">
        <v>10.99586101</v>
      </c>
      <c r="O206">
        <v>12.29347973</v>
      </c>
      <c r="P206">
        <v>10.032948579999999</v>
      </c>
      <c r="Q206">
        <v>13.458709389999999</v>
      </c>
    </row>
    <row r="207" spans="1:17" x14ac:dyDescent="0.25">
      <c r="A207" t="s">
        <v>58</v>
      </c>
      <c r="B207" t="s">
        <v>59</v>
      </c>
      <c r="C207" t="s">
        <v>121</v>
      </c>
      <c r="D207" t="s">
        <v>122</v>
      </c>
      <c r="E207" t="s">
        <v>55</v>
      </c>
      <c r="F207">
        <v>3.2375664049999999</v>
      </c>
      <c r="G207">
        <v>1.318967097</v>
      </c>
      <c r="H207">
        <v>6.6695109270000001</v>
      </c>
      <c r="I207">
        <v>6.7517647050000003</v>
      </c>
      <c r="J207">
        <v>3.420308409</v>
      </c>
      <c r="K207">
        <v>5.4264752950000004</v>
      </c>
      <c r="L207">
        <v>6.5522723510000001</v>
      </c>
      <c r="M207">
        <v>8.4593196190000004</v>
      </c>
      <c r="N207">
        <v>10.263433879999999</v>
      </c>
      <c r="O207">
        <v>8.3195333229999999</v>
      </c>
      <c r="P207">
        <v>5.6058217350000001</v>
      </c>
      <c r="Q207">
        <v>4.2382832590000001</v>
      </c>
    </row>
    <row r="208" spans="1:17" x14ac:dyDescent="0.25">
      <c r="A208" t="s">
        <v>60</v>
      </c>
      <c r="B208" t="s">
        <v>61</v>
      </c>
      <c r="C208" t="s">
        <v>121</v>
      </c>
      <c r="D208" t="s">
        <v>122</v>
      </c>
      <c r="E208" t="s">
        <v>55</v>
      </c>
      <c r="F208">
        <v>12.69354405</v>
      </c>
      <c r="G208">
        <v>4.7662720890000001</v>
      </c>
      <c r="H208">
        <v>7.664157704</v>
      </c>
      <c r="I208">
        <v>9.8953816890000006</v>
      </c>
      <c r="J208">
        <v>7.3622851679999997</v>
      </c>
      <c r="K208">
        <v>9.1670692759999994</v>
      </c>
      <c r="L208">
        <v>13.357990020000001</v>
      </c>
      <c r="M208">
        <v>16.165289260000002</v>
      </c>
      <c r="N208">
        <v>11.258853459999999</v>
      </c>
      <c r="O208">
        <v>9.2450241510000009</v>
      </c>
      <c r="P208">
        <v>7.8572263040000001</v>
      </c>
      <c r="Q208">
        <v>8.1720312150000005</v>
      </c>
    </row>
    <row r="209" spans="1:17" x14ac:dyDescent="0.25">
      <c r="A209" t="s">
        <v>62</v>
      </c>
      <c r="B209" t="s">
        <v>63</v>
      </c>
      <c r="C209" t="s">
        <v>121</v>
      </c>
      <c r="D209" t="s">
        <v>122</v>
      </c>
      <c r="E209" t="s">
        <v>55</v>
      </c>
      <c r="F209">
        <v>212.0426531</v>
      </c>
      <c r="G209">
        <v>193.47619270000001</v>
      </c>
      <c r="H209">
        <v>176.60918369999999</v>
      </c>
      <c r="I209">
        <v>11.93799699</v>
      </c>
      <c r="J209">
        <v>2.84468122</v>
      </c>
      <c r="K209">
        <v>7.8903736069999999</v>
      </c>
      <c r="L209">
        <v>12.96784175</v>
      </c>
      <c r="M209">
        <v>13.270909</v>
      </c>
      <c r="N209">
        <v>13.521724239999999</v>
      </c>
      <c r="O209">
        <v>12.95472681</v>
      </c>
      <c r="P209">
        <v>14.192945</v>
      </c>
      <c r="Q209">
        <v>14.62322904</v>
      </c>
    </row>
    <row r="210" spans="1:17" x14ac:dyDescent="0.25">
      <c r="A210" t="s">
        <v>64</v>
      </c>
      <c r="B210" t="s">
        <v>65</v>
      </c>
      <c r="C210" t="s">
        <v>121</v>
      </c>
      <c r="D210" t="s">
        <v>122</v>
      </c>
      <c r="E210" t="s">
        <v>55</v>
      </c>
      <c r="F210">
        <v>25.33188363</v>
      </c>
      <c r="G210">
        <v>22.919853140000001</v>
      </c>
      <c r="H210">
        <v>23.53515299</v>
      </c>
      <c r="I210">
        <v>23.340408419999999</v>
      </c>
      <c r="J210">
        <v>24.04939512</v>
      </c>
      <c r="K210">
        <v>22.627727230000001</v>
      </c>
      <c r="L210">
        <v>18.459841489999999</v>
      </c>
      <c r="M210">
        <v>16.49722736</v>
      </c>
      <c r="N210">
        <v>14.018910050000001</v>
      </c>
      <c r="O210">
        <v>12.42322646</v>
      </c>
      <c r="P210">
        <v>17.881288300000001</v>
      </c>
      <c r="Q210">
        <v>14.45712436</v>
      </c>
    </row>
    <row r="211" spans="1:17" x14ac:dyDescent="0.25">
      <c r="A211" t="s">
        <v>66</v>
      </c>
      <c r="B211" t="s">
        <v>67</v>
      </c>
      <c r="C211" t="s">
        <v>121</v>
      </c>
      <c r="D211" t="s">
        <v>122</v>
      </c>
      <c r="E211" t="s">
        <v>55</v>
      </c>
      <c r="F211" t="s">
        <v>46</v>
      </c>
      <c r="G211" t="s">
        <v>46</v>
      </c>
      <c r="H211" t="s">
        <v>46</v>
      </c>
      <c r="I211" t="s">
        <v>46</v>
      </c>
      <c r="J211" t="s">
        <v>46</v>
      </c>
      <c r="K211" t="s">
        <v>46</v>
      </c>
      <c r="L211" t="s">
        <v>46</v>
      </c>
      <c r="M211">
        <v>-3.8031803599999998</v>
      </c>
      <c r="N211">
        <v>-15.54156386</v>
      </c>
      <c r="O211">
        <v>4.6685256810000002</v>
      </c>
      <c r="P211">
        <v>-6.067885607</v>
      </c>
      <c r="Q211">
        <v>-45.578870500000001</v>
      </c>
    </row>
    <row r="212" spans="1:17" x14ac:dyDescent="0.25">
      <c r="A212" t="s">
        <v>68</v>
      </c>
      <c r="B212" t="s">
        <v>69</v>
      </c>
      <c r="C212" t="s">
        <v>121</v>
      </c>
      <c r="D212" t="s">
        <v>122</v>
      </c>
      <c r="E212" t="s">
        <v>55</v>
      </c>
      <c r="F212" t="s">
        <v>46</v>
      </c>
      <c r="G212" t="s">
        <v>46</v>
      </c>
      <c r="H212" t="s">
        <v>46</v>
      </c>
      <c r="I212" t="s">
        <v>46</v>
      </c>
      <c r="J212" t="s">
        <v>46</v>
      </c>
      <c r="K212" t="s">
        <v>46</v>
      </c>
      <c r="L212" t="s">
        <v>46</v>
      </c>
      <c r="M212" t="s">
        <v>46</v>
      </c>
      <c r="N212" t="s">
        <v>46</v>
      </c>
      <c r="O212">
        <v>5.3932946780000002</v>
      </c>
      <c r="P212">
        <v>5.6125071630000001</v>
      </c>
      <c r="Q212">
        <v>-33.831438439999999</v>
      </c>
    </row>
    <row r="213" spans="1:17" x14ac:dyDescent="0.25">
      <c r="A213" t="s">
        <v>70</v>
      </c>
      <c r="B213" t="s">
        <v>71</v>
      </c>
      <c r="C213" t="s">
        <v>121</v>
      </c>
      <c r="D213" t="s">
        <v>122</v>
      </c>
      <c r="E213" t="s">
        <v>55</v>
      </c>
      <c r="F213" t="s">
        <v>46</v>
      </c>
      <c r="G213" t="s">
        <v>46</v>
      </c>
      <c r="H213">
        <v>22.709507290000001</v>
      </c>
      <c r="I213">
        <v>27.634459119999999</v>
      </c>
      <c r="J213">
        <v>22.185502920000001</v>
      </c>
      <c r="K213">
        <v>17.949442650000002</v>
      </c>
      <c r="L213">
        <v>15.81044771</v>
      </c>
      <c r="M213">
        <v>14.687965289999999</v>
      </c>
      <c r="N213">
        <v>14.31883032</v>
      </c>
      <c r="O213">
        <v>7.8996180760000003</v>
      </c>
      <c r="P213">
        <v>20.415799920000001</v>
      </c>
      <c r="Q213">
        <v>17.078294240000002</v>
      </c>
    </row>
    <row r="214" spans="1:17" x14ac:dyDescent="0.25">
      <c r="A214" t="s">
        <v>72</v>
      </c>
      <c r="B214" t="s">
        <v>73</v>
      </c>
      <c r="C214" t="s">
        <v>121</v>
      </c>
      <c r="D214" t="s">
        <v>122</v>
      </c>
      <c r="E214" t="s">
        <v>55</v>
      </c>
      <c r="F214" t="s">
        <v>46</v>
      </c>
      <c r="G214">
        <v>12.62086247</v>
      </c>
      <c r="H214">
        <v>10.62234273</v>
      </c>
      <c r="I214">
        <v>9.8900044460000007</v>
      </c>
      <c r="J214">
        <v>10.432108380000001</v>
      </c>
      <c r="K214">
        <v>12.60529603</v>
      </c>
      <c r="L214">
        <v>11.40705517</v>
      </c>
      <c r="M214">
        <v>13.007695010000001</v>
      </c>
      <c r="N214">
        <v>13.2040484</v>
      </c>
      <c r="O214">
        <v>11.36834277</v>
      </c>
      <c r="P214">
        <v>10.235797850000001</v>
      </c>
      <c r="Q214">
        <v>10.67333595</v>
      </c>
    </row>
    <row r="215" spans="1:17" x14ac:dyDescent="0.25">
      <c r="A215" t="s">
        <v>74</v>
      </c>
      <c r="B215" t="s">
        <v>75</v>
      </c>
      <c r="C215" t="s">
        <v>121</v>
      </c>
      <c r="D215" t="s">
        <v>122</v>
      </c>
      <c r="E215" t="s">
        <v>55</v>
      </c>
      <c r="F215">
        <v>23.232610940000001</v>
      </c>
      <c r="G215">
        <v>15.4475578</v>
      </c>
      <c r="H215">
        <v>16.206045700000001</v>
      </c>
      <c r="I215">
        <v>21.384975730000001</v>
      </c>
      <c r="J215">
        <v>28.544308149999999</v>
      </c>
      <c r="K215">
        <v>35.100862429999999</v>
      </c>
      <c r="L215" t="s">
        <v>46</v>
      </c>
      <c r="M215" t="s">
        <v>46</v>
      </c>
      <c r="N215">
        <v>25.60693947</v>
      </c>
      <c r="O215">
        <v>23.332406020000001</v>
      </c>
      <c r="P215">
        <v>22.586966889999999</v>
      </c>
      <c r="Q215">
        <v>21.450927759999999</v>
      </c>
    </row>
    <row r="216" spans="1:17" x14ac:dyDescent="0.25">
      <c r="A216" t="s">
        <v>76</v>
      </c>
      <c r="B216" t="s">
        <v>77</v>
      </c>
      <c r="C216" t="s">
        <v>121</v>
      </c>
      <c r="D216" t="s">
        <v>122</v>
      </c>
      <c r="E216" t="s">
        <v>55</v>
      </c>
      <c r="F216">
        <v>21.044040899999999</v>
      </c>
      <c r="G216">
        <v>19.65751225</v>
      </c>
      <c r="H216">
        <v>15.24602215</v>
      </c>
      <c r="I216">
        <v>13.10966075</v>
      </c>
      <c r="J216">
        <v>9.407336656</v>
      </c>
      <c r="K216">
        <v>7.9035478100000001</v>
      </c>
      <c r="L216">
        <v>-2.6007919820000001</v>
      </c>
      <c r="M216">
        <v>-36.456593900000001</v>
      </c>
      <c r="N216">
        <v>6.1418126690000001</v>
      </c>
      <c r="O216">
        <v>8.7402828059999997</v>
      </c>
      <c r="P216">
        <v>7.5439391340000004</v>
      </c>
      <c r="Q216">
        <v>7.1832695009999998</v>
      </c>
    </row>
    <row r="217" spans="1:17" x14ac:dyDescent="0.25">
      <c r="A217" t="s">
        <v>78</v>
      </c>
      <c r="B217" t="s">
        <v>79</v>
      </c>
      <c r="C217" t="s">
        <v>121</v>
      </c>
      <c r="D217" t="s">
        <v>122</v>
      </c>
      <c r="E217" t="s">
        <v>55</v>
      </c>
      <c r="F217">
        <v>36.834443890000003</v>
      </c>
      <c r="G217">
        <v>25.30919183</v>
      </c>
      <c r="H217">
        <v>23.52236804</v>
      </c>
      <c r="I217">
        <v>23.09751936</v>
      </c>
      <c r="J217">
        <v>19.99396861</v>
      </c>
      <c r="K217">
        <v>19.01352378</v>
      </c>
      <c r="L217">
        <v>17.91062033</v>
      </c>
      <c r="M217">
        <v>18.352852370000001</v>
      </c>
      <c r="N217">
        <v>17.66072595</v>
      </c>
      <c r="O217">
        <v>19.544828299999999</v>
      </c>
      <c r="P217">
        <v>20.934795260000001</v>
      </c>
      <c r="Q217">
        <v>21.526345589999998</v>
      </c>
    </row>
    <row r="218" spans="1:17" x14ac:dyDescent="0.25">
      <c r="A218" t="s">
        <v>80</v>
      </c>
      <c r="B218" t="s">
        <v>81</v>
      </c>
      <c r="C218" t="s">
        <v>121</v>
      </c>
      <c r="D218" t="s">
        <v>122</v>
      </c>
      <c r="E218" t="s">
        <v>55</v>
      </c>
      <c r="F218">
        <v>19.41513608</v>
      </c>
      <c r="G218">
        <v>24.932310860000001</v>
      </c>
      <c r="H218">
        <v>24.126803880000001</v>
      </c>
      <c r="I218">
        <v>27.250133309999999</v>
      </c>
      <c r="J218">
        <v>29.531286219999998</v>
      </c>
      <c r="K218">
        <v>29.08445863</v>
      </c>
      <c r="L218">
        <v>24.88127209</v>
      </c>
      <c r="M218">
        <v>26.29837079</v>
      </c>
      <c r="N218">
        <v>21.280145860000001</v>
      </c>
      <c r="O218">
        <v>11.80399265</v>
      </c>
      <c r="P218">
        <v>14.57262802</v>
      </c>
      <c r="Q218">
        <v>11.98375961</v>
      </c>
    </row>
    <row r="219" spans="1:17" x14ac:dyDescent="0.25">
      <c r="A219" t="s">
        <v>82</v>
      </c>
      <c r="B219" t="s">
        <v>83</v>
      </c>
      <c r="C219" t="s">
        <v>121</v>
      </c>
      <c r="D219" t="s">
        <v>122</v>
      </c>
      <c r="E219" t="s">
        <v>55</v>
      </c>
      <c r="F219">
        <v>38.636016929999997</v>
      </c>
      <c r="G219">
        <v>39.204556150000002</v>
      </c>
      <c r="H219">
        <v>38.79088462</v>
      </c>
      <c r="I219">
        <v>36.68721189</v>
      </c>
      <c r="J219">
        <v>35.390740549999997</v>
      </c>
      <c r="K219">
        <v>38.167848990000003</v>
      </c>
      <c r="L219">
        <v>31.030772639999999</v>
      </c>
      <c r="M219">
        <v>33.922374740000002</v>
      </c>
      <c r="N219">
        <v>28.765293320000001</v>
      </c>
      <c r="O219">
        <v>26.37906362</v>
      </c>
      <c r="P219">
        <v>31.562413060000001</v>
      </c>
      <c r="Q219">
        <v>31.210096660000001</v>
      </c>
    </row>
    <row r="220" spans="1:17" x14ac:dyDescent="0.25">
      <c r="A220" t="s">
        <v>84</v>
      </c>
      <c r="B220" t="s">
        <v>85</v>
      </c>
      <c r="C220" t="s">
        <v>121</v>
      </c>
      <c r="D220" t="s">
        <v>122</v>
      </c>
      <c r="E220" t="s">
        <v>55</v>
      </c>
      <c r="F220">
        <v>61.610445050000003</v>
      </c>
      <c r="G220">
        <v>26.099185859999999</v>
      </c>
      <c r="H220">
        <v>14.102923390000001</v>
      </c>
      <c r="I220">
        <v>23.559926749999999</v>
      </c>
      <c r="J220">
        <v>23.744452639999999</v>
      </c>
      <c r="K220">
        <v>34.48914955</v>
      </c>
      <c r="L220">
        <v>21.819700789999999</v>
      </c>
      <c r="M220">
        <v>19.77408866</v>
      </c>
      <c r="N220">
        <v>14.581662919999999</v>
      </c>
      <c r="O220">
        <v>13.49220566</v>
      </c>
      <c r="P220">
        <v>18.103691560000001</v>
      </c>
      <c r="Q220">
        <v>12.85554793</v>
      </c>
    </row>
    <row r="221" spans="1:17" x14ac:dyDescent="0.25">
      <c r="A221" t="s">
        <v>86</v>
      </c>
      <c r="B221" t="s">
        <v>87</v>
      </c>
      <c r="C221" t="s">
        <v>121</v>
      </c>
      <c r="D221" t="s">
        <v>122</v>
      </c>
      <c r="E221" t="s">
        <v>55</v>
      </c>
      <c r="F221">
        <v>21.906138670000001</v>
      </c>
      <c r="G221">
        <v>20.03913713</v>
      </c>
      <c r="H221">
        <v>18.022905300000001</v>
      </c>
      <c r="I221">
        <v>15.35739781</v>
      </c>
      <c r="J221">
        <v>15.358341469999999</v>
      </c>
      <c r="K221">
        <v>18.03364131</v>
      </c>
      <c r="L221">
        <v>16.19215299</v>
      </c>
      <c r="M221">
        <v>13.18402305</v>
      </c>
      <c r="N221">
        <v>10.63149406</v>
      </c>
      <c r="O221">
        <v>9.6730089469999996</v>
      </c>
      <c r="P221">
        <v>11.27076183</v>
      </c>
      <c r="Q221">
        <v>12.051443900000001</v>
      </c>
    </row>
    <row r="222" spans="1:17" x14ac:dyDescent="0.25">
      <c r="A222" t="s">
        <v>123</v>
      </c>
      <c r="B222" t="s">
        <v>46</v>
      </c>
      <c r="C222" t="s">
        <v>46</v>
      </c>
      <c r="D222" t="s">
        <v>46</v>
      </c>
      <c r="E222" t="s">
        <v>47</v>
      </c>
      <c r="F222" t="s">
        <v>46</v>
      </c>
      <c r="G222" t="s">
        <v>46</v>
      </c>
      <c r="H222" t="s">
        <v>46</v>
      </c>
      <c r="I222" t="s">
        <v>46</v>
      </c>
      <c r="J222" t="s">
        <v>46</v>
      </c>
      <c r="K222" t="s">
        <v>46</v>
      </c>
      <c r="L222" t="s">
        <v>46</v>
      </c>
      <c r="M222" t="s">
        <v>46</v>
      </c>
      <c r="N222" t="s">
        <v>46</v>
      </c>
      <c r="O222" t="s">
        <v>46</v>
      </c>
      <c r="P222" t="s">
        <v>46</v>
      </c>
      <c r="Q22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72"/>
  <sheetViews>
    <sheetView workbookViewId="0">
      <selection activeCell="F2" sqref="F2"/>
    </sheetView>
  </sheetViews>
  <sheetFormatPr defaultRowHeight="15" x14ac:dyDescent="0.25"/>
  <cols>
    <col min="1" max="1" width="56.28515625" customWidth="1"/>
    <col min="2" max="2" width="15.85546875" customWidth="1"/>
    <col min="3" max="29" width="9.140625" bestFit="1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ReferenceData!$C$463</f>
        <v>2019</v>
      </c>
      <c r="G2" s="1" t="str">
        <f ca="1">ReferenceData!$D$463</f>
        <v>2018</v>
      </c>
      <c r="H2" s="1" t="str">
        <f ca="1">ReferenceData!$E$463</f>
        <v>2017</v>
      </c>
      <c r="I2" s="1" t="str">
        <f ca="1">ReferenceData!$F$463</f>
        <v>2016</v>
      </c>
      <c r="J2" s="1" t="str">
        <f ca="1">ReferenceData!$G$463</f>
        <v>2015</v>
      </c>
      <c r="K2" s="1" t="str">
        <f ca="1">ReferenceData!$H$463</f>
        <v>2014</v>
      </c>
      <c r="L2" s="1" t="str">
        <f ca="1">ReferenceData!$I$463</f>
        <v>2013</v>
      </c>
      <c r="M2" s="1" t="str">
        <f ca="1">ReferenceData!$J$463</f>
        <v>2012</v>
      </c>
      <c r="N2" s="1" t="str">
        <f ca="1">ReferenceData!$K$463</f>
        <v>2011</v>
      </c>
      <c r="O2" s="1" t="str">
        <f ca="1">ReferenceData!$L$463</f>
        <v>2010</v>
      </c>
      <c r="P2" s="1" t="str">
        <f ca="1">ReferenceData!$M$463</f>
        <v>2009</v>
      </c>
      <c r="Q2" s="1" t="str">
        <f ca="1">ReferenceData!$N$463</f>
        <v>2008</v>
      </c>
      <c r="R2" t="str">
        <f ca="1">$C$463</f>
        <v>2019</v>
      </c>
      <c r="S2" t="str">
        <f ca="1">$D$463</f>
        <v>2018</v>
      </c>
      <c r="T2" t="str">
        <f ca="1">$E$463</f>
        <v>2017</v>
      </c>
      <c r="U2" t="str">
        <f ca="1">$F$463</f>
        <v>2016</v>
      </c>
      <c r="V2" t="str">
        <f ca="1">$G$463</f>
        <v>2015</v>
      </c>
      <c r="W2" t="str">
        <f ca="1">$H$463</f>
        <v>2014</v>
      </c>
      <c r="X2" t="str">
        <f ca="1">$I$463</f>
        <v>2013</v>
      </c>
      <c r="Y2" t="str">
        <f ca="1">$J$463</f>
        <v>2012</v>
      </c>
      <c r="Z2" t="str">
        <f ca="1">$K$463</f>
        <v>2011</v>
      </c>
      <c r="AA2" t="str">
        <f ca="1">$L$463</f>
        <v>2010</v>
      </c>
      <c r="AB2" t="str">
        <f ca="1">$M$463</f>
        <v>2009</v>
      </c>
      <c r="AC2" t="str">
        <f ca="1">$N$463</f>
        <v>2008</v>
      </c>
    </row>
    <row r="3" spans="1:29" x14ac:dyDescent="0.25">
      <c r="A3" t="str">
        <f>"Growth Measures (%):"</f>
        <v>Growth Measures (%):</v>
      </c>
      <c r="B3" t="str">
        <f>""</f>
        <v/>
      </c>
      <c r="E3" t="str">
        <f>"Heading"</f>
        <v>Heading</v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t="str">
        <f>""</f>
        <v/>
      </c>
      <c r="AC3" t="str">
        <f>""</f>
        <v/>
      </c>
    </row>
    <row r="4" spans="1:29" x14ac:dyDescent="0.25">
      <c r="A4" t="str">
        <f>"Sales Growth (1 Yr)"</f>
        <v>Sales Growth (1 Yr)</v>
      </c>
      <c r="B4" t="str">
        <f>"BRITBPOV Index"</f>
        <v>BRITBPOV Index</v>
      </c>
      <c r="E4" t="str">
        <f>"Average"</f>
        <v>Average</v>
      </c>
      <c r="F4">
        <f ca="1">IF(ISERROR(IF(AVERAGE($F$5:$F$21) = 0, "", AVERAGE($F$5:$F$21))), "", (IF(AVERAGE($F$5:$F$21) = 0, "", AVERAGE($F$5:$F$21))))</f>
        <v>5.5819916998823524</v>
      </c>
      <c r="G4">
        <f ca="1">IF(ISERROR(IF(AVERAGE($G$5:$G$21) = 0, "", AVERAGE($G$5:$G$21))), "", (IF(AVERAGE($G$5:$G$21) = 0, "", AVERAGE($G$5:$G$21))))</f>
        <v>6.7920567900588242</v>
      </c>
      <c r="H4">
        <f ca="1">IF(ISERROR(IF(AVERAGE($H$5:$H$21) = 0, "", AVERAGE($H$5:$H$21))), "", (IF(AVERAGE($H$5:$H$21) = 0, "", AVERAGE($H$5:$H$21))))</f>
        <v>3.4795207235294119</v>
      </c>
      <c r="I4">
        <f ca="1">IF(ISERROR(IF(AVERAGE($I$5:$I$21) = 0, "", AVERAGE($I$5:$I$21))), "", (IF(AVERAGE($I$5:$I$21) = 0, "", AVERAGE($I$5:$I$21))))</f>
        <v>6.9808094650625003</v>
      </c>
      <c r="J4">
        <f ca="1">IF(ISERROR(IF(AVERAGE($J$5:$J$21) = 0, "", AVERAGE($J$5:$J$21))), "", (IF(AVERAGE($J$5:$J$21) = 0, "", AVERAGE($J$5:$J$21))))</f>
        <v>8.5121854081333357</v>
      </c>
      <c r="K4">
        <f ca="1">IF(ISERROR(IF(AVERAGE($K$5:$K$21) = 0, "", AVERAGE($K$5:$K$21))), "", (IF(AVERAGE($K$5:$K$21) = 0, "", AVERAGE($K$5:$K$21))))</f>
        <v>8.4074593604000007</v>
      </c>
      <c r="L4">
        <f ca="1">IF(ISERROR(IF(AVERAGE($L$5:$L$21) = 0, "", AVERAGE($L$5:$L$21))), "", (IF(AVERAGE($L$5:$L$21) = 0, "", AVERAGE($L$5:$L$21))))</f>
        <v>26.6486739899375</v>
      </c>
      <c r="M4">
        <f ca="1">IF(ISERROR(IF(AVERAGE($M$5:$M$21) = 0, "", AVERAGE($M$5:$M$21))), "", (IF(AVERAGE($M$5:$M$21) = 0, "", AVERAGE($M$5:$M$21))))</f>
        <v>15.031408218312501</v>
      </c>
      <c r="N4">
        <f ca="1">IF(ISERROR(IF(AVERAGE($N$5:$N$21) = 0, "", AVERAGE($N$5:$N$21))), "", (IF(AVERAGE($N$5:$N$21) = 0, "", AVERAGE($N$5:$N$21))))</f>
        <v>21.42179899826667</v>
      </c>
      <c r="O4">
        <f ca="1">IF(ISERROR(IF(AVERAGE($O$5:$O$21) = 0, "", AVERAGE($O$5:$O$21))), "", (IF(AVERAGE($O$5:$O$21) = 0, "", AVERAGE($O$5:$O$21))))</f>
        <v>13.9889153846</v>
      </c>
      <c r="P4">
        <f ca="1">IF(ISERROR(IF(AVERAGE($P$5:$P$21) = 0, "", AVERAGE($P$5:$P$21))), "", (IF(AVERAGE($P$5:$P$21) = 0, "", AVERAGE($P$5:$P$21))))</f>
        <v>1.925860069333333</v>
      </c>
      <c r="Q4">
        <f ca="1">IF(ISERROR(IF(AVERAGE($Q$5:$Q$21) = 0, "", AVERAGE($Q$5:$Q$21))), "", (IF(AVERAGE($Q$5:$Q$21) = 0, "", AVERAGE($Q$5:$Q$21))))</f>
        <v>18.453172563333336</v>
      </c>
      <c r="R4">
        <f>5.5819917</f>
        <v>5.5819916999999997</v>
      </c>
      <c r="S4">
        <f>6.79205679</f>
        <v>6.7920567900000002</v>
      </c>
      <c r="T4">
        <f>3.479520724</f>
        <v>3.4795207239999999</v>
      </c>
      <c r="U4">
        <f>6.980809465</f>
        <v>6.9808094650000001</v>
      </c>
      <c r="V4">
        <f>8.512185407</f>
        <v>8.5121854070000005</v>
      </c>
      <c r="W4">
        <f>8.40745936</f>
        <v>8.4074593600000007</v>
      </c>
      <c r="X4">
        <f>26.64867399</f>
        <v>26.648673989999999</v>
      </c>
      <c r="Y4">
        <f>15.03140822</f>
        <v>15.031408219999999</v>
      </c>
      <c r="Z4">
        <f>21.421799</f>
        <v>21.421799</v>
      </c>
      <c r="AA4">
        <f>13.98891538</f>
        <v>13.98891538</v>
      </c>
      <c r="AB4">
        <f>1.925860069</f>
        <v>1.9258600690000001</v>
      </c>
      <c r="AC4">
        <f>18.45317256</f>
        <v>18.453172559999999</v>
      </c>
    </row>
    <row r="5" spans="1:29" x14ac:dyDescent="0.25">
      <c r="A5" t="str">
        <f>"    Accenture PLC"</f>
        <v xml:space="preserve">    Accenture PLC</v>
      </c>
      <c r="B5" t="str">
        <f>"ACN US Equity"</f>
        <v>ACN US Equity</v>
      </c>
      <c r="C5" t="str">
        <f t="shared" ref="C5:C21" si="0">"RR033"</f>
        <v>RR033</v>
      </c>
      <c r="D5" t="str">
        <f t="shared" ref="D5:D21" si="1">"SALES_GROWTH"</f>
        <v>SALES_GROWTH</v>
      </c>
      <c r="E5" t="str">
        <f t="shared" ref="E5:E21" si="2">"Dynamic"</f>
        <v>Dynamic</v>
      </c>
      <c r="F5">
        <f ca="1">IF(AND(ISNUMBER($F$240),$B$238=1),$F$240,HLOOKUP(INDIRECT(ADDRESS(2,COLUMN())),OFFSET($R$2,0,0,ROW()-1,12),ROW()-1,FALSE))</f>
        <v>5.4216677600000001</v>
      </c>
      <c r="G5">
        <f ca="1">IF(AND(ISNUMBER($G$240),$B$238=1),$G$240,HLOOKUP(INDIRECT(ADDRESS(2,COLUMN())),OFFSET($R$2,0,0,ROW()-1,12),ROW()-1,FALSE))</f>
        <v>11.497350859999999</v>
      </c>
      <c r="H5">
        <f ca="1">IF(AND(ISNUMBER($H$240),$B$238=1),$H$240,HLOOKUP(INDIRECT(ADDRESS(2,COLUMN())),OFFSET($R$2,0,0,ROW()-1,12),ROW()-1,FALSE))</f>
        <v>5.6550266410000001</v>
      </c>
      <c r="I5">
        <f ca="1">IF(AND(ISNUMBER($I$240),$B$238=1),$I$240,HLOOKUP(INDIRECT(ADDRESS(2,COLUMN())),OFFSET($R$2,0,0,ROW()-1,12),ROW()-1,FALSE))</f>
        <v>5.7216161520000002</v>
      </c>
      <c r="J5">
        <f ca="1">IF(AND(ISNUMBER($J$240),$B$238=1),$J$240,HLOOKUP(INDIRECT(ADDRESS(2,COLUMN())),OFFSET($R$2,0,0,ROW()-1,12),ROW()-1,FALSE))</f>
        <v>3.261981188</v>
      </c>
      <c r="K5">
        <f ca="1">IF(AND(ISNUMBER($K$240),$B$238=1),$K$240,HLOOKUP(INDIRECT(ADDRESS(2,COLUMN())),OFFSET($R$2,0,0,ROW()-1,12),ROW()-1,FALSE))</f>
        <v>4.8706294620000001</v>
      </c>
      <c r="L5">
        <f ca="1">IF(AND(ISNUMBER($L$240),$B$238=1),$L$240,HLOOKUP(INDIRECT(ADDRESS(2,COLUMN())),OFFSET($R$2,0,0,ROW()-1,12),ROW()-1,FALSE))</f>
        <v>2.069649777</v>
      </c>
      <c r="M5">
        <f ca="1">IF(AND(ISNUMBER($M$240),$B$238=1),$M$240,HLOOKUP(INDIRECT(ADDRESS(2,COLUMN())),OFFSET($R$2,0,0,ROW()-1,12),ROW()-1,FALSE))</f>
        <v>8.8658597760000006</v>
      </c>
      <c r="N5">
        <f ca="1">IF(AND(ISNUMBER($N$240),$B$238=1),$N$240,HLOOKUP(INDIRECT(ADDRESS(2,COLUMN())),OFFSET($R$2,0,0,ROW()-1,12),ROW()-1,FALSE))</f>
        <v>18.441247149999999</v>
      </c>
      <c r="O5">
        <f ca="1">IF(AND(ISNUMBER($O$240),$B$238=1),$O$240,HLOOKUP(INDIRECT(ADDRESS(2,COLUMN())),OFFSET($R$2,0,0,ROW()-1,12),ROW()-1,FALSE))</f>
        <v>-0.331837669</v>
      </c>
      <c r="P5">
        <f ca="1">IF(AND(ISNUMBER($P$240),$B$238=1),$P$240,HLOOKUP(INDIRECT(ADDRESS(2,COLUMN())),OFFSET($R$2,0,0,ROW()-1,12),ROW()-1,FALSE))</f>
        <v>-8.4651684019999998</v>
      </c>
      <c r="Q5">
        <f ca="1">IF(AND(ISNUMBER($Q$240),$B$238=1),$Q$240,HLOOKUP(INDIRECT(ADDRESS(2,COLUMN())),OFFSET($R$2,0,0,ROW()-1,12),ROW()-1,FALSE))</f>
        <v>17.998063370000001</v>
      </c>
      <c r="R5">
        <f>5.42166776</f>
        <v>5.4216677600000001</v>
      </c>
      <c r="S5">
        <f>11.49735086</f>
        <v>11.497350859999999</v>
      </c>
      <c r="T5">
        <f>5.655026641</f>
        <v>5.6550266410000001</v>
      </c>
      <c r="U5">
        <f>5.721616152</f>
        <v>5.7216161520000002</v>
      </c>
      <c r="V5">
        <f>3.261981188</f>
        <v>3.261981188</v>
      </c>
      <c r="W5">
        <f>4.870629462</f>
        <v>4.8706294620000001</v>
      </c>
      <c r="X5">
        <f>2.069649777</f>
        <v>2.069649777</v>
      </c>
      <c r="Y5">
        <f>8.865859776</f>
        <v>8.8658597760000006</v>
      </c>
      <c r="Z5">
        <f>18.44124715</f>
        <v>18.441247149999999</v>
      </c>
      <c r="AA5">
        <f>-0.331837669</f>
        <v>-0.331837669</v>
      </c>
      <c r="AB5">
        <f>-8.465168402</f>
        <v>-8.4651684019999998</v>
      </c>
      <c r="AC5">
        <f>17.99806337</f>
        <v>17.998063370000001</v>
      </c>
    </row>
    <row r="6" spans="1:29" x14ac:dyDescent="0.25">
      <c r="A6" t="str">
        <f>"    Amdocs Ltd"</f>
        <v xml:space="preserve">    Amdocs Ltd</v>
      </c>
      <c r="B6" t="str">
        <f>"DOX US Equity"</f>
        <v>DOX US Equity</v>
      </c>
      <c r="C6" t="str">
        <f t="shared" si="0"/>
        <v>RR033</v>
      </c>
      <c r="D6" t="str">
        <f t="shared" si="1"/>
        <v>SALES_GROWTH</v>
      </c>
      <c r="E6" t="str">
        <f t="shared" si="2"/>
        <v>Dynamic</v>
      </c>
      <c r="F6">
        <f ca="1">IF(AND(ISNUMBER($F$241),$B$238=1),$F$241,HLOOKUP(INDIRECT(ADDRESS(2,COLUMN())),OFFSET($R$2,0,0,ROW()-1,12),ROW()-1,FALSE))</f>
        <v>2.813499019</v>
      </c>
      <c r="G6">
        <f ca="1">IF(AND(ISNUMBER($G$241),$B$238=1),$G$241,HLOOKUP(INDIRECT(ADDRESS(2,COLUMN())),OFFSET($R$2,0,0,ROW()-1,12),ROW()-1,FALSE))</f>
        <v>2.7845276440000002</v>
      </c>
      <c r="H6">
        <f ca="1">IF(AND(ISNUMBER($H$241),$B$238=1),$H$241,HLOOKUP(INDIRECT(ADDRESS(2,COLUMN())),OFFSET($R$2,0,0,ROW()-1,12),ROW()-1,FALSE))</f>
        <v>4.0052939179999996</v>
      </c>
      <c r="I6">
        <f ca="1">IF(AND(ISNUMBER($I$241),$B$238=1),$I$241,HLOOKUP(INDIRECT(ADDRESS(2,COLUMN())),OFFSET($R$2,0,0,ROW()-1,12),ROW()-1,FALSE))</f>
        <v>2.049958035</v>
      </c>
      <c r="J6">
        <f ca="1">IF(AND(ISNUMBER($J$241),$B$238=1),$J$241,HLOOKUP(INDIRECT(ADDRESS(2,COLUMN())),OFFSET($R$2,0,0,ROW()-1,12),ROW()-1,FALSE))</f>
        <v>2.2421194980000001</v>
      </c>
      <c r="K6">
        <f ca="1">IF(AND(ISNUMBER($K$241),$B$238=1),$K$241,HLOOKUP(INDIRECT(ADDRESS(2,COLUMN())),OFFSET($R$2,0,0,ROW()-1,12),ROW()-1,FALSE))</f>
        <v>6.5090407409999997</v>
      </c>
      <c r="L6">
        <f ca="1">IF(AND(ISNUMBER($L$241),$B$238=1),$L$241,HLOOKUP(INDIRECT(ADDRESS(2,COLUMN())),OFFSET($R$2,0,0,ROW()-1,12),ROW()-1,FALSE))</f>
        <v>3.0475502350000001</v>
      </c>
      <c r="M6">
        <f ca="1">IF(AND(ISNUMBER($M$241),$B$238=1),$M$241,HLOOKUP(INDIRECT(ADDRESS(2,COLUMN())),OFFSET($R$2,0,0,ROW()-1,12),ROW()-1,FALSE))</f>
        <v>2.1768697640000001</v>
      </c>
      <c r="N6">
        <f ca="1">IF(AND(ISNUMBER($N$241),$B$238=1),$N$241,HLOOKUP(INDIRECT(ADDRESS(2,COLUMN())),OFFSET($R$2,0,0,ROW()-1,12),ROW()-1,FALSE))</f>
        <v>6.484267429</v>
      </c>
      <c r="O6">
        <f ca="1">IF(AND(ISNUMBER($O$241),$B$238=1),$O$241,HLOOKUP(INDIRECT(ADDRESS(2,COLUMN())),OFFSET($R$2,0,0,ROW()-1,12),ROW()-1,FALSE))</f>
        <v>4.2484350800000001</v>
      </c>
      <c r="P6">
        <f ca="1">IF(AND(ISNUMBER($P$241),$B$238=1),$P$241,HLOOKUP(INDIRECT(ADDRESS(2,COLUMN())),OFFSET($R$2,0,0,ROW()-1,12),ROW()-1,FALSE))</f>
        <v>-9.4712178250000001</v>
      </c>
      <c r="Q6">
        <f ca="1">IF(AND(ISNUMBER($Q$241),$B$238=1),$Q$241,HLOOKUP(INDIRECT(ADDRESS(2,COLUMN())),OFFSET($R$2,0,0,ROW()-1,12),ROW()-1,FALSE))</f>
        <v>11.491647370000001</v>
      </c>
      <c r="R6">
        <f>2.813499019</f>
        <v>2.813499019</v>
      </c>
      <c r="S6">
        <f>2.784527644</f>
        <v>2.7845276440000002</v>
      </c>
      <c r="T6">
        <f>4.005293918</f>
        <v>4.0052939179999996</v>
      </c>
      <c r="U6">
        <f>2.049958035</f>
        <v>2.049958035</v>
      </c>
      <c r="V6">
        <f>2.242119498</f>
        <v>2.2421194980000001</v>
      </c>
      <c r="W6">
        <f>6.509040741</f>
        <v>6.5090407409999997</v>
      </c>
      <c r="X6">
        <f>3.047550235</f>
        <v>3.0475502350000001</v>
      </c>
      <c r="Y6">
        <f>2.176869764</f>
        <v>2.1768697640000001</v>
      </c>
      <c r="Z6">
        <f>6.484267429</f>
        <v>6.484267429</v>
      </c>
      <c r="AA6">
        <f>4.24843508</f>
        <v>4.2484350800000001</v>
      </c>
      <c r="AB6">
        <f>-9.471217825</f>
        <v>-9.4712178250000001</v>
      </c>
      <c r="AC6">
        <f>11.49164737</f>
        <v>11.491647370000001</v>
      </c>
    </row>
    <row r="7" spans="1:29" x14ac:dyDescent="0.25">
      <c r="A7" t="str">
        <f>"    Atos SE"</f>
        <v xml:space="preserve">    Atos SE</v>
      </c>
      <c r="B7" t="str">
        <f>"ATO FP Equity"</f>
        <v>ATO FP Equity</v>
      </c>
      <c r="C7" t="str">
        <f t="shared" si="0"/>
        <v>RR033</v>
      </c>
      <c r="D7" t="str">
        <f t="shared" si="1"/>
        <v>SALES_GROWTH</v>
      </c>
      <c r="E7" t="str">
        <f t="shared" si="2"/>
        <v>Dynamic</v>
      </c>
      <c r="F7">
        <f ca="1">IF(AND(ISNUMBER($F$242),$B$238=1),$F$242,HLOOKUP(INDIRECT(ADDRESS(2,COLUMN())),OFFSET($R$2,0,0,ROW()-1,12),ROW()-1,FALSE))</f>
        <v>8.827948911</v>
      </c>
      <c r="G7">
        <f ca="1">IF(AND(ISNUMBER($G$242),$B$238=1),$G$242,HLOOKUP(INDIRECT(ADDRESS(2,COLUMN())),OFFSET($R$2,0,0,ROW()-1,12),ROW()-1,FALSE))</f>
        <v>-11.23707903</v>
      </c>
      <c r="H7">
        <f ca="1">IF(AND(ISNUMBER($H$242),$B$238=1),$H$242,HLOOKUP(INDIRECT(ADDRESS(2,COLUMN())),OFFSET($R$2,0,0,ROW()-1,12),ROW()-1,FALSE))</f>
        <v>-1.167436994</v>
      </c>
      <c r="I7">
        <f ca="1">IF(AND(ISNUMBER($I$242),$B$238=1),$I$242,HLOOKUP(INDIRECT(ADDRESS(2,COLUMN())),OFFSET($R$2,0,0,ROW()-1,12),ROW()-1,FALSE))</f>
        <v>13.59037949</v>
      </c>
      <c r="J7">
        <f ca="1">IF(AND(ISNUMBER($J$242),$B$238=1),$J$242,HLOOKUP(INDIRECT(ADDRESS(2,COLUMN())),OFFSET($R$2,0,0,ROW()-1,12),ROW()-1,FALSE))</f>
        <v>18.056169350000001</v>
      </c>
      <c r="K7">
        <f ca="1">IF(AND(ISNUMBER($K$242),$B$238=1),$K$242,HLOOKUP(INDIRECT(ADDRESS(2,COLUMN())),OFFSET($R$2,0,0,ROW()-1,12),ROW()-1,FALSE))</f>
        <v>5.0681401340000001</v>
      </c>
      <c r="L7">
        <f ca="1">IF(AND(ISNUMBER($L$242),$B$238=1),$L$242,HLOOKUP(INDIRECT(ADDRESS(2,COLUMN())),OFFSET($R$2,0,0,ROW()-1,12),ROW()-1,FALSE))</f>
        <v>-2.5971529690000001</v>
      </c>
      <c r="M7">
        <f ca="1">IF(AND(ISNUMBER($M$242),$B$238=1),$M$242,HLOOKUP(INDIRECT(ADDRESS(2,COLUMN())),OFFSET($R$2,0,0,ROW()-1,12),ROW()-1,FALSE))</f>
        <v>29.82458716</v>
      </c>
      <c r="N7">
        <f ca="1">IF(AND(ISNUMBER($N$242),$B$238=1),$N$242,HLOOKUP(INDIRECT(ADDRESS(2,COLUMN())),OFFSET($R$2,0,0,ROW()-1,12),ROW()-1,FALSE))</f>
        <v>35.690953270000001</v>
      </c>
      <c r="O7">
        <f ca="1">IF(AND(ISNUMBER($O$242),$B$238=1),$O$242,HLOOKUP(INDIRECT(ADDRESS(2,COLUMN())),OFFSET($R$2,0,0,ROW()-1,12),ROW()-1,FALSE))</f>
        <v>-2.0752876929999999</v>
      </c>
      <c r="P7">
        <f ca="1">IF(AND(ISNUMBER($P$242),$B$238=1),$P$242,HLOOKUP(INDIRECT(ADDRESS(2,COLUMN())),OFFSET($R$2,0,0,ROW()-1,12),ROW()-1,FALSE))</f>
        <v>-8.8290210719999997</v>
      </c>
      <c r="Q7">
        <f ca="1">IF(AND(ISNUMBER($Q$242),$B$238=1),$Q$242,HLOOKUP(INDIRECT(ADDRESS(2,COLUMN())),OFFSET($R$2,0,0,ROW()-1,12),ROW()-1,FALSE))</f>
        <v>-3.9604467670000001</v>
      </c>
      <c r="R7">
        <f>8.827948911</f>
        <v>8.827948911</v>
      </c>
      <c r="S7">
        <f>-11.23707903</f>
        <v>-11.23707903</v>
      </c>
      <c r="T7">
        <f>-1.167436994</f>
        <v>-1.167436994</v>
      </c>
      <c r="U7">
        <f>13.59037949</f>
        <v>13.59037949</v>
      </c>
      <c r="V7">
        <f>18.05616935</f>
        <v>18.056169350000001</v>
      </c>
      <c r="W7">
        <f>5.068140134</f>
        <v>5.0681401340000001</v>
      </c>
      <c r="X7">
        <f>-2.597152969</f>
        <v>-2.5971529690000001</v>
      </c>
      <c r="Y7">
        <f>29.82458716</f>
        <v>29.82458716</v>
      </c>
      <c r="Z7">
        <f>35.69095327</f>
        <v>35.690953270000001</v>
      </c>
      <c r="AA7">
        <f>-2.075287693</f>
        <v>-2.0752876929999999</v>
      </c>
      <c r="AB7">
        <f>-8.829021072</f>
        <v>-8.8290210719999997</v>
      </c>
      <c r="AC7">
        <f>-3.960446767</f>
        <v>-3.9604467670000001</v>
      </c>
    </row>
    <row r="8" spans="1:29" x14ac:dyDescent="0.25">
      <c r="A8" t="str">
        <f>"    Capgemini SE"</f>
        <v xml:space="preserve">    Capgemini SE</v>
      </c>
      <c r="B8" t="str">
        <f>"CAP FP Equity"</f>
        <v>CAP FP Equity</v>
      </c>
      <c r="C8" t="str">
        <f t="shared" si="0"/>
        <v>RR033</v>
      </c>
      <c r="D8" t="str">
        <f t="shared" si="1"/>
        <v>SALES_GROWTH</v>
      </c>
      <c r="E8" t="str">
        <f t="shared" si="2"/>
        <v>Dynamic</v>
      </c>
      <c r="F8">
        <f ca="1">IF(AND(ISNUMBER($F$243),$B$238=1),$F$243,HLOOKUP(INDIRECT(ADDRESS(2,COLUMN())),OFFSET($R$2,0,0,ROW()-1,12),ROW()-1,FALSE))</f>
        <v>7.0319011900000001</v>
      </c>
      <c r="G8">
        <f ca="1">IF(AND(ISNUMBER($G$243),$B$238=1),$G$243,HLOOKUP(INDIRECT(ADDRESS(2,COLUMN())),OFFSET($R$2,0,0,ROW()-1,12),ROW()-1,FALSE))</f>
        <v>5.3652694609999996</v>
      </c>
      <c r="H8">
        <f ca="1">IF(AND(ISNUMBER($H$243),$B$238=1),$H$243,HLOOKUP(INDIRECT(ADDRESS(2,COLUMN())),OFFSET($R$2,0,0,ROW()-1,12),ROW()-1,FALSE))</f>
        <v>-0.11165164700000001</v>
      </c>
      <c r="I8">
        <f ca="1">IF(AND(ISNUMBER($I$243),$B$238=1),$I$243,HLOOKUP(INDIRECT(ADDRESS(2,COLUMN())),OFFSET($R$2,0,0,ROW()-1,12),ROW()-1,FALSE))</f>
        <v>5.2370960970000002</v>
      </c>
      <c r="J8">
        <f ca="1">IF(AND(ISNUMBER($J$243),$B$238=1),$J$243,HLOOKUP(INDIRECT(ADDRESS(2,COLUMN())),OFFSET($R$2,0,0,ROW()-1,12),ROW()-1,FALSE))</f>
        <v>12.692707840000001</v>
      </c>
      <c r="K8">
        <f ca="1">IF(AND(ISNUMBER($K$243),$B$238=1),$K$243,HLOOKUP(INDIRECT(ADDRESS(2,COLUMN())),OFFSET($R$2,0,0,ROW()-1,12),ROW()-1,FALSE))</f>
        <v>4.7661514069999997</v>
      </c>
      <c r="L8">
        <f ca="1">IF(AND(ISNUMBER($L$243),$B$238=1),$L$243,HLOOKUP(INDIRECT(ADDRESS(2,COLUMN())),OFFSET($R$2,0,0,ROW()-1,12),ROW()-1,FALSE))</f>
        <v>-1.6757599379999999</v>
      </c>
      <c r="M8">
        <f ca="1">IF(AND(ISNUMBER($M$243),$B$238=1),$M$243,HLOOKUP(INDIRECT(ADDRESS(2,COLUMN())),OFFSET($R$2,0,0,ROW()-1,12),ROW()-1,FALSE))</f>
        <v>5.8908490660000004</v>
      </c>
      <c r="N8">
        <f ca="1">IF(AND(ISNUMBER($N$243),$B$238=1),$N$243,HLOOKUP(INDIRECT(ADDRESS(2,COLUMN())),OFFSET($R$2,0,0,ROW()-1,12),ROW()-1,FALSE))</f>
        <v>11.45222491</v>
      </c>
      <c r="O8">
        <f ca="1">IF(AND(ISNUMBER($O$243),$B$238=1),$O$243,HLOOKUP(INDIRECT(ADDRESS(2,COLUMN())),OFFSET($R$2,0,0,ROW()-1,12),ROW()-1,FALSE))</f>
        <v>3.8943973239999998</v>
      </c>
      <c r="P8">
        <f ca="1">IF(AND(ISNUMBER($P$243),$B$238=1),$P$243,HLOOKUP(INDIRECT(ADDRESS(2,COLUMN())),OFFSET($R$2,0,0,ROW()-1,12),ROW()-1,FALSE))</f>
        <v>-3.8920780709999998</v>
      </c>
      <c r="Q8">
        <f ca="1">IF(AND(ISNUMBER($Q$243),$B$238=1),$Q$243,HLOOKUP(INDIRECT(ADDRESS(2,COLUMN())),OFFSET($R$2,0,0,ROW()-1,12),ROW()-1,FALSE))</f>
        <v>8.0432034999999999E-2</v>
      </c>
      <c r="R8">
        <f>7.03190119</f>
        <v>7.0319011900000001</v>
      </c>
      <c r="S8">
        <f>5.365269461</f>
        <v>5.3652694609999996</v>
      </c>
      <c r="T8">
        <f>-0.111651647</f>
        <v>-0.11165164700000001</v>
      </c>
      <c r="U8">
        <f>5.237096097</f>
        <v>5.2370960970000002</v>
      </c>
      <c r="V8">
        <f>12.69270784</f>
        <v>12.692707840000001</v>
      </c>
      <c r="W8">
        <f>4.766151407</f>
        <v>4.7661514069999997</v>
      </c>
      <c r="X8">
        <f>-1.675759938</f>
        <v>-1.6757599379999999</v>
      </c>
      <c r="Y8">
        <f>5.890849066</f>
        <v>5.8908490660000004</v>
      </c>
      <c r="Z8">
        <f>11.45222491</f>
        <v>11.45222491</v>
      </c>
      <c r="AA8">
        <f>3.894397324</f>
        <v>3.8943973239999998</v>
      </c>
      <c r="AB8">
        <f>-3.892078071</f>
        <v>-3.8920780709999998</v>
      </c>
      <c r="AC8">
        <f>0.080432035</f>
        <v>8.0432034999999999E-2</v>
      </c>
    </row>
    <row r="9" spans="1:29" x14ac:dyDescent="0.25">
      <c r="A9" t="str">
        <f>"    CGI Inc"</f>
        <v xml:space="preserve">    CGI Inc</v>
      </c>
      <c r="B9" t="str">
        <f>"GIB US Equity"</f>
        <v>GIB US Equity</v>
      </c>
      <c r="C9" t="str">
        <f t="shared" si="0"/>
        <v>RR033</v>
      </c>
      <c r="D9" t="str">
        <f t="shared" si="1"/>
        <v>SALES_GROWTH</v>
      </c>
      <c r="E9" t="str">
        <f t="shared" si="2"/>
        <v>Dynamic</v>
      </c>
      <c r="F9">
        <f ca="1">IF(AND(ISNUMBER($F$244),$B$238=1),$F$244,HLOOKUP(INDIRECT(ADDRESS(2,COLUMN())),OFFSET($R$2,0,0,ROW()-1,12),ROW()-1,FALSE))</f>
        <v>5.2526305039999999</v>
      </c>
      <c r="G9">
        <f ca="1">IF(AND(ISNUMBER($G$244),$B$238=1),$G$244,HLOOKUP(INDIRECT(ADDRESS(2,COLUMN())),OFFSET($R$2,0,0,ROW()-1,12),ROW()-1,FALSE))</f>
        <v>6.1019361249999999</v>
      </c>
      <c r="H9">
        <f ca="1">IF(AND(ISNUMBER($H$244),$B$238=1),$H$244,HLOOKUP(INDIRECT(ADDRESS(2,COLUMN())),OFFSET($R$2,0,0,ROW()-1,12),ROW()-1,FALSE))</f>
        <v>1.5145371299999999</v>
      </c>
      <c r="I9">
        <f ca="1">IF(AND(ISNUMBER($I$244),$B$238=1),$I$244,HLOOKUP(INDIRECT(ADDRESS(2,COLUMN())),OFFSET($R$2,0,0,ROW()-1,12),ROW()-1,FALSE))</f>
        <v>3.8511160000000002</v>
      </c>
      <c r="J9">
        <f ca="1">IF(AND(ISNUMBER($J$244),$B$238=1),$J$244,HLOOKUP(INDIRECT(ADDRESS(2,COLUMN())),OFFSET($R$2,0,0,ROW()-1,12),ROW()-1,FALSE))</f>
        <v>-2.0247832030000001</v>
      </c>
      <c r="K9">
        <f ca="1">IF(AND(ISNUMBER($K$244),$B$238=1),$K$244,HLOOKUP(INDIRECT(ADDRESS(2,COLUMN())),OFFSET($R$2,0,0,ROW()-1,12),ROW()-1,FALSE))</f>
        <v>4.1158500309999999</v>
      </c>
      <c r="L9">
        <f ca="1">IF(AND(ISNUMBER($L$244),$B$238=1),$L$244,HLOOKUP(INDIRECT(ADDRESS(2,COLUMN())),OFFSET($R$2,0,0,ROW()-1,12),ROW()-1,FALSE))</f>
        <v>111.3089828</v>
      </c>
      <c r="M9">
        <f ca="1">IF(AND(ISNUMBER($M$244),$B$238=1),$M$244,HLOOKUP(INDIRECT(ADDRESS(2,COLUMN())),OFFSET($R$2,0,0,ROW()-1,12),ROW()-1,FALSE))</f>
        <v>12.985784369999999</v>
      </c>
      <c r="N9">
        <f ca="1">IF(AND(ISNUMBER($N$244),$B$238=1),$N$244,HLOOKUP(INDIRECT(ADDRESS(2,COLUMN())),OFFSET($R$2,0,0,ROW()-1,12),ROW()-1,FALSE))</f>
        <v>13.17817743</v>
      </c>
      <c r="O9">
        <f ca="1">IF(AND(ISNUMBER($O$244),$B$238=1),$O$244,HLOOKUP(INDIRECT(ADDRESS(2,COLUMN())),OFFSET($R$2,0,0,ROW()-1,12),ROW()-1,FALSE))</f>
        <v>-2.4324204919999999</v>
      </c>
      <c r="P9">
        <f ca="1">IF(AND(ISNUMBER($P$244),$B$238=1),$P$244,HLOOKUP(INDIRECT(ADDRESS(2,COLUMN())),OFFSET($R$2,0,0,ROW()-1,12),ROW()-1,FALSE))</f>
        <v>3.2191691919999998</v>
      </c>
      <c r="Q9">
        <f ca="1">IF(AND(ISNUMBER($Q$244),$B$238=1),$Q$244,HLOOKUP(INDIRECT(ADDRESS(2,COLUMN())),OFFSET($R$2,0,0,ROW()-1,12),ROW()-1,FALSE))</f>
        <v>1.979061323</v>
      </c>
      <c r="R9">
        <f>5.252630504</f>
        <v>5.2526305039999999</v>
      </c>
      <c r="S9">
        <f>6.101936125</f>
        <v>6.1019361249999999</v>
      </c>
      <c r="T9">
        <f>1.51453713</f>
        <v>1.5145371299999999</v>
      </c>
      <c r="U9">
        <f>3.851116</f>
        <v>3.8511160000000002</v>
      </c>
      <c r="V9">
        <f>-2.024783203</f>
        <v>-2.0247832030000001</v>
      </c>
      <c r="W9">
        <f>4.115850031</f>
        <v>4.1158500309999999</v>
      </c>
      <c r="X9">
        <f>111.3089828</f>
        <v>111.3089828</v>
      </c>
      <c r="Y9">
        <f>12.98578437</f>
        <v>12.985784369999999</v>
      </c>
      <c r="Z9">
        <f>13.17817743</f>
        <v>13.17817743</v>
      </c>
      <c r="AA9">
        <f>-2.432420492</f>
        <v>-2.4324204919999999</v>
      </c>
      <c r="AB9">
        <f>3.219169192</f>
        <v>3.2191691919999998</v>
      </c>
      <c r="AC9">
        <f>1.979061323</f>
        <v>1.979061323</v>
      </c>
    </row>
    <row r="10" spans="1:29" x14ac:dyDescent="0.25">
      <c r="A10" t="str">
        <f>"    Cognizant Technology Solutions Corp"</f>
        <v xml:space="preserve">    Cognizant Technology Solutions Corp</v>
      </c>
      <c r="B10" t="str">
        <f>"CTSH US Equity"</f>
        <v>CTSH US Equity</v>
      </c>
      <c r="C10" t="str">
        <f t="shared" si="0"/>
        <v>RR033</v>
      </c>
      <c r="D10" t="str">
        <f t="shared" si="1"/>
        <v>SALES_GROWTH</v>
      </c>
      <c r="E10" t="str">
        <f t="shared" si="2"/>
        <v>Dynamic</v>
      </c>
      <c r="F10">
        <f ca="1">IF(AND(ISNUMBER($F$245),$B$238=1),$F$245,HLOOKUP(INDIRECT(ADDRESS(2,COLUMN())),OFFSET($R$2,0,0,ROW()-1,12),ROW()-1,FALSE))</f>
        <v>4.0806201550000001</v>
      </c>
      <c r="G10">
        <f ca="1">IF(AND(ISNUMBER($G$245),$B$238=1),$G$245,HLOOKUP(INDIRECT(ADDRESS(2,COLUMN())),OFFSET($R$2,0,0,ROW()-1,12),ROW()-1,FALSE))</f>
        <v>8.8791357190000006</v>
      </c>
      <c r="H10">
        <f ca="1">IF(AND(ISNUMBER($H$245),$B$238=1),$H$245,HLOOKUP(INDIRECT(ADDRESS(2,COLUMN())),OFFSET($R$2,0,0,ROW()-1,12),ROW()-1,FALSE))</f>
        <v>9.8094461329999998</v>
      </c>
      <c r="I10">
        <f ca="1">IF(AND(ISNUMBER($I$245),$B$238=1),$I$245,HLOOKUP(INDIRECT(ADDRESS(2,COLUMN())),OFFSET($R$2,0,0,ROW()-1,12),ROW()-1,FALSE))</f>
        <v>8.6259664950000001</v>
      </c>
      <c r="J10">
        <f ca="1">IF(AND(ISNUMBER($J$245),$B$238=1),$J$245,HLOOKUP(INDIRECT(ADDRESS(2,COLUMN())),OFFSET($R$2,0,0,ROW()-1,12),ROW()-1,FALSE))</f>
        <v>20.981807910000001</v>
      </c>
      <c r="K10">
        <f ca="1">IF(AND(ISNUMBER($K$245),$B$238=1),$K$245,HLOOKUP(INDIRECT(ADDRESS(2,COLUMN())),OFFSET($R$2,0,0,ROW()-1,12),ROW()-1,FALSE))</f>
        <v>16.05202603</v>
      </c>
      <c r="L10">
        <f ca="1">IF(AND(ISNUMBER($L$245),$B$238=1),$L$245,HLOOKUP(INDIRECT(ADDRESS(2,COLUMN())),OFFSET($R$2,0,0,ROW()-1,12),ROW()-1,FALSE))</f>
        <v>20.373275769999999</v>
      </c>
      <c r="M10">
        <f ca="1">IF(AND(ISNUMBER($M$245),$B$238=1),$M$245,HLOOKUP(INDIRECT(ADDRESS(2,COLUMN())),OFFSET($R$2,0,0,ROW()-1,12),ROW()-1,FALSE))</f>
        <v>20.01772214</v>
      </c>
      <c r="N10">
        <f ca="1">IF(AND(ISNUMBER($N$245),$B$238=1),$N$245,HLOOKUP(INDIRECT(ADDRESS(2,COLUMN())),OFFSET($R$2,0,0,ROW()-1,12),ROW()-1,FALSE))</f>
        <v>33.289144280000002</v>
      </c>
      <c r="O10">
        <f ca="1">IF(AND(ISNUMBER($O$245),$B$238=1),$O$245,HLOOKUP(INDIRECT(ADDRESS(2,COLUMN())),OFFSET($R$2,0,0,ROW()-1,12),ROW()-1,FALSE))</f>
        <v>40.068954939999998</v>
      </c>
      <c r="P10">
        <f ca="1">IF(AND(ISNUMBER($P$245),$B$238=1),$P$245,HLOOKUP(INDIRECT(ADDRESS(2,COLUMN())),OFFSET($R$2,0,0,ROW()-1,12),ROW()-1,FALSE))</f>
        <v>16.41722627</v>
      </c>
      <c r="Q10">
        <f ca="1">IF(AND(ISNUMBER($Q$245),$B$238=1),$Q$245,HLOOKUP(INDIRECT(ADDRESS(2,COLUMN())),OFFSET($R$2,0,0,ROW()-1,12),ROW()-1,FALSE))</f>
        <v>31.875554009999998</v>
      </c>
      <c r="R10">
        <f>4.080620155</f>
        <v>4.0806201550000001</v>
      </c>
      <c r="S10">
        <f>8.879135719</f>
        <v>8.8791357190000006</v>
      </c>
      <c r="T10">
        <f>9.809446133</f>
        <v>9.8094461329999998</v>
      </c>
      <c r="U10">
        <f>8.625966495</f>
        <v>8.6259664950000001</v>
      </c>
      <c r="V10">
        <f>20.98180791</f>
        <v>20.981807910000001</v>
      </c>
      <c r="W10">
        <f>16.05202603</f>
        <v>16.05202603</v>
      </c>
      <c r="X10">
        <f>20.37327577</f>
        <v>20.373275769999999</v>
      </c>
      <c r="Y10">
        <f>20.01772214</f>
        <v>20.01772214</v>
      </c>
      <c r="Z10">
        <f>33.28914428</f>
        <v>33.289144280000002</v>
      </c>
      <c r="AA10">
        <f>40.06895494</f>
        <v>40.068954939999998</v>
      </c>
      <c r="AB10">
        <f>16.41722627</f>
        <v>16.41722627</v>
      </c>
      <c r="AC10">
        <f>31.87555401</f>
        <v>31.875554009999998</v>
      </c>
    </row>
    <row r="11" spans="1:29" x14ac:dyDescent="0.25">
      <c r="A11" t="str">
        <f>"    Conduent Inc"</f>
        <v xml:space="preserve">    Conduent Inc</v>
      </c>
      <c r="B11" t="str">
        <f>"CNDT US Equity"</f>
        <v>CNDT US Equity</v>
      </c>
      <c r="C11" t="str">
        <f t="shared" si="0"/>
        <v>RR033</v>
      </c>
      <c r="D11" t="str">
        <f t="shared" si="1"/>
        <v>SALES_GROWTH</v>
      </c>
      <c r="E11" t="str">
        <f t="shared" si="2"/>
        <v>Dynamic</v>
      </c>
      <c r="F11">
        <f ca="1">IF(AND(ISNUMBER($F$246),$B$238=1),$F$246,HLOOKUP(INDIRECT(ADDRESS(2,COLUMN())),OFFSET($R$2,0,0,ROW()-1,12),ROW()-1,FALSE))</f>
        <v>-17.170406079999999</v>
      </c>
      <c r="G11">
        <f ca="1">IF(AND(ISNUMBER($G$246),$B$238=1),$G$246,HLOOKUP(INDIRECT(ADDRESS(2,COLUMN())),OFFSET($R$2,0,0,ROW()-1,12),ROW()-1,FALSE))</f>
        <v>-10.445034870000001</v>
      </c>
      <c r="H11">
        <f ca="1">IF(AND(ISNUMBER($H$246),$B$238=1),$H$246,HLOOKUP(INDIRECT(ADDRESS(2,COLUMN())),OFFSET($R$2,0,0,ROW()-1,12),ROW()-1,FALSE))</f>
        <v>-6.0237203499999996</v>
      </c>
      <c r="I11">
        <f ca="1">IF(AND(ISNUMBER($I$246),$B$238=1),$I$246,HLOOKUP(INDIRECT(ADDRESS(2,COLUMN())),OFFSET($R$2,0,0,ROW()-1,12),ROW()-1,FALSE))</f>
        <v>-3.8126688679999998</v>
      </c>
      <c r="J11">
        <f ca="1">IF(AND(ISNUMBER($J$246),$B$238=1),$J$246,HLOOKUP(INDIRECT(ADDRESS(2,COLUMN())),OFFSET($R$2,0,0,ROW()-1,12),ROW()-1,FALSE))</f>
        <v>-3.9780916689999999</v>
      </c>
      <c r="K11">
        <f ca="1">IF(AND(ISNUMBER($K$246),$B$238=1),$K$246,HLOOKUP(INDIRECT(ADDRESS(2,COLUMN())),OFFSET($R$2,0,0,ROW()-1,12),ROW()-1,FALSE))</f>
        <v>0.85768280299999999</v>
      </c>
      <c r="L11">
        <f ca="1">IF(AND(ISNUMBER($L$246),$B$238=1),$L$246,HLOOKUP(INDIRECT(ADDRESS(2,COLUMN())),OFFSET($R$2,0,0,ROW()-1,12),ROW()-1,FALSE))</f>
        <v>8.7298123000000005E-2</v>
      </c>
      <c r="M11">
        <f ca="1">IF(AND(ISNUMBER($M$246),$B$238=1),$M$246,HLOOKUP(INDIRECT(ADDRESS(2,COLUMN())),OFFSET($R$2,0,0,ROW()-1,12),ROW()-1,FALSE))</f>
        <v>9.5473382210000004</v>
      </c>
      <c r="N11" t="str">
        <f ca="1">IF(AND(ISNUMBER($N$246),$B$238=1),$N$246,HLOOKUP(INDIRECT(ADDRESS(2,COLUMN())),OFFSET($R$2,0,0,ROW()-1,12),ROW()-1,FALSE))</f>
        <v/>
      </c>
      <c r="O11" t="str">
        <f ca="1">IF(AND(ISNUMBER($O$246),$B$238=1),$O$246,HLOOKUP(INDIRECT(ADDRESS(2,COLUMN())),OFFSET($R$2,0,0,ROW()-1,12),ROW()-1,FALSE))</f>
        <v/>
      </c>
      <c r="P11" t="str">
        <f ca="1">IF(AND(ISNUMBER($P$246),$B$238=1),$P$246,HLOOKUP(INDIRECT(ADDRESS(2,COLUMN())),OFFSET($R$2,0,0,ROW()-1,12),ROW()-1,FALSE))</f>
        <v/>
      </c>
      <c r="Q11" t="str">
        <f ca="1">IF(AND(ISNUMBER($Q$246),$B$238=1),$Q$246,HLOOKUP(INDIRECT(ADDRESS(2,COLUMN())),OFFSET($R$2,0,0,ROW()-1,12),ROW()-1,FALSE))</f>
        <v/>
      </c>
      <c r="R11">
        <f>-17.17040608</f>
        <v>-17.170406079999999</v>
      </c>
      <c r="S11">
        <f>-10.44503487</f>
        <v>-10.445034870000001</v>
      </c>
      <c r="T11">
        <f>-6.02372035</f>
        <v>-6.0237203499999996</v>
      </c>
      <c r="U11">
        <f>-3.812668868</f>
        <v>-3.8126688679999998</v>
      </c>
      <c r="V11">
        <f>-3.978091669</f>
        <v>-3.9780916689999999</v>
      </c>
      <c r="W11">
        <f>0.857682803</f>
        <v>0.85768280299999999</v>
      </c>
      <c r="X11">
        <f>0.087298123</f>
        <v>8.7298123000000005E-2</v>
      </c>
      <c r="Y11">
        <f>9.547338221</f>
        <v>9.5473382210000004</v>
      </c>
      <c r="Z11" t="str">
        <f>""</f>
        <v/>
      </c>
      <c r="AA11" t="str">
        <f>""</f>
        <v/>
      </c>
      <c r="AB11" t="str">
        <f>""</f>
        <v/>
      </c>
      <c r="AC11" t="str">
        <f>""</f>
        <v/>
      </c>
    </row>
    <row r="12" spans="1:29" x14ac:dyDescent="0.25">
      <c r="A12" t="str">
        <f>"    DXC Technology Co"</f>
        <v xml:space="preserve">    DXC Technology Co</v>
      </c>
      <c r="B12" t="str">
        <f>"DXC US Equity"</f>
        <v>DXC US Equity</v>
      </c>
      <c r="C12" t="str">
        <f t="shared" si="0"/>
        <v>RR033</v>
      </c>
      <c r="D12" t="str">
        <f t="shared" si="1"/>
        <v>SALES_GROWTH</v>
      </c>
      <c r="E12" t="str">
        <f t="shared" si="2"/>
        <v>Dynamic</v>
      </c>
      <c r="F12">
        <f ca="1">IF(AND(ISNUMBER($F$247),$B$238=1),$F$247,HLOOKUP(INDIRECT(ADDRESS(2,COLUMN())),OFFSET($R$2,0,0,ROW()-1,12),ROW()-1,FALSE))</f>
        <v>-5.6666506050000001</v>
      </c>
      <c r="G12">
        <f ca="1">IF(AND(ISNUMBER($G$247),$B$238=1),$G$247,HLOOKUP(INDIRECT(ADDRESS(2,COLUMN())),OFFSET($R$2,0,0,ROW()-1,12),ROW()-1,FALSE))</f>
        <v>-4.5092716150000003</v>
      </c>
      <c r="H12">
        <f ca="1">IF(AND(ISNUMBER($H$247),$B$238=1),$H$247,HLOOKUP(INDIRECT(ADDRESS(2,COLUMN())),OFFSET($R$2,0,0,ROW()-1,12),ROW()-1,FALSE))</f>
        <v>-14.41679137</v>
      </c>
      <c r="I12" t="str">
        <f ca="1">IF(AND(ISNUMBER($I$247),$B$238=1),$I$247,HLOOKUP(INDIRECT(ADDRESS(2,COLUMN())),OFFSET($R$2,0,0,ROW()-1,12),ROW()-1,FALSE))</f>
        <v/>
      </c>
      <c r="J12" t="str">
        <f ca="1">IF(AND(ISNUMBER($J$247),$B$238=1),$J$247,HLOOKUP(INDIRECT(ADDRESS(2,COLUMN())),OFFSET($R$2,0,0,ROW()-1,12),ROW()-1,FALSE))</f>
        <v/>
      </c>
      <c r="K12" t="str">
        <f ca="1">IF(AND(ISNUMBER($K$247),$B$238=1),$K$247,HLOOKUP(INDIRECT(ADDRESS(2,COLUMN())),OFFSET($R$2,0,0,ROW()-1,12),ROW()-1,FALSE))</f>
        <v/>
      </c>
      <c r="L12" t="str">
        <f ca="1">IF(AND(ISNUMBER($L$247),$B$238=1),$L$247,HLOOKUP(INDIRECT(ADDRESS(2,COLUMN())),OFFSET($R$2,0,0,ROW()-1,12),ROW()-1,FALSE))</f>
        <v/>
      </c>
      <c r="M12" t="str">
        <f ca="1">IF(AND(ISNUMBER($M$247),$B$238=1),$M$247,HLOOKUP(INDIRECT(ADDRESS(2,COLUMN())),OFFSET($R$2,0,0,ROW()-1,12),ROW()-1,FALSE))</f>
        <v/>
      </c>
      <c r="N12" t="str">
        <f ca="1">IF(AND(ISNUMBER($N$247),$B$238=1),$N$247,HLOOKUP(INDIRECT(ADDRESS(2,COLUMN())),OFFSET($R$2,0,0,ROW()-1,12),ROW()-1,FALSE))</f>
        <v/>
      </c>
      <c r="O12" t="str">
        <f ca="1">IF(AND(ISNUMBER($O$247),$B$238=1),$O$247,HLOOKUP(INDIRECT(ADDRESS(2,COLUMN())),OFFSET($R$2,0,0,ROW()-1,12),ROW()-1,FALSE))</f>
        <v/>
      </c>
      <c r="P12" t="str">
        <f ca="1">IF(AND(ISNUMBER($P$247),$B$238=1),$P$247,HLOOKUP(INDIRECT(ADDRESS(2,COLUMN())),OFFSET($R$2,0,0,ROW()-1,12),ROW()-1,FALSE))</f>
        <v/>
      </c>
      <c r="Q12" t="str">
        <f ca="1">IF(AND(ISNUMBER($Q$247),$B$238=1),$Q$247,HLOOKUP(INDIRECT(ADDRESS(2,COLUMN())),OFFSET($R$2,0,0,ROW()-1,12),ROW()-1,FALSE))</f>
        <v/>
      </c>
      <c r="R12">
        <f>-5.666650605</f>
        <v>-5.6666506050000001</v>
      </c>
      <c r="S12">
        <f>-4.509271615</f>
        <v>-4.5092716150000003</v>
      </c>
      <c r="T12">
        <f>-14.41679137</f>
        <v>-14.41679137</v>
      </c>
      <c r="U12" t="str">
        <f>""</f>
        <v/>
      </c>
      <c r="V12" t="str">
        <f>""</f>
        <v/>
      </c>
      <c r="W12" t="str">
        <f>""</f>
        <v/>
      </c>
      <c r="X12" t="str">
        <f>""</f>
        <v/>
      </c>
      <c r="Y12" t="str">
        <f>""</f>
        <v/>
      </c>
      <c r="Z12" t="str">
        <f>""</f>
        <v/>
      </c>
      <c r="AA12" t="str">
        <f>""</f>
        <v/>
      </c>
      <c r="AB12" t="str">
        <f>""</f>
        <v/>
      </c>
      <c r="AC12" t="str">
        <f>""</f>
        <v/>
      </c>
    </row>
    <row r="13" spans="1:29" x14ac:dyDescent="0.25">
      <c r="A13" t="str">
        <f>"    EPAM Systems Inc"</f>
        <v xml:space="preserve">    EPAM Systems Inc</v>
      </c>
      <c r="B13" t="str">
        <f>"EPAM US Equity"</f>
        <v>EPAM US Equity</v>
      </c>
      <c r="C13" t="str">
        <f t="shared" si="0"/>
        <v>RR033</v>
      </c>
      <c r="D13" t="str">
        <f t="shared" si="1"/>
        <v>SALES_GROWTH</v>
      </c>
      <c r="E13" t="str">
        <f t="shared" si="2"/>
        <v>Dynamic</v>
      </c>
      <c r="F13">
        <f ca="1">IF(AND(ISNUMBER($F$248),$B$238=1),$F$248,HLOOKUP(INDIRECT(ADDRESS(2,COLUMN())),OFFSET($R$2,0,0,ROW()-1,12),ROW()-1,FALSE))</f>
        <v>24.465953880000001</v>
      </c>
      <c r="G13">
        <f ca="1">IF(AND(ISNUMBER($G$248),$B$238=1),$G$248,HLOOKUP(INDIRECT(ADDRESS(2,COLUMN())),OFFSET($R$2,0,0,ROW()-1,12),ROW()-1,FALSE))</f>
        <v>27.058122730000001</v>
      </c>
      <c r="H13">
        <f ca="1">IF(AND(ISNUMBER($H$248),$B$238=1),$H$248,HLOOKUP(INDIRECT(ADDRESS(2,COLUMN())),OFFSET($R$2,0,0,ROW()-1,12),ROW()-1,FALSE))</f>
        <v>25.02439378</v>
      </c>
      <c r="I13">
        <f ca="1">IF(AND(ISNUMBER($I$248),$B$238=1),$I$248,HLOOKUP(INDIRECT(ADDRESS(2,COLUMN())),OFFSET($R$2,0,0,ROW()-1,12),ROW()-1,FALSE))</f>
        <v>26.9113297</v>
      </c>
      <c r="J13">
        <f ca="1">IF(AND(ISNUMBER($J$248),$B$238=1),$J$248,HLOOKUP(INDIRECT(ADDRESS(2,COLUMN())),OFFSET($R$2,0,0,ROW()-1,12),ROW()-1,FALSE))</f>
        <v>25.218382330000001</v>
      </c>
      <c r="K13">
        <f ca="1">IF(AND(ISNUMBER($K$248),$B$238=1),$K$248,HLOOKUP(INDIRECT(ADDRESS(2,COLUMN())),OFFSET($R$2,0,0,ROW()-1,12),ROW()-1,FALSE))</f>
        <v>31.508672950000001</v>
      </c>
      <c r="L13">
        <f ca="1">IF(AND(ISNUMBER($L$248),$B$238=1),$L$248,HLOOKUP(INDIRECT(ADDRESS(2,COLUMN())),OFFSET($R$2,0,0,ROW()-1,12),ROW()-1,FALSE))</f>
        <v>27.96640841</v>
      </c>
      <c r="M13">
        <f ca="1">IF(AND(ISNUMBER($M$248),$B$238=1),$M$248,HLOOKUP(INDIRECT(ADDRESS(2,COLUMN())),OFFSET($R$2,0,0,ROW()-1,12),ROW()-1,FALSE))</f>
        <v>29.674945000000001</v>
      </c>
      <c r="N13">
        <f ca="1">IF(AND(ISNUMBER($N$248),$B$238=1),$N$248,HLOOKUP(INDIRECT(ADDRESS(2,COLUMN())),OFFSET($R$2,0,0,ROW()-1,12),ROW()-1,FALSE))</f>
        <v>50.80784766</v>
      </c>
      <c r="O13">
        <f ca="1">IF(AND(ISNUMBER($O$248),$B$238=1),$O$248,HLOOKUP(INDIRECT(ADDRESS(2,COLUMN())),OFFSET($R$2,0,0,ROW()-1,12),ROW()-1,FALSE))</f>
        <v>47.94283008</v>
      </c>
      <c r="P13">
        <f ca="1">IF(AND(ISNUMBER($P$248),$B$238=1),$P$248,HLOOKUP(INDIRECT(ADDRESS(2,COLUMN())),OFFSET($R$2,0,0,ROW()-1,12),ROW()-1,FALSE))</f>
        <v>-6.6568305189999997</v>
      </c>
      <c r="Q13">
        <f ca="1">IF(AND(ISNUMBER($Q$248),$B$238=1),$Q$248,HLOOKUP(INDIRECT(ADDRESS(2,COLUMN())),OFFSET($R$2,0,0,ROW()-1,12),ROW()-1,FALSE))</f>
        <v>40.849664609999998</v>
      </c>
      <c r="R13">
        <f>24.46595388</f>
        <v>24.465953880000001</v>
      </c>
      <c r="S13">
        <f>27.05812273</f>
        <v>27.058122730000001</v>
      </c>
      <c r="T13">
        <f>25.02439378</f>
        <v>25.02439378</v>
      </c>
      <c r="U13">
        <f>26.9113297</f>
        <v>26.9113297</v>
      </c>
      <c r="V13">
        <f>25.21838233</f>
        <v>25.218382330000001</v>
      </c>
      <c r="W13">
        <f>31.50867295</f>
        <v>31.508672950000001</v>
      </c>
      <c r="X13">
        <f>27.96640841</f>
        <v>27.96640841</v>
      </c>
      <c r="Y13">
        <f>29.674945</f>
        <v>29.674945000000001</v>
      </c>
      <c r="Z13">
        <f>50.80784766</f>
        <v>50.80784766</v>
      </c>
      <c r="AA13">
        <f>47.94283008</f>
        <v>47.94283008</v>
      </c>
      <c r="AB13">
        <f>-6.656830519</f>
        <v>-6.6568305189999997</v>
      </c>
      <c r="AC13">
        <f>40.84966461</f>
        <v>40.849664609999998</v>
      </c>
    </row>
    <row r="14" spans="1:29" x14ac:dyDescent="0.25">
      <c r="A14" t="str">
        <f>"    Genpact Ltd"</f>
        <v xml:space="preserve">    Genpact Ltd</v>
      </c>
      <c r="B14" t="str">
        <f>"G US Equity"</f>
        <v>G US Equity</v>
      </c>
      <c r="C14" t="str">
        <f t="shared" si="0"/>
        <v>RR033</v>
      </c>
      <c r="D14" t="str">
        <f t="shared" si="1"/>
        <v>SALES_GROWTH</v>
      </c>
      <c r="E14" t="str">
        <f t="shared" si="2"/>
        <v>Dynamic</v>
      </c>
      <c r="F14">
        <f ca="1">IF(AND(ISNUMBER($F$249),$B$238=1),$F$249,HLOOKUP(INDIRECT(ADDRESS(2,COLUMN())),OFFSET($R$2,0,0,ROW()-1,12),ROW()-1,FALSE))</f>
        <v>17.320538920000001</v>
      </c>
      <c r="G14">
        <f ca="1">IF(AND(ISNUMBER($G$249),$B$238=1),$G$249,HLOOKUP(INDIRECT(ADDRESS(2,COLUMN())),OFFSET($R$2,0,0,ROW()-1,12),ROW()-1,FALSE))</f>
        <v>9.6407689059999999</v>
      </c>
      <c r="H14">
        <f ca="1">IF(AND(ISNUMBER($H$249),$B$238=1),$H$249,HLOOKUP(INDIRECT(ADDRESS(2,COLUMN())),OFFSET($R$2,0,0,ROW()-1,12),ROW()-1,FALSE))</f>
        <v>6.4639740220000004</v>
      </c>
      <c r="I14">
        <f ca="1">IF(AND(ISNUMBER($I$249),$B$238=1),$I$249,HLOOKUP(INDIRECT(ADDRESS(2,COLUMN())),OFFSET($R$2,0,0,ROW()-1,12),ROW()-1,FALSE))</f>
        <v>4.4579454900000002</v>
      </c>
      <c r="J14">
        <f ca="1">IF(AND(ISNUMBER($J$249),$B$238=1),$J$249,HLOOKUP(INDIRECT(ADDRESS(2,COLUMN())),OFFSET($R$2,0,0,ROW()-1,12),ROW()-1,FALSE))</f>
        <v>7.9671392689999996</v>
      </c>
      <c r="K14">
        <f ca="1">IF(AND(ISNUMBER($K$249),$B$238=1),$K$249,HLOOKUP(INDIRECT(ADDRESS(2,COLUMN())),OFFSET($R$2,0,0,ROW()-1,12),ROW()-1,FALSE))</f>
        <v>6.9156288679999998</v>
      </c>
      <c r="L14">
        <f ca="1">IF(AND(ISNUMBER($L$249),$B$238=1),$L$249,HLOOKUP(INDIRECT(ADDRESS(2,COLUMN())),OFFSET($R$2,0,0,ROW()-1,12),ROW()-1,FALSE))</f>
        <v>12.09408556</v>
      </c>
      <c r="M14">
        <f ca="1">IF(AND(ISNUMBER($M$249),$B$238=1),$M$249,HLOOKUP(INDIRECT(ADDRESS(2,COLUMN())),OFFSET($R$2,0,0,ROW()-1,12),ROW()-1,FALSE))</f>
        <v>18.840803380000001</v>
      </c>
      <c r="N14">
        <f ca="1">IF(AND(ISNUMBER($N$249),$B$238=1),$N$249,HLOOKUP(INDIRECT(ADDRESS(2,COLUMN())),OFFSET($R$2,0,0,ROW()-1,12),ROW()-1,FALSE))</f>
        <v>27.1233547</v>
      </c>
      <c r="O14">
        <f ca="1">IF(AND(ISNUMBER($O$249),$B$238=1),$O$249,HLOOKUP(INDIRECT(ADDRESS(2,COLUMN())),OFFSET($R$2,0,0,ROW()-1,12),ROW()-1,FALSE))</f>
        <v>12.40028534</v>
      </c>
      <c r="P14">
        <f ca="1">IF(AND(ISNUMBER($P$249),$B$238=1),$P$249,HLOOKUP(INDIRECT(ADDRESS(2,COLUMN())),OFFSET($R$2,0,0,ROW()-1,12),ROW()-1,FALSE))</f>
        <v>7.6114933320000002</v>
      </c>
      <c r="Q14">
        <f ca="1">IF(AND(ISNUMBER($Q$249),$B$238=1),$Q$249,HLOOKUP(INDIRECT(ADDRESS(2,COLUMN())),OFFSET($R$2,0,0,ROW()-1,12),ROW()-1,FALSE))</f>
        <v>26.443594340000001</v>
      </c>
      <c r="R14">
        <f>17.32053892</f>
        <v>17.320538920000001</v>
      </c>
      <c r="S14">
        <f>9.640768906</f>
        <v>9.6407689059999999</v>
      </c>
      <c r="T14">
        <f>6.463974022</f>
        <v>6.4639740220000004</v>
      </c>
      <c r="U14">
        <f>4.45794549</f>
        <v>4.4579454900000002</v>
      </c>
      <c r="V14">
        <f>7.967139269</f>
        <v>7.9671392689999996</v>
      </c>
      <c r="W14">
        <f>6.915628868</f>
        <v>6.9156288679999998</v>
      </c>
      <c r="X14">
        <f>12.09408556</f>
        <v>12.09408556</v>
      </c>
      <c r="Y14">
        <f>18.84080338</f>
        <v>18.840803380000001</v>
      </c>
      <c r="Z14">
        <f>27.1233547</f>
        <v>27.1233547</v>
      </c>
      <c r="AA14">
        <f>12.40028534</f>
        <v>12.40028534</v>
      </c>
      <c r="AB14">
        <f>7.611493332</f>
        <v>7.6114933320000002</v>
      </c>
      <c r="AC14">
        <f>26.44359434</f>
        <v>26.443594340000001</v>
      </c>
    </row>
    <row r="15" spans="1:29" x14ac:dyDescent="0.25">
      <c r="A15" t="str">
        <f>"    HCL Technologies Ltd"</f>
        <v xml:space="preserve">    HCL Technologies Ltd</v>
      </c>
      <c r="B15" t="str">
        <f>"HCLT IN Equity"</f>
        <v>HCLT IN Equity</v>
      </c>
      <c r="C15" t="str">
        <f t="shared" si="0"/>
        <v>RR033</v>
      </c>
      <c r="D15" t="str">
        <f t="shared" si="1"/>
        <v>SALES_GROWTH</v>
      </c>
      <c r="E15" t="str">
        <f t="shared" si="2"/>
        <v>Dynamic</v>
      </c>
      <c r="F15">
        <f ca="1">IF(AND(ISNUMBER($F$250),$B$238=1),$F$250,HLOOKUP(INDIRECT(ADDRESS(2,COLUMN())),OFFSET($R$2,0,0,ROW()-1,12),ROW()-1,FALSE))</f>
        <v>15.10124647</v>
      </c>
      <c r="G15">
        <f ca="1">IF(AND(ISNUMBER($G$250),$B$238=1),$G$250,HLOOKUP(INDIRECT(ADDRESS(2,COLUMN())),OFFSET($R$2,0,0,ROW()-1,12),ROW()-1,FALSE))</f>
        <v>10.053998350000001</v>
      </c>
      <c r="H15">
        <f ca="1">IF(AND(ISNUMBER($H$250),$B$238=1),$H$250,HLOOKUP(INDIRECT(ADDRESS(2,COLUMN())),OFFSET($R$2,0,0,ROW()-1,12),ROW()-1,FALSE))</f>
        <v>6.309913506</v>
      </c>
      <c r="I15">
        <f ca="1">IF(AND(ISNUMBER($I$250),$B$238=1),$I$250,HLOOKUP(INDIRECT(ADDRESS(2,COLUMN())),OFFSET($R$2,0,0,ROW()-1,12),ROW()-1,FALSE))</f>
        <v>16.585612229999999</v>
      </c>
      <c r="J15" t="str">
        <f ca="1">IF(AND(ISNUMBER($J$250),$B$238=1),$J$250,HLOOKUP(INDIRECT(ADDRESS(2,COLUMN())),OFFSET($R$2,0,0,ROW()-1,12),ROW()-1,FALSE))</f>
        <v/>
      </c>
      <c r="K15" t="str">
        <f ca="1">IF(AND(ISNUMBER($K$250),$B$238=1),$K$250,HLOOKUP(INDIRECT(ADDRESS(2,COLUMN())),OFFSET($R$2,0,0,ROW()-1,12),ROW()-1,FALSE))</f>
        <v/>
      </c>
      <c r="L15">
        <f ca="1">IF(AND(ISNUMBER($L$250),$B$238=1),$L$250,HLOOKUP(INDIRECT(ADDRESS(2,COLUMN())),OFFSET($R$2,0,0,ROW()-1,12),ROW()-1,FALSE))</f>
        <v>14.86114967</v>
      </c>
      <c r="M15">
        <f ca="1">IF(AND(ISNUMBER($M$250),$B$238=1),$M$250,HLOOKUP(INDIRECT(ADDRESS(2,COLUMN())),OFFSET($R$2,0,0,ROW()-1,12),ROW()-1,FALSE))</f>
        <v>22.805494809999999</v>
      </c>
      <c r="N15">
        <f ca="1">IF(AND(ISNUMBER($N$250),$B$238=1),$N$250,HLOOKUP(INDIRECT(ADDRESS(2,COLUMN())),OFFSET($R$2,0,0,ROW()-1,12),ROW()-1,FALSE))</f>
        <v>32.421999909999997</v>
      </c>
      <c r="O15">
        <f ca="1">IF(AND(ISNUMBER($O$250),$B$238=1),$O$250,HLOOKUP(INDIRECT(ADDRESS(2,COLUMN())),OFFSET($R$2,0,0,ROW()-1,12),ROW()-1,FALSE))</f>
        <v>29.614816390000001</v>
      </c>
      <c r="P15">
        <f ca="1">IF(AND(ISNUMBER($P$250),$B$238=1),$P$250,HLOOKUP(INDIRECT(ADDRESS(2,COLUMN())),OFFSET($R$2,0,0,ROW()-1,12),ROW()-1,FALSE))</f>
        <v>18.641153299999999</v>
      </c>
      <c r="Q15">
        <f ca="1">IF(AND(ISNUMBER($Q$250),$B$238=1),$Q$250,HLOOKUP(INDIRECT(ADDRESS(2,COLUMN())),OFFSET($R$2,0,0,ROW()-1,12),ROW()-1,FALSE))</f>
        <v>35.259917649999998</v>
      </c>
      <c r="R15">
        <f>15.10124647</f>
        <v>15.10124647</v>
      </c>
      <c r="S15">
        <f>10.05399835</f>
        <v>10.053998350000001</v>
      </c>
      <c r="T15">
        <f>6.309913506</f>
        <v>6.309913506</v>
      </c>
      <c r="U15">
        <f>16.58561223</f>
        <v>16.585612229999999</v>
      </c>
      <c r="V15" t="str">
        <f>""</f>
        <v/>
      </c>
      <c r="W15" t="str">
        <f>""</f>
        <v/>
      </c>
      <c r="X15">
        <f>14.86114967</f>
        <v>14.86114967</v>
      </c>
      <c r="Y15">
        <f>22.80549481</f>
        <v>22.805494809999999</v>
      </c>
      <c r="Z15">
        <f>32.42199991</f>
        <v>32.421999909999997</v>
      </c>
      <c r="AA15">
        <f>29.61481639</f>
        <v>29.614816390000001</v>
      </c>
      <c r="AB15">
        <f>18.6411533</f>
        <v>18.641153299999999</v>
      </c>
      <c r="AC15">
        <f>35.25991765</f>
        <v>35.259917649999998</v>
      </c>
    </row>
    <row r="16" spans="1:29" x14ac:dyDescent="0.25">
      <c r="A16" t="str">
        <f>"    Indra Sistemas SA"</f>
        <v xml:space="preserve">    Indra Sistemas SA</v>
      </c>
      <c r="B16" t="str">
        <f>"IDR SM Equity"</f>
        <v>IDR SM Equity</v>
      </c>
      <c r="C16" t="str">
        <f t="shared" si="0"/>
        <v>RR033</v>
      </c>
      <c r="D16" t="str">
        <f t="shared" si="1"/>
        <v>SALES_GROWTH</v>
      </c>
      <c r="E16" t="str">
        <f t="shared" si="2"/>
        <v>Dynamic</v>
      </c>
      <c r="F16">
        <f ca="1">IF(AND(ISNUMBER($F$251),$B$238=1),$F$251,HLOOKUP(INDIRECT(ADDRESS(2,COLUMN())),OFFSET($R$2,0,0,ROW()-1,12),ROW()-1,FALSE))</f>
        <v>3.2284972779999999</v>
      </c>
      <c r="G16">
        <f ca="1">IF(AND(ISNUMBER($G$251),$B$238=1),$G$251,HLOOKUP(INDIRECT(ADDRESS(2,COLUMN())),OFFSET($R$2,0,0,ROW()-1,12),ROW()-1,FALSE))</f>
        <v>3.0778540040000002</v>
      </c>
      <c r="H16">
        <f ca="1">IF(AND(ISNUMBER($H$251),$B$238=1),$H$251,HLOOKUP(INDIRECT(ADDRESS(2,COLUMN())),OFFSET($R$2,0,0,ROW()-1,12),ROW()-1,FALSE))</f>
        <v>11.137649270000001</v>
      </c>
      <c r="I16">
        <f ca="1">IF(AND(ISNUMBER($I$251),$B$238=1),$I$251,HLOOKUP(INDIRECT(ADDRESS(2,COLUMN())),OFFSET($R$2,0,0,ROW()-1,12),ROW()-1,FALSE))</f>
        <v>-4.9501053180000003</v>
      </c>
      <c r="J16">
        <f ca="1">IF(AND(ISNUMBER($J$251),$B$238=1),$J$251,HLOOKUP(INDIRECT(ADDRESS(2,COLUMN())),OFFSET($R$2,0,0,ROW()-1,12),ROW()-1,FALSE))</f>
        <v>-2.977686329</v>
      </c>
      <c r="K16">
        <f ca="1">IF(AND(ISNUMBER($K$251),$B$238=1),$K$251,HLOOKUP(INDIRECT(ADDRESS(2,COLUMN())),OFFSET($R$2,0,0,ROW()-1,12),ROW()-1,FALSE))</f>
        <v>0.81713807400000005</v>
      </c>
      <c r="L16">
        <f ca="1">IF(AND(ISNUMBER($L$251),$B$238=1),$L$251,HLOOKUP(INDIRECT(ADDRESS(2,COLUMN())),OFFSET($R$2,0,0,ROW()-1,12),ROW()-1,FALSE))</f>
        <v>-0.91489911499999999</v>
      </c>
      <c r="M16">
        <f ca="1">IF(AND(ISNUMBER($M$251),$B$238=1),$M$251,HLOOKUP(INDIRECT(ADDRESS(2,COLUMN())),OFFSET($R$2,0,0,ROW()-1,12),ROW()-1,FALSE))</f>
        <v>9.3913137280000001</v>
      </c>
      <c r="N16">
        <f ca="1">IF(AND(ISNUMBER($N$251),$B$238=1),$N$251,HLOOKUP(INDIRECT(ADDRESS(2,COLUMN())),OFFSET($R$2,0,0,ROW()-1,12),ROW()-1,FALSE))</f>
        <v>5.1408228730000003</v>
      </c>
      <c r="O16">
        <f ca="1">IF(AND(ISNUMBER($O$251),$B$238=1),$O$251,HLOOKUP(INDIRECT(ADDRESS(2,COLUMN())),OFFSET($R$2,0,0,ROW()-1,12),ROW()-1,FALSE))</f>
        <v>1.7425664890000001</v>
      </c>
      <c r="P16">
        <f ca="1">IF(AND(ISNUMBER($P$251),$B$238=1),$P$251,HLOOKUP(INDIRECT(ADDRESS(2,COLUMN())),OFFSET($R$2,0,0,ROW()-1,12),ROW()-1,FALSE))</f>
        <v>5.6179175609999996</v>
      </c>
      <c r="Q16">
        <f ca="1">IF(AND(ISNUMBER($Q$251),$B$238=1),$Q$251,HLOOKUP(INDIRECT(ADDRESS(2,COLUMN())),OFFSET($R$2,0,0,ROW()-1,12),ROW()-1,FALSE))</f>
        <v>9.7780785689999998</v>
      </c>
      <c r="R16">
        <f>3.228497278</f>
        <v>3.2284972779999999</v>
      </c>
      <c r="S16">
        <f>3.077854004</f>
        <v>3.0778540040000002</v>
      </c>
      <c r="T16">
        <f>11.13764927</f>
        <v>11.137649270000001</v>
      </c>
      <c r="U16">
        <f>-4.950105318</f>
        <v>-4.9501053180000003</v>
      </c>
      <c r="V16">
        <f>-2.977686329</f>
        <v>-2.977686329</v>
      </c>
      <c r="W16">
        <f>0.817138074</f>
        <v>0.81713807400000005</v>
      </c>
      <c r="X16">
        <f>-0.914899115</f>
        <v>-0.91489911499999999</v>
      </c>
      <c r="Y16">
        <f>9.391313728</f>
        <v>9.3913137280000001</v>
      </c>
      <c r="Z16">
        <f>5.140822873</f>
        <v>5.1408228730000003</v>
      </c>
      <c r="AA16">
        <f>1.742566489</f>
        <v>1.7425664890000001</v>
      </c>
      <c r="AB16">
        <f>5.617917561</f>
        <v>5.6179175609999996</v>
      </c>
      <c r="AC16">
        <f>9.778078569</f>
        <v>9.7780785689999998</v>
      </c>
    </row>
    <row r="17" spans="1:29" x14ac:dyDescent="0.25">
      <c r="A17" t="str">
        <f>"    Infosys Ltd"</f>
        <v xml:space="preserve">    Infosys Ltd</v>
      </c>
      <c r="B17" t="str">
        <f>"INFY US Equity"</f>
        <v>INFY US Equity</v>
      </c>
      <c r="C17" t="str">
        <f t="shared" si="0"/>
        <v>RR033</v>
      </c>
      <c r="D17" t="str">
        <f t="shared" si="1"/>
        <v>SALES_GROWTH</v>
      </c>
      <c r="E17" t="str">
        <f t="shared" si="2"/>
        <v>Dynamic</v>
      </c>
      <c r="F17">
        <f ca="1">IF(AND(ISNUMBER($F$252),$B$238=1),$F$252,HLOOKUP(INDIRECT(ADDRESS(2,COLUMN())),OFFSET($R$2,0,0,ROW()-1,12),ROW()-1,FALSE))</f>
        <v>9.8167523439999993</v>
      </c>
      <c r="G17">
        <f ca="1">IF(AND(ISNUMBER($G$252),$B$238=1),$G$252,HLOOKUP(INDIRECT(ADDRESS(2,COLUMN())),OFFSET($R$2,0,0,ROW()-1,12),ROW()-1,FALSE))</f>
        <v>17.23292022</v>
      </c>
      <c r="H17">
        <f ca="1">IF(AND(ISNUMBER($H$252),$B$238=1),$H$252,HLOOKUP(INDIRECT(ADDRESS(2,COLUMN())),OFFSET($R$2,0,0,ROW()-1,12),ROW()-1,FALSE))</f>
        <v>2.9758775769999999</v>
      </c>
      <c r="I17">
        <f ca="1">IF(AND(ISNUMBER($I$252),$B$238=1),$I$252,HLOOKUP(INDIRECT(ADDRESS(2,COLUMN())),OFFSET($R$2,0,0,ROW()-1,12),ROW()-1,FALSE))</f>
        <v>9.6779359720000002</v>
      </c>
      <c r="J17">
        <f ca="1">IF(AND(ISNUMBER($J$252),$B$238=1),$J$252,HLOOKUP(INDIRECT(ADDRESS(2,COLUMN())),OFFSET($R$2,0,0,ROW()-1,12),ROW()-1,FALSE))</f>
        <v>17.108347869999999</v>
      </c>
      <c r="K17">
        <f ca="1">IF(AND(ISNUMBER($K$252),$B$238=1),$K$252,HLOOKUP(INDIRECT(ADDRESS(2,COLUMN())),OFFSET($R$2,0,0,ROW()-1,12),ROW()-1,FALSE))</f>
        <v>6.355095446</v>
      </c>
      <c r="L17">
        <f ca="1">IF(AND(ISNUMBER($L$252),$B$238=1),$L$252,HLOOKUP(INDIRECT(ADDRESS(2,COLUMN())),OFFSET($R$2,0,0,ROW()-1,12),ROW()-1,FALSE))</f>
        <v>24.239195079999998</v>
      </c>
      <c r="M17">
        <f ca="1">IF(AND(ISNUMBER($M$252),$B$238=1),$M$252,HLOOKUP(INDIRECT(ADDRESS(2,COLUMN())),OFFSET($R$2,0,0,ROW()-1,12),ROW()-1,FALSE))</f>
        <v>19.618189359999999</v>
      </c>
      <c r="N17">
        <f ca="1">IF(AND(ISNUMBER($N$252),$B$238=1),$N$252,HLOOKUP(INDIRECT(ADDRESS(2,COLUMN())),OFFSET($R$2,0,0,ROW()-1,12),ROW()-1,FALSE))</f>
        <v>22.664630379999998</v>
      </c>
      <c r="O17">
        <f ca="1">IF(AND(ISNUMBER($O$252),$B$238=1),$O$252,HLOOKUP(INDIRECT(ADDRESS(2,COLUMN())),OFFSET($R$2,0,0,ROW()-1,12),ROW()-1,FALSE))</f>
        <v>20.926039930000002</v>
      </c>
      <c r="P17">
        <f ca="1">IF(AND(ISNUMBER($P$252),$B$238=1),$P$252,HLOOKUP(INDIRECT(ADDRESS(2,COLUMN())),OFFSET($R$2,0,0,ROW()-1,12),ROW()-1,FALSE))</f>
        <v>4.8356612730000004</v>
      </c>
      <c r="Q17">
        <f ca="1">IF(AND(ISNUMBER($Q$252),$B$238=1),$Q$252,HLOOKUP(INDIRECT(ADDRESS(2,COLUMN())),OFFSET($R$2,0,0,ROW()-1,12),ROW()-1,FALSE))</f>
        <v>29.960460099999999</v>
      </c>
      <c r="R17">
        <f>9.816752344</f>
        <v>9.8167523439999993</v>
      </c>
      <c r="S17">
        <f>17.23292022</f>
        <v>17.23292022</v>
      </c>
      <c r="T17">
        <f>2.975877577</f>
        <v>2.9758775769999999</v>
      </c>
      <c r="U17">
        <f>9.677935972</f>
        <v>9.6779359720000002</v>
      </c>
      <c r="V17">
        <f>17.10834787</f>
        <v>17.108347869999999</v>
      </c>
      <c r="W17">
        <f>6.355095446</f>
        <v>6.355095446</v>
      </c>
      <c r="X17">
        <f>24.23919508</f>
        <v>24.239195079999998</v>
      </c>
      <c r="Y17">
        <f>19.61818936</f>
        <v>19.618189359999999</v>
      </c>
      <c r="Z17">
        <f>22.66463038</f>
        <v>22.664630379999998</v>
      </c>
      <c r="AA17">
        <f>20.92603993</f>
        <v>20.926039930000002</v>
      </c>
      <c r="AB17">
        <f>4.835661273</f>
        <v>4.8356612730000004</v>
      </c>
      <c r="AC17">
        <f>29.9604601</f>
        <v>29.960460099999999</v>
      </c>
    </row>
    <row r="18" spans="1:29" x14ac:dyDescent="0.25">
      <c r="A18" t="str">
        <f>"    International Business Machines Corp"</f>
        <v xml:space="preserve">    International Business Machines Corp</v>
      </c>
      <c r="B18" t="str">
        <f>"IBM US Equity"</f>
        <v>IBM US Equity</v>
      </c>
      <c r="C18" t="str">
        <f t="shared" si="0"/>
        <v>RR033</v>
      </c>
      <c r="D18" t="str">
        <f t="shared" si="1"/>
        <v>SALES_GROWTH</v>
      </c>
      <c r="E18" t="str">
        <f t="shared" si="2"/>
        <v>Dynamic</v>
      </c>
      <c r="F18">
        <f ca="1">IF(AND(ISNUMBER($F$253),$B$238=1),$F$253,HLOOKUP(INDIRECT(ADDRESS(2,COLUMN())),OFFSET($R$2,0,0,ROW()-1,12),ROW()-1,FALSE))</f>
        <v>-3.070698948</v>
      </c>
      <c r="G18">
        <f ca="1">IF(AND(ISNUMBER($G$253),$B$238=1),$G$253,HLOOKUP(INDIRECT(ADDRESS(2,COLUMN())),OFFSET($R$2,0,0,ROW()-1,12),ROW()-1,FALSE))</f>
        <v>0.57114696899999995</v>
      </c>
      <c r="H18">
        <f ca="1">IF(AND(ISNUMBER($H$253),$B$238=1),$H$253,HLOOKUP(INDIRECT(ADDRESS(2,COLUMN())),OFFSET($R$2,0,0,ROW()-1,12),ROW()-1,FALSE))</f>
        <v>-0.97598818799999998</v>
      </c>
      <c r="I18">
        <f ca="1">IF(AND(ISNUMBER($I$253),$B$238=1),$I$253,HLOOKUP(INDIRECT(ADDRESS(2,COLUMN())),OFFSET($R$2,0,0,ROW()-1,12),ROW()-1,FALSE))</f>
        <v>-2.2289915709999999</v>
      </c>
      <c r="J18">
        <f ca="1">IF(AND(ISNUMBER($J$253),$B$238=1),$J$253,HLOOKUP(INDIRECT(ADDRESS(2,COLUMN())),OFFSET($R$2,0,0,ROW()-1,12),ROW()-1,FALSE))</f>
        <v>-11.910381170000001</v>
      </c>
      <c r="K18">
        <f ca="1">IF(AND(ISNUMBER($K$253),$B$238=1),$K$253,HLOOKUP(INDIRECT(ADDRESS(2,COLUMN())),OFFSET($R$2,0,0,ROW()-1,12),ROW()-1,FALSE))</f>
        <v>-5.6665345089999999</v>
      </c>
      <c r="L18">
        <f ca="1">IF(AND(ISNUMBER($L$253),$B$238=1),$L$253,HLOOKUP(INDIRECT(ADDRESS(2,COLUMN())),OFFSET($R$2,0,0,ROW()-1,12),ROW()-1,FALSE))</f>
        <v>-4.3810875439999997</v>
      </c>
      <c r="M18">
        <f ca="1">IF(AND(ISNUMBER($M$253),$B$238=1),$M$253,HLOOKUP(INDIRECT(ADDRESS(2,COLUMN())),OFFSET($R$2,0,0,ROW()-1,12),ROW()-1,FALSE))</f>
        <v>-3.7805379920000002</v>
      </c>
      <c r="N18">
        <f ca="1">IF(AND(ISNUMBER($N$253),$B$238=1),$N$253,HLOOKUP(INDIRECT(ADDRESS(2,COLUMN())),OFFSET($R$2,0,0,ROW()-1,12),ROW()-1,FALSE))</f>
        <v>7.055171723</v>
      </c>
      <c r="O18">
        <f ca="1">IF(AND(ISNUMBER($O$253),$B$238=1),$O$253,HLOOKUP(INDIRECT(ADDRESS(2,COLUMN())),OFFSET($R$2,0,0,ROW()-1,12),ROW()-1,FALSE))</f>
        <v>4.2941581900000001</v>
      </c>
      <c r="P18">
        <f ca="1">IF(AND(ISNUMBER($P$253),$B$238=1),$P$253,HLOOKUP(INDIRECT(ADDRESS(2,COLUMN())),OFFSET($R$2,0,0,ROW()-1,12),ROW()-1,FALSE))</f>
        <v>-7.59625591</v>
      </c>
      <c r="Q18">
        <f ca="1">IF(AND(ISNUMBER($Q$253),$B$238=1),$Q$253,HLOOKUP(INDIRECT(ADDRESS(2,COLUMN())),OFFSET($R$2,0,0,ROW()-1,12),ROW()-1,FALSE))</f>
        <v>4.9035288399999999</v>
      </c>
      <c r="R18">
        <f>-3.070698948</f>
        <v>-3.070698948</v>
      </c>
      <c r="S18">
        <f>0.571146969</f>
        <v>0.57114696899999995</v>
      </c>
      <c r="T18">
        <f>-0.975988188</f>
        <v>-0.97598818799999998</v>
      </c>
      <c r="U18">
        <f>-2.228991571</f>
        <v>-2.2289915709999999</v>
      </c>
      <c r="V18">
        <f>-11.91038117</f>
        <v>-11.910381170000001</v>
      </c>
      <c r="W18">
        <f>-5.666534509</f>
        <v>-5.6665345089999999</v>
      </c>
      <c r="X18">
        <f>-4.381087544</f>
        <v>-4.3810875439999997</v>
      </c>
      <c r="Y18">
        <f>-3.780537992</f>
        <v>-3.7805379920000002</v>
      </c>
      <c r="Z18">
        <f>7.055171723</f>
        <v>7.055171723</v>
      </c>
      <c r="AA18">
        <f>4.29415819</f>
        <v>4.2941581900000001</v>
      </c>
      <c r="AB18">
        <f>-7.59625591</f>
        <v>-7.59625591</v>
      </c>
      <c r="AC18">
        <f>4.90352884</f>
        <v>4.9035288399999999</v>
      </c>
    </row>
    <row r="19" spans="1:29" x14ac:dyDescent="0.25">
      <c r="A19" t="str">
        <f>"    Tata Consultancy Services Ltd"</f>
        <v xml:space="preserve">    Tata Consultancy Services Ltd</v>
      </c>
      <c r="B19" t="str">
        <f>"TCS IN Equity"</f>
        <v>TCS IN Equity</v>
      </c>
      <c r="C19" t="str">
        <f t="shared" si="0"/>
        <v>RR033</v>
      </c>
      <c r="D19" t="str">
        <f t="shared" si="1"/>
        <v>SALES_GROWTH</v>
      </c>
      <c r="E19" t="str">
        <f t="shared" si="2"/>
        <v>Dynamic</v>
      </c>
      <c r="F19">
        <f ca="1">IF(AND(ISNUMBER($F$254),$B$238=1),$F$254,HLOOKUP(INDIRECT(ADDRESS(2,COLUMN())),OFFSET($R$2,0,0,ROW()-1,12),ROW()-1,FALSE))</f>
        <v>7.1594873789999998</v>
      </c>
      <c r="G19">
        <f ca="1">IF(AND(ISNUMBER($G$254),$B$238=1),$G$254,HLOOKUP(INDIRECT(ADDRESS(2,COLUMN())),OFFSET($R$2,0,0,ROW()-1,12),ROW()-1,FALSE))</f>
        <v>18.975013000000001</v>
      </c>
      <c r="H19">
        <f ca="1">IF(AND(ISNUMBER($H$254),$B$238=1),$H$254,HLOOKUP(INDIRECT(ADDRESS(2,COLUMN())),OFFSET($R$2,0,0,ROW()-1,12),ROW()-1,FALSE))</f>
        <v>4.3554922600000001</v>
      </c>
      <c r="I19">
        <f ca="1">IF(AND(ISNUMBER($I$254),$B$238=1),$I$254,HLOOKUP(INDIRECT(ADDRESS(2,COLUMN())),OFFSET($R$2,0,0,ROW()-1,12),ROW()-1,FALSE))</f>
        <v>8.5783185759999991</v>
      </c>
      <c r="J19">
        <f ca="1">IF(AND(ISNUMBER($J$254),$B$238=1),$J$254,HLOOKUP(INDIRECT(ADDRESS(2,COLUMN())),OFFSET($R$2,0,0,ROW()-1,12),ROW()-1,FALSE))</f>
        <v>14.789038720000001</v>
      </c>
      <c r="K19">
        <f ca="1">IF(AND(ISNUMBER($K$254),$B$238=1),$K$254,HLOOKUP(INDIRECT(ADDRESS(2,COLUMN())),OFFSET($R$2,0,0,ROW()-1,12),ROW()-1,FALSE))</f>
        <v>15.69386437</v>
      </c>
      <c r="L19">
        <f ca="1">IF(AND(ISNUMBER($L$254),$B$238=1),$L$254,HLOOKUP(INDIRECT(ADDRESS(2,COLUMN())),OFFSET($R$2,0,0,ROW()-1,12),ROW()-1,FALSE))</f>
        <v>29.877814520000001</v>
      </c>
      <c r="M19">
        <f ca="1">IF(AND(ISNUMBER($M$254),$B$238=1),$M$254,HLOOKUP(INDIRECT(ADDRESS(2,COLUMN())),OFFSET($R$2,0,0,ROW()-1,12),ROW()-1,FALSE))</f>
        <v>28.829097659999999</v>
      </c>
      <c r="N19">
        <f ca="1">IF(AND(ISNUMBER($N$254),$B$238=1),$N$254,HLOOKUP(INDIRECT(ADDRESS(2,COLUMN())),OFFSET($R$2,0,0,ROW()-1,12),ROW()-1,FALSE))</f>
        <v>30.996575709999998</v>
      </c>
      <c r="O19">
        <f ca="1">IF(AND(ISNUMBER($O$254),$B$238=1),$O$254,HLOOKUP(INDIRECT(ADDRESS(2,COLUMN())),OFFSET($R$2,0,0,ROW()-1,12),ROW()-1,FALSE))</f>
        <v>24.295212750000001</v>
      </c>
      <c r="P19">
        <f ca="1">IF(AND(ISNUMBER($P$254),$B$238=1),$P$254,HLOOKUP(INDIRECT(ADDRESS(2,COLUMN())),OFFSET($R$2,0,0,ROW()-1,12),ROW()-1,FALSE))</f>
        <v>7.9676754079999998</v>
      </c>
      <c r="Q19">
        <f ca="1">IF(AND(ISNUMBER($Q$254),$B$238=1),$Q$254,HLOOKUP(INDIRECT(ADDRESS(2,COLUMN())),OFFSET($R$2,0,0,ROW()-1,12),ROW()-1,FALSE))</f>
        <v>22.959638399999999</v>
      </c>
      <c r="R19">
        <f>7.159487379</f>
        <v>7.1594873789999998</v>
      </c>
      <c r="S19">
        <f>18.975013</f>
        <v>18.975013000000001</v>
      </c>
      <c r="T19">
        <f>4.35549226</f>
        <v>4.3554922600000001</v>
      </c>
      <c r="U19">
        <f>8.578318576</f>
        <v>8.5783185759999991</v>
      </c>
      <c r="V19">
        <f>14.78903872</f>
        <v>14.789038720000001</v>
      </c>
      <c r="W19">
        <f>15.69386437</f>
        <v>15.69386437</v>
      </c>
      <c r="X19">
        <f>29.87781452</f>
        <v>29.877814520000001</v>
      </c>
      <c r="Y19">
        <f>28.82909766</f>
        <v>28.829097659999999</v>
      </c>
      <c r="Z19">
        <f>30.99657571</f>
        <v>30.996575709999998</v>
      </c>
      <c r="AA19">
        <f>24.29521275</f>
        <v>24.295212750000001</v>
      </c>
      <c r="AB19">
        <f>7.967675408</f>
        <v>7.9676754079999998</v>
      </c>
      <c r="AC19">
        <f>22.9596384</f>
        <v>22.959638399999999</v>
      </c>
    </row>
    <row r="20" spans="1:29" x14ac:dyDescent="0.25">
      <c r="A20" t="str">
        <f>"    Tech Mahindra Ltd"</f>
        <v xml:space="preserve">    Tech Mahindra Ltd</v>
      </c>
      <c r="B20" t="str">
        <f>"TECHM IN Equity"</f>
        <v>TECHM IN Equity</v>
      </c>
      <c r="C20" t="str">
        <f t="shared" si="0"/>
        <v>RR033</v>
      </c>
      <c r="D20" t="str">
        <f t="shared" si="1"/>
        <v>SALES_GROWTH</v>
      </c>
      <c r="E20" t="str">
        <f t="shared" si="2"/>
        <v>Dynamic</v>
      </c>
      <c r="F20">
        <f ca="1">IF(AND(ISNUMBER($F$255),$B$238=1),$F$255,HLOOKUP(INDIRECT(ADDRESS(2,COLUMN())),OFFSET($R$2,0,0,ROW()-1,12),ROW()-1,FALSE))</f>
        <v>6.1181655690000003</v>
      </c>
      <c r="G20">
        <f ca="1">IF(AND(ISNUMBER($G$255),$B$238=1),$G$255,HLOOKUP(INDIRECT(ADDRESS(2,COLUMN())),OFFSET($R$2,0,0,ROW()-1,12),ROW()-1,FALSE))</f>
        <v>12.89836187</v>
      </c>
      <c r="H20">
        <f ca="1">IF(AND(ISNUMBER($H$255),$B$238=1),$H$255,HLOOKUP(INDIRECT(ADDRESS(2,COLUMN())),OFFSET($R$2,0,0,ROW()-1,12),ROW()-1,FALSE))</f>
        <v>5.6007384839999999</v>
      </c>
      <c r="I20">
        <f ca="1">IF(AND(ISNUMBER($I$255),$B$238=1),$I$255,HLOOKUP(INDIRECT(ADDRESS(2,COLUMN())),OFFSET($R$2,0,0,ROW()-1,12),ROW()-1,FALSE))</f>
        <v>9.9893561609999999</v>
      </c>
      <c r="J20">
        <f ca="1">IF(AND(ISNUMBER($J$255),$B$238=1),$J$255,HLOOKUP(INDIRECT(ADDRESS(2,COLUMN())),OFFSET($R$2,0,0,ROW()-1,12),ROW()-1,FALSE))</f>
        <v>17.120589890000002</v>
      </c>
      <c r="K20">
        <f ca="1">IF(AND(ISNUMBER($K$255),$B$238=1),$K$255,HLOOKUP(INDIRECT(ADDRESS(2,COLUMN())),OFFSET($R$2,0,0,ROW()-1,12),ROW()-1,FALSE))</f>
        <v>20.125428809999999</v>
      </c>
      <c r="L20">
        <f ca="1">IF(AND(ISNUMBER($L$255),$B$238=1),$L$255,HLOOKUP(INDIRECT(ADDRESS(2,COLUMN())),OFFSET($R$2,0,0,ROW()-1,12),ROW()-1,FALSE))</f>
        <v>173.9869928</v>
      </c>
      <c r="M20">
        <f ca="1">IF(AND(ISNUMBER($M$255),$B$238=1),$M$255,HLOOKUP(INDIRECT(ADDRESS(2,COLUMN())),OFFSET($R$2,0,0,ROW()-1,12),ROW()-1,FALSE))</f>
        <v>25.199919850000001</v>
      </c>
      <c r="N20">
        <f ca="1">IF(AND(ISNUMBER($N$255),$B$238=1),$N$255,HLOOKUP(INDIRECT(ADDRESS(2,COLUMN())),OFFSET($R$2,0,0,ROW()-1,12),ROW()-1,FALSE))</f>
        <v>6.7993463289999996</v>
      </c>
      <c r="O20">
        <f ca="1">IF(AND(ISNUMBER($O$255),$B$238=1),$O$255,HLOOKUP(INDIRECT(ADDRESS(2,COLUMN())),OFFSET($R$2,0,0,ROW()-1,12),ROW()-1,FALSE))</f>
        <v>11.12984823</v>
      </c>
      <c r="P20">
        <f ca="1">IF(AND(ISNUMBER($P$255),$B$238=1),$P$255,HLOOKUP(INDIRECT(ADDRESS(2,COLUMN())),OFFSET($R$2,0,0,ROW()-1,12),ROW()-1,FALSE))</f>
        <v>3.5993459809999999</v>
      </c>
      <c r="Q20">
        <f ca="1">IF(AND(ISNUMBER($Q$255),$B$238=1),$Q$255,HLOOKUP(INDIRECT(ADDRESS(2,COLUMN())),OFFSET($R$2,0,0,ROW()-1,12),ROW()-1,FALSE))</f>
        <v>18.549693319999999</v>
      </c>
      <c r="R20">
        <f>6.118165569</f>
        <v>6.1181655690000003</v>
      </c>
      <c r="S20">
        <f>12.89836187</f>
        <v>12.89836187</v>
      </c>
      <c r="T20">
        <f>5.600738484</f>
        <v>5.6007384839999999</v>
      </c>
      <c r="U20">
        <f>9.989356161</f>
        <v>9.9893561609999999</v>
      </c>
      <c r="V20">
        <f>17.12058989</f>
        <v>17.120589890000002</v>
      </c>
      <c r="W20">
        <f>20.12542881</f>
        <v>20.125428809999999</v>
      </c>
      <c r="X20">
        <f>173.9869928</f>
        <v>173.9869928</v>
      </c>
      <c r="Y20">
        <f>25.19991985</f>
        <v>25.199919850000001</v>
      </c>
      <c r="Z20">
        <f>6.799346329</f>
        <v>6.7993463289999996</v>
      </c>
      <c r="AA20">
        <f>11.12984823</f>
        <v>11.12984823</v>
      </c>
      <c r="AB20">
        <f>3.599345981</f>
        <v>3.5993459809999999</v>
      </c>
      <c r="AC20">
        <f>18.54969332</f>
        <v>18.549693319999999</v>
      </c>
    </row>
    <row r="21" spans="1:29" x14ac:dyDescent="0.25">
      <c r="A21" t="str">
        <f>"    Wipro Ltd"</f>
        <v xml:space="preserve">    Wipro Ltd</v>
      </c>
      <c r="B21" t="str">
        <f>"WIT US Equity"</f>
        <v>WIT US Equity</v>
      </c>
      <c r="C21" t="str">
        <f t="shared" si="0"/>
        <v>RR033</v>
      </c>
      <c r="D21" t="str">
        <f t="shared" si="1"/>
        <v>SALES_GROWTH</v>
      </c>
      <c r="E21" t="str">
        <f t="shared" si="2"/>
        <v>Dynamic</v>
      </c>
      <c r="F21">
        <f ca="1">IF(AND(ISNUMBER($F$256),$B$238=1),$F$256,HLOOKUP(INDIRECT(ADDRESS(2,COLUMN())),OFFSET($R$2,0,0,ROW()-1,12),ROW()-1,FALSE))</f>
        <v>4.162705152</v>
      </c>
      <c r="G21">
        <f ca="1">IF(AND(ISNUMBER($G$256),$B$238=1),$G$256,HLOOKUP(INDIRECT(ADDRESS(2,COLUMN())),OFFSET($R$2,0,0,ROW()-1,12),ROW()-1,FALSE))</f>
        <v>7.5199450880000001</v>
      </c>
      <c r="H21">
        <f ca="1">IF(AND(ISNUMBER($H$256),$B$238=1),$H$256,HLOOKUP(INDIRECT(ADDRESS(2,COLUMN())),OFFSET($R$2,0,0,ROW()-1,12),ROW()-1,FALSE))</f>
        <v>-1.004901872</v>
      </c>
      <c r="I21">
        <f ca="1">IF(AND(ISNUMBER($I$256),$B$238=1),$I$256,HLOOKUP(INDIRECT(ADDRESS(2,COLUMN())),OFFSET($R$2,0,0,ROW()-1,12),ROW()-1,FALSE))</f>
        <v>7.4080868000000004</v>
      </c>
      <c r="J21">
        <f ca="1">IF(AND(ISNUMBER($J$256),$B$238=1),$J$256,HLOOKUP(INDIRECT(ADDRESS(2,COLUMN())),OFFSET($R$2,0,0,ROW()-1,12),ROW()-1,FALSE))</f>
        <v>9.1354396280000003</v>
      </c>
      <c r="K21">
        <f ca="1">IF(AND(ISNUMBER($K$256),$B$238=1),$K$256,HLOOKUP(INDIRECT(ADDRESS(2,COLUMN())),OFFSET($R$2,0,0,ROW()-1,12),ROW()-1,FALSE))</f>
        <v>8.1230757889999996</v>
      </c>
      <c r="L21">
        <f ca="1">IF(AND(ISNUMBER($L$256),$B$238=1),$L$256,HLOOKUP(INDIRECT(ADDRESS(2,COLUMN())),OFFSET($R$2,0,0,ROW()-1,12),ROW()-1,FALSE))</f>
        <v>16.035280660000002</v>
      </c>
      <c r="M21">
        <f ca="1">IF(AND(ISNUMBER($M$256),$B$238=1),$M$256,HLOOKUP(INDIRECT(ADDRESS(2,COLUMN())),OFFSET($R$2,0,0,ROW()-1,12),ROW()-1,FALSE))</f>
        <v>0.61429520000000004</v>
      </c>
      <c r="N21">
        <f ca="1">IF(AND(ISNUMBER($N$256),$B$238=1),$N$256,HLOOKUP(INDIRECT(ADDRESS(2,COLUMN())),OFFSET($R$2,0,0,ROW()-1,12),ROW()-1,FALSE))</f>
        <v>19.781221219999999</v>
      </c>
      <c r="O21">
        <f ca="1">IF(AND(ISNUMBER($O$256),$B$238=1),$O$256,HLOOKUP(INDIRECT(ADDRESS(2,COLUMN())),OFFSET($R$2,0,0,ROW()-1,12),ROW()-1,FALSE))</f>
        <v>14.11573188</v>
      </c>
      <c r="P21">
        <f ca="1">IF(AND(ISNUMBER($P$256),$B$238=1),$P$256,HLOOKUP(INDIRECT(ADDRESS(2,COLUMN())),OFFSET($R$2,0,0,ROW()-1,12),ROW()-1,FALSE))</f>
        <v>5.8888305220000001</v>
      </c>
      <c r="Q21">
        <f ca="1">IF(AND(ISNUMBER($Q$256),$B$238=1),$Q$256,HLOOKUP(INDIRECT(ADDRESS(2,COLUMN())),OFFSET($R$2,0,0,ROW()-1,12),ROW()-1,FALSE))</f>
        <v>28.628701280000001</v>
      </c>
      <c r="R21">
        <f>4.162705152</f>
        <v>4.162705152</v>
      </c>
      <c r="S21">
        <f>7.519945088</f>
        <v>7.5199450880000001</v>
      </c>
      <c r="T21">
        <f>-1.004901872</f>
        <v>-1.004901872</v>
      </c>
      <c r="U21">
        <f>7.4080868</f>
        <v>7.4080868000000004</v>
      </c>
      <c r="V21">
        <f>9.135439628</f>
        <v>9.1354396280000003</v>
      </c>
      <c r="W21">
        <f>8.123075789</f>
        <v>8.1230757889999996</v>
      </c>
      <c r="X21">
        <f>16.03528066</f>
        <v>16.035280660000002</v>
      </c>
      <c r="Y21">
        <f>0.6142952</f>
        <v>0.61429520000000004</v>
      </c>
      <c r="Z21">
        <f>19.78122122</f>
        <v>19.781221219999999</v>
      </c>
      <c r="AA21">
        <f>14.11573188</f>
        <v>14.11573188</v>
      </c>
      <c r="AB21">
        <f>5.888830522</f>
        <v>5.8888305220000001</v>
      </c>
      <c r="AC21">
        <f>28.62870128</f>
        <v>28.628701280000001</v>
      </c>
    </row>
    <row r="22" spans="1:29" x14ac:dyDescent="0.25">
      <c r="A22" t="str">
        <f>"Sales Growth (3 Yr)"</f>
        <v>Sales Growth (3 Yr)</v>
      </c>
      <c r="B22" t="str">
        <f>"BRITBPOV Index"</f>
        <v>BRITBPOV Index</v>
      </c>
      <c r="E22" t="str">
        <f>"Average"</f>
        <v>Average</v>
      </c>
      <c r="F22">
        <f ca="1">IF(ISERROR(IF(AVERAGE($F$23:$F$39) = 0, "", AVERAGE($F$23:$F$39))), "", (IF(AVERAGE($F$23:$F$39) = 0, "", AVERAGE($F$23:$F$39))))</f>
        <v>5.2886489293529406</v>
      </c>
      <c r="G22">
        <f ca="1">IF(ISERROR(IF(AVERAGE($G$23:$G$39) = 0, "", AVERAGE($G$23:$G$39))), "", (IF(AVERAGE($G$23:$G$39) = 0, "", AVERAGE($G$23:$G$39))))</f>
        <v>6.305733188375001</v>
      </c>
      <c r="H22">
        <f ca="1">IF(ISERROR(IF(AVERAGE($H$23:$H$39) = 0, "", AVERAGE($H$23:$H$39))), "", (IF(AVERAGE($H$23:$H$39) = 0, "", AVERAGE($H$23:$H$39))))</f>
        <v>6.3493847076000005</v>
      </c>
      <c r="I22">
        <f ca="1">IF(ISERROR(IF(AVERAGE($I$23:$I$39) = 0, "", AVERAGE($I$23:$I$39))), "", (IF(AVERAGE($I$23:$I$39) = 0, "", AVERAGE($I$23:$I$39))))</f>
        <v>7.7024082493333328</v>
      </c>
      <c r="J22">
        <f ca="1">IF(ISERROR(IF(AVERAGE($J$23:$J$39) = 0, "", AVERAGE($J$23:$J$39))), "", (IF(AVERAGE($J$23:$J$39) = 0, "", AVERAGE($J$23:$J$39))))</f>
        <v>13.224117087733333</v>
      </c>
      <c r="K22">
        <f ca="1">IF(ISERROR(IF(AVERAGE($K$23:$K$39) = 0, "", AVERAGE($K$23:$K$39))), "", (IF(AVERAGE($K$23:$K$39) = 0, "", AVERAGE($K$23:$K$39))))</f>
        <v>15.319241979666664</v>
      </c>
      <c r="L22">
        <f ca="1">IF(ISERROR(IF(AVERAGE($L$23:$L$39) = 0, "", AVERAGE($L$23:$L$39))), "", (IF(AVERAGE($L$23:$L$39) = 0, "", AVERAGE($L$23:$L$39))))</f>
        <v>19.634570966999998</v>
      </c>
      <c r="M22">
        <f ca="1">IF(ISERROR(IF(AVERAGE($M$23:$M$39) = 0, "", AVERAGE($M$23:$M$39))), "", (IF(AVERAGE($M$23:$M$39) = 0, "", AVERAGE($M$23:$M$39))))</f>
        <v>16.71235553813333</v>
      </c>
      <c r="N22">
        <f ca="1">IF(ISERROR(IF(AVERAGE($N$23:$N$39) = 0, "", AVERAGE($N$23:$N$39))), "", (IF(AVERAGE($N$23:$N$39) = 0, "", AVERAGE($N$23:$N$39))))</f>
        <v>11.924707142533332</v>
      </c>
      <c r="O22">
        <f ca="1">IF(ISERROR(IF(AVERAGE($O$23:$O$39) = 0, "", AVERAGE($O$23:$O$39))), "", (IF(AVERAGE($O$23:$O$39) = 0, "", AVERAGE($O$23:$O$39))))</f>
        <v>11.060105053866668</v>
      </c>
      <c r="P22">
        <f ca="1">IF(ISERROR(IF(AVERAGE($P$23:$P$39) = 0, "", AVERAGE($P$23:$P$39))), "", (IF(AVERAGE($P$23:$P$39) = 0, "", AVERAGE($P$23:$P$39))))</f>
        <v>14.935493464466667</v>
      </c>
      <c r="Q22">
        <f ca="1">IF(ISERROR(IF(AVERAGE($Q$23:$Q$39) = 0, "", AVERAGE($Q$23:$Q$39))), "", (IF(AVERAGE($Q$23:$Q$39) = 0, "", AVERAGE($Q$23:$Q$39))))</f>
        <v>23.005896214500002</v>
      </c>
      <c r="R22">
        <f>5.288648929</f>
        <v>5.2886489289999998</v>
      </c>
      <c r="S22">
        <f>6.305733188</f>
        <v>6.3057331879999996</v>
      </c>
      <c r="T22">
        <f>6.349384708</f>
        <v>6.3493847079999997</v>
      </c>
      <c r="U22">
        <f>7.702408249</f>
        <v>7.7024082490000003</v>
      </c>
      <c r="V22">
        <f>13.22411709</f>
        <v>13.22411709</v>
      </c>
      <c r="W22">
        <f>15.31924198</f>
        <v>15.319241979999999</v>
      </c>
      <c r="X22">
        <f>19.63457097</f>
        <v>19.634570969999999</v>
      </c>
      <c r="Y22">
        <f>16.71235554</f>
        <v>16.712355540000001</v>
      </c>
      <c r="Z22">
        <f>11.92470714</f>
        <v>11.924707140000001</v>
      </c>
      <c r="AA22">
        <f>11.06010505</f>
        <v>11.060105050000001</v>
      </c>
      <c r="AB22">
        <f>14.93549346</f>
        <v>14.93549346</v>
      </c>
      <c r="AC22">
        <f>23.00589621</f>
        <v>23.00589621</v>
      </c>
    </row>
    <row r="23" spans="1:29" x14ac:dyDescent="0.25">
      <c r="A23" t="str">
        <f>"    Accenture PLC"</f>
        <v xml:space="preserve">    Accenture PLC</v>
      </c>
      <c r="B23" t="str">
        <f>"ACN US Equity"</f>
        <v>ACN US Equity</v>
      </c>
      <c r="C23" t="str">
        <f t="shared" ref="C23:C39" si="3">"RX552"</f>
        <v>RX552</v>
      </c>
      <c r="D23" t="str">
        <f t="shared" ref="D23:D39" si="4">"NET_SALES_3YR_GEO_GROWTH"</f>
        <v>NET_SALES_3YR_GEO_GROWTH</v>
      </c>
      <c r="E23" t="str">
        <f t="shared" ref="E23:E39" si="5">"Dynamic"</f>
        <v>Dynamic</v>
      </c>
      <c r="F23">
        <f ca="1">IF(AND(ISNUMBER($F$257),$B$238=1),$F$257,HLOOKUP(INDIRECT(ADDRESS(2,COLUMN())),OFFSET($R$2,0,0,ROW()-1,12),ROW()-1,FALSE))</f>
        <v>7.4883835120000004</v>
      </c>
      <c r="G23">
        <f ca="1">IF(AND(ISNUMBER($G$257),$B$238=1),$G$257,HLOOKUP(INDIRECT(ADDRESS(2,COLUMN())),OFFSET($R$2,0,0,ROW()-1,12),ROW()-1,FALSE))</f>
        <v>7.5902298689999999</v>
      </c>
      <c r="H23">
        <f ca="1">IF(AND(ISNUMBER($H$257),$B$238=1),$H$257,HLOOKUP(INDIRECT(ADDRESS(2,COLUMN())),OFFSET($R$2,0,0,ROW()-1,12),ROW()-1,FALSE))</f>
        <v>4.8732685</v>
      </c>
      <c r="I23">
        <f ca="1">IF(AND(ISNUMBER($I$257),$B$238=1),$I$257,HLOOKUP(INDIRECT(ADDRESS(2,COLUMN())),OFFSET($R$2,0,0,ROW()-1,12),ROW()-1,FALSE))</f>
        <v>4.613092473</v>
      </c>
      <c r="J23">
        <f ca="1">IF(AND(ISNUMBER($J$257),$B$238=1),$J$257,HLOOKUP(INDIRECT(ADDRESS(2,COLUMN())),OFFSET($R$2,0,0,ROW()-1,12),ROW()-1,FALSE))</f>
        <v>3.3943921079999999</v>
      </c>
      <c r="K23">
        <f ca="1">IF(AND(ISNUMBER($K$257),$B$238=1),$K$257,HLOOKUP(INDIRECT(ADDRESS(2,COLUMN())),OFFSET($R$2,0,0,ROW()-1,12),ROW()-1,FALSE))</f>
        <v>5.2318976360000002</v>
      </c>
      <c r="L23">
        <f ca="1">IF(AND(ISNUMBER($L$257),$B$238=1),$L$257,HLOOKUP(INDIRECT(ADDRESS(2,COLUMN())),OFFSET($R$2,0,0,ROW()-1,12),ROW()-1,FALSE))</f>
        <v>9.5881934540000007</v>
      </c>
      <c r="M23">
        <f ca="1">IF(AND(ISNUMBER($M$257),$B$238=1),$M$257,HLOOKUP(INDIRECT(ADDRESS(2,COLUMN())),OFFSET($R$2,0,0,ROW()-1,12),ROW()-1,FALSE))</f>
        <v>8.7219024279999999</v>
      </c>
      <c r="N23">
        <f ca="1">IF(AND(ISNUMBER($N$257),$B$238=1),$N$257,HLOOKUP(INDIRECT(ADDRESS(2,COLUMN())),OFFSET($R$2,0,0,ROW()-1,12),ROW()-1,FALSE))</f>
        <v>2.6160444420000002</v>
      </c>
      <c r="O23">
        <f ca="1">IF(AND(ISNUMBER($O$257),$B$238=1),$O$257,HLOOKUP(INDIRECT(ADDRESS(2,COLUMN())),OFFSET($R$2,0,0,ROW()-1,12),ROW()-1,FALSE))</f>
        <v>2.4878948090000002</v>
      </c>
      <c r="P23">
        <f ca="1">IF(AND(ISNUMBER($P$257),$B$238=1),$P$257,HLOOKUP(INDIRECT(ADDRESS(2,COLUMN())),OFFSET($R$2,0,0,ROW()-1,12),ROW()-1,FALSE))</f>
        <v>8.3258600539999996</v>
      </c>
      <c r="Q23">
        <f ca="1">IF(AND(ISNUMBER($Q$257),$B$238=1),$Q$257,HLOOKUP(INDIRECT(ADDRESS(2,COLUMN())),OFFSET($R$2,0,0,ROW()-1,12),ROW()-1,FALSE))</f>
        <v>13.981527679999999</v>
      </c>
      <c r="R23">
        <f>7.488383512</f>
        <v>7.4883835120000004</v>
      </c>
      <c r="S23">
        <f>7.590229869</f>
        <v>7.5902298689999999</v>
      </c>
      <c r="T23">
        <f>4.8732685</f>
        <v>4.8732685</v>
      </c>
      <c r="U23">
        <f>4.613092473</f>
        <v>4.613092473</v>
      </c>
      <c r="V23">
        <f>3.394392108</f>
        <v>3.3943921079999999</v>
      </c>
      <c r="W23">
        <f>5.231897636</f>
        <v>5.2318976360000002</v>
      </c>
      <c r="X23">
        <f>9.588193454</f>
        <v>9.5881934540000007</v>
      </c>
      <c r="Y23">
        <f>8.721902428</f>
        <v>8.7219024279999999</v>
      </c>
      <c r="Z23">
        <f>2.616044442</f>
        <v>2.6160444420000002</v>
      </c>
      <c r="AA23">
        <f>2.487894809</f>
        <v>2.4878948090000002</v>
      </c>
      <c r="AB23">
        <f>8.325860054</f>
        <v>8.3258600539999996</v>
      </c>
      <c r="AC23">
        <f>13.98152768</f>
        <v>13.981527679999999</v>
      </c>
    </row>
    <row r="24" spans="1:29" x14ac:dyDescent="0.25">
      <c r="A24" t="str">
        <f>"    Amdocs Ltd"</f>
        <v xml:space="preserve">    Amdocs Ltd</v>
      </c>
      <c r="B24" t="str">
        <f>"DOX US Equity"</f>
        <v>DOX US Equity</v>
      </c>
      <c r="C24" t="str">
        <f t="shared" si="3"/>
        <v>RX552</v>
      </c>
      <c r="D24" t="str">
        <f t="shared" si="4"/>
        <v>NET_SALES_3YR_GEO_GROWTH</v>
      </c>
      <c r="E24" t="str">
        <f t="shared" si="5"/>
        <v>Dynamic</v>
      </c>
      <c r="F24">
        <f ca="1">IF(AND(ISNUMBER($F$258),$B$238=1),$F$258,HLOOKUP(INDIRECT(ADDRESS(2,COLUMN())),OFFSET($R$2,0,0,ROW()-1,12),ROW()-1,FALSE))</f>
        <v>3.1995435809999999</v>
      </c>
      <c r="G24">
        <f ca="1">IF(AND(ISNUMBER($G$258),$B$238=1),$G$258,HLOOKUP(INDIRECT(ADDRESS(2,COLUMN())),OFFSET($R$2,0,0,ROW()-1,12),ROW()-1,FALSE))</f>
        <v>2.9434392370000002</v>
      </c>
      <c r="H24">
        <f ca="1">IF(AND(ISNUMBER($H$258),$B$238=1),$H$258,HLOOKUP(INDIRECT(ADDRESS(2,COLUMN())),OFFSET($R$2,0,0,ROW()-1,12),ROW()-1,FALSE))</f>
        <v>2.7620375199999998</v>
      </c>
      <c r="I24">
        <f ca="1">IF(AND(ISNUMBER($I$258),$B$238=1),$I$258,HLOOKUP(INDIRECT(ADDRESS(2,COLUMN())),OFFSET($R$2,0,0,ROW()-1,12),ROW()-1,FALSE))</f>
        <v>3.5801134960000001</v>
      </c>
      <c r="J24">
        <f ca="1">IF(AND(ISNUMBER($J$258),$B$238=1),$J$258,HLOOKUP(INDIRECT(ADDRESS(2,COLUMN())),OFFSET($R$2,0,0,ROW()-1,12),ROW()-1,FALSE))</f>
        <v>3.9165363879999999</v>
      </c>
      <c r="K24">
        <f ca="1">IF(AND(ISNUMBER($K$258),$B$238=1),$K$258,HLOOKUP(INDIRECT(ADDRESS(2,COLUMN())),OFFSET($R$2,0,0,ROW()-1,12),ROW()-1,FALSE))</f>
        <v>3.8944255750000001</v>
      </c>
      <c r="L24">
        <f ca="1">IF(AND(ISNUMBER($L$258),$B$238=1),$L$258,HLOOKUP(INDIRECT(ADDRESS(2,COLUMN())),OFFSET($R$2,0,0,ROW()-1,12),ROW()-1,FALSE))</f>
        <v>3.886369894</v>
      </c>
      <c r="M24">
        <f ca="1">IF(AND(ISNUMBER($M$258),$B$238=1),$M$258,HLOOKUP(INDIRECT(ADDRESS(2,COLUMN())),OFFSET($R$2,0,0,ROW()-1,12),ROW()-1,FALSE))</f>
        <v>4.288365733</v>
      </c>
      <c r="N24">
        <f ca="1">IF(AND(ISNUMBER($N$258),$B$238=1),$N$258,HLOOKUP(INDIRECT(ADDRESS(2,COLUMN())),OFFSET($R$2,0,0,ROW()-1,12),ROW()-1,FALSE))</f>
        <v>0.164514416</v>
      </c>
      <c r="O24">
        <f ca="1">IF(AND(ISNUMBER($O$258),$B$238=1),$O$258,HLOOKUP(INDIRECT(ADDRESS(2,COLUMN())),OFFSET($R$2,0,0,ROW()-1,12),ROW()-1,FALSE))</f>
        <v>1.7105926760000001</v>
      </c>
      <c r="P24">
        <f ca="1">IF(AND(ISNUMBER($P$258),$B$238=1),$P$258,HLOOKUP(INDIRECT(ADDRESS(2,COLUMN())),OFFSET($R$2,0,0,ROW()-1,12),ROW()-1,FALSE))</f>
        <v>4.8979733019999996</v>
      </c>
      <c r="Q24">
        <f ca="1">IF(AND(ISNUMBER($Q$258),$B$238=1),$Q$258,HLOOKUP(INDIRECT(ADDRESS(2,COLUMN())),OFFSET($R$2,0,0,ROW()-1,12),ROW()-1,FALSE))</f>
        <v>15.756712889999999</v>
      </c>
      <c r="R24">
        <f>3.199543581</f>
        <v>3.1995435809999999</v>
      </c>
      <c r="S24">
        <f>2.943439237</f>
        <v>2.9434392370000002</v>
      </c>
      <c r="T24">
        <f>2.76203752</f>
        <v>2.7620375199999998</v>
      </c>
      <c r="U24">
        <f>3.580113496</f>
        <v>3.5801134960000001</v>
      </c>
      <c r="V24">
        <f>3.916536388</f>
        <v>3.9165363879999999</v>
      </c>
      <c r="W24">
        <f>3.894425575</f>
        <v>3.8944255750000001</v>
      </c>
      <c r="X24">
        <f>3.886369894</f>
        <v>3.886369894</v>
      </c>
      <c r="Y24">
        <f>4.288365733</f>
        <v>4.288365733</v>
      </c>
      <c r="Z24">
        <f>0.164514416</f>
        <v>0.164514416</v>
      </c>
      <c r="AA24">
        <f>1.710592676</f>
        <v>1.7105926760000001</v>
      </c>
      <c r="AB24">
        <f>4.897973302</f>
        <v>4.8979733019999996</v>
      </c>
      <c r="AC24">
        <f>15.75671289</f>
        <v>15.756712889999999</v>
      </c>
    </row>
    <row r="25" spans="1:29" x14ac:dyDescent="0.25">
      <c r="A25" t="str">
        <f>"    Atos SE"</f>
        <v xml:space="preserve">    Atos SE</v>
      </c>
      <c r="B25" t="str">
        <f>"ATO FP Equity"</f>
        <v>ATO FP Equity</v>
      </c>
      <c r="C25" t="str">
        <f t="shared" si="3"/>
        <v>RX552</v>
      </c>
      <c r="D25" t="str">
        <f t="shared" si="4"/>
        <v>NET_SALES_3YR_GEO_GROWTH</v>
      </c>
      <c r="E25" t="str">
        <f t="shared" si="5"/>
        <v>Dynamic</v>
      </c>
      <c r="F25">
        <f ca="1">IF(AND(ISNUMBER($F$259),$B$238=1),$F$259,HLOOKUP(INDIRECT(ADDRESS(2,COLUMN())),OFFSET($R$2,0,0,ROW()-1,12),ROW()-1,FALSE))</f>
        <v>-1.533002411</v>
      </c>
      <c r="G25">
        <f ca="1">IF(AND(ISNUMBER($G$259),$B$238=1),$G$259,HLOOKUP(INDIRECT(ADDRESS(2,COLUMN())),OFFSET($R$2,0,0,ROW()-1,12),ROW()-1,FALSE))</f>
        <v>-0.11711806800000001</v>
      </c>
      <c r="H25">
        <f ca="1">IF(AND(ISNUMBER($H$259),$B$238=1),$H$259,HLOOKUP(INDIRECT(ADDRESS(2,COLUMN())),OFFSET($R$2,0,0,ROW()-1,12),ROW()-1,FALSE))</f>
        <v>9.8441076850000009</v>
      </c>
      <c r="I25">
        <f ca="1">IF(AND(ISNUMBER($I$259),$B$238=1),$I$259,HLOOKUP(INDIRECT(ADDRESS(2,COLUMN())),OFFSET($R$2,0,0,ROW()-1,12),ROW()-1,FALSE))</f>
        <v>12.10726584</v>
      </c>
      <c r="J25">
        <f ca="1">IF(AND(ISNUMBER($J$259),$B$238=1),$J$259,HLOOKUP(INDIRECT(ADDRESS(2,COLUMN())),OFFSET($R$2,0,0,ROW()-1,12),ROW()-1,FALSE))</f>
        <v>6.5067488009999996</v>
      </c>
      <c r="K25">
        <f ca="1">IF(AND(ISNUMBER($K$259),$B$238=1),$K$259,HLOOKUP(INDIRECT(ADDRESS(2,COLUMN())),OFFSET($R$2,0,0,ROW()-1,12),ROW()-1,FALSE))</f>
        <v>9.9342999889999994</v>
      </c>
      <c r="L25">
        <f ca="1">IF(AND(ISNUMBER($L$259),$B$238=1),$L$259,HLOOKUP(INDIRECT(ADDRESS(2,COLUMN())),OFFSET($R$2,0,0,ROW()-1,12),ROW()-1,FALSE))</f>
        <v>19.718104400000001</v>
      </c>
      <c r="M25">
        <f ca="1">IF(AND(ISNUMBER($M$259),$B$238=1),$M$259,HLOOKUP(INDIRECT(ADDRESS(2,COLUMN())),OFFSET($R$2,0,0,ROW()-1,12),ROW()-1,FALSE))</f>
        <v>19.931532359999999</v>
      </c>
      <c r="N25">
        <f ca="1">IF(AND(ISNUMBER($N$259),$B$238=1),$N$259,HLOOKUP(INDIRECT(ADDRESS(2,COLUMN())),OFFSET($R$2,0,0,ROW()-1,12),ROW()-1,FALSE))</f>
        <v>6.6023074490000004</v>
      </c>
      <c r="O25">
        <f ca="1">IF(AND(ISNUMBER($O$259),$B$238=1),$O$259,HLOOKUP(INDIRECT(ADDRESS(2,COLUMN())),OFFSET($R$2,0,0,ROW()-1,12),ROW()-1,FALSE))</f>
        <v>-4.9979410350000002</v>
      </c>
      <c r="P25">
        <f ca="1">IF(AND(ISNUMBER($P$259),$B$238=1),$P$259,HLOOKUP(INDIRECT(ADDRESS(2,COLUMN())),OFFSET($R$2,0,0,ROW()-1,12),ROW()-1,FALSE))</f>
        <v>-1.69559427</v>
      </c>
      <c r="Q25">
        <f ca="1">IF(AND(ISNUMBER($Q$259),$B$238=1),$Q$259,HLOOKUP(INDIRECT(ADDRESS(2,COLUMN())),OFFSET($R$2,0,0,ROW()-1,12),ROW()-1,FALSE))</f>
        <v>0.99515040099999996</v>
      </c>
      <c r="R25">
        <f>-1.533002411</f>
        <v>-1.533002411</v>
      </c>
      <c r="S25">
        <f>-0.117118068</f>
        <v>-0.11711806800000001</v>
      </c>
      <c r="T25">
        <f>9.844107685</f>
        <v>9.8441076850000009</v>
      </c>
      <c r="U25">
        <f>12.10726584</f>
        <v>12.10726584</v>
      </c>
      <c r="V25">
        <f>6.506748801</f>
        <v>6.5067488009999996</v>
      </c>
      <c r="W25">
        <f>9.934299989</f>
        <v>9.9342999889999994</v>
      </c>
      <c r="X25">
        <f>19.7181044</f>
        <v>19.718104400000001</v>
      </c>
      <c r="Y25">
        <f>19.93153236</f>
        <v>19.931532359999999</v>
      </c>
      <c r="Z25">
        <f>6.602307449</f>
        <v>6.6023074490000004</v>
      </c>
      <c r="AA25">
        <f>-4.997941035</f>
        <v>-4.9979410350000002</v>
      </c>
      <c r="AB25">
        <f>-1.69559427</f>
        <v>-1.69559427</v>
      </c>
      <c r="AC25">
        <f>0.995150401</f>
        <v>0.99515040099999996</v>
      </c>
    </row>
    <row r="26" spans="1:29" x14ac:dyDescent="0.25">
      <c r="A26" t="str">
        <f>"    Capgemini SE"</f>
        <v xml:space="preserve">    Capgemini SE</v>
      </c>
      <c r="B26" t="str">
        <f>"CAP FP Equity"</f>
        <v>CAP FP Equity</v>
      </c>
      <c r="C26" t="str">
        <f t="shared" si="3"/>
        <v>RX552</v>
      </c>
      <c r="D26" t="str">
        <f t="shared" si="4"/>
        <v>NET_SALES_3YR_GEO_GROWTH</v>
      </c>
      <c r="E26" t="str">
        <f t="shared" si="5"/>
        <v>Dynamic</v>
      </c>
      <c r="F26">
        <f ca="1">IF(AND(ISNUMBER($F$260),$B$238=1),$F$260,HLOOKUP(INDIRECT(ADDRESS(2,COLUMN())),OFFSET($R$2,0,0,ROW()-1,12),ROW()-1,FALSE))</f>
        <v>4.0499441349999996</v>
      </c>
      <c r="G26">
        <f ca="1">IF(AND(ISNUMBER($G$260),$B$238=1),$G$260,HLOOKUP(INDIRECT(ADDRESS(2,COLUMN())),OFFSET($R$2,0,0,ROW()-1,12),ROW()-1,FALSE))</f>
        <v>3.46506224</v>
      </c>
      <c r="H26">
        <f ca="1">IF(AND(ISNUMBER($H$260),$B$238=1),$H$260,HLOOKUP(INDIRECT(ADDRESS(2,COLUMN())),OFFSET($R$2,0,0,ROW()-1,12),ROW()-1,FALSE))</f>
        <v>5.8099479570000003</v>
      </c>
      <c r="I26">
        <f ca="1">IF(AND(ISNUMBER($I$260),$B$238=1),$I$260,HLOOKUP(INDIRECT(ADDRESS(2,COLUMN())),OFFSET($R$2,0,0,ROW()-1,12),ROW()-1,FALSE))</f>
        <v>7.5049727669999999</v>
      </c>
      <c r="J26">
        <f ca="1">IF(AND(ISNUMBER($J$260),$B$238=1),$J$260,HLOOKUP(INDIRECT(ADDRESS(2,COLUMN())),OFFSET($R$2,0,0,ROW()-1,12),ROW()-1,FALSE))</f>
        <v>5.0975199340000001</v>
      </c>
      <c r="K26">
        <f ca="1">IF(AND(ISNUMBER($K$260),$B$238=1),$K$260,HLOOKUP(INDIRECT(ADDRESS(2,COLUMN())),OFFSET($R$2,0,0,ROW()-1,12),ROW()-1,FALSE))</f>
        <v>2.9390145780000001</v>
      </c>
      <c r="L26">
        <f ca="1">IF(AND(ISNUMBER($L$260),$B$238=1),$L$260,HLOOKUP(INDIRECT(ADDRESS(2,COLUMN())),OFFSET($R$2,0,0,ROW()-1,12),ROW()-1,FALSE))</f>
        <v>5.0838374399999999</v>
      </c>
      <c r="M26">
        <f ca="1">IF(AND(ISNUMBER($M$260),$B$238=1),$M$260,HLOOKUP(INDIRECT(ADDRESS(2,COLUMN())),OFFSET($R$2,0,0,ROW()-1,12),ROW()-1,FALSE))</f>
        <v>7.0318668549999996</v>
      </c>
      <c r="N26">
        <f ca="1">IF(AND(ISNUMBER($N$260),$B$238=1),$N$260,HLOOKUP(INDIRECT(ADDRESS(2,COLUMN())),OFFSET($R$2,0,0,ROW()-1,12),ROW()-1,FALSE))</f>
        <v>3.6286926469999998</v>
      </c>
      <c r="O26">
        <f ca="1">IF(AND(ISNUMBER($O$260),$B$238=1),$O$260,HLOOKUP(INDIRECT(ADDRESS(2,COLUMN())),OFFSET($R$2,0,0,ROW()-1,12),ROW()-1,FALSE))</f>
        <v>-2.2985864000000002E-2</v>
      </c>
      <c r="P26">
        <f ca="1">IF(AND(ISNUMBER($P$260),$B$238=1),$P$260,HLOOKUP(INDIRECT(ADDRESS(2,COLUMN())),OFFSET($R$2,0,0,ROW()-1,12),ROW()-1,FALSE))</f>
        <v>2.8242472699999999</v>
      </c>
      <c r="Q26">
        <f ca="1">IF(AND(ISNUMBER($Q$260),$B$238=1),$Q$260,HLOOKUP(INDIRECT(ADDRESS(2,COLUMN())),OFFSET($R$2,0,0,ROW()-1,12),ROW()-1,FALSE))</f>
        <v>7.7939755789999996</v>
      </c>
      <c r="R26">
        <f>4.049944135</f>
        <v>4.0499441349999996</v>
      </c>
      <c r="S26">
        <f>3.46506224</f>
        <v>3.46506224</v>
      </c>
      <c r="T26">
        <f>5.809947957</f>
        <v>5.8099479570000003</v>
      </c>
      <c r="U26">
        <f>7.504972767</f>
        <v>7.5049727669999999</v>
      </c>
      <c r="V26">
        <f>5.097519934</f>
        <v>5.0975199340000001</v>
      </c>
      <c r="W26">
        <f>2.939014578</f>
        <v>2.9390145780000001</v>
      </c>
      <c r="X26">
        <f>5.08383744</f>
        <v>5.0838374399999999</v>
      </c>
      <c r="Y26">
        <f>7.031866855</f>
        <v>7.0318668549999996</v>
      </c>
      <c r="Z26">
        <f>3.628692647</f>
        <v>3.6286926469999998</v>
      </c>
      <c r="AA26">
        <f>-0.022985864</f>
        <v>-2.2985864000000002E-2</v>
      </c>
      <c r="AB26">
        <f>2.82424727</f>
        <v>2.8242472699999999</v>
      </c>
      <c r="AC26">
        <f>7.793975579</f>
        <v>7.7939755789999996</v>
      </c>
    </row>
    <row r="27" spans="1:29" x14ac:dyDescent="0.25">
      <c r="A27" t="str">
        <f>"    CGI Inc"</f>
        <v xml:space="preserve">    CGI Inc</v>
      </c>
      <c r="B27" t="str">
        <f>"GIB US Equity"</f>
        <v>GIB US Equity</v>
      </c>
      <c r="C27" t="str">
        <f t="shared" si="3"/>
        <v>RX552</v>
      </c>
      <c r="D27" t="str">
        <f t="shared" si="4"/>
        <v>NET_SALES_3YR_GEO_GROWTH</v>
      </c>
      <c r="E27" t="str">
        <f t="shared" si="5"/>
        <v>Dynamic</v>
      </c>
      <c r="F27">
        <f ca="1">IF(AND(ISNUMBER($F$261),$B$238=1),$F$261,HLOOKUP(INDIRECT(ADDRESS(2,COLUMN())),OFFSET($R$2,0,0,ROW()-1,12),ROW()-1,FALSE))</f>
        <v>4.2705110460000002</v>
      </c>
      <c r="G27">
        <f ca="1">IF(AND(ISNUMBER($G$261),$B$238=1),$G$261,HLOOKUP(INDIRECT(ADDRESS(2,COLUMN())),OFFSET($R$2,0,0,ROW()-1,12),ROW()-1,FALSE))</f>
        <v>3.8056291949999999</v>
      </c>
      <c r="H27">
        <f ca="1">IF(AND(ISNUMBER($H$261),$B$238=1),$H$261,HLOOKUP(INDIRECT(ADDRESS(2,COLUMN())),OFFSET($R$2,0,0,ROW()-1,12),ROW()-1,FALSE))</f>
        <v>1.0846503599999999</v>
      </c>
      <c r="I27">
        <f ca="1">IF(AND(ISNUMBER($I$261),$B$238=1),$I$261,HLOOKUP(INDIRECT(ADDRESS(2,COLUMN())),OFFSET($R$2,0,0,ROW()-1,12),ROW()-1,FALSE))</f>
        <v>1.9408107809999999</v>
      </c>
      <c r="J27">
        <f ca="1">IF(AND(ISNUMBER($J$261),$B$238=1),$J$261,HLOOKUP(INDIRECT(ADDRESS(2,COLUMN())),OFFSET($R$2,0,0,ROW()-1,12),ROW()-1,FALSE))</f>
        <v>29.17654975</v>
      </c>
      <c r="K27">
        <f ca="1">IF(AND(ISNUMBER($K$261),$B$238=1),$K$261,HLOOKUP(INDIRECT(ADDRESS(2,COLUMN())),OFFSET($R$2,0,0,ROW()-1,12),ROW()-1,FALSE))</f>
        <v>35.462640810000003</v>
      </c>
      <c r="L27">
        <f ca="1">IF(AND(ISNUMBER($L$261),$B$238=1),$L$261,HLOOKUP(INDIRECT(ADDRESS(2,COLUMN())),OFFSET($R$2,0,0,ROW()-1,12),ROW()-1,FALSE))</f>
        <v>39.284082179999999</v>
      </c>
      <c r="M27">
        <f ca="1">IF(AND(ISNUMBER($M$261),$B$238=1),$M$261,HLOOKUP(INDIRECT(ADDRESS(2,COLUMN())),OFFSET($R$2,0,0,ROW()-1,12),ROW()-1,FALSE))</f>
        <v>7.654125466</v>
      </c>
      <c r="N27">
        <f ca="1">IF(AND(ISNUMBER($N$261),$B$238=1),$N$261,HLOOKUP(INDIRECT(ADDRESS(2,COLUMN())),OFFSET($R$2,0,0,ROW()-1,12),ROW()-1,FALSE))</f>
        <v>4.4582779590000001</v>
      </c>
      <c r="O27">
        <f ca="1">IF(AND(ISNUMBER($O$261),$B$238=1),$O$261,HLOOKUP(INDIRECT(ADDRESS(2,COLUMN())),OFFSET($R$2,0,0,ROW()-1,12),ROW()-1,FALSE))</f>
        <v>0.89251934399999999</v>
      </c>
      <c r="P27">
        <f ca="1">IF(AND(ISNUMBER($P$261),$B$238=1),$P$261,HLOOKUP(INDIRECT(ADDRESS(2,COLUMN())),OFFSET($R$2,0,0,ROW()-1,12),ROW()-1,FALSE))</f>
        <v>4.0732193759999999</v>
      </c>
      <c r="Q27">
        <f ca="1">IF(AND(ISNUMBER($Q$261),$B$238=1),$Q$261,HLOOKUP(INDIRECT(ADDRESS(2,COLUMN())),OFFSET($R$2,0,0,ROW()-1,12),ROW()-1,FALSE))</f>
        <v>0.179430752</v>
      </c>
      <c r="R27">
        <f>4.270511046</f>
        <v>4.2705110460000002</v>
      </c>
      <c r="S27">
        <f>3.805629195</f>
        <v>3.8056291949999999</v>
      </c>
      <c r="T27">
        <f>1.08465036</f>
        <v>1.0846503599999999</v>
      </c>
      <c r="U27">
        <f>1.940810781</f>
        <v>1.9408107809999999</v>
      </c>
      <c r="V27">
        <f>29.17654975</f>
        <v>29.17654975</v>
      </c>
      <c r="W27">
        <f>35.46264081</f>
        <v>35.462640810000003</v>
      </c>
      <c r="X27">
        <f>39.28408218</f>
        <v>39.284082179999999</v>
      </c>
      <c r="Y27">
        <f>7.654125466</f>
        <v>7.654125466</v>
      </c>
      <c r="Z27">
        <f>4.458277959</f>
        <v>4.4582779590000001</v>
      </c>
      <c r="AA27">
        <f>0.892519344</f>
        <v>0.89251934399999999</v>
      </c>
      <c r="AB27">
        <f>4.073219376</f>
        <v>4.0732193759999999</v>
      </c>
      <c r="AC27">
        <f>0.179430752</f>
        <v>0.179430752</v>
      </c>
    </row>
    <row r="28" spans="1:29" x14ac:dyDescent="0.25">
      <c r="A28" t="str">
        <f>"    Cognizant Technology Solutions Corp"</f>
        <v xml:space="preserve">    Cognizant Technology Solutions Corp</v>
      </c>
      <c r="B28" t="str">
        <f>"CTSH US Equity"</f>
        <v>CTSH US Equity</v>
      </c>
      <c r="C28" t="str">
        <f t="shared" si="3"/>
        <v>RX552</v>
      </c>
      <c r="D28" t="str">
        <f t="shared" si="4"/>
        <v>NET_SALES_3YR_GEO_GROWTH</v>
      </c>
      <c r="E28" t="str">
        <f t="shared" si="5"/>
        <v>Dynamic</v>
      </c>
      <c r="F28">
        <f ca="1">IF(AND(ISNUMBER($F$262),$B$238=1),$F$262,HLOOKUP(INDIRECT(ADDRESS(2,COLUMN())),OFFSET($R$2,0,0,ROW()-1,12),ROW()-1,FALSE))</f>
        <v>7.5601532569999996</v>
      </c>
      <c r="G28">
        <f ca="1">IF(AND(ISNUMBER($G$262),$B$238=1),$G$262,HLOOKUP(INDIRECT(ADDRESS(2,COLUMN())),OFFSET($R$2,0,0,ROW()-1,12),ROW()-1,FALSE))</f>
        <v>9.1036650469999998</v>
      </c>
      <c r="H28">
        <f ca="1">IF(AND(ISNUMBER($H$262),$B$238=1),$H$262,HLOOKUP(INDIRECT(ADDRESS(2,COLUMN())),OFFSET($R$2,0,0,ROW()-1,12),ROW()-1,FALSE))</f>
        <v>13.005038669999999</v>
      </c>
      <c r="I28">
        <f ca="1">IF(AND(ISNUMBER($I$262),$B$238=1),$I$262,HLOOKUP(INDIRECT(ADDRESS(2,COLUMN())),OFFSET($R$2,0,0,ROW()-1,12),ROW()-1,FALSE))</f>
        <v>15.10710999</v>
      </c>
      <c r="J28">
        <f ca="1">IF(AND(ISNUMBER($J$262),$B$238=1),$J$262,HLOOKUP(INDIRECT(ADDRESS(2,COLUMN())),OFFSET($R$2,0,0,ROW()-1,12),ROW()-1,FALSE))</f>
        <v>19.115320990000001</v>
      </c>
      <c r="K28">
        <f ca="1">IF(AND(ISNUMBER($K$262),$B$238=1),$K$262,HLOOKUP(INDIRECT(ADDRESS(2,COLUMN())),OFFSET($R$2,0,0,ROW()-1,12),ROW()-1,FALSE))</f>
        <v>18.798072789999999</v>
      </c>
      <c r="L28">
        <f ca="1">IF(AND(ISNUMBER($L$262),$B$238=1),$L$262,HLOOKUP(INDIRECT(ADDRESS(2,COLUMN())),OFFSET($R$2,0,0,ROW()-1,12),ROW()-1,FALSE))</f>
        <v>24.410417160000002</v>
      </c>
      <c r="M28">
        <f ca="1">IF(AND(ISNUMBER($M$262),$B$238=1),$M$262,HLOOKUP(INDIRECT(ADDRESS(2,COLUMN())),OFFSET($R$2,0,0,ROW()-1,12),ROW()-1,FALSE))</f>
        <v>30.856113090000001</v>
      </c>
      <c r="N28">
        <f ca="1">IF(AND(ISNUMBER($N$262),$B$238=1),$N$262,HLOOKUP(INDIRECT(ADDRESS(2,COLUMN())),OFFSET($R$2,0,0,ROW()-1,12),ROW()-1,FALSE))</f>
        <v>29.534257069999999</v>
      </c>
      <c r="O28">
        <f ca="1">IF(AND(ISNUMBER($O$262),$B$238=1),$O$262,HLOOKUP(INDIRECT(ADDRESS(2,COLUMN())),OFFSET($R$2,0,0,ROW()-1,12),ROW()-1,FALSE))</f>
        <v>29.074705959999999</v>
      </c>
      <c r="P28">
        <f ca="1">IF(AND(ISNUMBER($P$262),$B$238=1),$P$262,HLOOKUP(INDIRECT(ADDRESS(2,COLUMN())),OFFSET($R$2,0,0,ROW()-1,12),ROW()-1,FALSE))</f>
        <v>32.038867060000001</v>
      </c>
      <c r="Q28">
        <f ca="1">IF(AND(ISNUMBER($Q$262),$B$238=1),$Q$262,HLOOKUP(INDIRECT(ADDRESS(2,COLUMN())),OFFSET($R$2,0,0,ROW()-1,12),ROW()-1,FALSE))</f>
        <v>47.04255801</v>
      </c>
      <c r="R28">
        <f>7.560153257</f>
        <v>7.5601532569999996</v>
      </c>
      <c r="S28">
        <f>9.103665047</f>
        <v>9.1036650469999998</v>
      </c>
      <c r="T28">
        <f>13.00503867</f>
        <v>13.005038669999999</v>
      </c>
      <c r="U28">
        <f>15.10710999</f>
        <v>15.10710999</v>
      </c>
      <c r="V28">
        <f>19.11532099</f>
        <v>19.115320990000001</v>
      </c>
      <c r="W28">
        <f>18.79807279</f>
        <v>18.798072789999999</v>
      </c>
      <c r="X28">
        <f>24.41041716</f>
        <v>24.410417160000002</v>
      </c>
      <c r="Y28">
        <f>30.85611309</f>
        <v>30.856113090000001</v>
      </c>
      <c r="Z28">
        <f>29.53425707</f>
        <v>29.534257069999999</v>
      </c>
      <c r="AA28">
        <f>29.07470596</f>
        <v>29.074705959999999</v>
      </c>
      <c r="AB28">
        <f>32.03886706</f>
        <v>32.038867060000001</v>
      </c>
      <c r="AC28">
        <f>47.04255801</f>
        <v>47.04255801</v>
      </c>
    </row>
    <row r="29" spans="1:29" x14ac:dyDescent="0.25">
      <c r="A29" t="str">
        <f>"    Conduent Inc"</f>
        <v xml:space="preserve">    Conduent Inc</v>
      </c>
      <c r="B29" t="str">
        <f>"CNDT US Equity"</f>
        <v>CNDT US Equity</v>
      </c>
      <c r="C29" t="str">
        <f t="shared" si="3"/>
        <v>RX552</v>
      </c>
      <c r="D29" t="str">
        <f t="shared" si="4"/>
        <v>NET_SALES_3YR_GEO_GROWTH</v>
      </c>
      <c r="E29" t="str">
        <f t="shared" si="5"/>
        <v>Dynamic</v>
      </c>
      <c r="F29">
        <f ca="1">IF(AND(ISNUMBER($F$263),$B$238=1),$F$263,HLOOKUP(INDIRECT(ADDRESS(2,COLUMN())),OFFSET($R$2,0,0,ROW()-1,12),ROW()-1,FALSE))</f>
        <v>-11.33249601</v>
      </c>
      <c r="G29">
        <f ca="1">IF(AND(ISNUMBER($G$263),$B$238=1),$G$263,HLOOKUP(INDIRECT(ADDRESS(2,COLUMN())),OFFSET($R$2,0,0,ROW()-1,12),ROW()-1,FALSE))</f>
        <v>-6.8015698020000004</v>
      </c>
      <c r="H29">
        <f ca="1">IF(AND(ISNUMBER($H$263),$B$238=1),$H$263,HLOOKUP(INDIRECT(ADDRESS(2,COLUMN())),OFFSET($R$2,0,0,ROW()-1,12),ROW()-1,FALSE))</f>
        <v>-4.6101530689999999</v>
      </c>
      <c r="I29">
        <f ca="1">IF(AND(ISNUMBER($I$263),$B$238=1),$I$263,HLOOKUP(INDIRECT(ADDRESS(2,COLUMN())),OFFSET($R$2,0,0,ROW()-1,12),ROW()-1,FALSE))</f>
        <v>-2.3364744339999999</v>
      </c>
      <c r="J29">
        <f ca="1">IF(AND(ISNUMBER($J$263),$B$238=1),$J$263,HLOOKUP(INDIRECT(ADDRESS(2,COLUMN())),OFFSET($R$2,0,0,ROW()-1,12),ROW()-1,FALSE))</f>
        <v>-1.0339823450000001</v>
      </c>
      <c r="K29">
        <f ca="1">IF(AND(ISNUMBER($K$263),$B$238=1),$K$263,HLOOKUP(INDIRECT(ADDRESS(2,COLUMN())),OFFSET($R$2,0,0,ROW()-1,12),ROW()-1,FALSE))</f>
        <v>3.410171976</v>
      </c>
      <c r="L29" t="str">
        <f ca="1">IF(AND(ISNUMBER($L$263),$B$238=1),$L$263,HLOOKUP(INDIRECT(ADDRESS(2,COLUMN())),OFFSET($R$2,0,0,ROW()-1,12),ROW()-1,FALSE))</f>
        <v/>
      </c>
      <c r="M29" t="str">
        <f ca="1">IF(AND(ISNUMBER($M$263),$B$238=1),$M$263,HLOOKUP(INDIRECT(ADDRESS(2,COLUMN())),OFFSET($R$2,0,0,ROW()-1,12),ROW()-1,FALSE))</f>
        <v/>
      </c>
      <c r="N29" t="str">
        <f ca="1">IF(AND(ISNUMBER($N$263),$B$238=1),$N$263,HLOOKUP(INDIRECT(ADDRESS(2,COLUMN())),OFFSET($R$2,0,0,ROW()-1,12),ROW()-1,FALSE))</f>
        <v/>
      </c>
      <c r="O29" t="str">
        <f ca="1">IF(AND(ISNUMBER($O$263),$B$238=1),$O$263,HLOOKUP(INDIRECT(ADDRESS(2,COLUMN())),OFFSET($R$2,0,0,ROW()-1,12),ROW()-1,FALSE))</f>
        <v/>
      </c>
      <c r="P29" t="str">
        <f ca="1">IF(AND(ISNUMBER($P$263),$B$238=1),$P$263,HLOOKUP(INDIRECT(ADDRESS(2,COLUMN())),OFFSET($R$2,0,0,ROW()-1,12),ROW()-1,FALSE))</f>
        <v/>
      </c>
      <c r="Q29" t="str">
        <f ca="1">IF(AND(ISNUMBER($Q$263),$B$238=1),$Q$263,HLOOKUP(INDIRECT(ADDRESS(2,COLUMN())),OFFSET($R$2,0,0,ROW()-1,12),ROW()-1,FALSE))</f>
        <v/>
      </c>
      <c r="R29">
        <f>-11.33249601</f>
        <v>-11.33249601</v>
      </c>
      <c r="S29">
        <f>-6.801569802</f>
        <v>-6.8015698020000004</v>
      </c>
      <c r="T29">
        <f>-4.610153069</f>
        <v>-4.6101530689999999</v>
      </c>
      <c r="U29">
        <f>-2.336474434</f>
        <v>-2.3364744339999999</v>
      </c>
      <c r="V29">
        <f>-1.033982345</f>
        <v>-1.0339823450000001</v>
      </c>
      <c r="W29">
        <f>3.410171976</f>
        <v>3.410171976</v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t="str">
        <f>""</f>
        <v/>
      </c>
      <c r="AC29" t="str">
        <f>""</f>
        <v/>
      </c>
    </row>
    <row r="30" spans="1:29" x14ac:dyDescent="0.25">
      <c r="A30" t="str">
        <f>"    DXC Technology Co"</f>
        <v xml:space="preserve">    DXC Technology Co</v>
      </c>
      <c r="B30" t="str">
        <f>"DXC US Equity"</f>
        <v>DXC US Equity</v>
      </c>
      <c r="C30" t="str">
        <f t="shared" si="3"/>
        <v>RX552</v>
      </c>
      <c r="D30" t="str">
        <f t="shared" si="4"/>
        <v>NET_SALES_3YR_GEO_GROWTH</v>
      </c>
      <c r="E30" t="str">
        <f t="shared" si="5"/>
        <v>Dynamic</v>
      </c>
      <c r="F30">
        <f ca="1">IF(AND(ISNUMBER($F$264),$B$238=1),$F$264,HLOOKUP(INDIRECT(ADDRESS(2,COLUMN())),OFFSET($R$2,0,0,ROW()-1,12),ROW()-1,FALSE))</f>
        <v>-8.3065440190000004</v>
      </c>
      <c r="G30" t="str">
        <f ca="1">IF(AND(ISNUMBER($G$264),$B$238=1),$G$264,HLOOKUP(INDIRECT(ADDRESS(2,COLUMN())),OFFSET($R$2,0,0,ROW()-1,12),ROW()-1,FALSE))</f>
        <v/>
      </c>
      <c r="H30" t="str">
        <f ca="1">IF(AND(ISNUMBER($H$264),$B$238=1),$H$264,HLOOKUP(INDIRECT(ADDRESS(2,COLUMN())),OFFSET($R$2,0,0,ROW()-1,12),ROW()-1,FALSE))</f>
        <v/>
      </c>
      <c r="I30" t="str">
        <f ca="1">IF(AND(ISNUMBER($I$264),$B$238=1),$I$264,HLOOKUP(INDIRECT(ADDRESS(2,COLUMN())),OFFSET($R$2,0,0,ROW()-1,12),ROW()-1,FALSE))</f>
        <v/>
      </c>
      <c r="J30" t="str">
        <f ca="1">IF(AND(ISNUMBER($J$264),$B$238=1),$J$264,HLOOKUP(INDIRECT(ADDRESS(2,COLUMN())),OFFSET($R$2,0,0,ROW()-1,12),ROW()-1,FALSE))</f>
        <v/>
      </c>
      <c r="K30" t="str">
        <f ca="1">IF(AND(ISNUMBER($K$264),$B$238=1),$K$264,HLOOKUP(INDIRECT(ADDRESS(2,COLUMN())),OFFSET($R$2,0,0,ROW()-1,12),ROW()-1,FALSE))</f>
        <v/>
      </c>
      <c r="L30" t="str">
        <f ca="1">IF(AND(ISNUMBER($L$264),$B$238=1),$L$264,HLOOKUP(INDIRECT(ADDRESS(2,COLUMN())),OFFSET($R$2,0,0,ROW()-1,12),ROW()-1,FALSE))</f>
        <v/>
      </c>
      <c r="M30" t="str">
        <f ca="1">IF(AND(ISNUMBER($M$264),$B$238=1),$M$264,HLOOKUP(INDIRECT(ADDRESS(2,COLUMN())),OFFSET($R$2,0,0,ROW()-1,12),ROW()-1,FALSE))</f>
        <v/>
      </c>
      <c r="N30" t="str">
        <f ca="1">IF(AND(ISNUMBER($N$264),$B$238=1),$N$264,HLOOKUP(INDIRECT(ADDRESS(2,COLUMN())),OFFSET($R$2,0,0,ROW()-1,12),ROW()-1,FALSE))</f>
        <v/>
      </c>
      <c r="O30" t="str">
        <f ca="1">IF(AND(ISNUMBER($O$264),$B$238=1),$O$264,HLOOKUP(INDIRECT(ADDRESS(2,COLUMN())),OFFSET($R$2,0,0,ROW()-1,12),ROW()-1,FALSE))</f>
        <v/>
      </c>
      <c r="P30" t="str">
        <f ca="1">IF(AND(ISNUMBER($P$264),$B$238=1),$P$264,HLOOKUP(INDIRECT(ADDRESS(2,COLUMN())),OFFSET($R$2,0,0,ROW()-1,12),ROW()-1,FALSE))</f>
        <v/>
      </c>
      <c r="Q30" t="str">
        <f ca="1">IF(AND(ISNUMBER($Q$264),$B$238=1),$Q$264,HLOOKUP(INDIRECT(ADDRESS(2,COLUMN())),OFFSET($R$2,0,0,ROW()-1,12),ROW()-1,FALSE))</f>
        <v/>
      </c>
      <c r="R30">
        <f>-8.306544019</f>
        <v>-8.3065440190000004</v>
      </c>
      <c r="S30" t="str">
        <f>""</f>
        <v/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t="str">
        <f>""</f>
        <v/>
      </c>
      <c r="AC30" t="str">
        <f>""</f>
        <v/>
      </c>
    </row>
    <row r="31" spans="1:29" x14ac:dyDescent="0.25">
      <c r="A31" t="str">
        <f>"    EPAM Systems Inc"</f>
        <v xml:space="preserve">    EPAM Systems Inc</v>
      </c>
      <c r="B31" t="str">
        <f>"EPAM US Equity"</f>
        <v>EPAM US Equity</v>
      </c>
      <c r="C31" t="str">
        <f t="shared" si="3"/>
        <v>RX552</v>
      </c>
      <c r="D31" t="str">
        <f t="shared" si="4"/>
        <v>NET_SALES_3YR_GEO_GROWTH</v>
      </c>
      <c r="E31" t="str">
        <f t="shared" si="5"/>
        <v>Dynamic</v>
      </c>
      <c r="F31">
        <f ca="1">IF(AND(ISNUMBER($F$265),$B$238=1),$F$265,HLOOKUP(INDIRECT(ADDRESS(2,COLUMN())),OFFSET($R$2,0,0,ROW()-1,12),ROW()-1,FALSE))</f>
        <v>25.511230640000001</v>
      </c>
      <c r="G31">
        <f ca="1">IF(AND(ISNUMBER($G$265),$B$238=1),$G$265,HLOOKUP(INDIRECT(ADDRESS(2,COLUMN())),OFFSET($R$2,0,0,ROW()-1,12),ROW()-1,FALSE))</f>
        <v>26.32787634</v>
      </c>
      <c r="H31">
        <f ca="1">IF(AND(ISNUMBER($H$265),$B$238=1),$H$265,HLOOKUP(INDIRECT(ADDRESS(2,COLUMN())),OFFSET($R$2,0,0,ROW()-1,12),ROW()-1,FALSE))</f>
        <v>25.715187350000001</v>
      </c>
      <c r="I31">
        <f ca="1">IF(AND(ISNUMBER($I$265),$B$238=1),$I$265,HLOOKUP(INDIRECT(ADDRESS(2,COLUMN())),OFFSET($R$2,0,0,ROW()-1,12),ROW()-1,FALSE))</f>
        <v>27.852029470000002</v>
      </c>
      <c r="J31">
        <f ca="1">IF(AND(ISNUMBER($J$265),$B$238=1),$J$265,HLOOKUP(INDIRECT(ADDRESS(2,COLUMN())),OFFSET($R$2,0,0,ROW()-1,12),ROW()-1,FALSE))</f>
        <v>28.205351889999999</v>
      </c>
      <c r="K31">
        <f ca="1">IF(AND(ISNUMBER($K$265),$B$238=1),$K$265,HLOOKUP(INDIRECT(ADDRESS(2,COLUMN())),OFFSET($R$2,0,0,ROW()-1,12),ROW()-1,FALSE))</f>
        <v>29.70861326</v>
      </c>
      <c r="L31">
        <f ca="1">IF(AND(ISNUMBER($L$265),$B$238=1),$L$265,HLOOKUP(INDIRECT(ADDRESS(2,COLUMN())),OFFSET($R$2,0,0,ROW()-1,12),ROW()-1,FALSE))</f>
        <v>35.76630497</v>
      </c>
      <c r="M31">
        <f ca="1">IF(AND(ISNUMBER($M$265),$B$238=1),$M$265,HLOOKUP(INDIRECT(ADDRESS(2,COLUMN())),OFFSET($R$2,0,0,ROW()-1,12),ROW()-1,FALSE))</f>
        <v>42.492272309999997</v>
      </c>
      <c r="N31">
        <f ca="1">IF(AND(ISNUMBER($N$265),$B$238=1),$N$265,HLOOKUP(INDIRECT(ADDRESS(2,COLUMN())),OFFSET($R$2,0,0,ROW()-1,12),ROW()-1,FALSE))</f>
        <v>27.70271653</v>
      </c>
      <c r="O31">
        <f ca="1">IF(AND(ISNUMBER($O$265),$B$238=1),$O$265,HLOOKUP(INDIRECT(ADDRESS(2,COLUMN())),OFFSET($R$2,0,0,ROW()-1,12),ROW()-1,FALSE))</f>
        <v>24.827640330000001</v>
      </c>
      <c r="P31">
        <f ca="1">IF(AND(ISNUMBER($P$265),$B$238=1),$P$265,HLOOKUP(INDIRECT(ADDRESS(2,COLUMN())),OFFSET($R$2,0,0,ROW()-1,12),ROW()-1,FALSE))</f>
        <v>29.028105849999999</v>
      </c>
      <c r="Q31" t="str">
        <f ca="1">IF(AND(ISNUMBER($Q$265),$B$238=1),$Q$265,HLOOKUP(INDIRECT(ADDRESS(2,COLUMN())),OFFSET($R$2,0,0,ROW()-1,12),ROW()-1,FALSE))</f>
        <v/>
      </c>
      <c r="R31">
        <f>25.51123064</f>
        <v>25.511230640000001</v>
      </c>
      <c r="S31">
        <f>26.32787634</f>
        <v>26.32787634</v>
      </c>
      <c r="T31">
        <f>25.71518735</f>
        <v>25.715187350000001</v>
      </c>
      <c r="U31">
        <f>27.85202947</f>
        <v>27.852029470000002</v>
      </c>
      <c r="V31">
        <f>28.20535189</f>
        <v>28.205351889999999</v>
      </c>
      <c r="W31">
        <f>29.70861326</f>
        <v>29.70861326</v>
      </c>
      <c r="X31">
        <f>35.76630497</f>
        <v>35.76630497</v>
      </c>
      <c r="Y31">
        <f>42.49227231</f>
        <v>42.492272309999997</v>
      </c>
      <c r="Z31">
        <f>27.70271653</f>
        <v>27.70271653</v>
      </c>
      <c r="AA31">
        <f>24.82764033</f>
        <v>24.827640330000001</v>
      </c>
      <c r="AB31">
        <f>29.02810585</f>
        <v>29.028105849999999</v>
      </c>
      <c r="AC31" t="str">
        <f>""</f>
        <v/>
      </c>
    </row>
    <row r="32" spans="1:29" x14ac:dyDescent="0.25">
      <c r="A32" t="str">
        <f>"    Genpact Ltd"</f>
        <v xml:space="preserve">    Genpact Ltd</v>
      </c>
      <c r="B32" t="str">
        <f>"G US Equity"</f>
        <v>G US Equity</v>
      </c>
      <c r="C32" t="str">
        <f t="shared" si="3"/>
        <v>RX552</v>
      </c>
      <c r="D32" t="str">
        <f t="shared" si="4"/>
        <v>NET_SALES_3YR_GEO_GROWTH</v>
      </c>
      <c r="E32" t="str">
        <f t="shared" si="5"/>
        <v>Dynamic</v>
      </c>
      <c r="F32">
        <f ca="1">IF(AND(ISNUMBER($F$266),$B$238=1),$F$266,HLOOKUP(INDIRECT(ADDRESS(2,COLUMN())),OFFSET($R$2,0,0,ROW()-1,12),ROW()-1,FALSE))</f>
        <v>11.04941243</v>
      </c>
      <c r="G32">
        <f ca="1">IF(AND(ISNUMBER($G$266),$B$238=1),$G$266,HLOOKUP(INDIRECT(ADDRESS(2,COLUMN())),OFFSET($R$2,0,0,ROW()-1,12),ROW()-1,FALSE))</f>
        <v>6.8329961700000004</v>
      </c>
      <c r="H32">
        <f ca="1">IF(AND(ISNUMBER($H$266),$B$238=1),$H$266,HLOOKUP(INDIRECT(ADDRESS(2,COLUMN())),OFFSET($R$2,0,0,ROW()-1,12),ROW()-1,FALSE))</f>
        <v>6.2866165909999996</v>
      </c>
      <c r="I32">
        <f ca="1">IF(AND(ISNUMBER($I$266),$B$238=1),$I$266,HLOOKUP(INDIRECT(ADDRESS(2,COLUMN())),OFFSET($R$2,0,0,ROW()-1,12),ROW()-1,FALSE))</f>
        <v>6.4367053619999997</v>
      </c>
      <c r="J32">
        <f ca="1">IF(AND(ISNUMBER($J$266),$B$238=1),$J$266,HLOOKUP(INDIRECT(ADDRESS(2,COLUMN())),OFFSET($R$2,0,0,ROW()-1,12),ROW()-1,FALSE))</f>
        <v>8.9695512720000004</v>
      </c>
      <c r="K32">
        <f ca="1">IF(AND(ISNUMBER($K$266),$B$238=1),$K$266,HLOOKUP(INDIRECT(ADDRESS(2,COLUMN())),OFFSET($R$2,0,0,ROW()-1,12),ROW()-1,FALSE))</f>
        <v>12.511390159999999</v>
      </c>
      <c r="L32">
        <f ca="1">IF(AND(ISNUMBER($L$266),$B$238=1),$L$266,HLOOKUP(INDIRECT(ADDRESS(2,COLUMN())),OFFSET($R$2,0,0,ROW()-1,12),ROW()-1,FALSE))</f>
        <v>19.194955050000001</v>
      </c>
      <c r="M32">
        <f ca="1">IF(AND(ISNUMBER($M$266),$B$238=1),$M$266,HLOOKUP(INDIRECT(ADDRESS(2,COLUMN())),OFFSET($R$2,0,0,ROW()-1,12),ROW()-1,FALSE))</f>
        <v>19.30338862</v>
      </c>
      <c r="N32">
        <f ca="1">IF(AND(ISNUMBER($N$266),$B$238=1),$N$266,HLOOKUP(INDIRECT(ADDRESS(2,COLUMN())),OFFSET($R$2,0,0,ROW()-1,12),ROW()-1,FALSE))</f>
        <v>15.42072705</v>
      </c>
      <c r="O32">
        <f ca="1">IF(AND(ISNUMBER($O$266),$B$238=1),$O$266,HLOOKUP(INDIRECT(ADDRESS(2,COLUMN())),OFFSET($R$2,0,0,ROW()-1,12),ROW()-1,FALSE))</f>
        <v>15.21463144</v>
      </c>
      <c r="P32">
        <f ca="1">IF(AND(ISNUMBER($P$266),$B$238=1),$P$266,HLOOKUP(INDIRECT(ADDRESS(2,COLUMN())),OFFSET($R$2,0,0,ROW()-1,12),ROW()-1,FALSE))</f>
        <v>22.250485860000001</v>
      </c>
      <c r="Q32">
        <f ca="1">IF(AND(ISNUMBER($Q$266),$B$238=1),$Q$266,HLOOKUP(INDIRECT(ADDRESS(2,COLUMN())),OFFSET($R$2,0,0,ROW()-1,12),ROW()-1,FALSE))</f>
        <v>28.382291519999999</v>
      </c>
      <c r="R32">
        <f>11.04941243</f>
        <v>11.04941243</v>
      </c>
      <c r="S32">
        <f>6.83299617</f>
        <v>6.8329961700000004</v>
      </c>
      <c r="T32">
        <f>6.286616591</f>
        <v>6.2866165909999996</v>
      </c>
      <c r="U32">
        <f>6.436705362</f>
        <v>6.4367053619999997</v>
      </c>
      <c r="V32">
        <f>8.969551272</f>
        <v>8.9695512720000004</v>
      </c>
      <c r="W32">
        <f>12.51139016</f>
        <v>12.511390159999999</v>
      </c>
      <c r="X32">
        <f>19.19495505</f>
        <v>19.194955050000001</v>
      </c>
      <c r="Y32">
        <f>19.30338862</f>
        <v>19.30338862</v>
      </c>
      <c r="Z32">
        <f>15.42072705</f>
        <v>15.42072705</v>
      </c>
      <c r="AA32">
        <f>15.21463144</f>
        <v>15.21463144</v>
      </c>
      <c r="AB32">
        <f>22.25048586</f>
        <v>22.250485860000001</v>
      </c>
      <c r="AC32">
        <f>28.38229152</f>
        <v>28.382291519999999</v>
      </c>
    </row>
    <row r="33" spans="1:29" x14ac:dyDescent="0.25">
      <c r="A33" t="str">
        <f>"    HCL Technologies Ltd"</f>
        <v xml:space="preserve">    HCL Technologies Ltd</v>
      </c>
      <c r="B33" t="str">
        <f>"HCLT IN Equity"</f>
        <v>HCLT IN Equity</v>
      </c>
      <c r="C33" t="str">
        <f t="shared" si="3"/>
        <v>RX552</v>
      </c>
      <c r="D33" t="str">
        <f t="shared" si="4"/>
        <v>NET_SALES_3YR_GEO_GROWTH</v>
      </c>
      <c r="E33" t="str">
        <f t="shared" si="5"/>
        <v>Dynamic</v>
      </c>
      <c r="F33">
        <f ca="1">IF(AND(ISNUMBER($F$267),$B$238=1),$F$267,HLOOKUP(INDIRECT(ADDRESS(2,COLUMN())),OFFSET($R$2,0,0,ROW()-1,12),ROW()-1,FALSE))</f>
        <v>11.8763953</v>
      </c>
      <c r="G33">
        <f ca="1">IF(AND(ISNUMBER($G$267),$B$238=1),$G$267,HLOOKUP(INDIRECT(ADDRESS(2,COLUMN())),OFFSET($R$2,0,0,ROW()-1,12),ROW()-1,FALSE))</f>
        <v>11.45231126</v>
      </c>
      <c r="H33" t="str">
        <f ca="1">IF(AND(ISNUMBER($H$267),$B$238=1),$H$267,HLOOKUP(INDIRECT(ADDRESS(2,COLUMN())),OFFSET($R$2,0,0,ROW()-1,12),ROW()-1,FALSE))</f>
        <v/>
      </c>
      <c r="I33" t="str">
        <f ca="1">IF(AND(ISNUMBER($I$267),$B$238=1),$I$267,HLOOKUP(INDIRECT(ADDRESS(2,COLUMN())),OFFSET($R$2,0,0,ROW()-1,12),ROW()-1,FALSE))</f>
        <v/>
      </c>
      <c r="J33" t="str">
        <f ca="1">IF(AND(ISNUMBER($J$267),$B$238=1),$J$267,HLOOKUP(INDIRECT(ADDRESS(2,COLUMN())),OFFSET($R$2,0,0,ROW()-1,12),ROW()-1,FALSE))</f>
        <v/>
      </c>
      <c r="K33" t="str">
        <f ca="1">IF(AND(ISNUMBER($K$267),$B$238=1),$K$267,HLOOKUP(INDIRECT(ADDRESS(2,COLUMN())),OFFSET($R$2,0,0,ROW()-1,12),ROW()-1,FALSE))</f>
        <v/>
      </c>
      <c r="L33">
        <f ca="1">IF(AND(ISNUMBER($L$267),$B$238=1),$L$267,HLOOKUP(INDIRECT(ADDRESS(2,COLUMN())),OFFSET($R$2,0,0,ROW()-1,12),ROW()-1,FALSE))</f>
        <v>15.595081950000001</v>
      </c>
      <c r="M33">
        <f ca="1">IF(AND(ISNUMBER($M$267),$B$238=1),$M$267,HLOOKUP(INDIRECT(ADDRESS(2,COLUMN())),OFFSET($R$2,0,0,ROW()-1,12),ROW()-1,FALSE))</f>
        <v>28.216582500000001</v>
      </c>
      <c r="N33">
        <f ca="1">IF(AND(ISNUMBER($N$267),$B$238=1),$N$267,HLOOKUP(INDIRECT(ADDRESS(2,COLUMN())),OFFSET($R$2,0,0,ROW()-1,12),ROW()-1,FALSE))</f>
        <v>26.750607760000001</v>
      </c>
      <c r="O33">
        <f ca="1">IF(AND(ISNUMBER($O$267),$B$238=1),$O$267,HLOOKUP(INDIRECT(ADDRESS(2,COLUMN())),OFFSET($R$2,0,0,ROW()-1,12),ROW()-1,FALSE))</f>
        <v>27.649673750000002</v>
      </c>
      <c r="P33">
        <f ca="1">IF(AND(ISNUMBER($P$267),$B$238=1),$P$267,HLOOKUP(INDIRECT(ADDRESS(2,COLUMN())),OFFSET($R$2,0,0,ROW()-1,12),ROW()-1,FALSE))</f>
        <v>25.98798729</v>
      </c>
      <c r="Q33">
        <f ca="1">IF(AND(ISNUMBER($Q$267),$B$238=1),$Q$267,HLOOKUP(INDIRECT(ADDRESS(2,COLUMN())),OFFSET($R$2,0,0,ROW()-1,12),ROW()-1,FALSE))</f>
        <v>30.796087719999999</v>
      </c>
      <c r="R33">
        <f>11.8763953</f>
        <v>11.8763953</v>
      </c>
      <c r="S33">
        <f>11.45231126</f>
        <v>11.45231126</v>
      </c>
      <c r="T33" t="str">
        <f>""</f>
        <v/>
      </c>
      <c r="U33" t="str">
        <f>""</f>
        <v/>
      </c>
      <c r="V33" t="str">
        <f>""</f>
        <v/>
      </c>
      <c r="W33" t="str">
        <f>""</f>
        <v/>
      </c>
      <c r="X33">
        <f>15.59508195</f>
        <v>15.595081950000001</v>
      </c>
      <c r="Y33">
        <f>28.2165825</f>
        <v>28.216582500000001</v>
      </c>
      <c r="Z33">
        <f>26.75060776</f>
        <v>26.750607760000001</v>
      </c>
      <c r="AA33">
        <f>27.64967375</f>
        <v>27.649673750000002</v>
      </c>
      <c r="AB33">
        <f>25.98798729</f>
        <v>25.98798729</v>
      </c>
      <c r="AC33">
        <f>30.79608772</f>
        <v>30.796087719999999</v>
      </c>
    </row>
    <row r="34" spans="1:29" x14ac:dyDescent="0.25">
      <c r="A34" t="str">
        <f>"    Indra Sistemas SA"</f>
        <v xml:space="preserve">    Indra Sistemas SA</v>
      </c>
      <c r="B34" t="str">
        <f>"IDR SM Equity"</f>
        <v>IDR SM Equity</v>
      </c>
      <c r="C34" t="str">
        <f t="shared" si="3"/>
        <v>RX552</v>
      </c>
      <c r="D34" t="str">
        <f t="shared" si="4"/>
        <v>NET_SALES_3YR_GEO_GROWTH</v>
      </c>
      <c r="E34" t="str">
        <f t="shared" si="5"/>
        <v>Dynamic</v>
      </c>
      <c r="F34">
        <f ca="1">IF(AND(ISNUMBER($F$268),$B$238=1),$F$268,HLOOKUP(INDIRECT(ADDRESS(2,COLUMN())),OFFSET($R$2,0,0,ROW()-1,12),ROW()-1,FALSE))</f>
        <v>5.7487867359999996</v>
      </c>
      <c r="G34">
        <f ca="1">IF(AND(ISNUMBER($G$268),$B$238=1),$G$268,HLOOKUP(INDIRECT(ADDRESS(2,COLUMN())),OFFSET($R$2,0,0,ROW()-1,12),ROW()-1,FALSE))</f>
        <v>2.8788430470000002</v>
      </c>
      <c r="H34">
        <f ca="1">IF(AND(ISNUMBER($H$268),$B$238=1),$H$268,HLOOKUP(INDIRECT(ADDRESS(2,COLUMN())),OFFSET($R$2,0,0,ROW()-1,12),ROW()-1,FALSE))</f>
        <v>0.82343538000000005</v>
      </c>
      <c r="I34">
        <f ca="1">IF(AND(ISNUMBER($I$268),$B$238=1),$I$268,HLOOKUP(INDIRECT(ADDRESS(2,COLUMN())),OFFSET($R$2,0,0,ROW()-1,12),ROW()-1,FALSE))</f>
        <v>-2.3993873200000002</v>
      </c>
      <c r="J34">
        <f ca="1">IF(AND(ISNUMBER($J$268),$B$238=1),$J$268,HLOOKUP(INDIRECT(ADDRESS(2,COLUMN())),OFFSET($R$2,0,0,ROW()-1,12),ROW()-1,FALSE))</f>
        <v>-1.0373196920000001</v>
      </c>
      <c r="K34">
        <f ca="1">IF(AND(ISNUMBER($K$268),$B$238=1),$K$268,HLOOKUP(INDIRECT(ADDRESS(2,COLUMN())),OFFSET($R$2,0,0,ROW()-1,12),ROW()-1,FALSE))</f>
        <v>3.001097659</v>
      </c>
      <c r="L34">
        <f ca="1">IF(AND(ISNUMBER($L$268),$B$238=1),$L$268,HLOOKUP(INDIRECT(ADDRESS(2,COLUMN())),OFFSET($R$2,0,0,ROW()-1,12),ROW()-1,FALSE))</f>
        <v>4.4529849180000003</v>
      </c>
      <c r="M34">
        <f ca="1">IF(AND(ISNUMBER($M$268),$B$238=1),$M$268,HLOOKUP(INDIRECT(ADDRESS(2,COLUMN())),OFFSET($R$2,0,0,ROW()-1,12),ROW()-1,FALSE))</f>
        <v>5.3785696559999998</v>
      </c>
      <c r="N34">
        <f ca="1">IF(AND(ISNUMBER($N$268),$B$238=1),$N$268,HLOOKUP(INDIRECT(ADDRESS(2,COLUMN())),OFFSET($R$2,0,0,ROW()-1,12),ROW()-1,FALSE))</f>
        <v>4.1527049659999999</v>
      </c>
      <c r="O34">
        <f ca="1">IF(AND(ISNUMBER($O$268),$B$238=1),$O$268,HLOOKUP(INDIRECT(ADDRESS(2,COLUMN())),OFFSET($R$2,0,0,ROW()-1,12),ROW()-1,FALSE))</f>
        <v>5.6619540580000001</v>
      </c>
      <c r="P34">
        <f ca="1">IF(AND(ISNUMBER($P$268),$B$238=1),$P$268,HLOOKUP(INDIRECT(ADDRESS(2,COLUMN())),OFFSET($R$2,0,0,ROW()-1,12),ROW()-1,FALSE))</f>
        <v>21.33972206</v>
      </c>
      <c r="Q34">
        <f ca="1">IF(AND(ISNUMBER($Q$268),$B$238=1),$Q$268,HLOOKUP(INDIRECT(ADDRESS(2,COLUMN())),OFFSET($R$2,0,0,ROW()-1,12),ROW()-1,FALSE))</f>
        <v>25.55562922</v>
      </c>
      <c r="R34">
        <f>5.748786736</f>
        <v>5.7487867359999996</v>
      </c>
      <c r="S34">
        <f>2.878843047</f>
        <v>2.8788430470000002</v>
      </c>
      <c r="T34">
        <f>0.82343538</f>
        <v>0.82343538000000005</v>
      </c>
      <c r="U34">
        <f>-2.39938732</f>
        <v>-2.3993873200000002</v>
      </c>
      <c r="V34">
        <f>-1.037319692</f>
        <v>-1.0373196920000001</v>
      </c>
      <c r="W34">
        <f>3.001097659</f>
        <v>3.001097659</v>
      </c>
      <c r="X34">
        <f>4.452984918</f>
        <v>4.4529849180000003</v>
      </c>
      <c r="Y34">
        <f>5.378569656</f>
        <v>5.3785696559999998</v>
      </c>
      <c r="Z34">
        <f>4.152704966</f>
        <v>4.1527049659999999</v>
      </c>
      <c r="AA34">
        <f>5.661954058</f>
        <v>5.6619540580000001</v>
      </c>
      <c r="AB34">
        <f>21.33972206</f>
        <v>21.33972206</v>
      </c>
      <c r="AC34">
        <f>25.55562922</f>
        <v>25.55562922</v>
      </c>
    </row>
    <row r="35" spans="1:29" x14ac:dyDescent="0.25">
      <c r="A35" t="str">
        <f>"    Infosys Ltd"</f>
        <v xml:space="preserve">    Infosys Ltd</v>
      </c>
      <c r="B35" t="str">
        <f>"INFY US Equity"</f>
        <v>INFY US Equity</v>
      </c>
      <c r="C35" t="str">
        <f t="shared" si="3"/>
        <v>RX552</v>
      </c>
      <c r="D35" t="str">
        <f t="shared" si="4"/>
        <v>NET_SALES_3YR_GEO_GROWTH</v>
      </c>
      <c r="E35" t="str">
        <f t="shared" si="5"/>
        <v>Dynamic</v>
      </c>
      <c r="F35">
        <f ca="1">IF(AND(ISNUMBER($F$269),$B$238=1),$F$269,HLOOKUP(INDIRECT(ADDRESS(2,COLUMN())),OFFSET($R$2,0,0,ROW()-1,12),ROW()-1,FALSE))</f>
        <v>9.8545106029999996</v>
      </c>
      <c r="G35">
        <f ca="1">IF(AND(ISNUMBER($G$269),$B$238=1),$G$269,HLOOKUP(INDIRECT(ADDRESS(2,COLUMN())),OFFSET($R$2,0,0,ROW()-1,12),ROW()-1,FALSE))</f>
        <v>9.8082030509999996</v>
      </c>
      <c r="H35">
        <f ca="1">IF(AND(ISNUMBER($H$269),$B$238=1),$H$269,HLOOKUP(INDIRECT(ADDRESS(2,COLUMN())),OFFSET($R$2,0,0,ROW()-1,12),ROW()-1,FALSE))</f>
        <v>9.7692949969999994</v>
      </c>
      <c r="I35">
        <f ca="1">IF(AND(ISNUMBER($I$269),$B$238=1),$I$269,HLOOKUP(INDIRECT(ADDRESS(2,COLUMN())),OFFSET($R$2,0,0,ROW()-1,12),ROW()-1,FALSE))</f>
        <v>10.957111279999999</v>
      </c>
      <c r="J35">
        <f ca="1">IF(AND(ISNUMBER($J$269),$B$238=1),$J$269,HLOOKUP(INDIRECT(ADDRESS(2,COLUMN())),OFFSET($R$2,0,0,ROW()-1,12),ROW()-1,FALSE))</f>
        <v>15.664902189999999</v>
      </c>
      <c r="K35">
        <f ca="1">IF(AND(ISNUMBER($K$269),$B$238=1),$K$269,HLOOKUP(INDIRECT(ADDRESS(2,COLUMN())),OFFSET($R$2,0,0,ROW()-1,12),ROW()-1,FALSE))</f>
        <v>16.485370400000001</v>
      </c>
      <c r="L35">
        <f ca="1">IF(AND(ISNUMBER($L$269),$B$238=1),$L$269,HLOOKUP(INDIRECT(ADDRESS(2,COLUMN())),OFFSET($R$2,0,0,ROW()-1,12),ROW()-1,FALSE))</f>
        <v>22.158887589999999</v>
      </c>
      <c r="M35">
        <f ca="1">IF(AND(ISNUMBER($M$269),$B$238=1),$M$269,HLOOKUP(INDIRECT(ADDRESS(2,COLUMN())),OFFSET($R$2,0,0,ROW()-1,12),ROW()-1,FALSE))</f>
        <v>21.063196479999998</v>
      </c>
      <c r="N35">
        <f ca="1">IF(AND(ISNUMBER($N$269),$B$238=1),$N$269,HLOOKUP(INDIRECT(ADDRESS(2,COLUMN())),OFFSET($R$2,0,0,ROW()-1,12),ROW()-1,FALSE))</f>
        <v>15.855344990000001</v>
      </c>
      <c r="O35">
        <f ca="1">IF(AND(ISNUMBER($O$269),$B$238=1),$O$269,HLOOKUP(INDIRECT(ADDRESS(2,COLUMN())),OFFSET($R$2,0,0,ROW()-1,12),ROW()-1,FALSE))</f>
        <v>18.108196159999999</v>
      </c>
      <c r="P35">
        <f ca="1">IF(AND(ISNUMBER($P$269),$B$238=1),$P$269,HLOOKUP(INDIRECT(ADDRESS(2,COLUMN())),OFFSET($R$2,0,0,ROW()-1,12),ROW()-1,FALSE))</f>
        <v>17.85396725</v>
      </c>
      <c r="Q35">
        <f ca="1">IF(AND(ISNUMBER($Q$269),$B$238=1),$Q$269,HLOOKUP(INDIRECT(ADDRESS(2,COLUMN())),OFFSET($R$2,0,0,ROW()-1,12),ROW()-1,FALSE))</f>
        <v>31.586807490000002</v>
      </c>
      <c r="R35">
        <f>9.854510603</f>
        <v>9.8545106029999996</v>
      </c>
      <c r="S35">
        <f>9.808203051</f>
        <v>9.8082030509999996</v>
      </c>
      <c r="T35">
        <f>9.769294997</f>
        <v>9.7692949969999994</v>
      </c>
      <c r="U35">
        <f>10.95711128</f>
        <v>10.957111279999999</v>
      </c>
      <c r="V35">
        <f>15.66490219</f>
        <v>15.664902189999999</v>
      </c>
      <c r="W35">
        <f>16.4853704</f>
        <v>16.485370400000001</v>
      </c>
      <c r="X35">
        <f>22.15888759</f>
        <v>22.158887589999999</v>
      </c>
      <c r="Y35">
        <f>21.06319648</f>
        <v>21.063196479999998</v>
      </c>
      <c r="Z35">
        <f>15.85534499</f>
        <v>15.855344990000001</v>
      </c>
      <c r="AA35">
        <f>18.10819616</f>
        <v>18.108196159999999</v>
      </c>
      <c r="AB35">
        <f>17.85396725</f>
        <v>17.85396725</v>
      </c>
      <c r="AC35">
        <f>31.58680749</f>
        <v>31.586807490000002</v>
      </c>
    </row>
    <row r="36" spans="1:29" x14ac:dyDescent="0.25">
      <c r="A36" t="str">
        <f>"    International Business Machines Corp"</f>
        <v xml:space="preserve">    International Business Machines Corp</v>
      </c>
      <c r="B36" t="str">
        <f>"IBM US Equity"</f>
        <v>IBM US Equity</v>
      </c>
      <c r="C36" t="str">
        <f t="shared" si="3"/>
        <v>RX552</v>
      </c>
      <c r="D36" t="str">
        <f t="shared" si="4"/>
        <v>NET_SALES_3YR_GEO_GROWTH</v>
      </c>
      <c r="E36" t="str">
        <f t="shared" si="5"/>
        <v>Dynamic</v>
      </c>
      <c r="F36">
        <f ca="1">IF(AND(ISNUMBER($F$270),$B$238=1),$F$270,HLOOKUP(INDIRECT(ADDRESS(2,COLUMN())),OFFSET($R$2,0,0,ROW()-1,12),ROW()-1,FALSE))</f>
        <v>-1.169801621</v>
      </c>
      <c r="G36">
        <f ca="1">IF(AND(ISNUMBER($G$270),$B$238=1),$G$270,HLOOKUP(INDIRECT(ADDRESS(2,COLUMN())),OFFSET($R$2,0,0,ROW()-1,12),ROW()-1,FALSE))</f>
        <v>-0.88455428899999999</v>
      </c>
      <c r="H36">
        <f ca="1">IF(AND(ISNUMBER($H$270),$B$238=1),$H$270,HLOOKUP(INDIRECT(ADDRESS(2,COLUMN())),OFFSET($R$2,0,0,ROW()-1,12),ROW()-1,FALSE))</f>
        <v>-5.1672275279999997</v>
      </c>
      <c r="I36">
        <f ca="1">IF(AND(ISNUMBER($I$270),$B$238=1),$I$270,HLOOKUP(INDIRECT(ADDRESS(2,COLUMN())),OFFSET($R$2,0,0,ROW()-1,12),ROW()-1,FALSE))</f>
        <v>-6.6888507859999997</v>
      </c>
      <c r="J36">
        <f ca="1">IF(AND(ISNUMBER($J$270),$B$238=1),$J$270,HLOOKUP(INDIRECT(ADDRESS(2,COLUMN())),OFFSET($R$2,0,0,ROW()-1,12),ROW()-1,FALSE))</f>
        <v>-7.3785789399999997</v>
      </c>
      <c r="K36">
        <f ca="1">IF(AND(ISNUMBER($K$270),$B$238=1),$K$270,HLOOKUP(INDIRECT(ADDRESS(2,COLUMN())),OFFSET($R$2,0,0,ROW()-1,12),ROW()-1,FALSE))</f>
        <v>-4.612638102</v>
      </c>
      <c r="L36">
        <f ca="1">IF(AND(ISNUMBER($L$270),$B$238=1),$L$270,HLOOKUP(INDIRECT(ADDRESS(2,COLUMN())),OFFSET($R$2,0,0,ROW()-1,12),ROW()-1,FALSE))</f>
        <v>-0.50418995099999997</v>
      </c>
      <c r="M36">
        <f ca="1">IF(AND(ISNUMBER($M$270),$B$238=1),$M$270,HLOOKUP(INDIRECT(ADDRESS(2,COLUMN())),OFFSET($R$2,0,0,ROW()-1,12),ROW()-1,FALSE))</f>
        <v>2.4181326539999999</v>
      </c>
      <c r="N36">
        <f ca="1">IF(AND(ISNUMBER($N$270),$B$238=1),$N$270,HLOOKUP(INDIRECT(ADDRESS(2,COLUMN())),OFFSET($R$2,0,0,ROW()-1,12),ROW()-1,FALSE))</f>
        <v>1.045986463</v>
      </c>
      <c r="O36">
        <f ca="1">IF(AND(ISNUMBER($O$270),$B$238=1),$O$270,HLOOKUP(INDIRECT(ADDRESS(2,COLUMN())),OFFSET($R$2,0,0,ROW()-1,12),ROW()-1,FALSE))</f>
        <v>0.36444401999999998</v>
      </c>
      <c r="P36">
        <f ca="1">IF(AND(ISNUMBER($P$270),$B$238=1),$P$270,HLOOKUP(INDIRECT(ADDRESS(2,COLUMN())),OFFSET($R$2,0,0,ROW()-1,12),ROW()-1,FALSE))</f>
        <v>1.5558509149999999</v>
      </c>
      <c r="Q36">
        <f ca="1">IF(AND(ISNUMBER($Q$270),$B$238=1),$Q$270,HLOOKUP(INDIRECT(ADDRESS(2,COLUMN())),OFFSET($R$2,0,0,ROW()-1,12),ROW()-1,FALSE))</f>
        <v>4.3762497509999996</v>
      </c>
      <c r="R36">
        <f>-1.169801621</f>
        <v>-1.169801621</v>
      </c>
      <c r="S36">
        <f>-0.884554289</f>
        <v>-0.88455428899999999</v>
      </c>
      <c r="T36">
        <f>-5.167227528</f>
        <v>-5.1672275279999997</v>
      </c>
      <c r="U36">
        <f>-6.688850786</f>
        <v>-6.6888507859999997</v>
      </c>
      <c r="V36">
        <f>-7.37857894</f>
        <v>-7.3785789399999997</v>
      </c>
      <c r="W36">
        <f>-4.612638102</f>
        <v>-4.612638102</v>
      </c>
      <c r="X36">
        <f>-0.504189951</f>
        <v>-0.50418995099999997</v>
      </c>
      <c r="Y36">
        <f>2.418132654</f>
        <v>2.4181326539999999</v>
      </c>
      <c r="Z36">
        <f>1.045986463</f>
        <v>1.045986463</v>
      </c>
      <c r="AA36">
        <f>0.36444402</f>
        <v>0.36444401999999998</v>
      </c>
      <c r="AB36">
        <f>1.555850915</f>
        <v>1.5558509149999999</v>
      </c>
      <c r="AC36">
        <f>4.376249751</f>
        <v>4.3762497509999996</v>
      </c>
    </row>
    <row r="37" spans="1:29" x14ac:dyDescent="0.25">
      <c r="A37" t="str">
        <f>"    Tata Consultancy Services Ltd"</f>
        <v xml:space="preserve">    Tata Consultancy Services Ltd</v>
      </c>
      <c r="B37" t="str">
        <f>"TCS IN Equity"</f>
        <v>TCS IN Equity</v>
      </c>
      <c r="C37" t="str">
        <f t="shared" si="3"/>
        <v>RX552</v>
      </c>
      <c r="D37" t="str">
        <f t="shared" si="4"/>
        <v>NET_SALES_3YR_GEO_GROWTH</v>
      </c>
      <c r="E37" t="str">
        <f t="shared" si="5"/>
        <v>Dynamic</v>
      </c>
      <c r="F37">
        <f ca="1">IF(AND(ISNUMBER($F$271),$B$238=1),$F$271,HLOOKUP(INDIRECT(ADDRESS(2,COLUMN())),OFFSET($R$2,0,0,ROW()-1,12),ROW()-1,FALSE))</f>
        <v>9.9851115929999992</v>
      </c>
      <c r="G37">
        <f ca="1">IF(AND(ISNUMBER($G$271),$B$238=1),$G$271,HLOOKUP(INDIRECT(ADDRESS(2,COLUMN())),OFFSET($R$2,0,0,ROW()-1,12),ROW()-1,FALSE))</f>
        <v>10.468399359999999</v>
      </c>
      <c r="H37">
        <f ca="1">IF(AND(ISNUMBER($H$271),$B$238=1),$H$271,HLOOKUP(INDIRECT(ADDRESS(2,COLUMN())),OFFSET($R$2,0,0,ROW()-1,12),ROW()-1,FALSE))</f>
        <v>9.1573408300000008</v>
      </c>
      <c r="I37">
        <f ca="1">IF(AND(ISNUMBER($I$271),$B$238=1),$I$271,HLOOKUP(INDIRECT(ADDRESS(2,COLUMN())),OFFSET($R$2,0,0,ROW()-1,12),ROW()-1,FALSE))</f>
        <v>12.975590370000001</v>
      </c>
      <c r="J37">
        <f ca="1">IF(AND(ISNUMBER($J$271),$B$238=1),$J$271,HLOOKUP(INDIRECT(ADDRESS(2,COLUMN())),OFFSET($R$2,0,0,ROW()-1,12),ROW()-1,FALSE))</f>
        <v>19.926522179999999</v>
      </c>
      <c r="K37">
        <f ca="1">IF(AND(ISNUMBER($K$271),$B$238=1),$K$271,HLOOKUP(INDIRECT(ADDRESS(2,COLUMN())),OFFSET($R$2,0,0,ROW()-1,12),ROW()-1,FALSE))</f>
        <v>24.629184949999999</v>
      </c>
      <c r="L37">
        <f ca="1">IF(AND(ISNUMBER($L$271),$B$238=1),$L$271,HLOOKUP(INDIRECT(ADDRESS(2,COLUMN())),OFFSET($R$2,0,0,ROW()-1,12),ROW()-1,FALSE))</f>
        <v>29.898148249999998</v>
      </c>
      <c r="M37">
        <f ca="1">IF(AND(ISNUMBER($M$271),$B$238=1),$M$271,HLOOKUP(INDIRECT(ADDRESS(2,COLUMN())),OFFSET($R$2,0,0,ROW()-1,12),ROW()-1,FALSE))</f>
        <v>28.009667660000002</v>
      </c>
      <c r="N37">
        <f ca="1">IF(AND(ISNUMBER($N$271),$B$238=1),$N$271,HLOOKUP(INDIRECT(ADDRESS(2,COLUMN())),OFFSET($R$2,0,0,ROW()-1,12),ROW()-1,FALSE))</f>
        <v>20.689465909999999</v>
      </c>
      <c r="O37">
        <f ca="1">IF(AND(ISNUMBER($O$271),$B$238=1),$O$271,HLOOKUP(INDIRECT(ADDRESS(2,COLUMN())),OFFSET($R$2,0,0,ROW()-1,12),ROW()-1,FALSE))</f>
        <v>18.169004470000001</v>
      </c>
      <c r="P37">
        <f ca="1">IF(AND(ISNUMBER($P$271),$B$238=1),$P$271,HLOOKUP(INDIRECT(ADDRESS(2,COLUMN())),OFFSET($R$2,0,0,ROW()-1,12),ROW()-1,FALSE))</f>
        <v>17.133353329999998</v>
      </c>
      <c r="Q37">
        <f ca="1">IF(AND(ISNUMBER($Q$271),$B$238=1),$Q$271,HLOOKUP(INDIRECT(ADDRESS(2,COLUMN())),OFFSET($R$2,0,0,ROW()-1,12),ROW()-1,FALSE))</f>
        <v>28.03239602</v>
      </c>
      <c r="R37">
        <f>9.985111593</f>
        <v>9.9851115929999992</v>
      </c>
      <c r="S37">
        <f>10.46839936</f>
        <v>10.468399359999999</v>
      </c>
      <c r="T37">
        <f>9.15734083</f>
        <v>9.1573408300000008</v>
      </c>
      <c r="U37">
        <f>12.97559037</f>
        <v>12.975590370000001</v>
      </c>
      <c r="V37">
        <f>19.92652218</f>
        <v>19.926522179999999</v>
      </c>
      <c r="W37">
        <f>24.62918495</f>
        <v>24.629184949999999</v>
      </c>
      <c r="X37">
        <f>29.89814825</f>
        <v>29.898148249999998</v>
      </c>
      <c r="Y37">
        <f>28.00966766</f>
        <v>28.009667660000002</v>
      </c>
      <c r="Z37">
        <f>20.68946591</f>
        <v>20.689465909999999</v>
      </c>
      <c r="AA37">
        <f>18.16900447</f>
        <v>18.169004470000001</v>
      </c>
      <c r="AB37">
        <f>17.13335333</f>
        <v>17.133353329999998</v>
      </c>
      <c r="AC37">
        <f>28.03239602</f>
        <v>28.03239602</v>
      </c>
    </row>
    <row r="38" spans="1:29" x14ac:dyDescent="0.25">
      <c r="A38" t="str">
        <f>"    Tech Mahindra Ltd"</f>
        <v xml:space="preserve">    Tech Mahindra Ltd</v>
      </c>
      <c r="B38" t="str">
        <f>"TECHM IN Equity"</f>
        <v>TECHM IN Equity</v>
      </c>
      <c r="C38" t="str">
        <f t="shared" si="3"/>
        <v>RX552</v>
      </c>
      <c r="D38" t="str">
        <f t="shared" si="4"/>
        <v>NET_SALES_3YR_GEO_GROWTH</v>
      </c>
      <c r="E38" t="str">
        <f t="shared" si="5"/>
        <v>Dynamic</v>
      </c>
      <c r="F38">
        <f ca="1">IF(AND(ISNUMBER($F$272),$B$238=1),$F$272,HLOOKUP(INDIRECT(ADDRESS(2,COLUMN())),OFFSET($R$2,0,0,ROW()-1,12),ROW()-1,FALSE))</f>
        <v>8.1553756029999995</v>
      </c>
      <c r="G38">
        <f ca="1">IF(AND(ISNUMBER($G$272),$B$238=1),$G$272,HLOOKUP(INDIRECT(ADDRESS(2,COLUMN())),OFFSET($R$2,0,0,ROW()-1,12),ROW()-1,FALSE))</f>
        <v>9.4548689180000007</v>
      </c>
      <c r="H38">
        <f ca="1">IF(AND(ISNUMBER($H$272),$B$238=1),$H$272,HLOOKUP(INDIRECT(ADDRESS(2,COLUMN())),OFFSET($R$2,0,0,ROW()-1,12),ROW()-1,FALSE))</f>
        <v>10.80268609</v>
      </c>
      <c r="I38">
        <f ca="1">IF(AND(ISNUMBER($I$272),$B$238=1),$I$272,HLOOKUP(INDIRECT(ADDRESS(2,COLUMN())),OFFSET($R$2,0,0,ROW()-1,12),ROW()-1,FALSE))</f>
        <v>15.66615191</v>
      </c>
      <c r="J38">
        <f ca="1">IF(AND(ISNUMBER($J$272),$B$238=1),$J$272,HLOOKUP(INDIRECT(ADDRESS(2,COLUMN())),OFFSET($R$2,0,0,ROW()-1,12),ROW()-1,FALSE))</f>
        <v>56.795182840000002</v>
      </c>
      <c r="K38">
        <f ca="1">IF(AND(ISNUMBER($K$272),$B$238=1),$K$272,HLOOKUP(INDIRECT(ADDRESS(2,COLUMN())),OFFSET($R$2,0,0,ROW()-1,12),ROW()-1,FALSE))</f>
        <v>60.320717989999999</v>
      </c>
      <c r="L38">
        <f ca="1">IF(AND(ISNUMBER($L$272),$B$238=1),$L$272,HLOOKUP(INDIRECT(ADDRESS(2,COLUMN())),OFFSET($R$2,0,0,ROW()-1,12),ROW()-1,FALSE))</f>
        <v>54.158519339999998</v>
      </c>
      <c r="M38">
        <f ca="1">IF(AND(ISNUMBER($M$272),$B$238=1),$M$272,HLOOKUP(INDIRECT(ADDRESS(2,COLUMN())),OFFSET($R$2,0,0,ROW()-1,12),ROW()-1,FALSE))</f>
        <v>14.11282462</v>
      </c>
      <c r="N38">
        <f ca="1">IF(AND(ISNUMBER($N$272),$B$238=1),$N$272,HLOOKUP(INDIRECT(ADDRESS(2,COLUMN())),OFFSET($R$2,0,0,ROW()-1,12),ROW()-1,FALSE))</f>
        <v>7.1318924160000003</v>
      </c>
      <c r="O38">
        <f ca="1">IF(AND(ISNUMBER($O$272),$B$238=1),$O$272,HLOOKUP(INDIRECT(ADDRESS(2,COLUMN())),OFFSET($R$2,0,0,ROW()-1,12),ROW()-1,FALSE))</f>
        <v>10.92498788</v>
      </c>
      <c r="P38">
        <f ca="1">IF(AND(ISNUMBER($P$272),$B$238=1),$P$272,HLOOKUP(INDIRECT(ADDRESS(2,COLUMN())),OFFSET($R$2,0,0,ROW()-1,12),ROW()-1,FALSE))</f>
        <v>16.45054592</v>
      </c>
      <c r="Q38">
        <f ca="1">IF(AND(ISNUMBER($Q$272),$B$238=1),$Q$272,HLOOKUP(INDIRECT(ADDRESS(2,COLUMN())),OFFSET($R$2,0,0,ROW()-1,12),ROW()-1,FALSE))</f>
        <v>53.275777040000001</v>
      </c>
      <c r="R38">
        <f>8.155375603</f>
        <v>8.1553756029999995</v>
      </c>
      <c r="S38">
        <f>9.454868918</f>
        <v>9.4548689180000007</v>
      </c>
      <c r="T38">
        <f>10.80268609</f>
        <v>10.80268609</v>
      </c>
      <c r="U38">
        <f>15.66615191</f>
        <v>15.66615191</v>
      </c>
      <c r="V38">
        <f>56.79518284</f>
        <v>56.795182840000002</v>
      </c>
      <c r="W38">
        <f>60.32071799</f>
        <v>60.320717989999999</v>
      </c>
      <c r="X38">
        <f>54.15851934</f>
        <v>54.158519339999998</v>
      </c>
      <c r="Y38">
        <f>14.11282462</f>
        <v>14.11282462</v>
      </c>
      <c r="Z38">
        <f>7.131892416</f>
        <v>7.1318924160000003</v>
      </c>
      <c r="AA38">
        <f>10.92498788</f>
        <v>10.92498788</v>
      </c>
      <c r="AB38">
        <f>16.45054592</f>
        <v>16.45054592</v>
      </c>
      <c r="AC38">
        <f>53.27577704</f>
        <v>53.275777040000001</v>
      </c>
    </row>
    <row r="39" spans="1:29" x14ac:dyDescent="0.25">
      <c r="A39" t="str">
        <f>"    Wipro Ltd"</f>
        <v xml:space="preserve">    Wipro Ltd</v>
      </c>
      <c r="B39" t="str">
        <f>"WIT US Equity"</f>
        <v>WIT US Equity</v>
      </c>
      <c r="C39" t="str">
        <f t="shared" si="3"/>
        <v>RX552</v>
      </c>
      <c r="D39" t="str">
        <f t="shared" si="4"/>
        <v>NET_SALES_3YR_GEO_GROWTH</v>
      </c>
      <c r="E39" t="str">
        <f t="shared" si="5"/>
        <v>Dynamic</v>
      </c>
      <c r="F39">
        <f ca="1">IF(AND(ISNUMBER($F$273),$B$238=1),$F$273,HLOOKUP(INDIRECT(ADDRESS(2,COLUMN())),OFFSET($R$2,0,0,ROW()-1,12),ROW()-1,FALSE))</f>
        <v>3.499517424</v>
      </c>
      <c r="G39">
        <f ca="1">IF(AND(ISNUMBER($G$273),$B$238=1),$G$273,HLOOKUP(INDIRECT(ADDRESS(2,COLUMN())),OFFSET($R$2,0,0,ROW()-1,12),ROW()-1,FALSE))</f>
        <v>4.5634494390000002</v>
      </c>
      <c r="H39">
        <f ca="1">IF(AND(ISNUMBER($H$273),$B$238=1),$H$273,HLOOKUP(INDIRECT(ADDRESS(2,COLUMN())),OFFSET($R$2,0,0,ROW()-1,12),ROW()-1,FALSE))</f>
        <v>5.0845392809999996</v>
      </c>
      <c r="I39">
        <f ca="1">IF(AND(ISNUMBER($I$273),$B$238=1),$I$273,HLOOKUP(INDIRECT(ADDRESS(2,COLUMN())),OFFSET($R$2,0,0,ROW()-1,12),ROW()-1,FALSE))</f>
        <v>8.2198825410000005</v>
      </c>
      <c r="J39">
        <f ca="1">IF(AND(ISNUMBER($J$273),$B$238=1),$J$273,HLOOKUP(INDIRECT(ADDRESS(2,COLUMN())),OFFSET($R$2,0,0,ROW()-1,12),ROW()-1,FALSE))</f>
        <v>11.043058950000001</v>
      </c>
      <c r="K39">
        <f ca="1">IF(AND(ISNUMBER($K$273),$B$238=1),$K$273,HLOOKUP(INDIRECT(ADDRESS(2,COLUMN())),OFFSET($R$2,0,0,ROW()-1,12),ROW()-1,FALSE))</f>
        <v>8.0743700240000003</v>
      </c>
      <c r="L39">
        <f ca="1">IF(AND(ISNUMBER($L$273),$B$238=1),$L$273,HLOOKUP(INDIRECT(ADDRESS(2,COLUMN())),OFFSET($R$2,0,0,ROW()-1,12),ROW()-1,FALSE))</f>
        <v>11.82686786</v>
      </c>
      <c r="M39">
        <f ca="1">IF(AND(ISNUMBER($M$273),$B$238=1),$M$273,HLOOKUP(INDIRECT(ADDRESS(2,COLUMN())),OFFSET($R$2,0,0,ROW()-1,12),ROW()-1,FALSE))</f>
        <v>11.20679264</v>
      </c>
      <c r="N39">
        <f ca="1">IF(AND(ISNUMBER($N$273),$B$238=1),$N$273,HLOOKUP(INDIRECT(ADDRESS(2,COLUMN())),OFFSET($R$2,0,0,ROW()-1,12),ROW()-1,FALSE))</f>
        <v>13.117067069999999</v>
      </c>
      <c r="O39">
        <f ca="1">IF(AND(ISNUMBER($O$273),$B$238=1),$O$273,HLOOKUP(INDIRECT(ADDRESS(2,COLUMN())),OFFSET($R$2,0,0,ROW()-1,12),ROW()-1,FALSE))</f>
        <v>15.836257809999999</v>
      </c>
      <c r="P39">
        <f ca="1">IF(AND(ISNUMBER($P$273),$B$238=1),$P$273,HLOOKUP(INDIRECT(ADDRESS(2,COLUMN())),OFFSET($R$2,0,0,ROW()-1,12),ROW()-1,FALSE))</f>
        <v>21.967810700000001</v>
      </c>
      <c r="Q39">
        <f ca="1">IF(AND(ISNUMBER($Q$273),$B$238=1),$Q$273,HLOOKUP(INDIRECT(ADDRESS(2,COLUMN())),OFFSET($R$2,0,0,ROW()-1,12),ROW()-1,FALSE))</f>
        <v>34.327952930000002</v>
      </c>
      <c r="R39">
        <f>3.499517424</f>
        <v>3.499517424</v>
      </c>
      <c r="S39">
        <f>4.563449439</f>
        <v>4.5634494390000002</v>
      </c>
      <c r="T39">
        <f>5.084539281</f>
        <v>5.0845392809999996</v>
      </c>
      <c r="U39">
        <f>8.219882541</f>
        <v>8.2198825410000005</v>
      </c>
      <c r="V39">
        <f>11.04305895</f>
        <v>11.043058950000001</v>
      </c>
      <c r="W39">
        <f>8.074370024</f>
        <v>8.0743700240000003</v>
      </c>
      <c r="X39">
        <f>11.82686786</f>
        <v>11.82686786</v>
      </c>
      <c r="Y39">
        <f>11.20679264</f>
        <v>11.20679264</v>
      </c>
      <c r="Z39">
        <f>13.11706707</f>
        <v>13.117067069999999</v>
      </c>
      <c r="AA39">
        <f>15.83625781</f>
        <v>15.836257809999999</v>
      </c>
      <c r="AB39">
        <f>21.9678107</f>
        <v>21.967810700000001</v>
      </c>
      <c r="AC39">
        <f>34.32795293</f>
        <v>34.327952930000002</v>
      </c>
    </row>
    <row r="40" spans="1:29" x14ac:dyDescent="0.25">
      <c r="A40" t="str">
        <f>"EBITDA Growth (1 Yr)"</f>
        <v>EBITDA Growth (1 Yr)</v>
      </c>
      <c r="B40" t="str">
        <f>"BRITBPOV Index"</f>
        <v>BRITBPOV Index</v>
      </c>
      <c r="E40" t="str">
        <f>"Average"</f>
        <v>Average</v>
      </c>
      <c r="F40">
        <f ca="1">IF(ISERROR(IF(AVERAGE($F$41:$F$57) = 0, "", AVERAGE($F$41:$F$57))), "", (IF(AVERAGE($F$41:$F$57) = 0, "", AVERAGE($F$41:$F$57))))</f>
        <v>15.509857617533333</v>
      </c>
      <c r="G40">
        <f ca="1">IF(ISERROR(IF(AVERAGE($G$41:$G$57) = 0, "", AVERAGE($G$41:$G$57))), "", (IF(AVERAGE($G$41:$G$57) = 0, "", AVERAGE($G$41:$G$57))))</f>
        <v>5.6990587842352953</v>
      </c>
      <c r="H40">
        <f ca="1">IF(ISERROR(IF(AVERAGE($H$41:$H$57) = 0, "", AVERAGE($H$41:$H$57))), "", (IF(AVERAGE($H$41:$H$57) = 0, "", AVERAGE($H$41:$H$57))))</f>
        <v>9.7721743972499997</v>
      </c>
      <c r="I40">
        <f ca="1">IF(ISERROR(IF(AVERAGE($I$41:$I$57) = 0, "", AVERAGE($I$41:$I$57))), "", (IF(AVERAGE($I$41:$I$57) = 0, "", AVERAGE($I$41:$I$57))))</f>
        <v>7.7559166282142851</v>
      </c>
      <c r="J40">
        <f ca="1">IF(ISERROR(IF(AVERAGE($J$41:$J$57) = 0, "", AVERAGE($J$41:$J$57))), "", (IF(AVERAGE($J$41:$J$57) = 0, "", AVERAGE($J$41:$J$57))))</f>
        <v>4.8497405495000008</v>
      </c>
      <c r="K40">
        <f ca="1">IF(ISERROR(IF(AVERAGE($K$41:$K$57) = 0, "", AVERAGE($K$41:$K$57))), "", (IF(AVERAGE($K$41:$K$57) = 0, "", AVERAGE($K$41:$K$57))))</f>
        <v>-0.19403004619999956</v>
      </c>
      <c r="L40">
        <f ca="1">IF(ISERROR(IF(AVERAGE($L$41:$L$57) = 0, "", AVERAGE($L$41:$L$57))), "", (IF(AVERAGE($L$41:$L$57) = 0, "", AVERAGE($L$41:$L$57))))</f>
        <v>33.965887448000004</v>
      </c>
      <c r="M40">
        <f ca="1">IF(ISERROR(IF(AVERAGE($M$41:$M$57) = 0, "", AVERAGE($M$41:$M$57))), "", (IF(AVERAGE($M$41:$M$57) = 0, "", AVERAGE($M$41:$M$57))))</f>
        <v>13.221683896999997</v>
      </c>
      <c r="N40">
        <f ca="1">IF(ISERROR(IF(AVERAGE($N$41:$N$57) = 0, "", AVERAGE($N$41:$N$57))), "", (IF(AVERAGE($N$41:$N$57) = 0, "", AVERAGE($N$41:$N$57))))</f>
        <v>21.002509346133333</v>
      </c>
      <c r="O40">
        <f ca="1">IF(ISERROR(IF(AVERAGE($O$41:$O$57) = 0, "", AVERAGE($O$41:$O$57))), "", (IF(AVERAGE($O$41:$O$57) = 0, "", AVERAGE($O$41:$O$57))))</f>
        <v>20.247055099333327</v>
      </c>
      <c r="P40">
        <f ca="1">IF(ISERROR(IF(AVERAGE($P$41:$P$57) = 0, "", AVERAGE($P$41:$P$57))), "", (IF(AVERAGE($P$41:$P$57) = 0, "", AVERAGE($P$41:$P$57))))</f>
        <v>-0.2796322160666655</v>
      </c>
      <c r="Q40">
        <f ca="1">IF(ISERROR(IF(AVERAGE($Q$41:$Q$57) = 0, "", AVERAGE($Q$41:$Q$57))), "", (IF(AVERAGE($Q$41:$Q$57) = 0, "", AVERAGE($Q$41:$Q$57))))</f>
        <v>19.897682178500002</v>
      </c>
      <c r="R40">
        <f>15.50985762</f>
        <v>15.50985762</v>
      </c>
      <c r="S40">
        <f>5.699058784</f>
        <v>5.699058784</v>
      </c>
      <c r="T40">
        <f>9.772174397</f>
        <v>9.7721743970000006</v>
      </c>
      <c r="U40">
        <f>7.755916629</f>
        <v>7.7559166289999997</v>
      </c>
      <c r="V40">
        <f>4.849740549</f>
        <v>4.8497405489999998</v>
      </c>
      <c r="W40">
        <f>-0.194030046</f>
        <v>-0.19403004600000001</v>
      </c>
      <c r="X40">
        <f>33.96588745</f>
        <v>33.965887449999997</v>
      </c>
      <c r="Y40">
        <f>13.2216839</f>
        <v>13.2216839</v>
      </c>
      <c r="Z40">
        <f>21.00250935</f>
        <v>21.00250935</v>
      </c>
      <c r="AA40">
        <f>20.2470551</f>
        <v>20.247055100000001</v>
      </c>
      <c r="AB40">
        <f>-0.279632216</f>
        <v>-0.27963221599999999</v>
      </c>
      <c r="AC40">
        <f>19.89768218</f>
        <v>19.89768218</v>
      </c>
    </row>
    <row r="41" spans="1:29" x14ac:dyDescent="0.25">
      <c r="A41" t="str">
        <f>"    Accenture PLC"</f>
        <v xml:space="preserve">    Accenture PLC</v>
      </c>
      <c r="B41" t="str">
        <f>"ACN US Equity"</f>
        <v>ACN US Equity</v>
      </c>
      <c r="C41" t="str">
        <f t="shared" ref="C41:C57" si="6">"RR128"</f>
        <v>RR128</v>
      </c>
      <c r="D41" t="str">
        <f t="shared" ref="D41:D57" si="7">"EBITDA_GROWTH"</f>
        <v>EBITDA_GROWTH</v>
      </c>
      <c r="E41" t="str">
        <f t="shared" ref="E41:E57" si="8">"Dynamic"</f>
        <v>Dynamic</v>
      </c>
      <c r="F41">
        <f ca="1">IF(AND(ISNUMBER($F$274),$B$238=1),$F$274,HLOOKUP(INDIRECT(ADDRESS(2,COLUMN())),OFFSET($R$2,0,0,ROW()-1,12),ROW()-1,FALSE))</f>
        <v>5.4541938349999999</v>
      </c>
      <c r="G41">
        <f ca="1">IF(AND(ISNUMBER($G$274),$B$238=1),$G$274,HLOOKUP(INDIRECT(ADDRESS(2,COLUMN())),OFFSET($R$2,0,0,ROW()-1,12),ROW()-1,FALSE))</f>
        <v>25.599100400000001</v>
      </c>
      <c r="H41">
        <f ca="1">IF(AND(ISNUMBER($H$274),$B$238=1),$H$274,HLOOKUP(INDIRECT(ADDRESS(2,COLUMN())),OFFSET($R$2,0,0,ROW()-1,12),ROW()-1,FALSE))</f>
        <v>-1.8972661239999999</v>
      </c>
      <c r="I41">
        <f ca="1">IF(AND(ISNUMBER($I$274),$B$238=1),$I$274,HLOOKUP(INDIRECT(ADDRESS(2,COLUMN())),OFFSET($R$2,0,0,ROW()-1,12),ROW()-1,FALSE))</f>
        <v>9.0067637559999998</v>
      </c>
      <c r="J41">
        <f ca="1">IF(AND(ISNUMBER($J$274),$B$238=1),$J$274,HLOOKUP(INDIRECT(ADDRESS(2,COLUMN())),OFFSET($R$2,0,0,ROW()-1,12),ROW()-1,FALSE))</f>
        <v>3.2621150499999998</v>
      </c>
      <c r="K41">
        <f ca="1">IF(AND(ISNUMBER($K$274),$B$238=1),$K$274,HLOOKUP(INDIRECT(ADDRESS(2,COLUMN())),OFFSET($R$2,0,0,ROW()-1,12),ROW()-1,FALSE))</f>
        <v>-0.21195496599999999</v>
      </c>
      <c r="L41">
        <f ca="1">IF(AND(ISNUMBER($L$274),$B$238=1),$L$274,HLOOKUP(INDIRECT(ADDRESS(2,COLUMN())),OFFSET($R$2,0,0,ROW()-1,12),ROW()-1,FALSE))</f>
        <v>10.45028625</v>
      </c>
      <c r="M41">
        <f ca="1">IF(AND(ISNUMBER($M$274),$B$238=1),$M$274,HLOOKUP(INDIRECT(ADDRESS(2,COLUMN())),OFFSET($R$2,0,0,ROW()-1,12),ROW()-1,FALSE))</f>
        <v>12.083701810000001</v>
      </c>
      <c r="N41">
        <f ca="1">IF(AND(ISNUMBER($N$274),$B$238=1),$N$274,HLOOKUP(INDIRECT(ADDRESS(2,COLUMN())),OFFSET($R$2,0,0,ROW()-1,12),ROW()-1,FALSE))</f>
        <v>17.529848510000001</v>
      </c>
      <c r="O41">
        <f ca="1">IF(AND(ISNUMBER($O$274),$B$238=1),$O$274,HLOOKUP(INDIRECT(ADDRESS(2,COLUMN())),OFFSET($R$2,0,0,ROW()-1,12),ROW()-1,FALSE))</f>
        <v>7.8625444560000002</v>
      </c>
      <c r="P41">
        <f ca="1">IF(AND(ISNUMBER($P$274),$B$238=1),$P$274,HLOOKUP(INDIRECT(ADDRESS(2,COLUMN())),OFFSET($R$2,0,0,ROW()-1,12),ROW()-1,FALSE))</f>
        <v>-10.292511879999999</v>
      </c>
      <c r="Q41">
        <f ca="1">IF(AND(ISNUMBER($Q$274),$B$238=1),$Q$274,HLOOKUP(INDIRECT(ADDRESS(2,COLUMN())),OFFSET($R$2,0,0,ROW()-1,12),ROW()-1,FALSE))</f>
        <v>19.2666757</v>
      </c>
      <c r="R41">
        <f>5.454193835</f>
        <v>5.4541938349999999</v>
      </c>
      <c r="S41">
        <f>25.5991004</f>
        <v>25.599100400000001</v>
      </c>
      <c r="T41">
        <f>-1.897266124</f>
        <v>-1.8972661239999999</v>
      </c>
      <c r="U41">
        <f>9.006763756</f>
        <v>9.0067637559999998</v>
      </c>
      <c r="V41">
        <f>3.26211505</f>
        <v>3.2621150499999998</v>
      </c>
      <c r="W41">
        <f>-0.211954966</f>
        <v>-0.21195496599999999</v>
      </c>
      <c r="X41">
        <f>10.45028625</f>
        <v>10.45028625</v>
      </c>
      <c r="Y41">
        <f>12.08370181</f>
        <v>12.083701810000001</v>
      </c>
      <c r="Z41">
        <f>17.52984851</f>
        <v>17.529848510000001</v>
      </c>
      <c r="AA41">
        <f>7.862544456</f>
        <v>7.8625444560000002</v>
      </c>
      <c r="AB41">
        <f>-10.29251188</f>
        <v>-10.292511879999999</v>
      </c>
      <c r="AC41">
        <f>19.2666757</f>
        <v>19.2666757</v>
      </c>
    </row>
    <row r="42" spans="1:29" x14ac:dyDescent="0.25">
      <c r="A42" t="str">
        <f>"    Amdocs Ltd"</f>
        <v xml:space="preserve">    Amdocs Ltd</v>
      </c>
      <c r="B42" t="str">
        <f>"DOX US Equity"</f>
        <v>DOX US Equity</v>
      </c>
      <c r="C42" t="str">
        <f t="shared" si="6"/>
        <v>RR128</v>
      </c>
      <c r="D42" t="str">
        <f t="shared" si="7"/>
        <v>EBITDA_GROWTH</v>
      </c>
      <c r="E42" t="str">
        <f t="shared" si="8"/>
        <v>Dynamic</v>
      </c>
      <c r="F42">
        <f ca="1">IF(AND(ISNUMBER($F$275),$B$238=1),$F$275,HLOOKUP(INDIRECT(ADDRESS(2,COLUMN())),OFFSET($R$2,0,0,ROW()-1,12),ROW()-1,FALSE))</f>
        <v>21.263550949999999</v>
      </c>
      <c r="G42">
        <f ca="1">IF(AND(ISNUMBER($G$275),$B$238=1),$G$275,HLOOKUP(INDIRECT(ADDRESS(2,COLUMN())),OFFSET($R$2,0,0,ROW()-1,12),ROW()-1,FALSE))</f>
        <v>-12.65838862</v>
      </c>
      <c r="H42">
        <f ca="1">IF(AND(ISNUMBER($H$275),$B$238=1),$H$275,HLOOKUP(INDIRECT(ADDRESS(2,COLUMN())),OFFSET($R$2,0,0,ROW()-1,12),ROW()-1,FALSE))</f>
        <v>5.3654170480000003</v>
      </c>
      <c r="I42">
        <f ca="1">IF(AND(ISNUMBER($I$275),$B$238=1),$I$275,HLOOKUP(INDIRECT(ADDRESS(2,COLUMN())),OFFSET($R$2,0,0,ROW()-1,12),ROW()-1,FALSE))</f>
        <v>0.60644841900000002</v>
      </c>
      <c r="J42">
        <f ca="1">IF(AND(ISNUMBER($J$275),$B$238=1),$J$275,HLOOKUP(INDIRECT(ADDRESS(2,COLUMN())),OFFSET($R$2,0,0,ROW()-1,12),ROW()-1,FALSE))</f>
        <v>4.9091765130000002</v>
      </c>
      <c r="K42">
        <f ca="1">IF(AND(ISNUMBER($K$275),$B$238=1),$K$275,HLOOKUP(INDIRECT(ADDRESS(2,COLUMN())),OFFSET($R$2,0,0,ROW()-1,12),ROW()-1,FALSE))</f>
        <v>5.799514083</v>
      </c>
      <c r="L42">
        <f ca="1">IF(AND(ISNUMBER($L$275),$B$238=1),$L$275,HLOOKUP(INDIRECT(ADDRESS(2,COLUMN())),OFFSET($R$2,0,0,ROW()-1,12),ROW()-1,FALSE))</f>
        <v>3.3619781889999998</v>
      </c>
      <c r="M42">
        <f ca="1">IF(AND(ISNUMBER($M$275),$B$238=1),$M$275,HLOOKUP(INDIRECT(ADDRESS(2,COLUMN())),OFFSET($R$2,0,0,ROW()-1,12),ROW()-1,FALSE))</f>
        <v>2.7729366839999998</v>
      </c>
      <c r="N42">
        <f ca="1">IF(AND(ISNUMBER($N$275),$B$238=1),$N$275,HLOOKUP(INDIRECT(ADDRESS(2,COLUMN())),OFFSET($R$2,0,0,ROW()-1,12),ROW()-1,FALSE))</f>
        <v>-3.3860346680000002</v>
      </c>
      <c r="O42">
        <f ca="1">IF(AND(ISNUMBER($O$275),$B$238=1),$O$275,HLOOKUP(INDIRECT(ADDRESS(2,COLUMN())),OFFSET($R$2,0,0,ROW()-1,12),ROW()-1,FALSE))</f>
        <v>7.2395205130000004</v>
      </c>
      <c r="P42">
        <f ca="1">IF(AND(ISNUMBER($P$275),$B$238=1),$P$275,HLOOKUP(INDIRECT(ADDRESS(2,COLUMN())),OFFSET($R$2,0,0,ROW()-1,12),ROW()-1,FALSE))</f>
        <v>-7.6728894289999996</v>
      </c>
      <c r="Q42">
        <f ca="1">IF(AND(ISNUMBER($Q$275),$B$238=1),$Q$275,HLOOKUP(INDIRECT(ADDRESS(2,COLUMN())),OFFSET($R$2,0,0,ROW()-1,12),ROW()-1,FALSE))</f>
        <v>15.729948520000001</v>
      </c>
      <c r="R42">
        <f>21.26355095</f>
        <v>21.263550949999999</v>
      </c>
      <c r="S42">
        <f>-12.65838862</f>
        <v>-12.65838862</v>
      </c>
      <c r="T42">
        <f>5.365417048</f>
        <v>5.3654170480000003</v>
      </c>
      <c r="U42">
        <f>0.606448419</f>
        <v>0.60644841900000002</v>
      </c>
      <c r="V42">
        <f>4.909176513</f>
        <v>4.9091765130000002</v>
      </c>
      <c r="W42">
        <f>5.799514083</f>
        <v>5.799514083</v>
      </c>
      <c r="X42">
        <f>3.361978189</f>
        <v>3.3619781889999998</v>
      </c>
      <c r="Y42">
        <f>2.772936684</f>
        <v>2.7729366839999998</v>
      </c>
      <c r="Z42">
        <f>-3.386034668</f>
        <v>-3.3860346680000002</v>
      </c>
      <c r="AA42">
        <f>7.239520513</f>
        <v>7.2395205130000004</v>
      </c>
      <c r="AB42">
        <f>-7.672889429</f>
        <v>-7.6728894289999996</v>
      </c>
      <c r="AC42">
        <f>15.72994852</f>
        <v>15.729948520000001</v>
      </c>
    </row>
    <row r="43" spans="1:29" x14ac:dyDescent="0.25">
      <c r="A43" t="str">
        <f>"    Atos SE"</f>
        <v xml:space="preserve">    Atos SE</v>
      </c>
      <c r="B43" t="str">
        <f>"ATO FP Equity"</f>
        <v>ATO FP Equity</v>
      </c>
      <c r="C43" t="str">
        <f t="shared" si="6"/>
        <v>RR128</v>
      </c>
      <c r="D43" t="str">
        <f t="shared" si="7"/>
        <v>EBITDA_GROWTH</v>
      </c>
      <c r="E43" t="str">
        <f t="shared" si="8"/>
        <v>Dynamic</v>
      </c>
      <c r="F43">
        <f ca="1">IF(AND(ISNUMBER($F$276),$B$238=1),$F$276,HLOOKUP(INDIRECT(ADDRESS(2,COLUMN())),OFFSET($R$2,0,0,ROW()-1,12),ROW()-1,FALSE))</f>
        <v>38.254410399999998</v>
      </c>
      <c r="G43">
        <f ca="1">IF(AND(ISNUMBER($G$276),$B$238=1),$G$276,HLOOKUP(INDIRECT(ADDRESS(2,COLUMN())),OFFSET($R$2,0,0,ROW()-1,12),ROW()-1,FALSE))</f>
        <v>-24.790502790000001</v>
      </c>
      <c r="H43">
        <f ca="1">IF(AND(ISNUMBER($H$276),$B$238=1),$H$276,HLOOKUP(INDIRECT(ADDRESS(2,COLUMN())),OFFSET($R$2,0,0,ROW()-1,12),ROW()-1,FALSE))</f>
        <v>6.294536817</v>
      </c>
      <c r="I43">
        <f ca="1">IF(AND(ISNUMBER($I$276),$B$238=1),$I$276,HLOOKUP(INDIRECT(ADDRESS(2,COLUMN())),OFFSET($R$2,0,0,ROW()-1,12),ROW()-1,FALSE))</f>
        <v>26.284214469999998</v>
      </c>
      <c r="J43">
        <f ca="1">IF(AND(ISNUMBER($J$276),$B$238=1),$J$276,HLOOKUP(INDIRECT(ADDRESS(2,COLUMN())),OFFSET($R$2,0,0,ROW()-1,12),ROW()-1,FALSE))</f>
        <v>32.686567160000003</v>
      </c>
      <c r="K43">
        <f ca="1">IF(AND(ISNUMBER($K$276),$B$238=1),$K$276,HLOOKUP(INDIRECT(ADDRESS(2,COLUMN())),OFFSET($R$2,0,0,ROW()-1,12),ROW()-1,FALSE))</f>
        <v>1.759270978</v>
      </c>
      <c r="L43">
        <f ca="1">IF(AND(ISNUMBER($L$276),$B$238=1),$L$276,HLOOKUP(INDIRECT(ADDRESS(2,COLUMN())),OFFSET($R$2,0,0,ROW()-1,12),ROW()-1,FALSE))</f>
        <v>2.7171086839999998</v>
      </c>
      <c r="M43">
        <f ca="1">IF(AND(ISNUMBER($M$276),$B$238=1),$M$276,HLOOKUP(INDIRECT(ADDRESS(2,COLUMN())),OFFSET($R$2,0,0,ROW()-1,12),ROW()-1,FALSE))</f>
        <v>18.979118329999999</v>
      </c>
      <c r="N43">
        <f ca="1">IF(AND(ISNUMBER($N$276),$B$238=1),$N$276,HLOOKUP(INDIRECT(ADDRESS(2,COLUMN())),OFFSET($R$2,0,0,ROW()-1,12),ROW()-1,FALSE))</f>
        <v>56.234896089999999</v>
      </c>
      <c r="O43">
        <f ca="1">IF(AND(ISNUMBER($O$276),$B$238=1),$O$276,HLOOKUP(INDIRECT(ADDRESS(2,COLUMN())),OFFSET($R$2,0,0,ROW()-1,12),ROW()-1,FALSE))</f>
        <v>63.363600470000002</v>
      </c>
      <c r="P43">
        <f ca="1">IF(AND(ISNUMBER($P$276),$B$238=1),$P$276,HLOOKUP(INDIRECT(ADDRESS(2,COLUMN())),OFFSET($R$2,0,0,ROW()-1,12),ROW()-1,FALSE))</f>
        <v>-48.179214399999999</v>
      </c>
      <c r="Q43">
        <f ca="1">IF(AND(ISNUMBER($Q$276),$B$238=1),$Q$276,HLOOKUP(INDIRECT(ADDRESS(2,COLUMN())),OFFSET($R$2,0,0,ROW()-1,12),ROW()-1,FALSE))</f>
        <v>0.63825406600000001</v>
      </c>
      <c r="R43">
        <f>38.2544104</f>
        <v>38.254410399999998</v>
      </c>
      <c r="S43">
        <f>-24.79050279</f>
        <v>-24.790502790000001</v>
      </c>
      <c r="T43">
        <f>6.294536817</f>
        <v>6.294536817</v>
      </c>
      <c r="U43">
        <f>26.28421447</f>
        <v>26.284214469999998</v>
      </c>
      <c r="V43">
        <f>32.68656716</f>
        <v>32.686567160000003</v>
      </c>
      <c r="W43">
        <f>1.759270978</f>
        <v>1.759270978</v>
      </c>
      <c r="X43">
        <f>2.717108684</f>
        <v>2.7171086839999998</v>
      </c>
      <c r="Y43">
        <f>18.97911833</f>
        <v>18.979118329999999</v>
      </c>
      <c r="Z43">
        <f>56.23489609</f>
        <v>56.234896089999999</v>
      </c>
      <c r="AA43">
        <f>63.36360047</f>
        <v>63.363600470000002</v>
      </c>
      <c r="AB43">
        <f>-48.1792144</f>
        <v>-48.179214399999999</v>
      </c>
      <c r="AC43">
        <f>0.638254066</f>
        <v>0.63825406600000001</v>
      </c>
    </row>
    <row r="44" spans="1:29" x14ac:dyDescent="0.25">
      <c r="A44" t="str">
        <f>"    Capgemini SE"</f>
        <v xml:space="preserve">    Capgemini SE</v>
      </c>
      <c r="B44" t="str">
        <f>"CAP FP Equity"</f>
        <v>CAP FP Equity</v>
      </c>
      <c r="C44" t="str">
        <f t="shared" si="6"/>
        <v>RR128</v>
      </c>
      <c r="D44" t="str">
        <f t="shared" si="7"/>
        <v>EBITDA_GROWTH</v>
      </c>
      <c r="E44" t="str">
        <f t="shared" si="8"/>
        <v>Dynamic</v>
      </c>
      <c r="F44">
        <f ca="1">IF(AND(ISNUMBER($F$277),$B$238=1),$F$277,HLOOKUP(INDIRECT(ADDRESS(2,COLUMN())),OFFSET($R$2,0,0,ROW()-1,12),ROW()-1,FALSE))</f>
        <v>27.366387639999999</v>
      </c>
      <c r="G44">
        <f ca="1">IF(AND(ISNUMBER($G$277),$B$238=1),$G$277,HLOOKUP(INDIRECT(ADDRESS(2,COLUMN())),OFFSET($R$2,0,0,ROW()-1,12),ROW()-1,FALSE))</f>
        <v>4.6495956869999997</v>
      </c>
      <c r="H44">
        <f ca="1">IF(AND(ISNUMBER($H$277),$B$238=1),$H$277,HLOOKUP(INDIRECT(ADDRESS(2,COLUMN())),OFFSET($R$2,0,0,ROW()-1,12),ROW()-1,FALSE))</f>
        <v>2.5570145129999999</v>
      </c>
      <c r="I44">
        <f ca="1">IF(AND(ISNUMBER($I$277),$B$238=1),$I$277,HLOOKUP(INDIRECT(ADDRESS(2,COLUMN())),OFFSET($R$2,0,0,ROW()-1,12),ROW()-1,FALSE))</f>
        <v>12.519440120000001</v>
      </c>
      <c r="J44">
        <f ca="1">IF(AND(ISNUMBER($J$277),$B$238=1),$J$277,HLOOKUP(INDIRECT(ADDRESS(2,COLUMN())),OFFSET($R$2,0,0,ROW()-1,12),ROW()-1,FALSE))</f>
        <v>21.66508988</v>
      </c>
      <c r="K44">
        <f ca="1">IF(AND(ISNUMBER($K$277),$B$238=1),$K$277,HLOOKUP(INDIRECT(ADDRESS(2,COLUMN())),OFFSET($R$2,0,0,ROW()-1,12),ROW()-1,FALSE))</f>
        <v>13.900862070000001</v>
      </c>
      <c r="L44">
        <f ca="1">IF(AND(ISNUMBER($L$277),$B$238=1),$L$277,HLOOKUP(INDIRECT(ADDRESS(2,COLUMN())),OFFSET($R$2,0,0,ROW()-1,12),ROW()-1,FALSE))</f>
        <v>11.270983210000001</v>
      </c>
      <c r="M44">
        <f ca="1">IF(AND(ISNUMBER($M$277),$B$238=1),$M$277,HLOOKUP(INDIRECT(ADDRESS(2,COLUMN())),OFFSET($R$2,0,0,ROW()-1,12),ROW()-1,FALSE))</f>
        <v>6.5134099619999999</v>
      </c>
      <c r="N44">
        <f ca="1">IF(AND(ISNUMBER($N$277),$B$238=1),$N$277,HLOOKUP(INDIRECT(ADDRESS(2,COLUMN())),OFFSET($R$2,0,0,ROW()-1,12),ROW()-1,FALSE))</f>
        <v>17.7443609</v>
      </c>
      <c r="O44">
        <f ca="1">IF(AND(ISNUMBER($O$277),$B$238=1),$O$277,HLOOKUP(INDIRECT(ADDRESS(2,COLUMN())),OFFSET($R$2,0,0,ROW()-1,12),ROW()-1,FALSE))</f>
        <v>33.802816900000003</v>
      </c>
      <c r="P44">
        <f ca="1">IF(AND(ISNUMBER($P$277),$B$238=1),$P$277,HLOOKUP(INDIRECT(ADDRESS(2,COLUMN())),OFFSET($R$2,0,0,ROW()-1,12),ROW()-1,FALSE))</f>
        <v>-49.337410810000002</v>
      </c>
      <c r="Q44">
        <f ca="1">IF(AND(ISNUMBER($Q$277),$B$238=1),$Q$277,HLOOKUP(INDIRECT(ADDRESS(2,COLUMN())),OFFSET($R$2,0,0,ROW()-1,12),ROW()-1,FALSE))</f>
        <v>17.625899279999999</v>
      </c>
      <c r="R44">
        <f>27.36638764</f>
        <v>27.366387639999999</v>
      </c>
      <c r="S44">
        <f>4.649595687</f>
        <v>4.6495956869999997</v>
      </c>
      <c r="T44">
        <f>2.557014513</f>
        <v>2.5570145129999999</v>
      </c>
      <c r="U44">
        <f>12.51944012</f>
        <v>12.519440120000001</v>
      </c>
      <c r="V44">
        <f>21.66508988</f>
        <v>21.66508988</v>
      </c>
      <c r="W44">
        <f>13.90086207</f>
        <v>13.900862070000001</v>
      </c>
      <c r="X44">
        <f>11.27098321</f>
        <v>11.270983210000001</v>
      </c>
      <c r="Y44">
        <f>6.513409962</f>
        <v>6.5134099619999999</v>
      </c>
      <c r="Z44">
        <f>17.7443609</f>
        <v>17.7443609</v>
      </c>
      <c r="AA44">
        <f>33.8028169</f>
        <v>33.802816900000003</v>
      </c>
      <c r="AB44">
        <f>-49.33741081</f>
        <v>-49.337410810000002</v>
      </c>
      <c r="AC44">
        <f>17.62589928</f>
        <v>17.625899279999999</v>
      </c>
    </row>
    <row r="45" spans="1:29" x14ac:dyDescent="0.25">
      <c r="A45" t="str">
        <f>"    CGI Inc"</f>
        <v xml:space="preserve">    CGI Inc</v>
      </c>
      <c r="B45" t="str">
        <f>"GIB US Equity"</f>
        <v>GIB US Equity</v>
      </c>
      <c r="C45" t="str">
        <f t="shared" si="6"/>
        <v>RR128</v>
      </c>
      <c r="D45" t="str">
        <f t="shared" si="7"/>
        <v>EBITDA_GROWTH</v>
      </c>
      <c r="E45" t="str">
        <f t="shared" si="8"/>
        <v>Dynamic</v>
      </c>
      <c r="F45">
        <f ca="1">IF(AND(ISNUMBER($F$278),$B$238=1),$F$278,HLOOKUP(INDIRECT(ADDRESS(2,COLUMN())),OFFSET($R$2,0,0,ROW()-1,12),ROW()-1,FALSE))</f>
        <v>9.3004020740000009</v>
      </c>
      <c r="G45">
        <f ca="1">IF(AND(ISNUMBER($G$278),$B$238=1),$G$278,HLOOKUP(INDIRECT(ADDRESS(2,COLUMN())),OFFSET($R$2,0,0,ROW()-1,12),ROW()-1,FALSE))</f>
        <v>5.0471223050000003</v>
      </c>
      <c r="H45">
        <f ca="1">IF(AND(ISNUMBER($H$278),$B$238=1),$H$278,HLOOKUP(INDIRECT(ADDRESS(2,COLUMN())),OFFSET($R$2,0,0,ROW()-1,12),ROW()-1,FALSE))</f>
        <v>-3.4975521070000002</v>
      </c>
      <c r="I45">
        <f ca="1">IF(AND(ISNUMBER($I$278),$B$238=1),$I$278,HLOOKUP(INDIRECT(ADDRESS(2,COLUMN())),OFFSET($R$2,0,0,ROW()-1,12),ROW()-1,FALSE))</f>
        <v>4.1543878779999996</v>
      </c>
      <c r="J45">
        <f ca="1">IF(AND(ISNUMBER($J$278),$B$238=1),$J$278,HLOOKUP(INDIRECT(ADDRESS(2,COLUMN())),OFFSET($R$2,0,0,ROW()-1,12),ROW()-1,FALSE))</f>
        <v>10.04213916</v>
      </c>
      <c r="K45">
        <f ca="1">IF(AND(ISNUMBER($K$278),$B$238=1),$K$278,HLOOKUP(INDIRECT(ADDRESS(2,COLUMN())),OFFSET($R$2,0,0,ROW()-1,12),ROW()-1,FALSE))</f>
        <v>44.192563120000003</v>
      </c>
      <c r="L45">
        <f ca="1">IF(AND(ISNUMBER($L$278),$B$238=1),$L$278,HLOOKUP(INDIRECT(ADDRESS(2,COLUMN())),OFFSET($R$2,0,0,ROW()-1,12),ROW()-1,FALSE))</f>
        <v>124.09467069999999</v>
      </c>
      <c r="M45">
        <f ca="1">IF(AND(ISNUMBER($M$278),$B$238=1),$M$278,HLOOKUP(INDIRECT(ADDRESS(2,COLUMN())),OFFSET($R$2,0,0,ROW()-1,12),ROW()-1,FALSE))</f>
        <v>-30.643410509999999</v>
      </c>
      <c r="N45">
        <f ca="1">IF(AND(ISNUMBER($N$278),$B$238=1),$N$278,HLOOKUP(INDIRECT(ADDRESS(2,COLUMN())),OFFSET($R$2,0,0,ROW()-1,12),ROW()-1,FALSE))</f>
        <v>5.9620279539999999</v>
      </c>
      <c r="O45">
        <f ca="1">IF(AND(ISNUMBER($O$278),$B$238=1),$O$278,HLOOKUP(INDIRECT(ADDRESS(2,COLUMN())),OFFSET($R$2,0,0,ROW()-1,12),ROW()-1,FALSE))</f>
        <v>4.9079799910000004</v>
      </c>
      <c r="P45">
        <f ca="1">IF(AND(ISNUMBER($P$278),$B$238=1),$P$278,HLOOKUP(INDIRECT(ADDRESS(2,COLUMN())),OFFSET($R$2,0,0,ROW()-1,12),ROW()-1,FALSE))</f>
        <v>9.5509917469999994</v>
      </c>
      <c r="Q45">
        <f ca="1">IF(AND(ISNUMBER($Q$278),$B$238=1),$Q$278,HLOOKUP(INDIRECT(ADDRESS(2,COLUMN())),OFFSET($R$2,0,0,ROW()-1,12),ROW()-1,FALSE))</f>
        <v>2.4090656030000002</v>
      </c>
      <c r="R45">
        <f>9.300402074</f>
        <v>9.3004020740000009</v>
      </c>
      <c r="S45">
        <f>5.047122305</f>
        <v>5.0471223050000003</v>
      </c>
      <c r="T45">
        <f>-3.497552107</f>
        <v>-3.4975521070000002</v>
      </c>
      <c r="U45">
        <f>4.154387878</f>
        <v>4.1543878779999996</v>
      </c>
      <c r="V45">
        <f>10.04213916</f>
        <v>10.04213916</v>
      </c>
      <c r="W45">
        <f>44.19256312</f>
        <v>44.192563120000003</v>
      </c>
      <c r="X45">
        <f>124.0946707</f>
        <v>124.09467069999999</v>
      </c>
      <c r="Y45">
        <f>-30.64341051</f>
        <v>-30.643410509999999</v>
      </c>
      <c r="Z45">
        <f>5.962027954</f>
        <v>5.9620279539999999</v>
      </c>
      <c r="AA45">
        <f>4.907979991</f>
        <v>4.9079799910000004</v>
      </c>
      <c r="AB45">
        <f>9.550991747</f>
        <v>9.5509917469999994</v>
      </c>
      <c r="AC45">
        <f>2.409065603</f>
        <v>2.4090656030000002</v>
      </c>
    </row>
    <row r="46" spans="1:29" x14ac:dyDescent="0.25">
      <c r="A46" t="str">
        <f>"    Cognizant Technology Solutions Corp"</f>
        <v xml:space="preserve">    Cognizant Technology Solutions Corp</v>
      </c>
      <c r="B46" t="str">
        <f>"CTSH US Equity"</f>
        <v>CTSH US Equity</v>
      </c>
      <c r="C46" t="str">
        <f t="shared" si="6"/>
        <v>RR128</v>
      </c>
      <c r="D46" t="str">
        <f t="shared" si="7"/>
        <v>EBITDA_GROWTH</v>
      </c>
      <c r="E46" t="str">
        <f t="shared" si="8"/>
        <v>Dynamic</v>
      </c>
      <c r="F46">
        <f ca="1">IF(AND(ISNUMBER($F$279),$B$238=1),$F$279,HLOOKUP(INDIRECT(ADDRESS(2,COLUMN())),OFFSET($R$2,0,0,ROW()-1,12),ROW()-1,FALSE))</f>
        <v>-2.243103971</v>
      </c>
      <c r="G46">
        <f ca="1">IF(AND(ISNUMBER($G$279),$B$238=1),$G$279,HLOOKUP(INDIRECT(ADDRESS(2,COLUMN())),OFFSET($R$2,0,0,ROW()-1,12),ROW()-1,FALSE))</f>
        <v>12.824897399999999</v>
      </c>
      <c r="H46">
        <f ca="1">IF(AND(ISNUMBER($H$279),$B$238=1),$H$279,HLOOKUP(INDIRECT(ADDRESS(2,COLUMN())),OFFSET($R$2,0,0,ROW()-1,12),ROW()-1,FALSE))</f>
        <v>9.5952023989999997</v>
      </c>
      <c r="I46">
        <f ca="1">IF(AND(ISNUMBER($I$279),$B$238=1),$I$279,HLOOKUP(INDIRECT(ADDRESS(2,COLUMN())),OFFSET($R$2,0,0,ROW()-1,12),ROW()-1,FALSE))</f>
        <v>7.928802589</v>
      </c>
      <c r="J46">
        <f ca="1">IF(AND(ISNUMBER($J$279),$B$238=1),$J$279,HLOOKUP(INDIRECT(ADDRESS(2,COLUMN())),OFFSET($R$2,0,0,ROW()-1,12),ROW()-1,FALSE))</f>
        <v>18.107978979999999</v>
      </c>
      <c r="K46">
        <f ca="1">IF(AND(ISNUMBER($K$279),$B$238=1),$K$279,HLOOKUP(INDIRECT(ADDRESS(2,COLUMN())),OFFSET($R$2,0,0,ROW()-1,12),ROW()-1,FALSE))</f>
        <v>12.657710030000001</v>
      </c>
      <c r="L46">
        <f ca="1">IF(AND(ISNUMBER($L$279),$B$238=1),$L$279,HLOOKUP(INDIRECT(ADDRESS(2,COLUMN())),OFFSET($R$2,0,0,ROW()-1,12),ROW()-1,FALSE))</f>
        <v>22.380579730000001</v>
      </c>
      <c r="M46">
        <f ca="1">IF(AND(ISNUMBER($M$279),$B$238=1),$M$279,HLOOKUP(INDIRECT(ADDRESS(2,COLUMN())),OFFSET($R$2,0,0,ROW()-1,12),ROW()-1,FALSE))</f>
        <v>20.421403999999999</v>
      </c>
      <c r="N46">
        <f ca="1">IF(AND(ISNUMBER($N$279),$B$238=1),$N$279,HLOOKUP(INDIRECT(ADDRESS(2,COLUMN())),OFFSET($R$2,0,0,ROW()-1,12),ROW()-1,FALSE))</f>
        <v>29.692579609999999</v>
      </c>
      <c r="O46">
        <f ca="1">IF(AND(ISNUMBER($O$279),$B$238=1),$O$279,HLOOKUP(INDIRECT(ADDRESS(2,COLUMN())),OFFSET($R$2,0,0,ROW()-1,12),ROW()-1,FALSE))</f>
        <v>37.318484840000004</v>
      </c>
      <c r="P46">
        <f ca="1">IF(AND(ISNUMBER($P$279),$B$238=1),$P$279,HLOOKUP(INDIRECT(ADDRESS(2,COLUMN())),OFFSET($R$2,0,0,ROW()-1,12),ROW()-1,FALSE))</f>
        <v>19.678866280000001</v>
      </c>
      <c r="Q46">
        <f ca="1">IF(AND(ISNUMBER($Q$279),$B$238=1),$Q$279,HLOOKUP(INDIRECT(ADDRESS(2,COLUMN())),OFFSET($R$2,0,0,ROW()-1,12),ROW()-1,FALSE))</f>
        <v>35.832031970000003</v>
      </c>
      <c r="R46">
        <f>-2.243103971</f>
        <v>-2.243103971</v>
      </c>
      <c r="S46">
        <f>12.8248974</f>
        <v>12.824897399999999</v>
      </c>
      <c r="T46">
        <f>9.595202399</f>
        <v>9.5952023989999997</v>
      </c>
      <c r="U46">
        <f>7.928802589</f>
        <v>7.928802589</v>
      </c>
      <c r="V46">
        <f>18.10797898</f>
        <v>18.107978979999999</v>
      </c>
      <c r="W46">
        <f>12.65771003</f>
        <v>12.657710030000001</v>
      </c>
      <c r="X46">
        <f>22.38057973</f>
        <v>22.380579730000001</v>
      </c>
      <c r="Y46">
        <f>20.421404</f>
        <v>20.421403999999999</v>
      </c>
      <c r="Z46">
        <f>29.69257961</f>
        <v>29.692579609999999</v>
      </c>
      <c r="AA46">
        <f>37.31848484</f>
        <v>37.318484840000004</v>
      </c>
      <c r="AB46">
        <f>19.67886628</f>
        <v>19.678866280000001</v>
      </c>
      <c r="AC46">
        <f>35.83203197</f>
        <v>35.832031970000003</v>
      </c>
    </row>
    <row r="47" spans="1:29" x14ac:dyDescent="0.25">
      <c r="A47" t="str">
        <f>"    Conduent Inc"</f>
        <v xml:space="preserve">    Conduent Inc</v>
      </c>
      <c r="B47" t="str">
        <f>"CNDT US Equity"</f>
        <v>CNDT US Equity</v>
      </c>
      <c r="C47" t="str">
        <f t="shared" si="6"/>
        <v>RR128</v>
      </c>
      <c r="D47" t="str">
        <f t="shared" si="7"/>
        <v>EBITDA_GROWTH</v>
      </c>
      <c r="E47" t="str">
        <f t="shared" si="8"/>
        <v>Dynamic</v>
      </c>
      <c r="F47" t="str">
        <f ca="1">IF(AND(ISNUMBER($F$280),$B$238=1),$F$280,HLOOKUP(INDIRECT(ADDRESS(2,COLUMN())),OFFSET($R$2,0,0,ROW()-1,12),ROW()-1,FALSE))</f>
        <v/>
      </c>
      <c r="G47">
        <f ca="1">IF(AND(ISNUMBER($G$280),$B$238=1),$G$280,HLOOKUP(INDIRECT(ADDRESS(2,COLUMN())),OFFSET($R$2,0,0,ROW()-1,12),ROW()-1,FALSE))</f>
        <v>-70.114942529999993</v>
      </c>
      <c r="H47" t="str">
        <f ca="1">IF(AND(ISNUMBER($H$280),$B$238=1),$H$280,HLOOKUP(INDIRECT(ADDRESS(2,COLUMN())),OFFSET($R$2,0,0,ROW()-1,12),ROW()-1,FALSE))</f>
        <v/>
      </c>
      <c r="I47" t="str">
        <f ca="1">IF(AND(ISNUMBER($I$280),$B$238=1),$I$280,HLOOKUP(INDIRECT(ADDRESS(2,COLUMN())),OFFSET($R$2,0,0,ROW()-1,12),ROW()-1,FALSE))</f>
        <v/>
      </c>
      <c r="J47">
        <f ca="1">IF(AND(ISNUMBER($J$280),$B$238=1),$J$280,HLOOKUP(INDIRECT(ADDRESS(2,COLUMN())),OFFSET($R$2,0,0,ROW()-1,12),ROW()-1,FALSE))</f>
        <v>-86.828240249999993</v>
      </c>
      <c r="K47">
        <f ca="1">IF(AND(ISNUMBER($K$280),$B$238=1),$K$280,HLOOKUP(INDIRECT(ADDRESS(2,COLUMN())),OFFSET($R$2,0,0,ROW()-1,12),ROW()-1,FALSE))</f>
        <v>-6.4102564099999997</v>
      </c>
      <c r="L47" t="str">
        <f ca="1">IF(AND(ISNUMBER($L$280),$B$238=1),$L$280,HLOOKUP(INDIRECT(ADDRESS(2,COLUMN())),OFFSET($R$2,0,0,ROW()-1,12),ROW()-1,FALSE))</f>
        <v/>
      </c>
      <c r="M47" t="str">
        <f ca="1">IF(AND(ISNUMBER($M$280),$B$238=1),$M$280,HLOOKUP(INDIRECT(ADDRESS(2,COLUMN())),OFFSET($R$2,0,0,ROW()-1,12),ROW()-1,FALSE))</f>
        <v/>
      </c>
      <c r="N47" t="str">
        <f ca="1">IF(AND(ISNUMBER($N$280),$B$238=1),$N$280,HLOOKUP(INDIRECT(ADDRESS(2,COLUMN())),OFFSET($R$2,0,0,ROW()-1,12),ROW()-1,FALSE))</f>
        <v/>
      </c>
      <c r="O47" t="str">
        <f ca="1">IF(AND(ISNUMBER($O$280),$B$238=1),$O$280,HLOOKUP(INDIRECT(ADDRESS(2,COLUMN())),OFFSET($R$2,0,0,ROW()-1,12),ROW()-1,FALSE))</f>
        <v/>
      </c>
      <c r="P47" t="str">
        <f ca="1">IF(AND(ISNUMBER($P$280),$B$238=1),$P$280,HLOOKUP(INDIRECT(ADDRESS(2,COLUMN())),OFFSET($R$2,0,0,ROW()-1,12),ROW()-1,FALSE))</f>
        <v/>
      </c>
      <c r="Q47" t="str">
        <f ca="1">IF(AND(ISNUMBER($Q$280),$B$238=1),$Q$280,HLOOKUP(INDIRECT(ADDRESS(2,COLUMN())),OFFSET($R$2,0,0,ROW()-1,12),ROW()-1,FALSE))</f>
        <v/>
      </c>
      <c r="R47" t="str">
        <f>""</f>
        <v/>
      </c>
      <c r="S47">
        <f>-70.11494253</f>
        <v>-70.114942529999993</v>
      </c>
      <c r="T47" t="str">
        <f>""</f>
        <v/>
      </c>
      <c r="U47" t="str">
        <f>""</f>
        <v/>
      </c>
      <c r="V47">
        <f>-86.82824025</f>
        <v>-86.828240249999993</v>
      </c>
      <c r="W47">
        <f>-6.41025641</f>
        <v>-6.4102564099999997</v>
      </c>
      <c r="X47" t="str">
        <f>""</f>
        <v/>
      </c>
      <c r="Y47" t="str">
        <f>""</f>
        <v/>
      </c>
      <c r="Z47" t="str">
        <f>""</f>
        <v/>
      </c>
      <c r="AA47" t="str">
        <f>""</f>
        <v/>
      </c>
      <c r="AB47" t="str">
        <f>""</f>
        <v/>
      </c>
      <c r="AC47" t="str">
        <f>""</f>
        <v/>
      </c>
    </row>
    <row r="48" spans="1:29" x14ac:dyDescent="0.25">
      <c r="A48" t="str">
        <f>"    DXC Technology Co"</f>
        <v xml:space="preserve">    DXC Technology Co</v>
      </c>
      <c r="B48" t="str">
        <f>"DXC US Equity"</f>
        <v>DXC US Equity</v>
      </c>
      <c r="C48" t="str">
        <f t="shared" si="6"/>
        <v>RR128</v>
      </c>
      <c r="D48" t="str">
        <f t="shared" si="7"/>
        <v>EBITDA_GROWTH</v>
      </c>
      <c r="E48" t="str">
        <f t="shared" si="8"/>
        <v>Dynamic</v>
      </c>
      <c r="F48" t="str">
        <f ca="1">IF(AND(ISNUMBER($F$281),$B$238=1),$F$281,HLOOKUP(INDIRECT(ADDRESS(2,COLUMN())),OFFSET($R$2,0,0,ROW()-1,12),ROW()-1,FALSE))</f>
        <v/>
      </c>
      <c r="G48">
        <f ca="1">IF(AND(ISNUMBER($G$281),$B$238=1),$G$281,HLOOKUP(INDIRECT(ADDRESS(2,COLUMN())),OFFSET($R$2,0,0,ROW()-1,12),ROW()-1,FALSE))</f>
        <v>5.4945054950000003</v>
      </c>
      <c r="H48">
        <f ca="1">IF(AND(ISNUMBER($H$281),$B$238=1),$H$281,HLOOKUP(INDIRECT(ADDRESS(2,COLUMN())),OFFSET($R$2,0,0,ROW()-1,12),ROW()-1,FALSE))</f>
        <v>74.655511809999993</v>
      </c>
      <c r="I48" t="str">
        <f ca="1">IF(AND(ISNUMBER($I$281),$B$238=1),$I$281,HLOOKUP(INDIRECT(ADDRESS(2,COLUMN())),OFFSET($R$2,0,0,ROW()-1,12),ROW()-1,FALSE))</f>
        <v/>
      </c>
      <c r="J48" t="str">
        <f ca="1">IF(AND(ISNUMBER($J$281),$B$238=1),$J$281,HLOOKUP(INDIRECT(ADDRESS(2,COLUMN())),OFFSET($R$2,0,0,ROW()-1,12),ROW()-1,FALSE))</f>
        <v/>
      </c>
      <c r="K48" t="str">
        <f ca="1">IF(AND(ISNUMBER($K$281),$B$238=1),$K$281,HLOOKUP(INDIRECT(ADDRESS(2,COLUMN())),OFFSET($R$2,0,0,ROW()-1,12),ROW()-1,FALSE))</f>
        <v/>
      </c>
      <c r="L48" t="str">
        <f ca="1">IF(AND(ISNUMBER($L$281),$B$238=1),$L$281,HLOOKUP(INDIRECT(ADDRESS(2,COLUMN())),OFFSET($R$2,0,0,ROW()-1,12),ROW()-1,FALSE))</f>
        <v/>
      </c>
      <c r="M48" t="str">
        <f ca="1">IF(AND(ISNUMBER($M$281),$B$238=1),$M$281,HLOOKUP(INDIRECT(ADDRESS(2,COLUMN())),OFFSET($R$2,0,0,ROW()-1,12),ROW()-1,FALSE))</f>
        <v/>
      </c>
      <c r="N48" t="str">
        <f ca="1">IF(AND(ISNUMBER($N$281),$B$238=1),$N$281,HLOOKUP(INDIRECT(ADDRESS(2,COLUMN())),OFFSET($R$2,0,0,ROW()-1,12),ROW()-1,FALSE))</f>
        <v/>
      </c>
      <c r="O48" t="str">
        <f ca="1">IF(AND(ISNUMBER($O$281),$B$238=1),$O$281,HLOOKUP(INDIRECT(ADDRESS(2,COLUMN())),OFFSET($R$2,0,0,ROW()-1,12),ROW()-1,FALSE))</f>
        <v/>
      </c>
      <c r="P48" t="str">
        <f ca="1">IF(AND(ISNUMBER($P$281),$B$238=1),$P$281,HLOOKUP(INDIRECT(ADDRESS(2,COLUMN())),OFFSET($R$2,0,0,ROW()-1,12),ROW()-1,FALSE))</f>
        <v/>
      </c>
      <c r="Q48" t="str">
        <f ca="1">IF(AND(ISNUMBER($Q$281),$B$238=1),$Q$281,HLOOKUP(INDIRECT(ADDRESS(2,COLUMN())),OFFSET($R$2,0,0,ROW()-1,12),ROW()-1,FALSE))</f>
        <v/>
      </c>
      <c r="R48" t="str">
        <f>""</f>
        <v/>
      </c>
      <c r="S48">
        <f>5.494505495</f>
        <v>5.4945054950000003</v>
      </c>
      <c r="T48">
        <f>74.65551181</f>
        <v>74.655511809999993</v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  <c r="Z48" t="str">
        <f>""</f>
        <v/>
      </c>
      <c r="AA48" t="str">
        <f>""</f>
        <v/>
      </c>
      <c r="AB48" t="str">
        <f>""</f>
        <v/>
      </c>
      <c r="AC48" t="str">
        <f>""</f>
        <v/>
      </c>
    </row>
    <row r="49" spans="1:29" x14ac:dyDescent="0.25">
      <c r="A49" t="str">
        <f>"    EPAM Systems Inc"</f>
        <v xml:space="preserve">    EPAM Systems Inc</v>
      </c>
      <c r="B49" t="str">
        <f>"EPAM US Equity"</f>
        <v>EPAM US Equity</v>
      </c>
      <c r="C49" t="str">
        <f t="shared" si="6"/>
        <v>RR128</v>
      </c>
      <c r="D49" t="str">
        <f t="shared" si="7"/>
        <v>EBITDA_GROWTH</v>
      </c>
      <c r="E49" t="str">
        <f t="shared" si="8"/>
        <v>Dynamic</v>
      </c>
      <c r="F49">
        <f ca="1">IF(AND(ISNUMBER($F$282),$B$238=1),$F$282,HLOOKUP(INDIRECT(ADDRESS(2,COLUMN())),OFFSET($R$2,0,0,ROW()-1,12),ROW()-1,FALSE))</f>
        <v>45.503250659999999</v>
      </c>
      <c r="G49">
        <f ca="1">IF(AND(ISNUMBER($G$282),$B$238=1),$G$282,HLOOKUP(INDIRECT(ADDRESS(2,COLUMN())),OFFSET($R$2,0,0,ROW()-1,12),ROW()-1,FALSE))</f>
        <v>40.145304400000001</v>
      </c>
      <c r="H49">
        <f ca="1">IF(AND(ISNUMBER($H$282),$B$238=1),$H$282,HLOOKUP(INDIRECT(ADDRESS(2,COLUMN())),OFFSET($R$2,0,0,ROW()-1,12),ROW()-1,FALSE))</f>
        <v>28.28122712</v>
      </c>
      <c r="I49">
        <f ca="1">IF(AND(ISNUMBER($I$282),$B$238=1),$I$282,HLOOKUP(INDIRECT(ADDRESS(2,COLUMN())),OFFSET($R$2,0,0,ROW()-1,12),ROW()-1,FALSE))</f>
        <v>27.334997810000001</v>
      </c>
      <c r="J49">
        <f ca="1">IF(AND(ISNUMBER($J$282),$B$238=1),$J$282,HLOOKUP(INDIRECT(ADDRESS(2,COLUMN())),OFFSET($R$2,0,0,ROW()-1,12),ROW()-1,FALSE))</f>
        <v>18.999479099999999</v>
      </c>
      <c r="K49">
        <f ca="1">IF(AND(ISNUMBER($K$282),$B$238=1),$K$282,HLOOKUP(INDIRECT(ADDRESS(2,COLUMN())),OFFSET($R$2,0,0,ROW()-1,12),ROW()-1,FALSE))</f>
        <v>13.15642976</v>
      </c>
      <c r="L49">
        <f ca="1">IF(AND(ISNUMBER($L$282),$B$238=1),$L$282,HLOOKUP(INDIRECT(ADDRESS(2,COLUMN())),OFFSET($R$2,0,0,ROW()-1,12),ROW()-1,FALSE))</f>
        <v>19.151232960000002</v>
      </c>
      <c r="M49">
        <f ca="1">IF(AND(ISNUMBER($M$282),$B$238=1),$M$282,HLOOKUP(INDIRECT(ADDRESS(2,COLUMN())),OFFSET($R$2,0,0,ROW()-1,12),ROW()-1,FALSE))</f>
        <v>22.93032328</v>
      </c>
      <c r="N49">
        <f ca="1">IF(AND(ISNUMBER($N$282),$B$238=1),$N$282,HLOOKUP(INDIRECT(ADDRESS(2,COLUMN())),OFFSET($R$2,0,0,ROW()-1,12),ROW()-1,FALSE))</f>
        <v>60.242877640000003</v>
      </c>
      <c r="O49">
        <f ca="1">IF(AND(ISNUMBER($O$282),$B$238=1),$O$282,HLOOKUP(INDIRECT(ADDRESS(2,COLUMN())),OFFSET($R$2,0,0,ROW()-1,12),ROW()-1,FALSE))</f>
        <v>80.703703700000005</v>
      </c>
      <c r="P49">
        <f ca="1">IF(AND(ISNUMBER($P$282),$B$238=1),$P$282,HLOOKUP(INDIRECT(ADDRESS(2,COLUMN())),OFFSET($R$2,0,0,ROW()-1,12),ROW()-1,FALSE))</f>
        <v>42.913854700000002</v>
      </c>
      <c r="Q49">
        <f ca="1">IF(AND(ISNUMBER($Q$282),$B$238=1),$Q$282,HLOOKUP(INDIRECT(ADDRESS(2,COLUMN())),OFFSET($R$2,0,0,ROW()-1,12),ROW()-1,FALSE))</f>
        <v>-14.27112876</v>
      </c>
      <c r="R49">
        <f>45.50325066</f>
        <v>45.503250659999999</v>
      </c>
      <c r="S49">
        <f>40.1453044</f>
        <v>40.145304400000001</v>
      </c>
      <c r="T49">
        <f>28.28122712</f>
        <v>28.28122712</v>
      </c>
      <c r="U49">
        <f>27.33499781</f>
        <v>27.334997810000001</v>
      </c>
      <c r="V49">
        <f>18.9994791</f>
        <v>18.999479099999999</v>
      </c>
      <c r="W49">
        <f>13.15642976</f>
        <v>13.15642976</v>
      </c>
      <c r="X49">
        <f>19.15123296</f>
        <v>19.151232960000002</v>
      </c>
      <c r="Y49">
        <f>22.93032328</f>
        <v>22.93032328</v>
      </c>
      <c r="Z49">
        <f>60.24287764</f>
        <v>60.242877640000003</v>
      </c>
      <c r="AA49">
        <f>80.7037037</f>
        <v>80.703703700000005</v>
      </c>
      <c r="AB49">
        <f>42.9138547</f>
        <v>42.913854700000002</v>
      </c>
      <c r="AC49">
        <f>-14.27112876</f>
        <v>-14.27112876</v>
      </c>
    </row>
    <row r="50" spans="1:29" x14ac:dyDescent="0.25">
      <c r="A50" t="str">
        <f>"    Genpact Ltd"</f>
        <v xml:space="preserve">    Genpact Ltd</v>
      </c>
      <c r="B50" t="str">
        <f>"G US Equity"</f>
        <v>G US Equity</v>
      </c>
      <c r="C50" t="str">
        <f t="shared" si="6"/>
        <v>RR128</v>
      </c>
      <c r="D50" t="str">
        <f t="shared" si="7"/>
        <v>EBITDA_GROWTH</v>
      </c>
      <c r="E50" t="str">
        <f t="shared" si="8"/>
        <v>Dynamic</v>
      </c>
      <c r="F50">
        <f ca="1">IF(AND(ISNUMBER($F$283),$B$238=1),$F$283,HLOOKUP(INDIRECT(ADDRESS(2,COLUMN())),OFFSET($R$2,0,0,ROW()-1,12),ROW()-1,FALSE))</f>
        <v>39.979418860000003</v>
      </c>
      <c r="G50">
        <f ca="1">IF(AND(ISNUMBER($G$283),$B$238=1),$G$283,HLOOKUP(INDIRECT(ADDRESS(2,COLUMN())),OFFSET($R$2,0,0,ROW()-1,12),ROW()-1,FALSE))</f>
        <v>6.0244865010000002</v>
      </c>
      <c r="H50">
        <f ca="1">IF(AND(ISNUMBER($H$283),$B$238=1),$H$283,HLOOKUP(INDIRECT(ADDRESS(2,COLUMN())),OFFSET($R$2,0,0,ROW()-1,12),ROW()-1,FALSE))</f>
        <v>0.76889975499999996</v>
      </c>
      <c r="I50">
        <f ca="1">IF(AND(ISNUMBER($I$283),$B$238=1),$I$283,HLOOKUP(INDIRECT(ADDRESS(2,COLUMN())),OFFSET($R$2,0,0,ROW()-1,12),ROW()-1,FALSE))</f>
        <v>1.4271291230000001</v>
      </c>
      <c r="J50">
        <f ca="1">IF(AND(ISNUMBER($J$283),$B$238=1),$J$283,HLOOKUP(INDIRECT(ADDRESS(2,COLUMN())),OFFSET($R$2,0,0,ROW()-1,12),ROW()-1,FALSE))</f>
        <v>11.602941879999999</v>
      </c>
      <c r="K50">
        <f ca="1">IF(AND(ISNUMBER($K$283),$B$238=1),$K$283,HLOOKUP(INDIRECT(ADDRESS(2,COLUMN())),OFFSET($R$2,0,0,ROW()-1,12),ROW()-1,FALSE))</f>
        <v>-3.1993305470000002</v>
      </c>
      <c r="L50">
        <f ca="1">IF(AND(ISNUMBER($L$283),$B$238=1),$L$283,HLOOKUP(INDIRECT(ADDRESS(2,COLUMN())),OFFSET($R$2,0,0,ROW()-1,12),ROW()-1,FALSE))</f>
        <v>12.29072058</v>
      </c>
      <c r="M50">
        <f ca="1">IF(AND(ISNUMBER($M$283),$B$238=1),$M$283,HLOOKUP(INDIRECT(ADDRESS(2,COLUMN())),OFFSET($R$2,0,0,ROW()-1,12),ROW()-1,FALSE))</f>
        <v>16.627252460000001</v>
      </c>
      <c r="N50">
        <f ca="1">IF(AND(ISNUMBER($N$283),$B$238=1),$N$283,HLOOKUP(INDIRECT(ADDRESS(2,COLUMN())),OFFSET($R$2,0,0,ROW()-1,12),ROW()-1,FALSE))</f>
        <v>16.948258070000001</v>
      </c>
      <c r="O50">
        <f ca="1">IF(AND(ISNUMBER($O$283),$B$238=1),$O$283,HLOOKUP(INDIRECT(ADDRESS(2,COLUMN())),OFFSET($R$2,0,0,ROW()-1,12),ROW()-1,FALSE))</f>
        <v>4.2408600019999998</v>
      </c>
      <c r="P50">
        <f ca="1">IF(AND(ISNUMBER($P$283),$B$238=1),$P$283,HLOOKUP(INDIRECT(ADDRESS(2,COLUMN())),OFFSET($R$2,0,0,ROW()-1,12),ROW()-1,FALSE))</f>
        <v>7.0812608790000002</v>
      </c>
      <c r="Q50" t="str">
        <f ca="1">IF(AND(ISNUMBER($Q$283),$B$238=1),$Q$283,HLOOKUP(INDIRECT(ADDRESS(2,COLUMN())),OFFSET($R$2,0,0,ROW()-1,12),ROW()-1,FALSE))</f>
        <v/>
      </c>
      <c r="R50">
        <f>39.97941886</f>
        <v>39.979418860000003</v>
      </c>
      <c r="S50">
        <f>6.024486501</f>
        <v>6.0244865010000002</v>
      </c>
      <c r="T50">
        <f>0.768899755</f>
        <v>0.76889975499999996</v>
      </c>
      <c r="U50">
        <f>1.427129123</f>
        <v>1.4271291230000001</v>
      </c>
      <c r="V50">
        <f>11.60294188</f>
        <v>11.602941879999999</v>
      </c>
      <c r="W50">
        <f>-3.199330547</f>
        <v>-3.1993305470000002</v>
      </c>
      <c r="X50">
        <f>12.29072058</f>
        <v>12.29072058</v>
      </c>
      <c r="Y50">
        <f>16.62725246</f>
        <v>16.627252460000001</v>
      </c>
      <c r="Z50">
        <f>16.94825807</f>
        <v>16.948258070000001</v>
      </c>
      <c r="AA50">
        <f>4.240860002</f>
        <v>4.2408600019999998</v>
      </c>
      <c r="AB50">
        <f>7.081260879</f>
        <v>7.0812608790000002</v>
      </c>
      <c r="AC50" t="str">
        <f>""</f>
        <v/>
      </c>
    </row>
    <row r="51" spans="1:29" x14ac:dyDescent="0.25">
      <c r="A51" t="str">
        <f>"    HCL Technologies Ltd"</f>
        <v xml:space="preserve">    HCL Technologies Ltd</v>
      </c>
      <c r="B51" t="str">
        <f>"HCLT IN Equity"</f>
        <v>HCLT IN Equity</v>
      </c>
      <c r="C51" t="str">
        <f t="shared" si="6"/>
        <v>RR128</v>
      </c>
      <c r="D51" t="str">
        <f t="shared" si="7"/>
        <v>EBITDA_GROWTH</v>
      </c>
      <c r="E51" t="str">
        <f t="shared" si="8"/>
        <v>Dynamic</v>
      </c>
      <c r="F51">
        <f ca="1">IF(AND(ISNUMBER($F$284),$B$238=1),$F$284,HLOOKUP(INDIRECT(ADDRESS(2,COLUMN())),OFFSET($R$2,0,0,ROW()-1,12),ROW()-1,FALSE))</f>
        <v>17.835067089999999</v>
      </c>
      <c r="G51">
        <f ca="1">IF(AND(ISNUMBER($G$284),$B$238=1),$G$284,HLOOKUP(INDIRECT(ADDRESS(2,COLUMN())),OFFSET($R$2,0,0,ROW()-1,12),ROW()-1,FALSE))</f>
        <v>14.075349429999999</v>
      </c>
      <c r="H51">
        <f ca="1">IF(AND(ISNUMBER($H$284),$B$238=1),$H$284,HLOOKUP(INDIRECT(ADDRESS(2,COLUMN())),OFFSET($R$2,0,0,ROW()-1,12),ROW()-1,FALSE))</f>
        <v>8.2968524000000006</v>
      </c>
      <c r="I51">
        <f ca="1">IF(AND(ISNUMBER($I$284),$B$238=1),$I$284,HLOOKUP(INDIRECT(ADDRESS(2,COLUMN())),OFFSET($R$2,0,0,ROW()-1,12),ROW()-1,FALSE))</f>
        <v>18.63755656</v>
      </c>
      <c r="J51" t="str">
        <f ca="1">IF(AND(ISNUMBER($J$284),$B$238=1),$J$284,HLOOKUP(INDIRECT(ADDRESS(2,COLUMN())),OFFSET($R$2,0,0,ROW()-1,12),ROW()-1,FALSE))</f>
        <v/>
      </c>
      <c r="K51" t="str">
        <f ca="1">IF(AND(ISNUMBER($K$284),$B$238=1),$K$284,HLOOKUP(INDIRECT(ADDRESS(2,COLUMN())),OFFSET($R$2,0,0,ROW()-1,12),ROW()-1,FALSE))</f>
        <v/>
      </c>
      <c r="L51">
        <f ca="1">IF(AND(ISNUMBER($L$284),$B$238=1),$L$284,HLOOKUP(INDIRECT(ADDRESS(2,COLUMN())),OFFSET($R$2,0,0,ROW()-1,12),ROW()-1,FALSE))</f>
        <v>36.645543799999999</v>
      </c>
      <c r="M51">
        <f ca="1">IF(AND(ISNUMBER($M$284),$B$238=1),$M$284,HLOOKUP(INDIRECT(ADDRESS(2,COLUMN())),OFFSET($R$2,0,0,ROW()-1,12),ROW()-1,FALSE))</f>
        <v>51.781864980000002</v>
      </c>
      <c r="N51">
        <f ca="1">IF(AND(ISNUMBER($N$284),$B$238=1),$N$284,HLOOKUP(INDIRECT(ADDRESS(2,COLUMN())),OFFSET($R$2,0,0,ROW()-1,12),ROW()-1,FALSE))</f>
        <v>51.184000390000001</v>
      </c>
      <c r="O51">
        <f ca="1">IF(AND(ISNUMBER($O$284),$B$238=1),$O$284,HLOOKUP(INDIRECT(ADDRESS(2,COLUMN())),OFFSET($R$2,0,0,ROW()-1,12),ROW()-1,FALSE))</f>
        <v>27.131343529999999</v>
      </c>
      <c r="P51">
        <f ca="1">IF(AND(ISNUMBER($P$284),$B$238=1),$P$284,HLOOKUP(INDIRECT(ADDRESS(2,COLUMN())),OFFSET($R$2,0,0,ROW()-1,12),ROW()-1,FALSE))</f>
        <v>-6.1896935129999999</v>
      </c>
      <c r="Q51">
        <f ca="1">IF(AND(ISNUMBER($Q$284),$B$238=1),$Q$284,HLOOKUP(INDIRECT(ADDRESS(2,COLUMN())),OFFSET($R$2,0,0,ROW()-1,12),ROW()-1,FALSE))</f>
        <v>21.48939919</v>
      </c>
      <c r="R51">
        <f>17.83506709</f>
        <v>17.835067089999999</v>
      </c>
      <c r="S51">
        <f>14.07534943</f>
        <v>14.075349429999999</v>
      </c>
      <c r="T51">
        <f>8.2968524</f>
        <v>8.2968524000000006</v>
      </c>
      <c r="U51">
        <f>18.63755656</f>
        <v>18.63755656</v>
      </c>
      <c r="V51" t="str">
        <f>""</f>
        <v/>
      </c>
      <c r="W51" t="str">
        <f>""</f>
        <v/>
      </c>
      <c r="X51">
        <f>36.6455438</f>
        <v>36.645543799999999</v>
      </c>
      <c r="Y51">
        <f>51.78186498</f>
        <v>51.781864980000002</v>
      </c>
      <c r="Z51">
        <f>51.18400039</f>
        <v>51.184000390000001</v>
      </c>
      <c r="AA51">
        <f>27.13134353</f>
        <v>27.131343529999999</v>
      </c>
      <c r="AB51">
        <f>-6.189693513</f>
        <v>-6.1896935129999999</v>
      </c>
      <c r="AC51">
        <f>21.48939919</f>
        <v>21.48939919</v>
      </c>
    </row>
    <row r="52" spans="1:29" x14ac:dyDescent="0.25">
      <c r="A52" t="str">
        <f>"    Indra Sistemas SA"</f>
        <v xml:space="preserve">    Indra Sistemas SA</v>
      </c>
      <c r="B52" t="str">
        <f>"IDR SM Equity"</f>
        <v>IDR SM Equity</v>
      </c>
      <c r="C52" t="str">
        <f t="shared" si="6"/>
        <v>RR128</v>
      </c>
      <c r="D52" t="str">
        <f t="shared" si="7"/>
        <v>EBITDA_GROWTH</v>
      </c>
      <c r="E52" t="str">
        <f t="shared" si="8"/>
        <v>Dynamic</v>
      </c>
      <c r="F52">
        <f ca="1">IF(AND(ISNUMBER($F$285),$B$238=1),$F$285,HLOOKUP(INDIRECT(ADDRESS(2,COLUMN())),OFFSET($R$2,0,0,ROW()-1,12),ROW()-1,FALSE))</f>
        <v>18.15696887</v>
      </c>
      <c r="G52">
        <f ca="1">IF(AND(ISNUMBER($G$285),$B$238=1),$G$285,HLOOKUP(INDIRECT(ADDRESS(2,COLUMN())),OFFSET($R$2,0,0,ROW()-1,12),ROW()-1,FALSE))</f>
        <v>10.05994276</v>
      </c>
      <c r="H52">
        <f ca="1">IF(AND(ISNUMBER($H$285),$B$238=1),$H$285,HLOOKUP(INDIRECT(ADDRESS(2,COLUMN())),OFFSET($R$2,0,0,ROW()-1,12),ROW()-1,FALSE))</f>
        <v>16.078038150000001</v>
      </c>
      <c r="I52" t="str">
        <f ca="1">IF(AND(ISNUMBER($I$285),$B$238=1),$I$285,HLOOKUP(INDIRECT(ADDRESS(2,COLUMN())),OFFSET($R$2,0,0,ROW()-1,12),ROW()-1,FALSE))</f>
        <v/>
      </c>
      <c r="J52" t="str">
        <f ca="1">IF(AND(ISNUMBER($J$285),$B$238=1),$J$285,HLOOKUP(INDIRECT(ADDRESS(2,COLUMN())),OFFSET($R$2,0,0,ROW()-1,12),ROW()-1,FALSE))</f>
        <v/>
      </c>
      <c r="K52">
        <f ca="1">IF(AND(ISNUMBER($K$285),$B$238=1),$K$285,HLOOKUP(INDIRECT(ADDRESS(2,COLUMN())),OFFSET($R$2,0,0,ROW()-1,12),ROW()-1,FALSE))</f>
        <v>-91.303756989999997</v>
      </c>
      <c r="L52">
        <f ca="1">IF(AND(ISNUMBER($L$285),$B$238=1),$L$285,HLOOKUP(INDIRECT(ADDRESS(2,COLUMN())),OFFSET($R$2,0,0,ROW()-1,12),ROW()-1,FALSE))</f>
        <v>-0.66304045700000003</v>
      </c>
      <c r="M52">
        <f ca="1">IF(AND(ISNUMBER($M$285),$B$238=1),$M$285,HLOOKUP(INDIRECT(ADDRESS(2,COLUMN())),OFFSET($R$2,0,0,ROW()-1,12),ROW()-1,FALSE))</f>
        <v>-21.924258439999999</v>
      </c>
      <c r="N52">
        <f ca="1">IF(AND(ISNUMBER($N$285),$B$238=1),$N$285,HLOOKUP(INDIRECT(ADDRESS(2,COLUMN())),OFFSET($R$2,0,0,ROW()-1,12),ROW()-1,FALSE))</f>
        <v>5.1116128889999999</v>
      </c>
      <c r="O52">
        <f ca="1">IF(AND(ISNUMBER($O$285),$B$238=1),$O$285,HLOOKUP(INDIRECT(ADDRESS(2,COLUMN())),OFFSET($R$2,0,0,ROW()-1,12),ROW()-1,FALSE))</f>
        <v>-8.5358112479999999</v>
      </c>
      <c r="P52">
        <f ca="1">IF(AND(ISNUMBER($P$285),$B$238=1),$P$285,HLOOKUP(INDIRECT(ADDRESS(2,COLUMN())),OFFSET($R$2,0,0,ROW()-1,12),ROW()-1,FALSE))</f>
        <v>8.5504011389999999</v>
      </c>
      <c r="Q52">
        <f ca="1">IF(AND(ISNUMBER($Q$285),$B$238=1),$Q$285,HLOOKUP(INDIRECT(ADDRESS(2,COLUMN())),OFFSET($R$2,0,0,ROW()-1,12),ROW()-1,FALSE))</f>
        <v>20.077845499999999</v>
      </c>
      <c r="R52">
        <f>18.15696887</f>
        <v>18.15696887</v>
      </c>
      <c r="S52">
        <f>10.05994276</f>
        <v>10.05994276</v>
      </c>
      <c r="T52">
        <f>16.07803815</f>
        <v>16.078038150000001</v>
      </c>
      <c r="U52" t="str">
        <f>""</f>
        <v/>
      </c>
      <c r="V52" t="str">
        <f>""</f>
        <v/>
      </c>
      <c r="W52">
        <f>-91.30375699</f>
        <v>-91.303756989999997</v>
      </c>
      <c r="X52">
        <f>-0.663040457</f>
        <v>-0.66304045700000003</v>
      </c>
      <c r="Y52">
        <f>-21.92425844</f>
        <v>-21.924258439999999</v>
      </c>
      <c r="Z52">
        <f>5.111612889</f>
        <v>5.1116128889999999</v>
      </c>
      <c r="AA52">
        <f>-8.535811248</f>
        <v>-8.5358112479999999</v>
      </c>
      <c r="AB52">
        <f>8.550401139</f>
        <v>8.5504011389999999</v>
      </c>
      <c r="AC52">
        <f>20.0778455</f>
        <v>20.077845499999999</v>
      </c>
    </row>
    <row r="53" spans="1:29" x14ac:dyDescent="0.25">
      <c r="A53" t="str">
        <f>"    Infosys Ltd"</f>
        <v xml:space="preserve">    Infosys Ltd</v>
      </c>
      <c r="B53" t="str">
        <f>"INFY US Equity"</f>
        <v>INFY US Equity</v>
      </c>
      <c r="C53" t="str">
        <f t="shared" si="6"/>
        <v>RR128</v>
      </c>
      <c r="D53" t="str">
        <f t="shared" si="7"/>
        <v>EBITDA_GROWTH</v>
      </c>
      <c r="E53" t="str">
        <f t="shared" si="8"/>
        <v>Dynamic</v>
      </c>
      <c r="F53">
        <f ca="1">IF(AND(ISNUMBER($F$286),$B$238=1),$F$286,HLOOKUP(INDIRECT(ADDRESS(2,COLUMN())),OFFSET($R$2,0,0,ROW()-1,12),ROW()-1,FALSE))</f>
        <v>6.586568379</v>
      </c>
      <c r="G53">
        <f ca="1">IF(AND(ISNUMBER($G$286),$B$238=1),$G$286,HLOOKUP(INDIRECT(ADDRESS(2,COLUMN())),OFFSET($R$2,0,0,ROW()-1,12),ROW()-1,FALSE))</f>
        <v>9.8890116250000002</v>
      </c>
      <c r="H53">
        <f ca="1">IF(AND(ISNUMBER($H$286),$B$238=1),$H$286,HLOOKUP(INDIRECT(ADDRESS(2,COLUMN())),OFFSET($R$2,0,0,ROW()-1,12),ROW()-1,FALSE))</f>
        <v>2.1877015700000002</v>
      </c>
      <c r="I53">
        <f ca="1">IF(AND(ISNUMBER($I$286),$B$238=1),$I$286,HLOOKUP(INDIRECT(ADDRESS(2,COLUMN())),OFFSET($R$2,0,0,ROW()-1,12),ROW()-1,FALSE))</f>
        <v>8.9290942090000005</v>
      </c>
      <c r="J53">
        <f ca="1">IF(AND(ISNUMBER($J$286),$B$238=1),$J$286,HLOOKUP(INDIRECT(ADDRESS(2,COLUMN())),OFFSET($R$2,0,0,ROW()-1,12),ROW()-1,FALSE))</f>
        <v>18.390406209999998</v>
      </c>
      <c r="K53">
        <f ca="1">IF(AND(ISNUMBER($K$286),$B$238=1),$K$286,HLOOKUP(INDIRECT(ADDRESS(2,COLUMN())),OFFSET($R$2,0,0,ROW()-1,12),ROW()-1,FALSE))</f>
        <v>9.4122108460000007</v>
      </c>
      <c r="L53">
        <f ca="1">IF(AND(ISNUMBER($L$286),$B$238=1),$L$286,HLOOKUP(INDIRECT(ADDRESS(2,COLUMN())),OFFSET($R$2,0,0,ROW()-1,12),ROW()-1,FALSE))</f>
        <v>16.68141593</v>
      </c>
      <c r="M53">
        <f ca="1">IF(AND(ISNUMBER($M$286),$B$238=1),$M$286,HLOOKUP(INDIRECT(ADDRESS(2,COLUMN())),OFFSET($R$2,0,0,ROW()-1,12),ROW()-1,FALSE))</f>
        <v>5.9639909979999999</v>
      </c>
      <c r="N53">
        <f ca="1">IF(AND(ISNUMBER($N$286),$B$238=1),$N$286,HLOOKUP(INDIRECT(ADDRESS(2,COLUMN())),OFFSET($R$2,0,0,ROW()-1,12),ROW()-1,FALSE))</f>
        <v>19.471207710000002</v>
      </c>
      <c r="O53">
        <f ca="1">IF(AND(ISNUMBER($O$286),$B$238=1),$O$286,HLOOKUP(INDIRECT(ADDRESS(2,COLUMN())),OFFSET($R$2,0,0,ROW()-1,12),ROW()-1,FALSE))</f>
        <v>14.11403733</v>
      </c>
      <c r="P53">
        <f ca="1">IF(AND(ISNUMBER($P$286),$B$238=1),$P$286,HLOOKUP(INDIRECT(ADDRESS(2,COLUMN())),OFFSET($R$2,0,0,ROW()-1,12),ROW()-1,FALSE))</f>
        <v>2.4626670160000002</v>
      </c>
      <c r="Q53">
        <f ca="1">IF(AND(ISNUMBER($Q$286),$B$238=1),$Q$286,HLOOKUP(INDIRECT(ADDRESS(2,COLUMN())),OFFSET($R$2,0,0,ROW()-1,12),ROW()-1,FALSE))</f>
        <v>45.742649870000001</v>
      </c>
      <c r="R53">
        <f>6.586568379</f>
        <v>6.586568379</v>
      </c>
      <c r="S53">
        <f>9.889011625</f>
        <v>9.8890116250000002</v>
      </c>
      <c r="T53">
        <f>2.18770157</f>
        <v>2.1877015700000002</v>
      </c>
      <c r="U53">
        <f>8.929094209</f>
        <v>8.9290942090000005</v>
      </c>
      <c r="V53">
        <f>18.39040621</f>
        <v>18.390406209999998</v>
      </c>
      <c r="W53">
        <f>9.412210846</f>
        <v>9.4122108460000007</v>
      </c>
      <c r="X53">
        <f>16.68141593</f>
        <v>16.68141593</v>
      </c>
      <c r="Y53">
        <f>5.963990998</f>
        <v>5.9639909979999999</v>
      </c>
      <c r="Z53">
        <f>19.47120771</f>
        <v>19.471207710000002</v>
      </c>
      <c r="AA53">
        <f>14.11403733</f>
        <v>14.11403733</v>
      </c>
      <c r="AB53">
        <f>2.462667016</f>
        <v>2.4626670160000002</v>
      </c>
      <c r="AC53">
        <f>45.74264987</f>
        <v>45.742649870000001</v>
      </c>
    </row>
    <row r="54" spans="1:29" x14ac:dyDescent="0.25">
      <c r="A54" t="str">
        <f>"    International Business Machines Corp"</f>
        <v xml:space="preserve">    International Business Machines Corp</v>
      </c>
      <c r="B54" t="str">
        <f>"IBM US Equity"</f>
        <v>IBM US Equity</v>
      </c>
      <c r="C54" t="str">
        <f t="shared" si="6"/>
        <v>RR128</v>
      </c>
      <c r="D54" t="str">
        <f t="shared" si="7"/>
        <v>EBITDA_GROWTH</v>
      </c>
      <c r="E54" t="str">
        <f t="shared" si="8"/>
        <v>Dynamic</v>
      </c>
      <c r="F54">
        <f ca="1">IF(AND(ISNUMBER($F$287),$B$238=1),$F$287,HLOOKUP(INDIRECT(ADDRESS(2,COLUMN())),OFFSET($R$2,0,0,ROW()-1,12),ROW()-1,FALSE))</f>
        <v>5.428914217</v>
      </c>
      <c r="G54">
        <f ca="1">IF(AND(ISNUMBER($G$287),$B$238=1),$G$287,HLOOKUP(INDIRECT(ADDRESS(2,COLUMN())),OFFSET($R$2,0,0,ROW()-1,12),ROW()-1,FALSE))</f>
        <v>2.8123843590000002</v>
      </c>
      <c r="H54">
        <f ca="1">IF(AND(ISNUMBER($H$287),$B$238=1),$H$287,HLOOKUP(INDIRECT(ADDRESS(2,COLUMN())),OFFSET($R$2,0,0,ROW()-1,12),ROW()-1,FALSE))</f>
        <v>2.2642699460000002</v>
      </c>
      <c r="I54">
        <f ca="1">IF(AND(ISNUMBER($I$287),$B$238=1),$I$287,HLOOKUP(INDIRECT(ADDRESS(2,COLUMN())),OFFSET($R$2,0,0,ROW()-1,12),ROW()-1,FALSE))</f>
        <v>-15.94210582</v>
      </c>
      <c r="J54">
        <f ca="1">IF(AND(ISNUMBER($J$287),$B$238=1),$J$287,HLOOKUP(INDIRECT(ADDRESS(2,COLUMN())),OFFSET($R$2,0,0,ROW()-1,12),ROW()-1,FALSE))</f>
        <v>-15.348711959999999</v>
      </c>
      <c r="K54">
        <f ca="1">IF(AND(ISNUMBER($K$287),$B$238=1),$K$287,HLOOKUP(INDIRECT(ADDRESS(2,COLUMN())),OFFSET($R$2,0,0,ROW()-1,12),ROW()-1,FALSE))</f>
        <v>-7.8037073819999998</v>
      </c>
      <c r="L54">
        <f ca="1">IF(AND(ISNUMBER($L$287),$B$238=1),$L$287,HLOOKUP(INDIRECT(ADDRESS(2,COLUMN())),OFFSET($R$2,0,0,ROW()-1,12),ROW()-1,FALSE))</f>
        <v>-6.1728395059999999</v>
      </c>
      <c r="M54">
        <f ca="1">IF(AND(ISNUMBER($M$287),$B$238=1),$M$287,HLOOKUP(INDIRECT(ADDRESS(2,COLUMN())),OFFSET($R$2,0,0,ROW()-1,12),ROW()-1,FALSE))</f>
        <v>2.6174256009999999</v>
      </c>
      <c r="N54">
        <f ca="1">IF(AND(ISNUMBER($N$287),$B$238=1),$N$287,HLOOKUP(INDIRECT(ADDRESS(2,COLUMN())),OFFSET($R$2,0,0,ROW()-1,12),ROW()-1,FALSE))</f>
        <v>9.2297650129999997</v>
      </c>
      <c r="O54">
        <f ca="1">IF(AND(ISNUMBER($O$287),$B$238=1),$O$287,HLOOKUP(INDIRECT(ADDRESS(2,COLUMN())),OFFSET($R$2,0,0,ROW()-1,12),ROW()-1,FALSE))</f>
        <v>4.4213204890000002</v>
      </c>
      <c r="P54">
        <f ca="1">IF(AND(ISNUMBER($P$287),$B$238=1),$P$287,HLOOKUP(INDIRECT(ADDRESS(2,COLUMN())),OFFSET($R$2,0,0,ROW()-1,12),ROW()-1,FALSE))</f>
        <v>2.8941462499999999</v>
      </c>
      <c r="Q54">
        <f ca="1">IF(AND(ISNUMBER($Q$287),$B$238=1),$Q$287,HLOOKUP(INDIRECT(ADDRESS(2,COLUMN())),OFFSET($R$2,0,0,ROW()-1,12),ROW()-1,FALSE))</f>
        <v>14.270449320000001</v>
      </c>
      <c r="R54">
        <f>5.428914217</f>
        <v>5.428914217</v>
      </c>
      <c r="S54">
        <f>2.812384359</f>
        <v>2.8123843590000002</v>
      </c>
      <c r="T54">
        <f>2.264269946</f>
        <v>2.2642699460000002</v>
      </c>
      <c r="U54">
        <f>-15.94210582</f>
        <v>-15.94210582</v>
      </c>
      <c r="V54">
        <f>-15.34871196</f>
        <v>-15.348711959999999</v>
      </c>
      <c r="W54">
        <f>-7.803707382</f>
        <v>-7.8037073819999998</v>
      </c>
      <c r="X54">
        <f>-6.172839506</f>
        <v>-6.1728395059999999</v>
      </c>
      <c r="Y54">
        <f>2.617425601</f>
        <v>2.6174256009999999</v>
      </c>
      <c r="Z54">
        <f>9.229765013</f>
        <v>9.2297650129999997</v>
      </c>
      <c r="AA54">
        <f>4.421320489</f>
        <v>4.4213204890000002</v>
      </c>
      <c r="AB54">
        <f>2.89414625</f>
        <v>2.8941462499999999</v>
      </c>
      <c r="AC54">
        <f>14.27044932</f>
        <v>14.270449320000001</v>
      </c>
    </row>
    <row r="55" spans="1:29" x14ac:dyDescent="0.25">
      <c r="A55" t="str">
        <f>"    Tata Consultancy Services Ltd"</f>
        <v xml:space="preserve">    Tata Consultancy Services Ltd</v>
      </c>
      <c r="B55" t="str">
        <f>"TCS IN Equity"</f>
        <v>TCS IN Equity</v>
      </c>
      <c r="C55" t="str">
        <f t="shared" si="6"/>
        <v>RR128</v>
      </c>
      <c r="D55" t="str">
        <f t="shared" si="7"/>
        <v>EBITDA_GROWTH</v>
      </c>
      <c r="E55" t="str">
        <f t="shared" si="8"/>
        <v>Dynamic</v>
      </c>
      <c r="F55">
        <f ca="1">IF(AND(ISNUMBER($F$288),$B$238=1),$F$288,HLOOKUP(INDIRECT(ADDRESS(2,COLUMN())),OFFSET($R$2,0,0,ROW()-1,12),ROW()-1,FALSE))</f>
        <v>6.588872576</v>
      </c>
      <c r="G55">
        <f ca="1">IF(AND(ISNUMBER($G$288),$B$238=1),$G$288,HLOOKUP(INDIRECT(ADDRESS(2,COLUMN())),OFFSET($R$2,0,0,ROW()-1,12),ROW()-1,FALSE))</f>
        <v>21.497109120000001</v>
      </c>
      <c r="H55">
        <f ca="1">IF(AND(ISNUMBER($H$288),$B$238=1),$H$288,HLOOKUP(INDIRECT(ADDRESS(2,COLUMN())),OFFSET($R$2,0,0,ROW()-1,12),ROW()-1,FALSE))</f>
        <v>0.63445885300000004</v>
      </c>
      <c r="I55">
        <f ca="1">IF(AND(ISNUMBER($I$288),$B$238=1),$I$288,HLOOKUP(INDIRECT(ADDRESS(2,COLUMN())),OFFSET($R$2,0,0,ROW()-1,12),ROW()-1,FALSE))</f>
        <v>5.3230327920000002</v>
      </c>
      <c r="J55">
        <f ca="1">IF(AND(ISNUMBER($J$288),$B$238=1),$J$288,HLOOKUP(INDIRECT(ADDRESS(2,COLUMN())),OFFSET($R$2,0,0,ROW()-1,12),ROW()-1,FALSE))</f>
        <v>24.371816509999999</v>
      </c>
      <c r="K55">
        <f ca="1">IF(AND(ISNUMBER($K$288),$B$238=1),$K$288,HLOOKUP(INDIRECT(ADDRESS(2,COLUMN())),OFFSET($R$2,0,0,ROW()-1,12),ROW()-1,FALSE))</f>
        <v>-1.853597435</v>
      </c>
      <c r="L55">
        <f ca="1">IF(AND(ISNUMBER($L$288),$B$238=1),$L$288,HLOOKUP(INDIRECT(ADDRESS(2,COLUMN())),OFFSET($R$2,0,0,ROW()-1,12),ROW()-1,FALSE))</f>
        <v>39.314497690000003</v>
      </c>
      <c r="M55">
        <f ca="1">IF(AND(ISNUMBER($M$288),$B$238=1),$M$288,HLOOKUP(INDIRECT(ADDRESS(2,COLUMN())),OFFSET($R$2,0,0,ROW()-1,12),ROW()-1,FALSE))</f>
        <v>24.970714170000001</v>
      </c>
      <c r="N55">
        <f ca="1">IF(AND(ISNUMBER($N$288),$B$238=1),$N$288,HLOOKUP(INDIRECT(ADDRESS(2,COLUMN())),OFFSET($R$2,0,0,ROW()-1,12),ROW()-1,FALSE))</f>
        <v>29.13620603</v>
      </c>
      <c r="O55">
        <f ca="1">IF(AND(ISNUMBER($O$288),$B$238=1),$O$288,HLOOKUP(INDIRECT(ADDRESS(2,COLUMN())),OFFSET($R$2,0,0,ROW()-1,12),ROW()-1,FALSE))</f>
        <v>28.567435920000001</v>
      </c>
      <c r="P55">
        <f ca="1">IF(AND(ISNUMBER($P$288),$B$238=1),$P$288,HLOOKUP(INDIRECT(ADDRESS(2,COLUMN())),OFFSET($R$2,0,0,ROW()-1,12),ROW()-1,FALSE))</f>
        <v>21.26628358</v>
      </c>
      <c r="Q55">
        <f ca="1">IF(AND(ISNUMBER($Q$288),$B$238=1),$Q$288,HLOOKUP(INDIRECT(ADDRESS(2,COLUMN())),OFFSET($R$2,0,0,ROW()-1,12),ROW()-1,FALSE))</f>
        <v>24.445231289999999</v>
      </c>
      <c r="R55">
        <f>6.588872576</f>
        <v>6.588872576</v>
      </c>
      <c r="S55">
        <f>21.49710912</f>
        <v>21.497109120000001</v>
      </c>
      <c r="T55">
        <f>0.634458853</f>
        <v>0.63445885300000004</v>
      </c>
      <c r="U55">
        <f>5.323032792</f>
        <v>5.3230327920000002</v>
      </c>
      <c r="V55">
        <f>24.37181651</f>
        <v>24.371816509999999</v>
      </c>
      <c r="W55">
        <f>-1.853597435</f>
        <v>-1.853597435</v>
      </c>
      <c r="X55">
        <f>39.31449769</f>
        <v>39.314497690000003</v>
      </c>
      <c r="Y55">
        <f>24.97071417</f>
        <v>24.970714170000001</v>
      </c>
      <c r="Z55">
        <f>29.13620603</f>
        <v>29.13620603</v>
      </c>
      <c r="AA55">
        <f>28.56743592</f>
        <v>28.567435920000001</v>
      </c>
      <c r="AB55">
        <f>21.26628358</f>
        <v>21.26628358</v>
      </c>
      <c r="AC55">
        <f>24.44523129</f>
        <v>24.445231289999999</v>
      </c>
    </row>
    <row r="56" spans="1:29" x14ac:dyDescent="0.25">
      <c r="A56" t="str">
        <f>"    Tech Mahindra Ltd"</f>
        <v xml:space="preserve">    Tech Mahindra Ltd</v>
      </c>
      <c r="B56" t="str">
        <f>"TECHM IN Equity"</f>
        <v>TECHM IN Equity</v>
      </c>
      <c r="C56" t="str">
        <f t="shared" si="6"/>
        <v>RR128</v>
      </c>
      <c r="D56" t="str">
        <f t="shared" si="7"/>
        <v>EBITDA_GROWTH</v>
      </c>
      <c r="E56" t="str">
        <f t="shared" si="8"/>
        <v>Dynamic</v>
      </c>
      <c r="F56">
        <f ca="1">IF(AND(ISNUMBER($F$289),$B$238=1),$F$289,HLOOKUP(INDIRECT(ADDRESS(2,COLUMN())),OFFSET($R$2,0,0,ROW()-1,12),ROW()-1,FALSE))</f>
        <v>-13.071388219999999</v>
      </c>
      <c r="G56">
        <f ca="1">IF(AND(ISNUMBER($G$289),$B$238=1),$G$289,HLOOKUP(INDIRECT(ADDRESS(2,COLUMN())),OFFSET($R$2,0,0,ROW()-1,12),ROW()-1,FALSE))</f>
        <v>34.552828269999999</v>
      </c>
      <c r="H56">
        <f ca="1">IF(AND(ISNUMBER($H$289),$B$238=1),$H$289,HLOOKUP(INDIRECT(ADDRESS(2,COLUMN())),OFFSET($R$2,0,0,ROW()-1,12),ROW()-1,FALSE))</f>
        <v>12.551381320000001</v>
      </c>
      <c r="I56">
        <f ca="1">IF(AND(ISNUMBER($I$289),$B$238=1),$I$289,HLOOKUP(INDIRECT(ADDRESS(2,COLUMN())),OFFSET($R$2,0,0,ROW()-1,12),ROW()-1,FALSE))</f>
        <v>-2.0184517400000002</v>
      </c>
      <c r="J56">
        <f ca="1">IF(AND(ISNUMBER($J$289),$B$238=1),$J$289,HLOOKUP(INDIRECT(ADDRESS(2,COLUMN())),OFFSET($R$2,0,0,ROW()-1,12),ROW()-1,FALSE))</f>
        <v>2.8341640780000001</v>
      </c>
      <c r="K56">
        <f ca="1">IF(AND(ISNUMBER($K$289),$B$238=1),$K$289,HLOOKUP(INDIRECT(ADDRESS(2,COLUMN())),OFFSET($R$2,0,0,ROW()-1,12),ROW()-1,FALSE))</f>
        <v>-0.73856302900000004</v>
      </c>
      <c r="L56">
        <f ca="1">IF(AND(ISNUMBER($L$289),$B$238=1),$L$289,HLOOKUP(INDIRECT(ADDRESS(2,COLUMN())),OFFSET($R$2,0,0,ROW()-1,12),ROW()-1,FALSE))</f>
        <v>193.7649207</v>
      </c>
      <c r="M56">
        <f ca="1">IF(AND(ISNUMBER($M$289),$B$238=1),$M$289,HLOOKUP(INDIRECT(ADDRESS(2,COLUMN())),OFFSET($R$2,0,0,ROW()-1,12),ROW()-1,FALSE))</f>
        <v>54.905373070000003</v>
      </c>
      <c r="N56">
        <f ca="1">IF(AND(ISNUMBER($N$289),$B$238=1),$N$289,HLOOKUP(INDIRECT(ADDRESS(2,COLUMN())),OFFSET($R$2,0,0,ROW()-1,12),ROW()-1,FALSE))</f>
        <v>-8.3624040669999999</v>
      </c>
      <c r="O56">
        <f ca="1">IF(AND(ISNUMBER($O$289),$B$238=1),$O$289,HLOOKUP(INDIRECT(ADDRESS(2,COLUMN())),OFFSET($R$2,0,0,ROW()-1,12),ROW()-1,FALSE))</f>
        <v>-11.416210489999999</v>
      </c>
      <c r="P56">
        <f ca="1">IF(AND(ISNUMBER($P$289),$B$238=1),$P$289,HLOOKUP(INDIRECT(ADDRESS(2,COLUMN())),OFFSET($R$2,0,0,ROW()-1,12),ROW()-1,FALSE))</f>
        <v>-11.68810916</v>
      </c>
      <c r="Q56">
        <f ca="1">IF(AND(ISNUMBER($Q$289),$B$238=1),$Q$289,HLOOKUP(INDIRECT(ADDRESS(2,COLUMN())),OFFSET($R$2,0,0,ROW()-1,12),ROW()-1,FALSE))</f>
        <v>52.207453119999997</v>
      </c>
      <c r="R56">
        <f>-13.07138822</f>
        <v>-13.071388219999999</v>
      </c>
      <c r="S56">
        <f>34.55282827</f>
        <v>34.552828269999999</v>
      </c>
      <c r="T56">
        <f>12.55138132</f>
        <v>12.551381320000001</v>
      </c>
      <c r="U56">
        <f>-2.01845174</f>
        <v>-2.0184517400000002</v>
      </c>
      <c r="V56">
        <f>2.834164078</f>
        <v>2.8341640780000001</v>
      </c>
      <c r="W56">
        <f>-0.738563029</f>
        <v>-0.73856302900000004</v>
      </c>
      <c r="X56">
        <f>193.7649207</f>
        <v>193.7649207</v>
      </c>
      <c r="Y56">
        <f>54.90537307</f>
        <v>54.905373070000003</v>
      </c>
      <c r="Z56">
        <f>-8.362404067</f>
        <v>-8.3624040669999999</v>
      </c>
      <c r="AA56">
        <f>-11.41621049</f>
        <v>-11.416210489999999</v>
      </c>
      <c r="AB56">
        <f>-11.68810916</f>
        <v>-11.68810916</v>
      </c>
      <c r="AC56">
        <f>52.20745312</f>
        <v>52.207453119999997</v>
      </c>
    </row>
    <row r="57" spans="1:29" x14ac:dyDescent="0.25">
      <c r="A57" t="str">
        <f>"    Wipro Ltd"</f>
        <v xml:space="preserve">    Wipro Ltd</v>
      </c>
      <c r="B57" t="str">
        <f>"WIT US Equity"</f>
        <v>WIT US Equity</v>
      </c>
      <c r="C57" t="str">
        <f t="shared" si="6"/>
        <v>RR128</v>
      </c>
      <c r="D57" t="str">
        <f t="shared" si="7"/>
        <v>EBITDA_GROWTH</v>
      </c>
      <c r="E57" t="str">
        <f t="shared" si="8"/>
        <v>Dynamic</v>
      </c>
      <c r="F57">
        <f ca="1">IF(AND(ISNUMBER($F$290),$B$238=1),$F$290,HLOOKUP(INDIRECT(ADDRESS(2,COLUMN())),OFFSET($R$2,0,0,ROW()-1,12),ROW()-1,FALSE))</f>
        <v>6.244350903</v>
      </c>
      <c r="G57">
        <f ca="1">IF(AND(ISNUMBER($G$290),$B$238=1),$G$290,HLOOKUP(INDIRECT(ADDRESS(2,COLUMN())),OFFSET($R$2,0,0,ROW()-1,12),ROW()-1,FALSE))</f>
        <v>11.77619552</v>
      </c>
      <c r="H57">
        <f ca="1">IF(AND(ISNUMBER($H$290),$B$238=1),$H$290,HLOOKUP(INDIRECT(ADDRESS(2,COLUMN())),OFFSET($R$2,0,0,ROW()-1,12),ROW()-1,FALSE))</f>
        <v>-7.780903114</v>
      </c>
      <c r="I57">
        <f ca="1">IF(AND(ISNUMBER($I$290),$B$238=1),$I$290,HLOOKUP(INDIRECT(ADDRESS(2,COLUMN())),OFFSET($R$2,0,0,ROW()-1,12),ROW()-1,FALSE))</f>
        <v>4.3915226289999998</v>
      </c>
      <c r="J57">
        <f ca="1">IF(AND(ISNUMBER($J$290),$B$238=1),$J$290,HLOOKUP(INDIRECT(ADDRESS(2,COLUMN())),OFFSET($R$2,0,0,ROW()-1,12),ROW()-1,FALSE))</f>
        <v>3.2014453820000002</v>
      </c>
      <c r="K57">
        <f ca="1">IF(AND(ISNUMBER($K$290),$B$238=1),$K$290,HLOOKUP(INDIRECT(ADDRESS(2,COLUMN())),OFFSET($R$2,0,0,ROW()-1,12),ROW()-1,FALSE))</f>
        <v>7.7321551790000003</v>
      </c>
      <c r="L57">
        <f ca="1">IF(AND(ISNUMBER($L$290),$B$238=1),$L$290,HLOOKUP(INDIRECT(ADDRESS(2,COLUMN())),OFFSET($R$2,0,0,ROW()-1,12),ROW()-1,FALSE))</f>
        <v>24.20025326</v>
      </c>
      <c r="M57">
        <f ca="1">IF(AND(ISNUMBER($M$290),$B$238=1),$M$290,HLOOKUP(INDIRECT(ADDRESS(2,COLUMN())),OFFSET($R$2,0,0,ROW()-1,12),ROW()-1,FALSE))</f>
        <v>10.32541206</v>
      </c>
      <c r="N57">
        <f ca="1">IF(AND(ISNUMBER($N$290),$B$238=1),$N$290,HLOOKUP(INDIRECT(ADDRESS(2,COLUMN())),OFFSET($R$2,0,0,ROW()-1,12),ROW()-1,FALSE))</f>
        <v>8.2984381210000002</v>
      </c>
      <c r="O57">
        <f ca="1">IF(AND(ISNUMBER($O$290),$B$238=1),$O$290,HLOOKUP(INDIRECT(ADDRESS(2,COLUMN())),OFFSET($R$2,0,0,ROW()-1,12),ROW()-1,FALSE))</f>
        <v>9.9842000869999996</v>
      </c>
      <c r="P57">
        <f ca="1">IF(AND(ISNUMBER($P$290),$B$238=1),$P$290,HLOOKUP(INDIRECT(ADDRESS(2,COLUMN())),OFFSET($R$2,0,0,ROW()-1,12),ROW()-1,FALSE))</f>
        <v>14.766874359999999</v>
      </c>
      <c r="Q57">
        <f ca="1">IF(AND(ISNUMBER($Q$290),$B$238=1),$Q$290,HLOOKUP(INDIRECT(ADDRESS(2,COLUMN())),OFFSET($R$2,0,0,ROW()-1,12),ROW()-1,FALSE))</f>
        <v>23.10377583</v>
      </c>
      <c r="R57">
        <f>6.244350903</f>
        <v>6.244350903</v>
      </c>
      <c r="S57">
        <f>11.77619552</f>
        <v>11.77619552</v>
      </c>
      <c r="T57">
        <f>-7.780903114</f>
        <v>-7.780903114</v>
      </c>
      <c r="U57">
        <f>4.391522629</f>
        <v>4.3915226289999998</v>
      </c>
      <c r="V57">
        <f>3.201445382</f>
        <v>3.2014453820000002</v>
      </c>
      <c r="W57">
        <f>7.732155179</f>
        <v>7.7321551790000003</v>
      </c>
      <c r="X57">
        <f>24.20025326</f>
        <v>24.20025326</v>
      </c>
      <c r="Y57">
        <f>10.32541206</f>
        <v>10.32541206</v>
      </c>
      <c r="Z57">
        <f>8.298438121</f>
        <v>8.2984381210000002</v>
      </c>
      <c r="AA57">
        <f>9.984200087</f>
        <v>9.9842000869999996</v>
      </c>
      <c r="AB57">
        <f>14.76687436</f>
        <v>14.766874359999999</v>
      </c>
      <c r="AC57">
        <f>23.10377583</f>
        <v>23.10377583</v>
      </c>
    </row>
    <row r="58" spans="1:29" x14ac:dyDescent="0.25">
      <c r="A58" t="str">
        <f>"EPS Before XO Growth (1 Yr)"</f>
        <v>EPS Before XO Growth (1 Yr)</v>
      </c>
      <c r="B58" t="str">
        <f>"BRITBPOV Index"</f>
        <v>BRITBPOV Index</v>
      </c>
      <c r="E58" t="str">
        <f>"Average"</f>
        <v>Average</v>
      </c>
      <c r="F58">
        <f ca="1">IF(ISERROR(IF(AVERAGE($F$59:$F$75) = 0, "", AVERAGE($F$59:$F$75))), "", (IF(AVERAGE($F$59:$F$75) = 0, "", AVERAGE($F$59:$F$75))))</f>
        <v>-15.608750856874998</v>
      </c>
      <c r="G58">
        <f ca="1">IF(ISERROR(IF(AVERAGE($G$59:$G$75) = 0, "", AVERAGE($G$59:$G$75))), "", (IF(AVERAGE($G$59:$G$75) = 0, "", AVERAGE($G$59:$G$75))))</f>
        <v>21.845311264999999</v>
      </c>
      <c r="H58">
        <f ca="1">IF(ISERROR(IF(AVERAGE($H$59:$H$75) = 0, "", AVERAGE($H$59:$H$75))), "", (IF(AVERAGE($H$59:$H$75) = 0, "", AVERAGE($H$59:$H$75))))</f>
        <v>1.9650384296666668</v>
      </c>
      <c r="I58">
        <f ca="1">IF(ISERROR(IF(AVERAGE($I$59:$I$75) = 0, "", AVERAGE($I$59:$I$75))), "", (IF(AVERAGE($I$59:$I$75) = 0, "", AVERAGE($I$59:$I$75))))</f>
        <v>-6.2191400596666675</v>
      </c>
      <c r="J58">
        <f ca="1">IF(ISERROR(IF(AVERAGE($J$59:$J$75) = 0, "", AVERAGE($J$59:$J$75))), "", (IF(AVERAGE($J$59:$J$75) = 0, "", AVERAGE($J$59:$J$75))))</f>
        <v>-23.869647509142858</v>
      </c>
      <c r="K58">
        <f ca="1">IF(ISERROR(IF(AVERAGE($K$59:$K$75) = 0, "", AVERAGE($K$59:$K$75))), "", (IF(AVERAGE($K$59:$K$75) = 0, "", AVERAGE($K$59:$K$75))))</f>
        <v>10.182551499307692</v>
      </c>
      <c r="L58">
        <f ca="1">IF(ISERROR(IF(AVERAGE($L$59:$L$75) = 0, "", AVERAGE($L$59:$L$75))), "", (IF(AVERAGE($L$59:$L$75) = 0, "", AVERAGE($L$59:$L$75))))</f>
        <v>30.269210079399997</v>
      </c>
      <c r="M58">
        <f ca="1">IF(ISERROR(IF(AVERAGE($M$59:$M$75) = 0, "", AVERAGE($M$59:$M$75))), "", (IF(AVERAGE($M$59:$M$75) = 0, "", AVERAGE($M$59:$M$75))))</f>
        <v>12.71668963066667</v>
      </c>
      <c r="N58">
        <f ca="1">IF(ISERROR(IF(AVERAGE($N$59:$N$75) = 0, "", AVERAGE($N$59:$N$75))), "", (IF(AVERAGE($N$59:$N$75) = 0, "", AVERAGE($N$59:$N$75))))</f>
        <v>18.229316149666666</v>
      </c>
      <c r="O58">
        <f ca="1">IF(ISERROR(IF(AVERAGE($O$59:$O$75) = 0, "", AVERAGE($O$59:$O$75))), "", (IF(AVERAGE($O$59:$O$75) = 0, "", AVERAGE($O$59:$O$75))))</f>
        <v>210.45396240513338</v>
      </c>
      <c r="P58">
        <f ca="1">IF(ISERROR(IF(AVERAGE($P$59:$P$75) = 0, "", AVERAGE($P$59:$P$75))), "", (IF(AVERAGE($P$59:$P$75) = 0, "", AVERAGE($P$59:$P$75))))</f>
        <v>-6.6177062871333323</v>
      </c>
      <c r="Q58">
        <f ca="1">IF(ISERROR(IF(AVERAGE($Q$59:$Q$75) = 0, "", AVERAGE($Q$59:$Q$75))), "", (IF(AVERAGE($Q$59:$Q$75) = 0, "", AVERAGE($Q$59:$Q$75))))</f>
        <v>44.127218560133329</v>
      </c>
      <c r="R58">
        <f>-15.60875086</f>
        <v>-15.608750860000001</v>
      </c>
      <c r="S58">
        <f>21.84531126</f>
        <v>21.845311259999999</v>
      </c>
      <c r="T58">
        <f>1.965038429</f>
        <v>1.965038429</v>
      </c>
      <c r="U58">
        <f>-6.219140062</f>
        <v>-6.2191400620000001</v>
      </c>
      <c r="V58">
        <f>-23.86964751</f>
        <v>-23.86964751</v>
      </c>
      <c r="W58">
        <f>10.1825515</f>
        <v>10.182551500000001</v>
      </c>
      <c r="X58">
        <f>30.26921008</f>
        <v>30.269210080000001</v>
      </c>
      <c r="Y58">
        <f>12.71668963</f>
        <v>12.716689629999999</v>
      </c>
      <c r="Z58">
        <f>18.22931615</f>
        <v>18.229316149999999</v>
      </c>
      <c r="AA58">
        <f>210.4539624</f>
        <v>210.45396239999999</v>
      </c>
      <c r="AB58">
        <f>-6.617706288</f>
        <v>-6.6177062879999999</v>
      </c>
      <c r="AC58">
        <f>44.12721856</f>
        <v>44.127218560000003</v>
      </c>
    </row>
    <row r="59" spans="1:29" x14ac:dyDescent="0.25">
      <c r="A59" t="str">
        <f>"    Accenture PLC"</f>
        <v xml:space="preserve">    Accenture PLC</v>
      </c>
      <c r="B59" t="str">
        <f>"ACN US Equity"</f>
        <v>ACN US Equity</v>
      </c>
      <c r="C59" t="str">
        <f t="shared" ref="C59:C75" si="9">"RR062"</f>
        <v>RR062</v>
      </c>
      <c r="D59" t="str">
        <f t="shared" ref="D59:D75" si="10">"EPS_GROWTH"</f>
        <v>EPS_GROWTH</v>
      </c>
      <c r="E59" t="str">
        <f t="shared" ref="E59:E75" si="11">"Dynamic"</f>
        <v>Dynamic</v>
      </c>
      <c r="F59">
        <f ca="1">IF(AND(ISNUMBER($F$291),$B$238=1),$F$291,HLOOKUP(INDIRECT(ADDRESS(2,COLUMN())),OFFSET($R$2,0,0,ROW()-1,12),ROW()-1,FALSE))</f>
        <v>15.94427245</v>
      </c>
      <c r="G59">
        <f ca="1">IF(AND(ISNUMBER($G$291),$B$238=1),$G$291,HLOOKUP(INDIRECT(ADDRESS(2,COLUMN())),OFFSET($R$2,0,0,ROW()-1,12),ROW()-1,FALSE))</f>
        <v>16.187050360000001</v>
      </c>
      <c r="H59">
        <f ca="1">IF(AND(ISNUMBER($H$291),$B$238=1),$H$291,HLOOKUP(INDIRECT(ADDRESS(2,COLUMN())),OFFSET($R$2,0,0,ROW()-1,12),ROW()-1,FALSE))</f>
        <v>-15.501519760000001</v>
      </c>
      <c r="I59">
        <f ca="1">IF(AND(ISNUMBER($I$291),$B$238=1),$I$291,HLOOKUP(INDIRECT(ADDRESS(2,COLUMN())),OFFSET($R$2,0,0,ROW()-1,12),ROW()-1,FALSE))</f>
        <v>35.112936339999997</v>
      </c>
      <c r="J59">
        <f ca="1">IF(AND(ISNUMBER($J$291),$B$238=1),$J$291,HLOOKUP(INDIRECT(ADDRESS(2,COLUMN())),OFFSET($R$2,0,0,ROW()-1,12),ROW()-1,FALSE))</f>
        <v>4.9568965519999999</v>
      </c>
      <c r="K59">
        <f ca="1">IF(AND(ISNUMBER($K$291),$B$238=1),$K$291,HLOOKUP(INDIRECT(ADDRESS(2,COLUMN())),OFFSET($R$2,0,0,ROW()-1,12),ROW()-1,FALSE))</f>
        <v>-8.6614173230000002</v>
      </c>
      <c r="L59">
        <f ca="1">IF(AND(ISNUMBER($L$291),$B$238=1),$L$291,HLOOKUP(INDIRECT(ADDRESS(2,COLUMN())),OFFSET($R$2,0,0,ROW()-1,12),ROW()-1,FALSE))</f>
        <v>27.959697729999998</v>
      </c>
      <c r="M59">
        <f ca="1">IF(AND(ISNUMBER($M$291),$B$238=1),$M$291,HLOOKUP(INDIRECT(ADDRESS(2,COLUMN())),OFFSET($R$2,0,0,ROW()-1,12),ROW()-1,FALSE))</f>
        <v>12.46458924</v>
      </c>
      <c r="N59">
        <f ca="1">IF(AND(ISNUMBER($N$291),$B$238=1),$N$291,HLOOKUP(INDIRECT(ADDRESS(2,COLUMN())),OFFSET($R$2,0,0,ROW()-1,12),ROW()-1,FALSE))</f>
        <v>26.523297490000001</v>
      </c>
      <c r="O59">
        <f ca="1">IF(AND(ISNUMBER($O$291),$B$238=1),$O$291,HLOOKUP(INDIRECT(ADDRESS(2,COLUMN())),OFFSET($R$2,0,0,ROW()-1,12),ROW()-1,FALSE))</f>
        <v>9.4117647059999996</v>
      </c>
      <c r="P59">
        <f ca="1">IF(AND(ISNUMBER($P$291),$B$238=1),$P$291,HLOOKUP(INDIRECT(ADDRESS(2,COLUMN())),OFFSET($R$2,0,0,ROW()-1,12),ROW()-1,FALSE))</f>
        <v>-7.9422382669999996</v>
      </c>
      <c r="Q59">
        <f ca="1">IF(AND(ISNUMBER($Q$291),$B$238=1),$Q$291,HLOOKUP(INDIRECT(ADDRESS(2,COLUMN())),OFFSET($R$2,0,0,ROW()-1,12),ROW()-1,FALSE))</f>
        <v>34.466019420000002</v>
      </c>
      <c r="R59">
        <f>15.94427245</f>
        <v>15.94427245</v>
      </c>
      <c r="S59">
        <f>16.18705036</f>
        <v>16.187050360000001</v>
      </c>
      <c r="T59">
        <f>-15.50151976</f>
        <v>-15.501519760000001</v>
      </c>
      <c r="U59">
        <f>35.11293634</f>
        <v>35.112936339999997</v>
      </c>
      <c r="V59">
        <f>4.956896552</f>
        <v>4.9568965519999999</v>
      </c>
      <c r="W59">
        <f>-8.661417323</f>
        <v>-8.6614173230000002</v>
      </c>
      <c r="X59">
        <f>27.95969773</f>
        <v>27.959697729999998</v>
      </c>
      <c r="Y59">
        <f>12.46458924</f>
        <v>12.46458924</v>
      </c>
      <c r="Z59">
        <f>26.52329749</f>
        <v>26.523297490000001</v>
      </c>
      <c r="AA59">
        <f>9.411764706</f>
        <v>9.4117647059999996</v>
      </c>
      <c r="AB59">
        <f>-7.942238267</f>
        <v>-7.9422382669999996</v>
      </c>
      <c r="AC59">
        <f>34.46601942</f>
        <v>34.466019420000002</v>
      </c>
    </row>
    <row r="60" spans="1:29" x14ac:dyDescent="0.25">
      <c r="A60" t="str">
        <f>"    Amdocs Ltd"</f>
        <v xml:space="preserve">    Amdocs Ltd</v>
      </c>
      <c r="B60" t="str">
        <f>"DOX US Equity"</f>
        <v>DOX US Equity</v>
      </c>
      <c r="C60" t="str">
        <f t="shared" si="9"/>
        <v>RR062</v>
      </c>
      <c r="D60" t="str">
        <f t="shared" si="10"/>
        <v>EPS_GROWTH</v>
      </c>
      <c r="E60" t="str">
        <f t="shared" si="11"/>
        <v>Dynamic</v>
      </c>
      <c r="F60">
        <f ca="1">IF(AND(ISNUMBER($F$292),$B$238=1),$F$292,HLOOKUP(INDIRECT(ADDRESS(2,COLUMN())),OFFSET($R$2,0,0,ROW()-1,12),ROW()-1,FALSE))</f>
        <v>39.155943780000001</v>
      </c>
      <c r="G60">
        <f ca="1">IF(AND(ISNUMBER($G$292),$B$238=1),$G$292,HLOOKUP(INDIRECT(ADDRESS(2,COLUMN())),OFFSET($R$2,0,0,ROW()-1,12),ROW()-1,FALSE))</f>
        <v>-16.72240803</v>
      </c>
      <c r="H60">
        <f ca="1">IF(AND(ISNUMBER($H$292),$B$238=1),$H$292,HLOOKUP(INDIRECT(ADDRESS(2,COLUMN())),OFFSET($R$2,0,0,ROW()-1,12),ROW()-1,FALSE))</f>
        <v>9.1240875910000003</v>
      </c>
      <c r="I60">
        <f ca="1">IF(AND(ISNUMBER($I$292),$B$238=1),$I$292,HLOOKUP(INDIRECT(ADDRESS(2,COLUMN())),OFFSET($R$2,0,0,ROW()-1,12),ROW()-1,FALSE))</f>
        <v>-5.1903114190000004</v>
      </c>
      <c r="J60">
        <f ca="1">IF(AND(ISNUMBER($J$292),$B$238=1),$J$292,HLOOKUP(INDIRECT(ADDRESS(2,COLUMN())),OFFSET($R$2,0,0,ROW()-1,12),ROW()-1,FALSE))</f>
        <v>9.0566037739999992</v>
      </c>
      <c r="K60">
        <f ca="1">IF(AND(ISNUMBER($K$292),$B$238=1),$K$292,HLOOKUP(INDIRECT(ADDRESS(2,COLUMN())),OFFSET($R$2,0,0,ROW()-1,12),ROW()-1,FALSE))</f>
        <v>3.515625</v>
      </c>
      <c r="L60">
        <f ca="1">IF(AND(ISNUMBER($L$292),$B$238=1),$L$292,HLOOKUP(INDIRECT(ADDRESS(2,COLUMN())),OFFSET($R$2,0,0,ROW()-1,12),ROW()-1,FALSE))</f>
        <v>9.871244635</v>
      </c>
      <c r="M60">
        <f ca="1">IF(AND(ISNUMBER($M$292),$B$238=1),$M$292,HLOOKUP(INDIRECT(ADDRESS(2,COLUMN())),OFFSET($R$2,0,0,ROW()-1,12),ROW()-1,FALSE))</f>
        <v>24.59893048</v>
      </c>
      <c r="N60">
        <f ca="1">IF(AND(ISNUMBER($N$292),$B$238=1),$N$292,HLOOKUP(INDIRECT(ADDRESS(2,COLUMN())),OFFSET($R$2,0,0,ROW()-1,12),ROW()-1,FALSE))</f>
        <v>10</v>
      </c>
      <c r="O60">
        <f ca="1">IF(AND(ISNUMBER($O$292),$B$238=1),$O$292,HLOOKUP(INDIRECT(ADDRESS(2,COLUMN())),OFFSET($R$2,0,0,ROW()-1,12),ROW()-1,FALSE))</f>
        <v>5.590062112</v>
      </c>
      <c r="P60">
        <f ca="1">IF(AND(ISNUMBER($P$292),$B$238=1),$P$292,HLOOKUP(INDIRECT(ADDRESS(2,COLUMN())),OFFSET($R$2,0,0,ROW()-1,12),ROW()-1,FALSE))</f>
        <v>-12.02185792</v>
      </c>
      <c r="Q60">
        <f ca="1">IF(AND(ISNUMBER($Q$292),$B$238=1),$Q$292,HLOOKUP(INDIRECT(ADDRESS(2,COLUMN())),OFFSET($R$2,0,0,ROW()-1,12),ROW()-1,FALSE))</f>
        <v>3.9772727269999999</v>
      </c>
      <c r="R60">
        <f>39.15594378</f>
        <v>39.155943780000001</v>
      </c>
      <c r="S60">
        <f>-16.72240803</f>
        <v>-16.72240803</v>
      </c>
      <c r="T60">
        <f>9.124087591</f>
        <v>9.1240875910000003</v>
      </c>
      <c r="U60">
        <f>-5.190311419</f>
        <v>-5.1903114190000004</v>
      </c>
      <c r="V60">
        <f>9.056603774</f>
        <v>9.0566037739999992</v>
      </c>
      <c r="W60">
        <f>3.515625</f>
        <v>3.515625</v>
      </c>
      <c r="X60">
        <f>9.871244635</f>
        <v>9.871244635</v>
      </c>
      <c r="Y60">
        <f>24.59893048</f>
        <v>24.59893048</v>
      </c>
      <c r="Z60">
        <f>10</f>
        <v>10</v>
      </c>
      <c r="AA60">
        <f>5.590062112</f>
        <v>5.590062112</v>
      </c>
      <c r="AB60">
        <f>-12.02185792</f>
        <v>-12.02185792</v>
      </c>
      <c r="AC60">
        <f>3.977272727</f>
        <v>3.9772727269999999</v>
      </c>
    </row>
    <row r="61" spans="1:29" x14ac:dyDescent="0.25">
      <c r="A61" t="str">
        <f>"    Atos SE"</f>
        <v xml:space="preserve">    Atos SE</v>
      </c>
      <c r="B61" t="str">
        <f>"ATO FP Equity"</f>
        <v>ATO FP Equity</v>
      </c>
      <c r="C61" t="str">
        <f t="shared" si="9"/>
        <v>RR062</v>
      </c>
      <c r="D61" t="str">
        <f t="shared" si="10"/>
        <v>EPS_GROWTH</v>
      </c>
      <c r="E61" t="str">
        <f t="shared" si="11"/>
        <v>Dynamic</v>
      </c>
      <c r="F61">
        <f ca="1">IF(AND(ISNUMBER($F$293),$B$238=1),$F$293,HLOOKUP(INDIRECT(ADDRESS(2,COLUMN())),OFFSET($R$2,0,0,ROW()-1,12),ROW()-1,FALSE))</f>
        <v>-35.028014499999998</v>
      </c>
      <c r="G61">
        <f ca="1">IF(AND(ISNUMBER($G$293),$B$238=1),$G$293,HLOOKUP(INDIRECT(ADDRESS(2,COLUMN())),OFFSET($R$2,0,0,ROW()-1,12),ROW()-1,FALSE))</f>
        <v>-19.0291958</v>
      </c>
      <c r="H61">
        <f ca="1">IF(AND(ISNUMBER($H$293),$B$238=1),$H$293,HLOOKUP(INDIRECT(ADDRESS(2,COLUMN())),OFFSET($R$2,0,0,ROW()-1,12),ROW()-1,FALSE))</f>
        <v>2.508960573</v>
      </c>
      <c r="I61">
        <f ca="1">IF(AND(ISNUMBER($I$293),$B$238=1),$I$293,HLOOKUP(INDIRECT(ADDRESS(2,COLUMN())),OFFSET($R$2,0,0,ROW()-1,12),ROW()-1,FALSE))</f>
        <v>39.1521197</v>
      </c>
      <c r="J61">
        <f ca="1">IF(AND(ISNUMBER($J$293),$B$238=1),$J$293,HLOOKUP(INDIRECT(ADDRESS(2,COLUMN())),OFFSET($R$2,0,0,ROW()-1,12),ROW()-1,FALSE))</f>
        <v>50.187265920000002</v>
      </c>
      <c r="K61">
        <f ca="1">IF(AND(ISNUMBER($K$293),$B$238=1),$K$293,HLOOKUP(INDIRECT(ADDRESS(2,COLUMN())),OFFSET($R$2,0,0,ROW()-1,12),ROW()-1,FALSE))</f>
        <v>-10.402684560000001</v>
      </c>
      <c r="L61">
        <f ca="1">IF(AND(ISNUMBER($L$293),$B$238=1),$L$293,HLOOKUP(INDIRECT(ADDRESS(2,COLUMN())),OFFSET($R$2,0,0,ROW()-1,12),ROW()-1,FALSE))</f>
        <v>12.03007519</v>
      </c>
      <c r="M61">
        <f ca="1">IF(AND(ISNUMBER($M$293),$B$238=1),$M$293,HLOOKUP(INDIRECT(ADDRESS(2,COLUMN())),OFFSET($R$2,0,0,ROW()-1,12),ROW()-1,FALSE))</f>
        <v>11.297071130000001</v>
      </c>
      <c r="N61">
        <f ca="1">IF(AND(ISNUMBER($N$293),$B$238=1),$N$293,HLOOKUP(INDIRECT(ADDRESS(2,COLUMN())),OFFSET($R$2,0,0,ROW()-1,12),ROW()-1,FALSE))</f>
        <v>43.11377246</v>
      </c>
      <c r="O61">
        <f ca="1">IF(AND(ISNUMBER($O$293),$B$238=1),$O$293,HLOOKUP(INDIRECT(ADDRESS(2,COLUMN())),OFFSET($R$2,0,0,ROW()-1,12),ROW()-1,FALSE))</f>
        <v>2683.333333</v>
      </c>
      <c r="P61">
        <f ca="1">IF(AND(ISNUMBER($P$293),$B$238=1),$P$293,HLOOKUP(INDIRECT(ADDRESS(2,COLUMN())),OFFSET($R$2,0,0,ROW()-1,12),ROW()-1,FALSE))</f>
        <v>-81.25</v>
      </c>
      <c r="Q61">
        <f ca="1">IF(AND(ISNUMBER($Q$293),$B$238=1),$Q$293,HLOOKUP(INDIRECT(ADDRESS(2,COLUMN())),OFFSET($R$2,0,0,ROW()-1,12),ROW()-1,FALSE))</f>
        <v>-54.285714290000001</v>
      </c>
      <c r="R61">
        <f>-35.0280145</f>
        <v>-35.028014499999998</v>
      </c>
      <c r="S61">
        <f>-19.0291958</f>
        <v>-19.0291958</v>
      </c>
      <c r="T61">
        <f>2.508960573</f>
        <v>2.508960573</v>
      </c>
      <c r="U61">
        <f>39.1521197</f>
        <v>39.1521197</v>
      </c>
      <c r="V61">
        <f>50.18726592</f>
        <v>50.187265920000002</v>
      </c>
      <c r="W61">
        <f>-10.40268456</f>
        <v>-10.402684560000001</v>
      </c>
      <c r="X61">
        <f>12.03007519</f>
        <v>12.03007519</v>
      </c>
      <c r="Y61">
        <f>11.29707113</f>
        <v>11.297071130000001</v>
      </c>
      <c r="Z61">
        <f>43.11377246</f>
        <v>43.11377246</v>
      </c>
      <c r="AA61">
        <f>2683.333333</f>
        <v>2683.333333</v>
      </c>
      <c r="AB61">
        <f>-81.25</f>
        <v>-81.25</v>
      </c>
      <c r="AC61">
        <f>-54.28571429</f>
        <v>-54.285714290000001</v>
      </c>
    </row>
    <row r="62" spans="1:29" x14ac:dyDescent="0.25">
      <c r="A62" t="str">
        <f>"    Capgemini SE"</f>
        <v xml:space="preserve">    Capgemini SE</v>
      </c>
      <c r="B62" t="str">
        <f>"CAP FP Equity"</f>
        <v>CAP FP Equity</v>
      </c>
      <c r="C62" t="str">
        <f t="shared" si="9"/>
        <v>RR062</v>
      </c>
      <c r="D62" t="str">
        <f t="shared" si="10"/>
        <v>EPS_GROWTH</v>
      </c>
      <c r="E62" t="str">
        <f t="shared" si="11"/>
        <v>Dynamic</v>
      </c>
      <c r="F62">
        <f ca="1">IF(AND(ISNUMBER($F$294),$B$238=1),$F$294,HLOOKUP(INDIRECT(ADDRESS(2,COLUMN())),OFFSET($R$2,0,0,ROW()-1,12),ROW()-1,FALSE))</f>
        <v>17.848970250000001</v>
      </c>
      <c r="G62">
        <f ca="1">IF(AND(ISNUMBER($G$294),$B$238=1),$G$294,HLOOKUP(INDIRECT(ADDRESS(2,COLUMN())),OFFSET($R$2,0,0,ROW()-1,12),ROW()-1,FALSE))</f>
        <v>-10.45081967</v>
      </c>
      <c r="H62">
        <f ca="1">IF(AND(ISNUMBER($H$294),$B$238=1),$H$294,HLOOKUP(INDIRECT(ADDRESS(2,COLUMN())),OFFSET($R$2,0,0,ROW()-1,12),ROW()-1,FALSE))</f>
        <v>-10.29411765</v>
      </c>
      <c r="I62">
        <f ca="1">IF(AND(ISNUMBER($I$294),$B$238=1),$I$294,HLOOKUP(INDIRECT(ADDRESS(2,COLUMN())),OFFSET($R$2,0,0,ROW()-1,12),ROW()-1,FALSE))</f>
        <v>-18.44077961</v>
      </c>
      <c r="J62">
        <f ca="1">IF(AND(ISNUMBER($J$294),$B$238=1),$J$294,HLOOKUP(INDIRECT(ADDRESS(2,COLUMN())),OFFSET($R$2,0,0,ROW()-1,12),ROW()-1,FALSE))</f>
        <v>81.25</v>
      </c>
      <c r="K62">
        <f ca="1">IF(AND(ISNUMBER($K$294),$B$238=1),$K$294,HLOOKUP(INDIRECT(ADDRESS(2,COLUMN())),OFFSET($R$2,0,0,ROW()-1,12),ROW()-1,FALSE))</f>
        <v>31.428571430000002</v>
      </c>
      <c r="L62">
        <f ca="1">IF(AND(ISNUMBER($L$294),$B$238=1),$L$294,HLOOKUP(INDIRECT(ADDRESS(2,COLUMN())),OFFSET($R$2,0,0,ROW()-1,12),ROW()-1,FALSE))</f>
        <v>23.893805310000001</v>
      </c>
      <c r="M62">
        <f ca="1">IF(AND(ISNUMBER($M$294),$B$238=1),$M$294,HLOOKUP(INDIRECT(ADDRESS(2,COLUMN())),OFFSET($R$2,0,0,ROW()-1,12),ROW()-1,FALSE))</f>
        <v>-14.06844106</v>
      </c>
      <c r="N62">
        <f ca="1">IF(AND(ISNUMBER($N$294),$B$238=1),$N$294,HLOOKUP(INDIRECT(ADDRESS(2,COLUMN())),OFFSET($R$2,0,0,ROW()-1,12),ROW()-1,FALSE))</f>
        <v>43.715846990000003</v>
      </c>
      <c r="O62">
        <f ca="1">IF(AND(ISNUMBER($O$294),$B$238=1),$O$294,HLOOKUP(INDIRECT(ADDRESS(2,COLUMN())),OFFSET($R$2,0,0,ROW()-1,12),ROW()-1,FALSE))</f>
        <v>48.780487800000003</v>
      </c>
      <c r="P62">
        <f ca="1">IF(AND(ISNUMBER($P$294),$B$238=1),$P$294,HLOOKUP(INDIRECT(ADDRESS(2,COLUMN())),OFFSET($R$2,0,0,ROW()-1,12),ROW()-1,FALSE))</f>
        <v>-60.828025480000001</v>
      </c>
      <c r="Q62">
        <f ca="1">IF(AND(ISNUMBER($Q$294),$B$238=1),$Q$294,HLOOKUP(INDIRECT(ADDRESS(2,COLUMN())),OFFSET($R$2,0,0,ROW()-1,12),ROW()-1,FALSE))</f>
        <v>3.2894736839999998</v>
      </c>
      <c r="R62">
        <f>17.84897025</f>
        <v>17.848970250000001</v>
      </c>
      <c r="S62">
        <f>-10.45081967</f>
        <v>-10.45081967</v>
      </c>
      <c r="T62">
        <f>-10.29411765</f>
        <v>-10.29411765</v>
      </c>
      <c r="U62">
        <f>-18.44077961</f>
        <v>-18.44077961</v>
      </c>
      <c r="V62">
        <f>81.25</f>
        <v>81.25</v>
      </c>
      <c r="W62">
        <f>31.42857143</f>
        <v>31.428571430000002</v>
      </c>
      <c r="X62">
        <f>23.89380531</f>
        <v>23.893805310000001</v>
      </c>
      <c r="Y62">
        <f>-14.06844106</f>
        <v>-14.06844106</v>
      </c>
      <c r="Z62">
        <f>43.71584699</f>
        <v>43.715846990000003</v>
      </c>
      <c r="AA62">
        <f>48.7804878</f>
        <v>48.780487800000003</v>
      </c>
      <c r="AB62">
        <f>-60.82802548</f>
        <v>-60.828025480000001</v>
      </c>
      <c r="AC62">
        <f>3.289473684</f>
        <v>3.2894736839999998</v>
      </c>
    </row>
    <row r="63" spans="1:29" x14ac:dyDescent="0.25">
      <c r="A63" t="str">
        <f>"    CGI Inc"</f>
        <v xml:space="preserve">    CGI Inc</v>
      </c>
      <c r="B63" t="str">
        <f>"GIB US Equity"</f>
        <v>GIB US Equity</v>
      </c>
      <c r="C63" t="str">
        <f t="shared" si="9"/>
        <v>RR062</v>
      </c>
      <c r="D63" t="str">
        <f t="shared" si="10"/>
        <v>EPS_GROWTH</v>
      </c>
      <c r="E63" t="str">
        <f t="shared" si="11"/>
        <v>Dynamic</v>
      </c>
      <c r="F63">
        <f ca="1">IF(AND(ISNUMBER($F$295),$B$238=1),$F$295,HLOOKUP(INDIRECT(ADDRESS(2,COLUMN())),OFFSET($R$2,0,0,ROW()-1,12),ROW()-1,FALSE))</f>
        <v>15.174129349999999</v>
      </c>
      <c r="G63">
        <f ca="1">IF(AND(ISNUMBER($G$295),$B$238=1),$G$295,HLOOKUP(INDIRECT(ADDRESS(2,COLUMN())),OFFSET($R$2,0,0,ROW()-1,12),ROW()-1,FALSE))</f>
        <v>15.51724138</v>
      </c>
      <c r="H63">
        <f ca="1">IF(AND(ISNUMBER($H$295),$B$238=1),$H$295,HLOOKUP(INDIRECT(ADDRESS(2,COLUMN())),OFFSET($R$2,0,0,ROW()-1,12),ROW()-1,FALSE))</f>
        <v>-0.85470085500000004</v>
      </c>
      <c r="I63">
        <f ca="1">IF(AND(ISNUMBER($I$295),$B$238=1),$I$295,HLOOKUP(INDIRECT(ADDRESS(2,COLUMN())),OFFSET($R$2,0,0,ROW()-1,12),ROW()-1,FALSE))</f>
        <v>11.783439489999999</v>
      </c>
      <c r="J63">
        <f ca="1">IF(AND(ISNUMBER($J$295),$B$238=1),$J$295,HLOOKUP(INDIRECT(ADDRESS(2,COLUMN())),OFFSET($R$2,0,0,ROW()-1,12),ROW()-1,FALSE))</f>
        <v>12.94964029</v>
      </c>
      <c r="K63">
        <f ca="1">IF(AND(ISNUMBER($K$295),$B$238=1),$K$295,HLOOKUP(INDIRECT(ADDRESS(2,COLUMN())),OFFSET($R$2,0,0,ROW()-1,12),ROW()-1,FALSE))</f>
        <v>87.837837840000006</v>
      </c>
      <c r="L63">
        <f ca="1">IF(AND(ISNUMBER($L$295),$B$238=1),$L$295,HLOOKUP(INDIRECT(ADDRESS(2,COLUMN())),OFFSET($R$2,0,0,ROW()-1,12),ROW()-1,FALSE))</f>
        <v>196</v>
      </c>
      <c r="M63">
        <f ca="1">IF(AND(ISNUMBER($M$295),$B$238=1),$M$295,HLOOKUP(INDIRECT(ADDRESS(2,COLUMN())),OFFSET($R$2,0,0,ROW()-1,12),ROW()-1,FALSE))</f>
        <v>-69.696969699999997</v>
      </c>
      <c r="N63">
        <f ca="1">IF(AND(ISNUMBER($N$295),$B$238=1),$N$295,HLOOKUP(INDIRECT(ADDRESS(2,COLUMN())),OFFSET($R$2,0,0,ROW()-1,12),ROW()-1,FALSE))</f>
        <v>29.921259840000001</v>
      </c>
      <c r="O63">
        <f ca="1">IF(AND(ISNUMBER($O$295),$B$238=1),$O$295,HLOOKUP(INDIRECT(ADDRESS(2,COLUMN())),OFFSET($R$2,0,0,ROW()-1,12),ROW()-1,FALSE))</f>
        <v>23.30097087</v>
      </c>
      <c r="P63">
        <f ca="1">IF(AND(ISNUMBER($P$295),$B$238=1),$P$295,HLOOKUP(INDIRECT(ADDRESS(2,COLUMN())),OFFSET($R$2,0,0,ROW()-1,12),ROW()-1,FALSE))</f>
        <v>9.5744680849999995</v>
      </c>
      <c r="Q63">
        <f ca="1">IF(AND(ISNUMBER($Q$295),$B$238=1),$Q$295,HLOOKUP(INDIRECT(ADDRESS(2,COLUMN())),OFFSET($R$2,0,0,ROW()-1,12),ROW()-1,FALSE))</f>
        <v>32.3943662</v>
      </c>
      <c r="R63">
        <f>15.17412935</f>
        <v>15.174129349999999</v>
      </c>
      <c r="S63">
        <f>15.51724138</f>
        <v>15.51724138</v>
      </c>
      <c r="T63">
        <f>-0.854700855</f>
        <v>-0.85470085500000004</v>
      </c>
      <c r="U63">
        <f>11.78343949</f>
        <v>11.783439489999999</v>
      </c>
      <c r="V63">
        <f>12.94964029</f>
        <v>12.94964029</v>
      </c>
      <c r="W63">
        <f>87.83783784</f>
        <v>87.837837840000006</v>
      </c>
      <c r="X63">
        <f>196</f>
        <v>196</v>
      </c>
      <c r="Y63">
        <f>-69.6969697</f>
        <v>-69.696969699999997</v>
      </c>
      <c r="Z63">
        <f>29.92125984</f>
        <v>29.921259840000001</v>
      </c>
      <c r="AA63">
        <f>23.30097087</f>
        <v>23.30097087</v>
      </c>
      <c r="AB63">
        <f>9.574468085</f>
        <v>9.5744680849999995</v>
      </c>
      <c r="AC63">
        <f>32.3943662</f>
        <v>32.3943662</v>
      </c>
    </row>
    <row r="64" spans="1:29" x14ac:dyDescent="0.25">
      <c r="A64" t="str">
        <f>"    Cognizant Technology Solutions Corp"</f>
        <v xml:space="preserve">    Cognizant Technology Solutions Corp</v>
      </c>
      <c r="B64" t="str">
        <f>"CTSH US Equity"</f>
        <v>CTSH US Equity</v>
      </c>
      <c r="C64" t="str">
        <f t="shared" si="9"/>
        <v>RR062</v>
      </c>
      <c r="D64" t="str">
        <f t="shared" si="10"/>
        <v>EPS_GROWTH</v>
      </c>
      <c r="E64" t="str">
        <f t="shared" si="11"/>
        <v>Dynamic</v>
      </c>
      <c r="F64">
        <f ca="1">IF(AND(ISNUMBER($F$296),$B$238=1),$F$296,HLOOKUP(INDIRECT(ADDRESS(2,COLUMN())),OFFSET($R$2,0,0,ROW()-1,12),ROW()-1,FALSE))</f>
        <v>-8.5872576180000006</v>
      </c>
      <c r="G64">
        <f ca="1">IF(AND(ISNUMBER($G$296),$B$238=1),$G$296,HLOOKUP(INDIRECT(ADDRESS(2,COLUMN())),OFFSET($R$2,0,0,ROW()-1,12),ROW()-1,FALSE))</f>
        <v>42.125984250000002</v>
      </c>
      <c r="H64">
        <f ca="1">IF(AND(ISNUMBER($H$296),$B$238=1),$H$296,HLOOKUP(INDIRECT(ADDRESS(2,COLUMN())),OFFSET($R$2,0,0,ROW()-1,12),ROW()-1,FALSE))</f>
        <v>-0.78125</v>
      </c>
      <c r="I64">
        <f ca="1">IF(AND(ISNUMBER($I$296),$B$238=1),$I$296,HLOOKUP(INDIRECT(ADDRESS(2,COLUMN())),OFFSET($R$2,0,0,ROW()-1,12),ROW()-1,FALSE))</f>
        <v>-4.1198501869999999</v>
      </c>
      <c r="J64">
        <f ca="1">IF(AND(ISNUMBER($J$296),$B$238=1),$J$296,HLOOKUP(INDIRECT(ADDRESS(2,COLUMN())),OFFSET($R$2,0,0,ROW()-1,12),ROW()-1,FALSE))</f>
        <v>12.658227849999999</v>
      </c>
      <c r="K64">
        <f ca="1">IF(AND(ISNUMBER($K$296),$B$238=1),$K$296,HLOOKUP(INDIRECT(ADDRESS(2,COLUMN())),OFFSET($R$2,0,0,ROW()-1,12),ROW()-1,FALSE))</f>
        <v>16.461916460000001</v>
      </c>
      <c r="L64">
        <f ca="1">IF(AND(ISNUMBER($L$296),$B$238=1),$L$296,HLOOKUP(INDIRECT(ADDRESS(2,COLUMN())),OFFSET($R$2,0,0,ROW()-1,12),ROW()-1,FALSE))</f>
        <v>16.618911170000001</v>
      </c>
      <c r="M64">
        <f ca="1">IF(AND(ISNUMBER($M$296),$B$238=1),$M$296,HLOOKUP(INDIRECT(ADDRESS(2,COLUMN())),OFFSET($R$2,0,0,ROW()-1,12),ROW()-1,FALSE))</f>
        <v>19.931271479999999</v>
      </c>
      <c r="N64">
        <f ca="1">IF(AND(ISNUMBER($N$296),$B$238=1),$N$296,HLOOKUP(INDIRECT(ADDRESS(2,COLUMN())),OFFSET($R$2,0,0,ROW()-1,12),ROW()-1,FALSE))</f>
        <v>19.262295080000001</v>
      </c>
      <c r="O64">
        <f ca="1">IF(AND(ISNUMBER($O$296),$B$238=1),$O$296,HLOOKUP(INDIRECT(ADDRESS(2,COLUMN())),OFFSET($R$2,0,0,ROW()-1,12),ROW()-1,FALSE))</f>
        <v>34.065934069999997</v>
      </c>
      <c r="P64">
        <f ca="1">IF(AND(ISNUMBER($P$296),$B$238=1),$P$296,HLOOKUP(INDIRECT(ADDRESS(2,COLUMN())),OFFSET($R$2,0,0,ROW()-1,12),ROW()-1,FALSE))</f>
        <v>22.147651010000001</v>
      </c>
      <c r="Q64">
        <f ca="1">IF(AND(ISNUMBER($Q$296),$B$238=1),$Q$296,HLOOKUP(INDIRECT(ADDRESS(2,COLUMN())),OFFSET($R$2,0,0,ROW()-1,12),ROW()-1,FALSE))</f>
        <v>22.131147540000001</v>
      </c>
      <c r="R64">
        <f>-8.587257618</f>
        <v>-8.5872576180000006</v>
      </c>
      <c r="S64">
        <f>42.12598425</f>
        <v>42.125984250000002</v>
      </c>
      <c r="T64">
        <f>-0.78125</f>
        <v>-0.78125</v>
      </c>
      <c r="U64">
        <f>-4.119850187</f>
        <v>-4.1198501869999999</v>
      </c>
      <c r="V64">
        <f>12.65822785</f>
        <v>12.658227849999999</v>
      </c>
      <c r="W64">
        <f>16.46191646</f>
        <v>16.461916460000001</v>
      </c>
      <c r="X64">
        <f>16.61891117</f>
        <v>16.618911170000001</v>
      </c>
      <c r="Y64">
        <f>19.93127148</f>
        <v>19.931271479999999</v>
      </c>
      <c r="Z64">
        <f>19.26229508</f>
        <v>19.262295080000001</v>
      </c>
      <c r="AA64">
        <f>34.06593407</f>
        <v>34.065934069999997</v>
      </c>
      <c r="AB64">
        <f>22.14765101</f>
        <v>22.147651010000001</v>
      </c>
      <c r="AC64">
        <f>22.13114754</f>
        <v>22.131147540000001</v>
      </c>
    </row>
    <row r="65" spans="1:29" x14ac:dyDescent="0.25">
      <c r="A65" t="str">
        <f>"    Conduent Inc"</f>
        <v xml:space="preserve">    Conduent Inc</v>
      </c>
      <c r="B65" t="str">
        <f>"CNDT US Equity"</f>
        <v>CNDT US Equity</v>
      </c>
      <c r="C65" t="str">
        <f t="shared" si="9"/>
        <v>RR062</v>
      </c>
      <c r="D65" t="str">
        <f t="shared" si="10"/>
        <v>EPS_GROWTH</v>
      </c>
      <c r="E65" t="str">
        <f t="shared" si="11"/>
        <v>Dynamic</v>
      </c>
      <c r="F65">
        <f ca="1">IF(AND(ISNUMBER($F$297),$B$238=1),$F$297,HLOOKUP(INDIRECT(ADDRESS(2,COLUMN())),OFFSET($R$2,0,0,ROW()-1,12),ROW()-1,FALSE))</f>
        <v>-350.97087379999999</v>
      </c>
      <c r="G65" t="str">
        <f ca="1">IF(AND(ISNUMBER($G$297),$B$238=1),$G$297,HLOOKUP(INDIRECT(ADDRESS(2,COLUMN())),OFFSET($R$2,0,0,ROW()-1,12),ROW()-1,FALSE))</f>
        <v/>
      </c>
      <c r="H65" t="str">
        <f ca="1">IF(AND(ISNUMBER($H$297),$B$238=1),$H$297,HLOOKUP(INDIRECT(ADDRESS(2,COLUMN())),OFFSET($R$2,0,0,ROW()-1,12),ROW()-1,FALSE))</f>
        <v/>
      </c>
      <c r="I65">
        <f ca="1">IF(AND(ISNUMBER($I$297),$B$238=1),$I$297,HLOOKUP(INDIRECT(ADDRESS(2,COLUMN())),OFFSET($R$2,0,0,ROW()-1,12),ROW()-1,FALSE))</f>
        <v>-193.9393939</v>
      </c>
      <c r="J65" t="str">
        <f ca="1">IF(AND(ISNUMBER($J$297),$B$238=1),$J$297,HLOOKUP(INDIRECT(ADDRESS(2,COLUMN())),OFFSET($R$2,0,0,ROW()-1,12),ROW()-1,FALSE))</f>
        <v/>
      </c>
      <c r="K65" t="str">
        <f ca="1">IF(AND(ISNUMBER($K$297),$B$238=1),$K$297,HLOOKUP(INDIRECT(ADDRESS(2,COLUMN())),OFFSET($R$2,0,0,ROW()-1,12),ROW()-1,FALSE))</f>
        <v/>
      </c>
      <c r="L65" t="str">
        <f ca="1">IF(AND(ISNUMBER($L$297),$B$238=1),$L$297,HLOOKUP(INDIRECT(ADDRESS(2,COLUMN())),OFFSET($R$2,0,0,ROW()-1,12),ROW()-1,FALSE))</f>
        <v/>
      </c>
      <c r="M65" t="str">
        <f ca="1">IF(AND(ISNUMBER($M$297),$B$238=1),$M$297,HLOOKUP(INDIRECT(ADDRESS(2,COLUMN())),OFFSET($R$2,0,0,ROW()-1,12),ROW()-1,FALSE))</f>
        <v/>
      </c>
      <c r="N65" t="str">
        <f ca="1">IF(AND(ISNUMBER($N$297),$B$238=1),$N$297,HLOOKUP(INDIRECT(ADDRESS(2,COLUMN())),OFFSET($R$2,0,0,ROW()-1,12),ROW()-1,FALSE))</f>
        <v/>
      </c>
      <c r="O65" t="str">
        <f ca="1">IF(AND(ISNUMBER($O$297),$B$238=1),$O$297,HLOOKUP(INDIRECT(ADDRESS(2,COLUMN())),OFFSET($R$2,0,0,ROW()-1,12),ROW()-1,FALSE))</f>
        <v/>
      </c>
      <c r="P65" t="str">
        <f ca="1">IF(AND(ISNUMBER($P$297),$B$238=1),$P$297,HLOOKUP(INDIRECT(ADDRESS(2,COLUMN())),OFFSET($R$2,0,0,ROW()-1,12),ROW()-1,FALSE))</f>
        <v/>
      </c>
      <c r="Q65" t="str">
        <f ca="1">IF(AND(ISNUMBER($Q$297),$B$238=1),$Q$297,HLOOKUP(INDIRECT(ADDRESS(2,COLUMN())),OFFSET($R$2,0,0,ROW()-1,12),ROW()-1,FALSE))</f>
        <v/>
      </c>
      <c r="R65">
        <f>-350.9708738</f>
        <v>-350.97087379999999</v>
      </c>
      <c r="S65" t="str">
        <f>""</f>
        <v/>
      </c>
      <c r="T65" t="str">
        <f>""</f>
        <v/>
      </c>
      <c r="U65">
        <f>-193.9393939</f>
        <v>-193.9393939</v>
      </c>
      <c r="V65" t="str">
        <f>""</f>
        <v/>
      </c>
      <c r="W65" t="str">
        <f>""</f>
        <v/>
      </c>
      <c r="X65" t="str">
        <f>""</f>
        <v/>
      </c>
      <c r="Y65" t="str">
        <f>""</f>
        <v/>
      </c>
      <c r="Z65" t="str">
        <f>""</f>
        <v/>
      </c>
      <c r="AA65" t="str">
        <f>""</f>
        <v/>
      </c>
      <c r="AB65" t="str">
        <f>""</f>
        <v/>
      </c>
      <c r="AC65" t="str">
        <f>""</f>
        <v/>
      </c>
    </row>
    <row r="66" spans="1:29" x14ac:dyDescent="0.25">
      <c r="A66" t="str">
        <f>"    DXC Technology Co"</f>
        <v xml:space="preserve">    DXC Technology Co</v>
      </c>
      <c r="B66" t="str">
        <f>"DXC US Equity"</f>
        <v>DXC US Equity</v>
      </c>
      <c r="C66" t="str">
        <f t="shared" si="9"/>
        <v>RR062</v>
      </c>
      <c r="D66" t="str">
        <f t="shared" si="10"/>
        <v>EPS_GROWTH</v>
      </c>
      <c r="E66" t="str">
        <f t="shared" si="11"/>
        <v>Dynamic</v>
      </c>
      <c r="F66" t="str">
        <f ca="1">IF(AND(ISNUMBER($F$298),$B$238=1),$F$298,HLOOKUP(INDIRECT(ADDRESS(2,COLUMN())),OFFSET($R$2,0,0,ROW()-1,12),ROW()-1,FALSE))</f>
        <v/>
      </c>
      <c r="G66">
        <f ca="1">IF(AND(ISNUMBER($G$298),$B$238=1),$G$298,HLOOKUP(INDIRECT(ADDRESS(2,COLUMN())),OFFSET($R$2,0,0,ROW()-1,12),ROW()-1,FALSE))</f>
        <v>-17.29323308</v>
      </c>
      <c r="H66" t="str">
        <f ca="1">IF(AND(ISNUMBER($H$298),$B$238=1),$H$298,HLOOKUP(INDIRECT(ADDRESS(2,COLUMN())),OFFSET($R$2,0,0,ROW()-1,12),ROW()-1,FALSE))</f>
        <v/>
      </c>
      <c r="I66" t="str">
        <f ca="1">IF(AND(ISNUMBER($I$298),$B$238=1),$I$298,HLOOKUP(INDIRECT(ADDRESS(2,COLUMN())),OFFSET($R$2,0,0,ROW()-1,12),ROW()-1,FALSE))</f>
        <v/>
      </c>
      <c r="J66" t="str">
        <f ca="1">IF(AND(ISNUMBER($J$298),$B$238=1),$J$298,HLOOKUP(INDIRECT(ADDRESS(2,COLUMN())),OFFSET($R$2,0,0,ROW()-1,12),ROW()-1,FALSE))</f>
        <v/>
      </c>
      <c r="K66" t="str">
        <f ca="1">IF(AND(ISNUMBER($K$298),$B$238=1),$K$298,HLOOKUP(INDIRECT(ADDRESS(2,COLUMN())),OFFSET($R$2,0,0,ROW()-1,12),ROW()-1,FALSE))</f>
        <v/>
      </c>
      <c r="L66" t="str">
        <f ca="1">IF(AND(ISNUMBER($L$298),$B$238=1),$L$298,HLOOKUP(INDIRECT(ADDRESS(2,COLUMN())),OFFSET($R$2,0,0,ROW()-1,12),ROW()-1,FALSE))</f>
        <v/>
      </c>
      <c r="M66" t="str">
        <f ca="1">IF(AND(ISNUMBER($M$298),$B$238=1),$M$298,HLOOKUP(INDIRECT(ADDRESS(2,COLUMN())),OFFSET($R$2,0,0,ROW()-1,12),ROW()-1,FALSE))</f>
        <v/>
      </c>
      <c r="N66" t="str">
        <f ca="1">IF(AND(ISNUMBER($N$298),$B$238=1),$N$298,HLOOKUP(INDIRECT(ADDRESS(2,COLUMN())),OFFSET($R$2,0,0,ROW()-1,12),ROW()-1,FALSE))</f>
        <v/>
      </c>
      <c r="O66" t="str">
        <f ca="1">IF(AND(ISNUMBER($O$298),$B$238=1),$O$298,HLOOKUP(INDIRECT(ADDRESS(2,COLUMN())),OFFSET($R$2,0,0,ROW()-1,12),ROW()-1,FALSE))</f>
        <v/>
      </c>
      <c r="P66" t="str">
        <f ca="1">IF(AND(ISNUMBER($P$298),$B$238=1),$P$298,HLOOKUP(INDIRECT(ADDRESS(2,COLUMN())),OFFSET($R$2,0,0,ROW()-1,12),ROW()-1,FALSE))</f>
        <v/>
      </c>
      <c r="Q66" t="str">
        <f ca="1">IF(AND(ISNUMBER($Q$298),$B$238=1),$Q$298,HLOOKUP(INDIRECT(ADDRESS(2,COLUMN())),OFFSET($R$2,0,0,ROW()-1,12),ROW()-1,FALSE))</f>
        <v/>
      </c>
      <c r="R66" t="str">
        <f>""</f>
        <v/>
      </c>
      <c r="S66">
        <f>-17.29323308</f>
        <v>-17.29323308</v>
      </c>
      <c r="T66" t="str">
        <f>""</f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>""</f>
        <v/>
      </c>
      <c r="AB66" t="str">
        <f>""</f>
        <v/>
      </c>
      <c r="AC66" t="str">
        <f>""</f>
        <v/>
      </c>
    </row>
    <row r="67" spans="1:29" x14ac:dyDescent="0.25">
      <c r="A67" t="str">
        <f>"    EPAM Systems Inc"</f>
        <v xml:space="preserve">    EPAM Systems Inc</v>
      </c>
      <c r="B67" t="str">
        <f>"EPAM US Equity"</f>
        <v>EPAM US Equity</v>
      </c>
      <c r="C67" t="str">
        <f t="shared" si="9"/>
        <v>RR062</v>
      </c>
      <c r="D67" t="str">
        <f t="shared" si="10"/>
        <v>EPS_GROWTH</v>
      </c>
      <c r="E67" t="str">
        <f t="shared" si="11"/>
        <v>Dynamic</v>
      </c>
      <c r="F67">
        <f ca="1">IF(AND(ISNUMBER($F$299),$B$238=1),$F$299,HLOOKUP(INDIRECT(ADDRESS(2,COLUMN())),OFFSET($R$2,0,0,ROW()-1,12),ROW()-1,FALSE))</f>
        <v>6.4732142860000002</v>
      </c>
      <c r="G67">
        <f ca="1">IF(AND(ISNUMBER($G$299),$B$238=1),$G$299,HLOOKUP(INDIRECT(ADDRESS(2,COLUMN())),OFFSET($R$2,0,0,ROW()-1,12),ROW()-1,FALSE))</f>
        <v>220</v>
      </c>
      <c r="H67">
        <f ca="1">IF(AND(ISNUMBER($H$299),$B$238=1),$H$299,HLOOKUP(INDIRECT(ADDRESS(2,COLUMN())),OFFSET($R$2,0,0,ROW()-1,12),ROW()-1,FALSE))</f>
        <v>-28.934010149999999</v>
      </c>
      <c r="I67">
        <f ca="1">IF(AND(ISNUMBER($I$299),$B$238=1),$I$299,HLOOKUP(INDIRECT(ADDRESS(2,COLUMN())),OFFSET($R$2,0,0,ROW()-1,12),ROW()-1,FALSE))</f>
        <v>13.872832369999999</v>
      </c>
      <c r="J67">
        <f ca="1">IF(AND(ISNUMBER($J$299),$B$238=1),$J$299,HLOOKUP(INDIRECT(ADDRESS(2,COLUMN())),OFFSET($R$2,0,0,ROW()-1,12),ROW()-1,FALSE))</f>
        <v>16.89189189</v>
      </c>
      <c r="K67">
        <f ca="1">IF(AND(ISNUMBER($K$299),$B$238=1),$K$299,HLOOKUP(INDIRECT(ADDRESS(2,COLUMN())),OFFSET($R$2,0,0,ROW()-1,12),ROW()-1,FALSE))</f>
        <v>9.6296296300000002</v>
      </c>
      <c r="L67">
        <f ca="1">IF(AND(ISNUMBER($L$299),$B$238=1),$L$299,HLOOKUP(INDIRECT(ADDRESS(2,COLUMN())),OFFSET($R$2,0,0,ROW()-1,12),ROW()-1,FALSE))</f>
        <v>6.2992125980000004</v>
      </c>
      <c r="M67">
        <f ca="1">IF(AND(ISNUMBER($M$299),$B$238=1),$M$299,HLOOKUP(INDIRECT(ADDRESS(2,COLUMN())),OFFSET($R$2,0,0,ROW()-1,12),ROW()-1,FALSE))</f>
        <v>84.525167339999996</v>
      </c>
      <c r="N67">
        <f ca="1">IF(AND(ISNUMBER($N$299),$B$238=1),$N$299,HLOOKUP(INDIRECT(ADDRESS(2,COLUMN())),OFFSET($R$2,0,0,ROW()-1,12),ROW()-1,FALSE))</f>
        <v>-89.742876300000006</v>
      </c>
      <c r="O67">
        <f ca="1">IF(AND(ISNUMBER($O$299),$B$238=1),$O$299,HLOOKUP(INDIRECT(ADDRESS(2,COLUMN())),OFFSET($R$2,0,0,ROW()-1,12),ROW()-1,FALSE))</f>
        <v>258.82352939999998</v>
      </c>
      <c r="P67">
        <f ca="1">IF(AND(ISNUMBER($P$299),$B$238=1),$P$299,HLOOKUP(INDIRECT(ADDRESS(2,COLUMN())),OFFSET($R$2,0,0,ROW()-1,12),ROW()-1,FALSE))</f>
        <v>-6.5</v>
      </c>
      <c r="Q67">
        <f ca="1">IF(AND(ISNUMBER($Q$299),$B$238=1),$Q$299,HLOOKUP(INDIRECT(ADDRESS(2,COLUMN())),OFFSET($R$2,0,0,ROW()-1,12),ROW()-1,FALSE))</f>
        <v>-64.788732390000007</v>
      </c>
      <c r="R67">
        <f>6.473214286</f>
        <v>6.4732142860000002</v>
      </c>
      <c r="S67">
        <f>220</f>
        <v>220</v>
      </c>
      <c r="T67">
        <f>-28.93401015</f>
        <v>-28.934010149999999</v>
      </c>
      <c r="U67">
        <f>13.87283237</f>
        <v>13.872832369999999</v>
      </c>
      <c r="V67">
        <f>16.89189189</f>
        <v>16.89189189</v>
      </c>
      <c r="W67">
        <f>9.62962963</f>
        <v>9.6296296300000002</v>
      </c>
      <c r="X67">
        <f>6.299212598</f>
        <v>6.2992125980000004</v>
      </c>
      <c r="Y67">
        <f>84.52516734</f>
        <v>84.525167339999996</v>
      </c>
      <c r="Z67">
        <f>-89.7428763</f>
        <v>-89.742876300000006</v>
      </c>
      <c r="AA67">
        <f>258.8235294</f>
        <v>258.82352939999998</v>
      </c>
      <c r="AB67">
        <f>-6.5</f>
        <v>-6.5</v>
      </c>
      <c r="AC67">
        <f>-64.78873239</f>
        <v>-64.788732390000007</v>
      </c>
    </row>
    <row r="68" spans="1:29" x14ac:dyDescent="0.25">
      <c r="A68" t="str">
        <f>"    Genpact Ltd"</f>
        <v xml:space="preserve">    Genpact Ltd</v>
      </c>
      <c r="B68" t="str">
        <f>"G US Equity"</f>
        <v>G US Equity</v>
      </c>
      <c r="C68" t="str">
        <f t="shared" si="9"/>
        <v>RR062</v>
      </c>
      <c r="D68" t="str">
        <f t="shared" si="10"/>
        <v>EPS_GROWTH</v>
      </c>
      <c r="E68" t="str">
        <f t="shared" si="11"/>
        <v>Dynamic</v>
      </c>
      <c r="F68">
        <f ca="1">IF(AND(ISNUMBER($F$300),$B$238=1),$F$300,HLOOKUP(INDIRECT(ADDRESS(2,COLUMN())),OFFSET($R$2,0,0,ROW()-1,12),ROW()-1,FALSE))</f>
        <v>8.1081081079999997</v>
      </c>
      <c r="G68">
        <f ca="1">IF(AND(ISNUMBER($G$300),$B$238=1),$G$300,HLOOKUP(INDIRECT(ADDRESS(2,COLUMN())),OFFSET($R$2,0,0,ROW()-1,12),ROW()-1,FALSE))</f>
        <v>8.8235294119999992</v>
      </c>
      <c r="H68">
        <f ca="1">IF(AND(ISNUMBER($H$300),$B$238=1),$H$300,HLOOKUP(INDIRECT(ADDRESS(2,COLUMN())),OFFSET($R$2,0,0,ROW()-1,12),ROW()-1,FALSE))</f>
        <v>4.615384615</v>
      </c>
      <c r="I68">
        <f ca="1">IF(AND(ISNUMBER($I$300),$B$238=1),$I$300,HLOOKUP(INDIRECT(ADDRESS(2,COLUMN())),OFFSET($R$2,0,0,ROW()-1,12),ROW()-1,FALSE))</f>
        <v>17.11711712</v>
      </c>
      <c r="J68">
        <f ca="1">IF(AND(ISNUMBER($J$300),$B$238=1),$J$300,HLOOKUP(INDIRECT(ADDRESS(2,COLUMN())),OFFSET($R$2,0,0,ROW()-1,12),ROW()-1,FALSE))</f>
        <v>27.586206900000001</v>
      </c>
      <c r="K68">
        <f ca="1">IF(AND(ISNUMBER($K$300),$B$238=1),$K$300,HLOOKUP(INDIRECT(ADDRESS(2,COLUMN())),OFFSET($R$2,0,0,ROW()-1,12),ROW()-1,FALSE))</f>
        <v>-13</v>
      </c>
      <c r="L68">
        <f ca="1">IF(AND(ISNUMBER($L$300),$B$238=1),$L$300,HLOOKUP(INDIRECT(ADDRESS(2,COLUMN())),OFFSET($R$2,0,0,ROW()-1,12),ROW()-1,FALSE))</f>
        <v>25</v>
      </c>
      <c r="M68">
        <f ca="1">IF(AND(ISNUMBER($M$300),$B$238=1),$M$300,HLOOKUP(INDIRECT(ADDRESS(2,COLUMN())),OFFSET($R$2,0,0,ROW()-1,12),ROW()-1,FALSE))</f>
        <v>-3.6144578310000002</v>
      </c>
      <c r="N68">
        <f ca="1">IF(AND(ISNUMBER($N$300),$B$238=1),$N$300,HLOOKUP(INDIRECT(ADDRESS(2,COLUMN())),OFFSET($R$2,0,0,ROW()-1,12),ROW()-1,FALSE))</f>
        <v>27.69230769</v>
      </c>
      <c r="O68">
        <f ca="1">IF(AND(ISNUMBER($O$300),$B$238=1),$O$300,HLOOKUP(INDIRECT(ADDRESS(2,COLUMN())),OFFSET($R$2,0,0,ROW()-1,12),ROW()-1,FALSE))</f>
        <v>10.16949153</v>
      </c>
      <c r="P68">
        <f ca="1">IF(AND(ISNUMBER($P$300),$B$238=1),$P$300,HLOOKUP(INDIRECT(ADDRESS(2,COLUMN())),OFFSET($R$2,0,0,ROW()-1,12),ROW()-1,FALSE))</f>
        <v>0</v>
      </c>
      <c r="Q68">
        <f ca="1">IF(AND(ISNUMBER($Q$300),$B$238=1),$Q$300,HLOOKUP(INDIRECT(ADDRESS(2,COLUMN())),OFFSET($R$2,0,0,ROW()-1,12),ROW()-1,FALSE))</f>
        <v>353.84615380000002</v>
      </c>
      <c r="R68">
        <f>8.108108108</f>
        <v>8.1081081079999997</v>
      </c>
      <c r="S68">
        <f>8.823529412</f>
        <v>8.8235294119999992</v>
      </c>
      <c r="T68">
        <f>4.615384615</f>
        <v>4.615384615</v>
      </c>
      <c r="U68">
        <f>17.11711712</f>
        <v>17.11711712</v>
      </c>
      <c r="V68">
        <f>27.5862069</f>
        <v>27.586206900000001</v>
      </c>
      <c r="W68">
        <f>-13</f>
        <v>-13</v>
      </c>
      <c r="X68">
        <f>25</f>
        <v>25</v>
      </c>
      <c r="Y68">
        <f>-3.614457831</f>
        <v>-3.6144578310000002</v>
      </c>
      <c r="Z68">
        <f>27.69230769</f>
        <v>27.69230769</v>
      </c>
      <c r="AA68">
        <f>10.16949153</f>
        <v>10.16949153</v>
      </c>
      <c r="AB68">
        <f>0</f>
        <v>0</v>
      </c>
      <c r="AC68">
        <f>353.8461538</f>
        <v>353.84615380000002</v>
      </c>
    </row>
    <row r="69" spans="1:29" x14ac:dyDescent="0.25">
      <c r="A69" t="str">
        <f>"    HCL Technologies Ltd"</f>
        <v xml:space="preserve">    HCL Technologies Ltd</v>
      </c>
      <c r="B69" t="str">
        <f>"HCLT IN Equity"</f>
        <v>HCLT IN Equity</v>
      </c>
      <c r="C69" t="str">
        <f t="shared" si="9"/>
        <v>RR062</v>
      </c>
      <c r="D69" t="str">
        <f t="shared" si="10"/>
        <v>EPS_GROWTH</v>
      </c>
      <c r="E69" t="str">
        <f t="shared" si="11"/>
        <v>Dynamic</v>
      </c>
      <c r="F69">
        <f ca="1">IF(AND(ISNUMBER($F$301),$B$238=1),$F$301,HLOOKUP(INDIRECT(ADDRESS(2,COLUMN())),OFFSET($R$2,0,0,ROW()-1,12),ROW()-1,FALSE))</f>
        <v>9.2879770990000008</v>
      </c>
      <c r="G69">
        <f ca="1">IF(AND(ISNUMBER($G$301),$B$238=1),$G$301,HLOOKUP(INDIRECT(ADDRESS(2,COLUMN())),OFFSET($R$2,0,0,ROW()-1,12),ROW()-1,FALSE))</f>
        <v>8.5725696330000005</v>
      </c>
      <c r="H69">
        <f ca="1">IF(AND(ISNUMBER($H$301),$B$238=1),$H$301,HLOOKUP(INDIRECT(ADDRESS(2,COLUMN())),OFFSET($R$2,0,0,ROW()-1,12),ROW()-1,FALSE))</f>
        <v>3.1493452679999998</v>
      </c>
      <c r="I69">
        <f ca="1">IF(AND(ISNUMBER($I$301),$B$238=1),$I$301,HLOOKUP(INDIRECT(ADDRESS(2,COLUMN())),OFFSET($R$2,0,0,ROW()-1,12),ROW()-1,FALSE))</f>
        <v>16.030446269999999</v>
      </c>
      <c r="J69" t="str">
        <f ca="1">IF(AND(ISNUMBER($J$301),$B$238=1),$J$301,HLOOKUP(INDIRECT(ADDRESS(2,COLUMN())),OFFSET($R$2,0,0,ROW()-1,12),ROW()-1,FALSE))</f>
        <v/>
      </c>
      <c r="K69" t="str">
        <f ca="1">IF(AND(ISNUMBER($K$301),$B$238=1),$K$301,HLOOKUP(INDIRECT(ADDRESS(2,COLUMN())),OFFSET($R$2,0,0,ROW()-1,12),ROW()-1,FALSE))</f>
        <v/>
      </c>
      <c r="L69">
        <f ca="1">IF(AND(ISNUMBER($L$301),$B$238=1),$L$301,HLOOKUP(INDIRECT(ADDRESS(2,COLUMN())),OFFSET($R$2,0,0,ROW()-1,12),ROW()-1,FALSE))</f>
        <v>39.525988230000003</v>
      </c>
      <c r="M69">
        <f ca="1">IF(AND(ISNUMBER($M$301),$B$238=1),$M$301,HLOOKUP(INDIRECT(ADDRESS(2,COLUMN())),OFFSET($R$2,0,0,ROW()-1,12),ROW()-1,FALSE))</f>
        <v>65.858528239999998</v>
      </c>
      <c r="N69">
        <f ca="1">IF(AND(ISNUMBER($N$301),$B$238=1),$N$301,HLOOKUP(INDIRECT(ADDRESS(2,COLUMN())),OFFSET($R$2,0,0,ROW()-1,12),ROW()-1,FALSE))</f>
        <v>45.537567459999998</v>
      </c>
      <c r="O69">
        <f ca="1">IF(AND(ISNUMBER($O$301),$B$238=1),$O$301,HLOOKUP(INDIRECT(ADDRESS(2,COLUMN())),OFFSET($R$2,0,0,ROW()-1,12),ROW()-1,FALSE))</f>
        <v>28.892455859999998</v>
      </c>
      <c r="P69">
        <f ca="1">IF(AND(ISNUMBER($P$301),$B$238=1),$P$301,HLOOKUP(INDIRECT(ADDRESS(2,COLUMN())),OFFSET($R$2,0,0,ROW()-1,12),ROW()-1,FALSE))</f>
        <v>-5.2231237320000004</v>
      </c>
      <c r="Q69">
        <f ca="1">IF(AND(ISNUMBER($Q$301),$B$238=1),$Q$301,HLOOKUP(INDIRECT(ADDRESS(2,COLUMN())),OFFSET($R$2,0,0,ROW()-1,12),ROW()-1,FALSE))</f>
        <v>24.617875900000001</v>
      </c>
      <c r="R69">
        <f>9.287977099</f>
        <v>9.2879770990000008</v>
      </c>
      <c r="S69">
        <f>8.572569633</f>
        <v>8.5725696330000005</v>
      </c>
      <c r="T69">
        <f>3.149345268</f>
        <v>3.1493452679999998</v>
      </c>
      <c r="U69">
        <f>16.03044627</f>
        <v>16.030446269999999</v>
      </c>
      <c r="V69" t="str">
        <f>""</f>
        <v/>
      </c>
      <c r="W69" t="str">
        <f>""</f>
        <v/>
      </c>
      <c r="X69">
        <f>39.52598823</f>
        <v>39.525988230000003</v>
      </c>
      <c r="Y69">
        <f>65.85852824</f>
        <v>65.858528239999998</v>
      </c>
      <c r="Z69">
        <f>45.53756746</f>
        <v>45.537567459999998</v>
      </c>
      <c r="AA69">
        <f>28.89245586</f>
        <v>28.892455859999998</v>
      </c>
      <c r="AB69">
        <f>-5.223123732</f>
        <v>-5.2231237320000004</v>
      </c>
      <c r="AC69">
        <f>24.6178759</f>
        <v>24.617875900000001</v>
      </c>
    </row>
    <row r="70" spans="1:29" x14ac:dyDescent="0.25">
      <c r="A70" t="str">
        <f>"    Indra Sistemas SA"</f>
        <v xml:space="preserve">    Indra Sistemas SA</v>
      </c>
      <c r="B70" t="str">
        <f>"IDR SM Equity"</f>
        <v>IDR SM Equity</v>
      </c>
      <c r="C70" t="str">
        <f t="shared" si="9"/>
        <v>RR062</v>
      </c>
      <c r="D70" t="str">
        <f t="shared" si="10"/>
        <v>EPS_GROWTH</v>
      </c>
      <c r="E70" t="str">
        <f t="shared" si="11"/>
        <v>Dynamic</v>
      </c>
      <c r="F70">
        <f ca="1">IF(AND(ISNUMBER($F$302),$B$238=1),$F$302,HLOOKUP(INDIRECT(ADDRESS(2,COLUMN())),OFFSET($R$2,0,0,ROW()-1,12),ROW()-1,FALSE))</f>
        <v>1.265264087</v>
      </c>
      <c r="G70">
        <f ca="1">IF(AND(ISNUMBER($G$302),$B$238=1),$G$302,HLOOKUP(INDIRECT(ADDRESS(2,COLUMN())),OFFSET($R$2,0,0,ROW()-1,12),ROW()-1,FALSE))</f>
        <v>-7.8747628079999998</v>
      </c>
      <c r="H70">
        <f ca="1">IF(AND(ISNUMBER($H$302),$B$238=1),$H$302,HLOOKUP(INDIRECT(ADDRESS(2,COLUMN())),OFFSET($R$2,0,0,ROW()-1,12),ROW()-1,FALSE))</f>
        <v>72.786885249999997</v>
      </c>
      <c r="I70" t="str">
        <f ca="1">IF(AND(ISNUMBER($I$302),$B$238=1),$I$302,HLOOKUP(INDIRECT(ADDRESS(2,COLUMN())),OFFSET($R$2,0,0,ROW()-1,12),ROW()-1,FALSE))</f>
        <v/>
      </c>
      <c r="J70">
        <f ca="1">IF(AND(ISNUMBER($J$302),$B$238=1),$J$302,HLOOKUP(INDIRECT(ADDRESS(2,COLUMN())),OFFSET($R$2,0,0,ROW()-1,12),ROW()-1,FALSE))</f>
        <v>-597.5753254</v>
      </c>
      <c r="K70" t="str">
        <f ca="1">IF(AND(ISNUMBER($K$302),$B$238=1),$K$302,HLOOKUP(INDIRECT(ADDRESS(2,COLUMN())),OFFSET($R$2,0,0,ROW()-1,12),ROW()-1,FALSE))</f>
        <v/>
      </c>
      <c r="L70">
        <f ca="1">IF(AND(ISNUMBER($L$302),$B$238=1),$L$302,HLOOKUP(INDIRECT(ADDRESS(2,COLUMN())),OFFSET($R$2,0,0,ROW()-1,12),ROW()-1,FALSE))</f>
        <v>-13.460385860000001</v>
      </c>
      <c r="M70">
        <f ca="1">IF(AND(ISNUMBER($M$302),$B$238=1),$M$302,HLOOKUP(INDIRECT(ADDRESS(2,COLUMN())),OFFSET($R$2,0,0,ROW()-1,12),ROW()-1,FALSE))</f>
        <v>-26.68671689</v>
      </c>
      <c r="N70">
        <f ca="1">IF(AND(ISNUMBER($N$302),$B$238=1),$N$302,HLOOKUP(INDIRECT(ADDRESS(2,COLUMN())),OFFSET($R$2,0,0,ROW()-1,12),ROW()-1,FALSE))</f>
        <v>-4.1040930629999997</v>
      </c>
      <c r="O70">
        <f ca="1">IF(AND(ISNUMBER($O$302),$B$238=1),$O$302,HLOOKUP(INDIRECT(ADDRESS(2,COLUMN())),OFFSET($R$2,0,0,ROW()-1,12),ROW()-1,FALSE))</f>
        <v>-4.4417893639999999</v>
      </c>
      <c r="P70">
        <f ca="1">IF(AND(ISNUMBER($P$302),$B$238=1),$P$302,HLOOKUP(INDIRECT(ADDRESS(2,COLUMN())),OFFSET($R$2,0,0,ROW()-1,12),ROW()-1,FALSE))</f>
        <v>6.5861857119999998</v>
      </c>
      <c r="Q70">
        <f ca="1">IF(AND(ISNUMBER($Q$302),$B$238=1),$Q$302,HLOOKUP(INDIRECT(ADDRESS(2,COLUMN())),OFFSET($R$2,0,0,ROW()-1,12),ROW()-1,FALSE))</f>
        <v>24.456581100000001</v>
      </c>
      <c r="R70">
        <f>1.265264087</f>
        <v>1.265264087</v>
      </c>
      <c r="S70">
        <f>-7.874762808</f>
        <v>-7.8747628079999998</v>
      </c>
      <c r="T70">
        <f>72.78688525</f>
        <v>72.786885249999997</v>
      </c>
      <c r="U70" t="str">
        <f>""</f>
        <v/>
      </c>
      <c r="V70">
        <f>-597.5753254</f>
        <v>-597.5753254</v>
      </c>
      <c r="W70" t="str">
        <f>""</f>
        <v/>
      </c>
      <c r="X70">
        <f>-13.46038586</f>
        <v>-13.460385860000001</v>
      </c>
      <c r="Y70">
        <f>-26.68671689</f>
        <v>-26.68671689</v>
      </c>
      <c r="Z70">
        <f>-4.104093063</f>
        <v>-4.1040930629999997</v>
      </c>
      <c r="AA70">
        <f>-4.441789364</f>
        <v>-4.4417893639999999</v>
      </c>
      <c r="AB70">
        <f>6.586185712</f>
        <v>6.5861857119999998</v>
      </c>
      <c r="AC70">
        <f>24.4565811</f>
        <v>24.456581100000001</v>
      </c>
    </row>
    <row r="71" spans="1:29" x14ac:dyDescent="0.25">
      <c r="A71" t="str">
        <f>"    Infosys Ltd"</f>
        <v xml:space="preserve">    Infosys Ltd</v>
      </c>
      <c r="B71" t="str">
        <f>"INFY US Equity"</f>
        <v>INFY US Equity</v>
      </c>
      <c r="C71" t="str">
        <f t="shared" si="9"/>
        <v>RR062</v>
      </c>
      <c r="D71" t="str">
        <f t="shared" si="10"/>
        <v>EPS_GROWTH</v>
      </c>
      <c r="E71" t="str">
        <f t="shared" si="11"/>
        <v>Dynamic</v>
      </c>
      <c r="F71">
        <f ca="1">IF(AND(ISNUMBER($F$303),$B$238=1),$F$303,HLOOKUP(INDIRECT(ADDRESS(2,COLUMN())),OFFSET($R$2,0,0,ROW()-1,12),ROW()-1,FALSE))</f>
        <v>9.9604966140000002</v>
      </c>
      <c r="G71">
        <f ca="1">IF(AND(ISNUMBER($G$303),$B$238=1),$G$303,HLOOKUP(INDIRECT(ADDRESS(2,COLUMN())),OFFSET($R$2,0,0,ROW()-1,12),ROW()-1,FALSE))</f>
        <v>-0.26734205700000002</v>
      </c>
      <c r="H71">
        <f ca="1">IF(AND(ISNUMBER($H$303),$B$238=1),$H$303,HLOOKUP(INDIRECT(ADDRESS(2,COLUMN())),OFFSET($R$2,0,0,ROW()-1,12),ROW()-1,FALSE))</f>
        <v>13.16878981</v>
      </c>
      <c r="I71">
        <f ca="1">IF(AND(ISNUMBER($I$303),$B$238=1),$I$303,HLOOKUP(INDIRECT(ADDRESS(2,COLUMN())),OFFSET($R$2,0,0,ROW()-1,12),ROW()-1,FALSE))</f>
        <v>6.4046086070000001</v>
      </c>
      <c r="J71">
        <f ca="1">IF(AND(ISNUMBER($J$303),$B$238=1),$J$303,HLOOKUP(INDIRECT(ADDRESS(2,COLUMN())),OFFSET($R$2,0,0,ROW()-1,12),ROW()-1,FALSE))</f>
        <v>9.4178717089999999</v>
      </c>
      <c r="K71">
        <f ca="1">IF(AND(ISNUMBER($K$303),$B$238=1),$K$303,HLOOKUP(INDIRECT(ADDRESS(2,COLUMN())),OFFSET($R$2,0,0,ROW()-1,12),ROW()-1,FALSE))</f>
        <v>15.7821304</v>
      </c>
      <c r="L71">
        <f ca="1">IF(AND(ISNUMBER($L$303),$B$238=1),$L$303,HLOOKUP(INDIRECT(ADDRESS(2,COLUMN())),OFFSET($R$2,0,0,ROW()-1,12),ROW()-1,FALSE))</f>
        <v>13.028446649999999</v>
      </c>
      <c r="M71">
        <f ca="1">IF(AND(ISNUMBER($M$303),$B$238=1),$M$303,HLOOKUP(INDIRECT(ADDRESS(2,COLUMN())),OFFSET($R$2,0,0,ROW()-1,12),ROW()-1,FALSE))</f>
        <v>13.27378908</v>
      </c>
      <c r="N71">
        <f ca="1">IF(AND(ISNUMBER($N$303),$B$238=1),$N$303,HLOOKUP(INDIRECT(ADDRESS(2,COLUMN())),OFFSET($R$2,0,0,ROW()-1,12),ROW()-1,FALSE))</f>
        <v>21.636302860000001</v>
      </c>
      <c r="O71">
        <f ca="1">IF(AND(ISNUMBER($O$303),$B$238=1),$O$303,HLOOKUP(INDIRECT(ADDRESS(2,COLUMN())),OFFSET($R$2,0,0,ROW()-1,12),ROW()-1,FALSE))</f>
        <v>9.7596771229999995</v>
      </c>
      <c r="P71">
        <f ca="1">IF(AND(ISNUMBER($P$303),$B$238=1),$P$303,HLOOKUP(INDIRECT(ADDRESS(2,COLUMN())),OFFSET($R$2,0,0,ROW()-1,12),ROW()-1,FALSE))</f>
        <v>4.225621415</v>
      </c>
      <c r="Q71">
        <f ca="1">IF(AND(ISNUMBER($Q$303),$B$238=1),$Q$303,HLOOKUP(INDIRECT(ADDRESS(2,COLUMN())),OFFSET($R$2,0,0,ROW()-1,12),ROW()-1,FALSE))</f>
        <v>28.28561096</v>
      </c>
      <c r="R71">
        <f>9.960496614</f>
        <v>9.9604966140000002</v>
      </c>
      <c r="S71">
        <f>-0.267342057</f>
        <v>-0.26734205700000002</v>
      </c>
      <c r="T71">
        <f>13.16878981</f>
        <v>13.16878981</v>
      </c>
      <c r="U71">
        <f>6.404608607</f>
        <v>6.4046086070000001</v>
      </c>
      <c r="V71">
        <f>9.417871709</f>
        <v>9.4178717089999999</v>
      </c>
      <c r="W71">
        <f>15.7821304</f>
        <v>15.7821304</v>
      </c>
      <c r="X71">
        <f>13.02844665</f>
        <v>13.028446649999999</v>
      </c>
      <c r="Y71">
        <f>13.27378908</f>
        <v>13.27378908</v>
      </c>
      <c r="Z71">
        <f>21.63630286</f>
        <v>21.636302860000001</v>
      </c>
      <c r="AA71">
        <f>9.759677123</f>
        <v>9.7596771229999995</v>
      </c>
      <c r="AB71">
        <f>4.225621415</f>
        <v>4.225621415</v>
      </c>
      <c r="AC71">
        <f>28.28561096</f>
        <v>28.28561096</v>
      </c>
    </row>
    <row r="72" spans="1:29" x14ac:dyDescent="0.25">
      <c r="A72" t="str">
        <f>"    International Business Machines Corp"</f>
        <v xml:space="preserve">    International Business Machines Corp</v>
      </c>
      <c r="B72" t="str">
        <f>"IBM US Equity"</f>
        <v>IBM US Equity</v>
      </c>
      <c r="C72" t="str">
        <f t="shared" si="9"/>
        <v>RR062</v>
      </c>
      <c r="D72" t="str">
        <f t="shared" si="10"/>
        <v>EPS_GROWTH</v>
      </c>
      <c r="E72" t="str">
        <f t="shared" si="11"/>
        <v>Dynamic</v>
      </c>
      <c r="F72">
        <f ca="1">IF(AND(ISNUMBER($F$304),$B$238=1),$F$304,HLOOKUP(INDIRECT(ADDRESS(2,COLUMN())),OFFSET($R$2,0,0,ROW()-1,12),ROW()-1,FALSE))</f>
        <v>11.19246862</v>
      </c>
      <c r="G72">
        <f ca="1">IF(AND(ISNUMBER($G$304),$B$238=1),$G$304,HLOOKUP(INDIRECT(ADDRESS(2,COLUMN())),OFFSET($R$2,0,0,ROW()-1,12),ROW()-1,FALSE))</f>
        <v>54.943273910000002</v>
      </c>
      <c r="H72">
        <f ca="1">IF(AND(ISNUMBER($H$304),$B$238=1),$H$304,HLOOKUP(INDIRECT(ADDRESS(2,COLUMN())),OFFSET($R$2,0,0,ROW()-1,12),ROW()-1,FALSE))</f>
        <v>-50.401929260000003</v>
      </c>
      <c r="I72">
        <f ca="1">IF(AND(ISNUMBER($I$304),$B$238=1),$I$304,HLOOKUP(INDIRECT(ADDRESS(2,COLUMN())),OFFSET($R$2,0,0,ROW()-1,12),ROW()-1,FALSE))</f>
        <v>-8.9311859439999992</v>
      </c>
      <c r="J72">
        <f ca="1">IF(AND(ISNUMBER($J$304),$B$238=1),$J$304,HLOOKUP(INDIRECT(ADDRESS(2,COLUMN())),OFFSET($R$2,0,0,ROW()-1,12),ROW()-1,FALSE))</f>
        <v>-12.882653060000001</v>
      </c>
      <c r="K72">
        <f ca="1">IF(AND(ISNUMBER($K$304),$B$238=1),$K$304,HLOOKUP(INDIRECT(ADDRESS(2,COLUMN())),OFFSET($R$2,0,0,ROW()-1,12),ROW()-1,FALSE))</f>
        <v>1.6861219199999999</v>
      </c>
      <c r="L72">
        <f ca="1">IF(AND(ISNUMBER($L$304),$B$238=1),$L$304,HLOOKUP(INDIRECT(ADDRESS(2,COLUMN())),OFFSET($R$2,0,0,ROW()-1,12),ROW()-1,FALSE))</f>
        <v>3.6290322580000001</v>
      </c>
      <c r="M72">
        <f ca="1">IF(AND(ISNUMBER($M$304),$B$238=1),$M$304,HLOOKUP(INDIRECT(ADDRESS(2,COLUMN())),OFFSET($R$2,0,0,ROW()-1,12),ROW()-1,FALSE))</f>
        <v>12.301886789999999</v>
      </c>
      <c r="N72">
        <f ca="1">IF(AND(ISNUMBER($N$304),$B$238=1),$N$304,HLOOKUP(INDIRECT(ADDRESS(2,COLUMN())),OFFSET($R$2,0,0,ROW()-1,12),ROW()-1,FALSE))</f>
        <v>13.344739089999999</v>
      </c>
      <c r="O72">
        <f ca="1">IF(AND(ISNUMBER($O$304),$B$238=1),$O$304,HLOOKUP(INDIRECT(ADDRESS(2,COLUMN())),OFFSET($R$2,0,0,ROW()-1,12),ROW()-1,FALSE))</f>
        <v>15.51383399</v>
      </c>
      <c r="P72">
        <f ca="1">IF(AND(ISNUMBER($P$304),$B$238=1),$P$304,HLOOKUP(INDIRECT(ADDRESS(2,COLUMN())),OFFSET($R$2,0,0,ROW()-1,12),ROW()-1,FALSE))</f>
        <v>11.57662624</v>
      </c>
      <c r="Q72">
        <f ca="1">IF(AND(ISNUMBER($Q$304),$B$238=1),$Q$304,HLOOKUP(INDIRECT(ADDRESS(2,COLUMN())),OFFSET($R$2,0,0,ROW()-1,12),ROW()-1,FALSE))</f>
        <v>23.90710383</v>
      </c>
      <c r="R72">
        <f>11.19246862</f>
        <v>11.19246862</v>
      </c>
      <c r="S72">
        <f>54.94327391</f>
        <v>54.943273910000002</v>
      </c>
      <c r="T72">
        <f>-50.40192926</f>
        <v>-50.401929260000003</v>
      </c>
      <c r="U72">
        <f>-8.931185944</f>
        <v>-8.9311859439999992</v>
      </c>
      <c r="V72">
        <f>-12.88265306</f>
        <v>-12.882653060000001</v>
      </c>
      <c r="W72">
        <f>1.68612192</f>
        <v>1.6861219199999999</v>
      </c>
      <c r="X72">
        <f>3.629032258</f>
        <v>3.6290322580000001</v>
      </c>
      <c r="Y72">
        <f>12.30188679</f>
        <v>12.301886789999999</v>
      </c>
      <c r="Z72">
        <f>13.34473909</f>
        <v>13.344739089999999</v>
      </c>
      <c r="AA72">
        <f>15.51383399</f>
        <v>15.51383399</v>
      </c>
      <c r="AB72">
        <f>11.57662624</f>
        <v>11.57662624</v>
      </c>
      <c r="AC72">
        <f>23.90710383</f>
        <v>23.90710383</v>
      </c>
    </row>
    <row r="73" spans="1:29" x14ac:dyDescent="0.25">
      <c r="A73" t="str">
        <f>"    Tata Consultancy Services Ltd"</f>
        <v xml:space="preserve">    Tata Consultancy Services Ltd</v>
      </c>
      <c r="B73" t="str">
        <f>"TCS IN Equity"</f>
        <v>TCS IN Equity</v>
      </c>
      <c r="C73" t="str">
        <f t="shared" si="9"/>
        <v>RR062</v>
      </c>
      <c r="D73" t="str">
        <f t="shared" si="10"/>
        <v>EPS_GROWTH</v>
      </c>
      <c r="E73" t="str">
        <f t="shared" si="11"/>
        <v>Dynamic</v>
      </c>
      <c r="F73">
        <f ca="1">IF(AND(ISNUMBER($F$305),$B$238=1),$F$305,HLOOKUP(INDIRECT(ADDRESS(2,COLUMN())),OFFSET($R$2,0,0,ROW()-1,12),ROW()-1,FALSE))</f>
        <v>3.7808549070000002</v>
      </c>
      <c r="G73">
        <f ca="1">IF(AND(ISNUMBER($G$305),$B$238=1),$G$305,HLOOKUP(INDIRECT(ADDRESS(2,COLUMN())),OFFSET($R$2,0,0,ROW()-1,12),ROW()-1,FALSE))</f>
        <v>23.779715329999998</v>
      </c>
      <c r="H73">
        <f ca="1">IF(AND(ISNUMBER($H$305),$B$238=1),$H$305,HLOOKUP(INDIRECT(ADDRESS(2,COLUMN())),OFFSET($R$2,0,0,ROW()-1,12),ROW()-1,FALSE))</f>
        <v>0.584663818</v>
      </c>
      <c r="I73">
        <f ca="1">IF(AND(ISNUMBER($I$305),$B$238=1),$I$305,HLOOKUP(INDIRECT(ADDRESS(2,COLUMN())),OFFSET($R$2,0,0,ROW()-1,12),ROW()-1,FALSE))</f>
        <v>8.3137127549999992</v>
      </c>
      <c r="J73">
        <f ca="1">IF(AND(ISNUMBER($J$305),$B$238=1),$J$305,HLOOKUP(INDIRECT(ADDRESS(2,COLUMN())),OFFSET($R$2,0,0,ROW()-1,12),ROW()-1,FALSE))</f>
        <v>22.789353009999999</v>
      </c>
      <c r="K73">
        <f ca="1">IF(AND(ISNUMBER($K$305),$B$238=1),$K$305,HLOOKUP(INDIRECT(ADDRESS(2,COLUMN())),OFFSET($R$2,0,0,ROW()-1,12),ROW()-1,FALSE))</f>
        <v>2.7766393439999999</v>
      </c>
      <c r="L73">
        <f ca="1">IF(AND(ISNUMBER($L$305),$B$238=1),$L$305,HLOOKUP(INDIRECT(ADDRESS(2,COLUMN())),OFFSET($R$2,0,0,ROW()-1,12),ROW()-1,FALSE))</f>
        <v>37.484152700000003</v>
      </c>
      <c r="M73">
        <f ca="1">IF(AND(ISNUMBER($M$305),$B$238=1),$M$305,HLOOKUP(INDIRECT(ADDRESS(2,COLUMN())),OFFSET($R$2,0,0,ROW()-1,12),ROW()-1,FALSE))</f>
        <v>33.766723200000001</v>
      </c>
      <c r="N73">
        <f ca="1">IF(AND(ISNUMBER($N$305),$B$238=1),$N$305,HLOOKUP(INDIRECT(ADDRESS(2,COLUMN())),OFFSET($R$2,0,0,ROW()-1,12),ROW()-1,FALSE))</f>
        <v>14.696347530000001</v>
      </c>
      <c r="O73">
        <f ca="1">IF(AND(ISNUMBER($O$305),$B$238=1),$O$305,HLOOKUP(INDIRECT(ADDRESS(2,COLUMN())),OFFSET($R$2,0,0,ROW()-1,12),ROW()-1,FALSE))</f>
        <v>29.716848890000001</v>
      </c>
      <c r="P73">
        <f ca="1">IF(AND(ISNUMBER($P$305),$B$238=1),$P$305,HLOOKUP(INDIRECT(ADDRESS(2,COLUMN())),OFFSET($R$2,0,0,ROW()-1,12),ROW()-1,FALSE))</f>
        <v>33.022562000000001</v>
      </c>
      <c r="Q73">
        <f ca="1">IF(AND(ISNUMBER($Q$305),$B$238=1),$Q$305,HLOOKUP(INDIRECT(ADDRESS(2,COLUMN())),OFFSET($R$2,0,0,ROW()-1,12),ROW()-1,FALSE))</f>
        <v>4.4197819310000002</v>
      </c>
      <c r="R73">
        <f>3.780854907</f>
        <v>3.7808549070000002</v>
      </c>
      <c r="S73">
        <f>23.77971533</f>
        <v>23.779715329999998</v>
      </c>
      <c r="T73">
        <f>0.584663818</f>
        <v>0.584663818</v>
      </c>
      <c r="U73">
        <f>8.313712755</f>
        <v>8.3137127549999992</v>
      </c>
      <c r="V73">
        <f>22.78935301</f>
        <v>22.789353009999999</v>
      </c>
      <c r="W73">
        <f>2.776639344</f>
        <v>2.7766393439999999</v>
      </c>
      <c r="X73">
        <f>37.4841527</f>
        <v>37.484152700000003</v>
      </c>
      <c r="Y73">
        <f>33.7667232</f>
        <v>33.766723200000001</v>
      </c>
      <c r="Z73">
        <f>14.69634753</f>
        <v>14.696347530000001</v>
      </c>
      <c r="AA73">
        <f>29.71684889</f>
        <v>29.716848890000001</v>
      </c>
      <c r="AB73">
        <f>33.022562</f>
        <v>33.022562000000001</v>
      </c>
      <c r="AC73">
        <f>4.419781931</f>
        <v>4.4197819310000002</v>
      </c>
    </row>
    <row r="74" spans="1:29" x14ac:dyDescent="0.25">
      <c r="A74" t="str">
        <f>"    Tech Mahindra Ltd"</f>
        <v xml:space="preserve">    Tech Mahindra Ltd</v>
      </c>
      <c r="B74" t="str">
        <f>"TECHM IN Equity"</f>
        <v>TECHM IN Equity</v>
      </c>
      <c r="C74" t="str">
        <f t="shared" si="9"/>
        <v>RR062</v>
      </c>
      <c r="D74" t="str">
        <f t="shared" si="10"/>
        <v>EPS_GROWTH</v>
      </c>
      <c r="E74" t="str">
        <f t="shared" si="11"/>
        <v>Dynamic</v>
      </c>
      <c r="F74">
        <f ca="1">IF(AND(ISNUMBER($F$306),$B$238=1),$F$306,HLOOKUP(INDIRECT(ADDRESS(2,COLUMN())),OFFSET($R$2,0,0,ROW()-1,12),ROW()-1,FALSE))</f>
        <v>-4.5530389930000004</v>
      </c>
      <c r="G74">
        <f ca="1">IF(AND(ISNUMBER($G$306),$B$238=1),$G$306,HLOOKUP(INDIRECT(ADDRESS(2,COLUMN())),OFFSET($R$2,0,0,ROW()-1,12),ROW()-1,FALSE))</f>
        <v>12.668526269999999</v>
      </c>
      <c r="H74">
        <f ca="1">IF(AND(ISNUMBER($H$306),$B$238=1),$H$306,HLOOKUP(INDIRECT(ADDRESS(2,COLUMN())),OFFSET($R$2,0,0,ROW()-1,12),ROW()-1,FALSE))</f>
        <v>33.851897950000001</v>
      </c>
      <c r="I74">
        <f ca="1">IF(AND(ISNUMBER($I$306),$B$238=1),$I$306,HLOOKUP(INDIRECT(ADDRESS(2,COLUMN())),OFFSET($R$2,0,0,ROW()-1,12),ROW()-1,FALSE))</f>
        <v>-6.8675746159999997</v>
      </c>
      <c r="J74">
        <f ca="1">IF(AND(ISNUMBER($J$306),$B$238=1),$J$306,HLOOKUP(INDIRECT(ADDRESS(2,COLUMN())),OFFSET($R$2,0,0,ROW()-1,12),ROW()-1,FALSE))</f>
        <v>25.67370721</v>
      </c>
      <c r="K74">
        <f ca="1">IF(AND(ISNUMBER($K$306),$B$238=1),$K$306,HLOOKUP(INDIRECT(ADDRESS(2,COLUMN())),OFFSET($R$2,0,0,ROW()-1,12),ROW()-1,FALSE))</f>
        <v>-15.669865639999999</v>
      </c>
      <c r="L74">
        <f ca="1">IF(AND(ISNUMBER($L$306),$B$238=1),$L$306,HLOOKUP(INDIRECT(ADDRESS(2,COLUMN())),OFFSET($R$2,0,0,ROW()-1,12),ROW()-1,FALSE))</f>
        <v>29.152206249999999</v>
      </c>
      <c r="M74">
        <f ca="1">IF(AND(ISNUMBER($M$306),$B$238=1),$M$306,HLOOKUP(INDIRECT(ADDRESS(2,COLUMN())),OFFSET($R$2,0,0,ROW()-1,12),ROW()-1,FALSE))</f>
        <v>16.927536230000001</v>
      </c>
      <c r="N74">
        <f ca="1">IF(AND(ISNUMBER($N$306),$B$238=1),$N$306,HLOOKUP(INDIRECT(ADDRESS(2,COLUMN())),OFFSET($R$2,0,0,ROW()-1,12),ROW()-1,FALSE))</f>
        <v>67.151162790000001</v>
      </c>
      <c r="O74">
        <f ca="1">IF(AND(ISNUMBER($O$306),$B$238=1),$O$306,HLOOKUP(INDIRECT(ADDRESS(2,COLUMN())),OFFSET($R$2,0,0,ROW()-1,12),ROW()-1,FALSE))</f>
        <v>-10.12018812</v>
      </c>
      <c r="P74">
        <f ca="1">IF(AND(ISNUMBER($P$306),$B$238=1),$P$306,HLOOKUP(INDIRECT(ADDRESS(2,COLUMN())),OFFSET($R$2,0,0,ROW()-1,12),ROW()-1,FALSE))</f>
        <v>-31.171322379999999</v>
      </c>
      <c r="Q74">
        <f ca="1">IF(AND(ISNUMBER($Q$306),$B$238=1),$Q$306,HLOOKUP(INDIRECT(ADDRESS(2,COLUMN())),OFFSET($R$2,0,0,ROW()-1,12),ROW()-1,FALSE))</f>
        <v>206.66790739999999</v>
      </c>
      <c r="R74">
        <f>-4.553038993</f>
        <v>-4.5530389930000004</v>
      </c>
      <c r="S74">
        <f>12.66852627</f>
        <v>12.668526269999999</v>
      </c>
      <c r="T74">
        <f>33.85189795</f>
        <v>33.851897950000001</v>
      </c>
      <c r="U74">
        <f>-6.867574616</f>
        <v>-6.8675746159999997</v>
      </c>
      <c r="V74">
        <f>25.67370721</f>
        <v>25.67370721</v>
      </c>
      <c r="W74">
        <f>-15.66986564</f>
        <v>-15.669865639999999</v>
      </c>
      <c r="X74">
        <f>29.15220625</f>
        <v>29.152206249999999</v>
      </c>
      <c r="Y74">
        <f>16.92753623</f>
        <v>16.927536230000001</v>
      </c>
      <c r="Z74">
        <f>67.15116279</f>
        <v>67.151162790000001</v>
      </c>
      <c r="AA74">
        <f>-10.12018812</f>
        <v>-10.12018812</v>
      </c>
      <c r="AB74">
        <f>-31.17132238</f>
        <v>-31.171322379999999</v>
      </c>
      <c r="AC74">
        <f>206.6679074</f>
        <v>206.66790739999999</v>
      </c>
    </row>
    <row r="75" spans="1:29" x14ac:dyDescent="0.25">
      <c r="A75" t="str">
        <f>"    Wipro Ltd"</f>
        <v xml:space="preserve">    Wipro Ltd</v>
      </c>
      <c r="B75" t="str">
        <f>"WIT US Equity"</f>
        <v>WIT US Equity</v>
      </c>
      <c r="C75" t="str">
        <f t="shared" si="9"/>
        <v>RR062</v>
      </c>
      <c r="D75" t="str">
        <f t="shared" si="10"/>
        <v>EPS_GROWTH</v>
      </c>
      <c r="E75" t="str">
        <f t="shared" si="11"/>
        <v>Dynamic</v>
      </c>
      <c r="F75">
        <f ca="1">IF(AND(ISNUMBER($F$307),$B$238=1),$F$307,HLOOKUP(INDIRECT(ADDRESS(2,COLUMN())),OFFSET($R$2,0,0,ROW()-1,12),ROW()-1,FALSE))</f>
        <v>11.20747165</v>
      </c>
      <c r="G75">
        <f ca="1">IF(AND(ISNUMBER($G$307),$B$238=1),$G$307,HLOOKUP(INDIRECT(ADDRESS(2,COLUMN())),OFFSET($R$2,0,0,ROW()-1,12),ROW()-1,FALSE))</f>
        <v>18.544851139999999</v>
      </c>
      <c r="H75">
        <f ca="1">IF(AND(ISNUMBER($H$307),$B$238=1),$H$307,HLOOKUP(INDIRECT(ADDRESS(2,COLUMN())),OFFSET($R$2,0,0,ROW()-1,12),ROW()-1,FALSE))</f>
        <v>-3.5469107549999999</v>
      </c>
      <c r="I75">
        <f ca="1">IF(AND(ISNUMBER($I$307),$B$238=1),$I$307,HLOOKUP(INDIRECT(ADDRESS(2,COLUMN())),OFFSET($R$2,0,0,ROW()-1,12),ROW()-1,FALSE))</f>
        <v>-3.5852178709999998</v>
      </c>
      <c r="J75">
        <f ca="1">IF(AND(ISNUMBER($J$307),$B$238=1),$J$307,HLOOKUP(INDIRECT(ADDRESS(2,COLUMN())),OFFSET($R$2,0,0,ROW()-1,12),ROW()-1,FALSE))</f>
        <v>2.8652482269999999</v>
      </c>
      <c r="K75">
        <f ca="1">IF(AND(ISNUMBER($K$307),$B$238=1),$K$307,HLOOKUP(INDIRECT(ADDRESS(2,COLUMN())),OFFSET($R$2,0,0,ROW()-1,12),ROW()-1,FALSE))</f>
        <v>10.98866499</v>
      </c>
      <c r="L75">
        <f ca="1">IF(AND(ISNUMBER($L$307),$B$238=1),$L$307,HLOOKUP(INDIRECT(ADDRESS(2,COLUMN())),OFFSET($R$2,0,0,ROW()-1,12),ROW()-1,FALSE))</f>
        <v>27.005764330000002</v>
      </c>
      <c r="M75">
        <f ca="1">IF(AND(ISNUMBER($M$307),$B$238=1),$M$307,HLOOKUP(INDIRECT(ADDRESS(2,COLUMN())),OFFSET($R$2,0,0,ROW()-1,12),ROW()-1,FALSE))</f>
        <v>9.8714367309999993</v>
      </c>
      <c r="N75">
        <f ca="1">IF(AND(ISNUMBER($N$307),$B$238=1),$N$307,HLOOKUP(INDIRECT(ADDRESS(2,COLUMN())),OFFSET($R$2,0,0,ROW()-1,12),ROW()-1,FALSE))</f>
        <v>4.6918123280000001</v>
      </c>
      <c r="O75">
        <f ca="1">IF(AND(ISNUMBER($O$307),$B$238=1),$O$307,HLOOKUP(INDIRECT(ADDRESS(2,COLUMN())),OFFSET($R$2,0,0,ROW()-1,12),ROW()-1,FALSE))</f>
        <v>14.013024209999999</v>
      </c>
      <c r="P75">
        <f ca="1">IF(AND(ISNUMBER($P$307),$B$238=1),$P$307,HLOOKUP(INDIRECT(ADDRESS(2,COLUMN())),OFFSET($R$2,0,0,ROW()-1,12),ROW()-1,FALSE))</f>
        <v>18.537859009999998</v>
      </c>
      <c r="Q75">
        <f ca="1">IF(AND(ISNUMBER($Q$307),$B$238=1),$Q$307,HLOOKUP(INDIRECT(ADDRESS(2,COLUMN())),OFFSET($R$2,0,0,ROW()-1,12),ROW()-1,FALSE))</f>
        <v>18.52343059</v>
      </c>
      <c r="R75">
        <f>11.20747165</f>
        <v>11.20747165</v>
      </c>
      <c r="S75">
        <f>18.54485114</f>
        <v>18.544851139999999</v>
      </c>
      <c r="T75">
        <f>-3.546910755</f>
        <v>-3.5469107549999999</v>
      </c>
      <c r="U75">
        <f>-3.585217871</f>
        <v>-3.5852178709999998</v>
      </c>
      <c r="V75">
        <f>2.865248227</f>
        <v>2.8652482269999999</v>
      </c>
      <c r="W75">
        <f>10.98866499</f>
        <v>10.98866499</v>
      </c>
      <c r="X75">
        <f>27.00576433</f>
        <v>27.005764330000002</v>
      </c>
      <c r="Y75">
        <f>9.871436731</f>
        <v>9.8714367309999993</v>
      </c>
      <c r="Z75">
        <f>4.691812328</f>
        <v>4.6918123280000001</v>
      </c>
      <c r="AA75">
        <f>14.01302421</f>
        <v>14.013024209999999</v>
      </c>
      <c r="AB75">
        <f>18.53785901</f>
        <v>18.537859009999998</v>
      </c>
      <c r="AC75">
        <f>18.52343059</f>
        <v>18.52343059</v>
      </c>
    </row>
    <row r="76" spans="1:29" x14ac:dyDescent="0.25">
      <c r="A76" t="str">
        <f>"EPS Before XO Growth (3 Yr)"</f>
        <v>EPS Before XO Growth (3 Yr)</v>
      </c>
      <c r="B76" t="str">
        <f>"BRITBPOV Index"</f>
        <v>BRITBPOV Index</v>
      </c>
      <c r="E76" t="str">
        <f>"Average"</f>
        <v>Average</v>
      </c>
      <c r="F76">
        <f ca="1">IF(ISERROR(IF(AVERAGE($F$77:$F$93) = 0, "", AVERAGE($F$77:$F$93))), "", (IF(AVERAGE($F$77:$F$93) = 0, "", AVERAGE($F$77:$F$93))))</f>
        <v>7.3488887856666674</v>
      </c>
      <c r="G76">
        <f ca="1">IF(ISERROR(IF(AVERAGE($G$77:$G$93) = 0, "", AVERAGE($G$77:$G$93))), "", (IF(AVERAGE($G$77:$G$93) = 0, "", AVERAGE($G$77:$G$93))))</f>
        <v>6.7049648592142859</v>
      </c>
      <c r="H76">
        <f ca="1">IF(ISERROR(IF(AVERAGE($H$77:$H$93) = 0, "", AVERAGE($H$77:$H$93))), "", (IF(AVERAGE($H$77:$H$93) = 0, "", AVERAGE($H$77:$H$93))))</f>
        <v>6.2459168526923081</v>
      </c>
      <c r="I76">
        <f ca="1">IF(ISERROR(IF(AVERAGE($I$77:$I$93) = 0, "", AVERAGE($I$77:$I$93))), "", (IF(AVERAGE($I$77:$I$93) = 0, "", AVERAGE($I$77:$I$93))))</f>
        <v>10.81245583669231</v>
      </c>
      <c r="J76">
        <f ca="1">IF(ISERROR(IF(AVERAGE($J$77:$J$93) = 0, "", AVERAGE($J$77:$J$93))), "", (IF(AVERAGE($J$77:$J$93) = 0, "", AVERAGE($J$77:$J$93))))</f>
        <v>19.153107092076919</v>
      </c>
      <c r="K76">
        <f ca="1">IF(ISERROR(IF(AVERAGE($K$77:$K$93) = 0, "", AVERAGE($K$77:$K$93))), "", (IF(AVERAGE($K$77:$K$93) = 0, "", AVERAGE($K$77:$K$93))))</f>
        <v>13.254711522615384</v>
      </c>
      <c r="L76">
        <f ca="1">IF(ISERROR(IF(AVERAGE($L$77:$L$93) = 0, "", AVERAGE($L$77:$L$93))), "", (IF(AVERAGE($L$77:$L$93) = 0, "", AVERAGE($L$77:$L$93))))</f>
        <v>13.333837020400003</v>
      </c>
      <c r="M76">
        <f ca="1">IF(ISERROR(IF(AVERAGE($M$77:$M$93) = 0, "", AVERAGE($M$77:$M$93))), "", (IF(AVERAGE($M$77:$M$93) = 0, "", AVERAGE($M$77:$M$93))))</f>
        <v>28.319835771133327</v>
      </c>
      <c r="N76">
        <f ca="1">IF(ISERROR(IF(AVERAGE($N$77:$N$93) = 0, "", AVERAGE($N$77:$N$93))), "", (IF(AVERAGE($N$77:$N$93) = 0, "", AVERAGE($N$77:$N$93))))</f>
        <v>14.0691062806</v>
      </c>
      <c r="O76">
        <f ca="1">IF(ISERROR(IF(AVERAGE($O$77:$O$93) = 0, "", AVERAGE($O$77:$O$93))), "", (IF(AVERAGE($O$77:$O$93) = 0, "", AVERAGE($O$77:$O$93))))</f>
        <v>17.860764325399998</v>
      </c>
      <c r="P76">
        <f ca="1">IF(ISERROR(IF(AVERAGE($P$77:$P$93) = 0, "", AVERAGE($P$77:$P$93))), "", (IF(AVERAGE($P$77:$P$93) = 0, "", AVERAGE($P$77:$P$93))))</f>
        <v>23.190266688000001</v>
      </c>
      <c r="Q76">
        <f ca="1">IF(ISERROR(IF(AVERAGE($Q$77:$Q$93) = 0, "", AVERAGE($Q$77:$Q$93))), "", (IF(AVERAGE($Q$77:$Q$93) = 0, "", AVERAGE($Q$77:$Q$93))))</f>
        <v>32.960063736000002</v>
      </c>
      <c r="R76">
        <f>7.348888786</f>
        <v>7.3488887859999998</v>
      </c>
      <c r="S76">
        <f>6.704964859</f>
        <v>6.7049648590000004</v>
      </c>
      <c r="T76">
        <f>6.245916853</f>
        <v>6.2459168529999998</v>
      </c>
      <c r="U76">
        <f>10.81245584</f>
        <v>10.81245584</v>
      </c>
      <c r="V76">
        <f>19.15310709</f>
        <v>19.153107089999999</v>
      </c>
      <c r="W76">
        <f>13.25471152</f>
        <v>13.254711520000001</v>
      </c>
      <c r="X76">
        <f>13.33383702</f>
        <v>13.333837020000001</v>
      </c>
      <c r="Y76">
        <f>28.31983577</f>
        <v>28.319835770000001</v>
      </c>
      <c r="Z76">
        <f>14.06910628</f>
        <v>14.06910628</v>
      </c>
      <c r="AA76">
        <f>17.86076433</f>
        <v>17.860764329999999</v>
      </c>
      <c r="AB76">
        <f>23.19026669</f>
        <v>23.190266690000001</v>
      </c>
      <c r="AC76">
        <f>32.96006374</f>
        <v>32.960063740000002</v>
      </c>
    </row>
    <row r="77" spans="1:29" x14ac:dyDescent="0.25">
      <c r="A77" t="str">
        <f>"    Accenture PLC"</f>
        <v xml:space="preserve">    Accenture PLC</v>
      </c>
      <c r="B77" t="str">
        <f>"ACN US Equity"</f>
        <v>ACN US Equity</v>
      </c>
      <c r="C77" t="str">
        <f t="shared" ref="C77:C93" si="12">"RX553"</f>
        <v>RX553</v>
      </c>
      <c r="D77" t="str">
        <f t="shared" ref="D77:D93" si="13">"EPS_BEF_XO_3YR_GEO_GROWTH"</f>
        <v>EPS_BEF_XO_3YR_GEO_GROWTH</v>
      </c>
      <c r="E77" t="str">
        <f t="shared" ref="E77:E93" si="14">"Dynamic"</f>
        <v>Dynamic</v>
      </c>
      <c r="F77">
        <f ca="1">IF(AND(ISNUMBER($F$308),$B$238=1),$F$308,HLOOKUP(INDIRECT(ADDRESS(2,COLUMN())),OFFSET($R$2,0,0,ROW()-1,12),ROW()-1,FALSE))</f>
        <v>4.4123750499999996</v>
      </c>
      <c r="G77">
        <f ca="1">IF(AND(ISNUMBER($G$308),$B$238=1),$G$308,HLOOKUP(INDIRECT(ADDRESS(2,COLUMN())),OFFSET($R$2,0,0,ROW()-1,12),ROW()-1,FALSE))</f>
        <v>9.8755812639999991</v>
      </c>
      <c r="H77">
        <f ca="1">IF(AND(ISNUMBER($H$308),$B$238=1),$H$308,HLOOKUP(INDIRECT(ADDRESS(2,COLUMN())),OFFSET($R$2,0,0,ROW()-1,12),ROW()-1,FALSE))</f>
        <v>6.2149389150000003</v>
      </c>
      <c r="I77">
        <f ca="1">IF(AND(ISNUMBER($I$308),$B$238=1),$I$308,HLOOKUP(INDIRECT(ADDRESS(2,COLUMN())),OFFSET($R$2,0,0,ROW()-1,12),ROW()-1,FALSE))</f>
        <v>9.0069179049999999</v>
      </c>
      <c r="J77">
        <f ca="1">IF(AND(ISNUMBER($J$308),$B$238=1),$J$308,HLOOKUP(INDIRECT(ADDRESS(2,COLUMN())),OFFSET($R$2,0,0,ROW()-1,12),ROW()-1,FALSE))</f>
        <v>7.0482285249999999</v>
      </c>
      <c r="K77">
        <f ca="1">IF(AND(ISNUMBER($K$308),$B$238=1),$K$308,HLOOKUP(INDIRECT(ADDRESS(2,COLUMN())),OFFSET($R$2,0,0,ROW()-1,12),ROW()-1,FALSE))</f>
        <v>9.5421073940000003</v>
      </c>
      <c r="L77">
        <f ca="1">IF(AND(ISNUMBER($L$308),$B$238=1),$L$308,HLOOKUP(INDIRECT(ADDRESS(2,COLUMN())),OFFSET($R$2,0,0,ROW()-1,12),ROW()-1,FALSE))</f>
        <v>22.110545030000001</v>
      </c>
      <c r="M77">
        <f ca="1">IF(AND(ISNUMBER($M$308),$B$238=1),$M$308,HLOOKUP(INDIRECT(ADDRESS(2,COLUMN())),OFFSET($R$2,0,0,ROW()-1,12),ROW()-1,FALSE))</f>
        <v>15.900001639999999</v>
      </c>
      <c r="N77">
        <f ca="1">IF(AND(ISNUMBER($N$308),$B$238=1),$N$308,HLOOKUP(INDIRECT(ADDRESS(2,COLUMN())),OFFSET($R$2,0,0,ROW()-1,12),ROW()-1,FALSE))</f>
        <v>8.4172312490000003</v>
      </c>
      <c r="O77">
        <f ca="1">IF(AND(ISNUMBER($O$308),$B$238=1),$O$308,HLOOKUP(INDIRECT(ADDRESS(2,COLUMN())),OFFSET($R$2,0,0,ROW()-1,12),ROW()-1,FALSE))</f>
        <v>10.640040900000001</v>
      </c>
      <c r="P77">
        <f ca="1">IF(AND(ISNUMBER($P$308),$B$238=1),$P$308,HLOOKUP(INDIRECT(ADDRESS(2,COLUMN())),OFFSET($R$2,0,0,ROW()-1,12),ROW()-1,FALSE))</f>
        <v>15.61621444</v>
      </c>
      <c r="Q77">
        <f ca="1">IF(AND(ISNUMBER($Q$308),$B$238=1),$Q$308,HLOOKUP(INDIRECT(ADDRESS(2,COLUMN())),OFFSET($R$2,0,0,ROW()-1,12),ROW()-1,FALSE))</f>
        <v>20.123453349999998</v>
      </c>
      <c r="R77">
        <f>4.41237505</f>
        <v>4.4123750499999996</v>
      </c>
      <c r="S77">
        <f>9.875581264</f>
        <v>9.8755812639999991</v>
      </c>
      <c r="T77">
        <f>6.214938915</f>
        <v>6.2149389150000003</v>
      </c>
      <c r="U77">
        <f>9.006917905</f>
        <v>9.0069179049999999</v>
      </c>
      <c r="V77">
        <f>7.048228525</f>
        <v>7.0482285249999999</v>
      </c>
      <c r="W77">
        <f>9.542107394</f>
        <v>9.5421073940000003</v>
      </c>
      <c r="X77">
        <f>22.11054503</f>
        <v>22.110545030000001</v>
      </c>
      <c r="Y77">
        <f>15.90000164</f>
        <v>15.900001639999999</v>
      </c>
      <c r="Z77">
        <f>8.417231249</f>
        <v>8.4172312490000003</v>
      </c>
      <c r="AA77">
        <f>10.6400409</f>
        <v>10.640040900000001</v>
      </c>
      <c r="AB77">
        <f>15.61621444</f>
        <v>15.61621444</v>
      </c>
      <c r="AC77">
        <f>20.12345335</f>
        <v>20.123453349999998</v>
      </c>
    </row>
    <row r="78" spans="1:29" x14ac:dyDescent="0.25">
      <c r="A78" t="str">
        <f>"    Amdocs Ltd"</f>
        <v xml:space="preserve">    Amdocs Ltd</v>
      </c>
      <c r="B78" t="str">
        <f>"DOX US Equity"</f>
        <v>DOX US Equity</v>
      </c>
      <c r="C78" t="str">
        <f t="shared" si="12"/>
        <v>RX553</v>
      </c>
      <c r="D78" t="str">
        <f t="shared" si="13"/>
        <v>EPS_BEF_XO_3YR_GEO_GROWTH</v>
      </c>
      <c r="E78" t="str">
        <f t="shared" si="14"/>
        <v>Dynamic</v>
      </c>
      <c r="F78">
        <f ca="1">IF(AND(ISNUMBER($F$309),$B$238=1),$F$309,HLOOKUP(INDIRECT(ADDRESS(2,COLUMN())),OFFSET($R$2,0,0,ROW()-1,12),ROW()-1,FALSE))</f>
        <v>8.1392903200000006</v>
      </c>
      <c r="G78">
        <f ca="1">IF(AND(ISNUMBER($G$309),$B$238=1),$G$309,HLOOKUP(INDIRECT(ADDRESS(2,COLUMN())),OFFSET($R$2,0,0,ROW()-1,12),ROW()-1,FALSE))</f>
        <v>-4.8445133309999999</v>
      </c>
      <c r="H78">
        <f ca="1">IF(AND(ISNUMBER($H$309),$B$238=1),$H$309,HLOOKUP(INDIRECT(ADDRESS(2,COLUMN())),OFFSET($R$2,0,0,ROW()-1,12),ROW()-1,FALSE))</f>
        <v>4.1058428979999997</v>
      </c>
      <c r="I78">
        <f ca="1">IF(AND(ISNUMBER($I$309),$B$238=1),$I$309,HLOOKUP(INDIRECT(ADDRESS(2,COLUMN())),OFFSET($R$2,0,0,ROW()-1,12),ROW()-1,FALSE))</f>
        <v>2.2908684620000002</v>
      </c>
      <c r="J78">
        <f ca="1">IF(AND(ISNUMBER($J$309),$B$238=1),$J$309,HLOOKUP(INDIRECT(ADDRESS(2,COLUMN())),OFFSET($R$2,0,0,ROW()-1,12),ROW()-1,FALSE))</f>
        <v>7.4436220740000003</v>
      </c>
      <c r="K78">
        <f ca="1">IF(AND(ISNUMBER($K$309),$B$238=1),$K$309,HLOOKUP(INDIRECT(ADDRESS(2,COLUMN())),OFFSET($R$2,0,0,ROW()-1,12),ROW()-1,FALSE))</f>
        <v>12.32284346</v>
      </c>
      <c r="L78">
        <f ca="1">IF(AND(ISNUMBER($L$309),$B$238=1),$L$309,HLOOKUP(INDIRECT(ADDRESS(2,COLUMN())),OFFSET($R$2,0,0,ROW()-1,12),ROW()-1,FALSE))</f>
        <v>14.62086493</v>
      </c>
      <c r="M78">
        <f ca="1">IF(AND(ISNUMBER($M$309),$B$238=1),$M$309,HLOOKUP(INDIRECT(ADDRESS(2,COLUMN())),OFFSET($R$2,0,0,ROW()-1,12),ROW()-1,FALSE))</f>
        <v>13.11234732</v>
      </c>
      <c r="N78">
        <f ca="1">IF(AND(ISNUMBER($N$309),$B$238=1),$N$309,HLOOKUP(INDIRECT(ADDRESS(2,COLUMN())),OFFSET($R$2,0,0,ROW()-1,12),ROW()-1,FALSE))</f>
        <v>0.72335244600000004</v>
      </c>
      <c r="O78">
        <f ca="1">IF(AND(ISNUMBER($O$309),$B$238=1),$O$309,HLOOKUP(INDIRECT(ADDRESS(2,COLUMN())),OFFSET($R$2,0,0,ROW()-1,12),ROW()-1,FALSE))</f>
        <v>-1.149527129</v>
      </c>
      <c r="P78">
        <f ca="1">IF(AND(ISNUMBER($P$309),$B$238=1),$P$309,HLOOKUP(INDIRECT(ADDRESS(2,COLUMN())),OFFSET($R$2,0,0,ROW()-1,12),ROW()-1,FALSE))</f>
        <v>0.842144911</v>
      </c>
      <c r="Q78">
        <f ca="1">IF(AND(ISNUMBER($Q$309),$B$238=1),$Q$309,HLOOKUP(INDIRECT(ADDRESS(2,COLUMN())),OFFSET($R$2,0,0,ROW()-1,12),ROW()-1,FALSE))</f>
        <v>8.316894284</v>
      </c>
      <c r="R78">
        <f>8.13929032</f>
        <v>8.1392903200000006</v>
      </c>
      <c r="S78">
        <f>-4.844513331</f>
        <v>-4.8445133309999999</v>
      </c>
      <c r="T78">
        <f>4.105842898</f>
        <v>4.1058428979999997</v>
      </c>
      <c r="U78">
        <f>2.290868462</f>
        <v>2.2908684620000002</v>
      </c>
      <c r="V78">
        <f>7.443622074</f>
        <v>7.4436220740000003</v>
      </c>
      <c r="W78">
        <f>12.32284346</f>
        <v>12.32284346</v>
      </c>
      <c r="X78">
        <f>14.62086493</f>
        <v>14.62086493</v>
      </c>
      <c r="Y78">
        <f>13.11234732</f>
        <v>13.11234732</v>
      </c>
      <c r="Z78">
        <f>0.723352446</f>
        <v>0.72335244600000004</v>
      </c>
      <c r="AA78">
        <f>-1.149527129</f>
        <v>-1.149527129</v>
      </c>
      <c r="AB78">
        <f>0.842144911</f>
        <v>0.842144911</v>
      </c>
      <c r="AC78">
        <f>8.316894284</f>
        <v>8.316894284</v>
      </c>
    </row>
    <row r="79" spans="1:29" x14ac:dyDescent="0.25">
      <c r="A79" t="str">
        <f>"    Atos SE"</f>
        <v xml:space="preserve">    Atos SE</v>
      </c>
      <c r="B79" t="str">
        <f>"ATO FP Equity"</f>
        <v>ATO FP Equity</v>
      </c>
      <c r="C79" t="str">
        <f t="shared" si="12"/>
        <v>RX553</v>
      </c>
      <c r="D79" t="str">
        <f t="shared" si="13"/>
        <v>EPS_BEF_XO_3YR_GEO_GROWTH</v>
      </c>
      <c r="E79" t="str">
        <f t="shared" si="14"/>
        <v>Dynamic</v>
      </c>
      <c r="F79">
        <f ca="1">IF(AND(ISNUMBER($F$310),$B$238=1),$F$310,HLOOKUP(INDIRECT(ADDRESS(2,COLUMN())),OFFSET($R$2,0,0,ROW()-1,12),ROW()-1,FALSE))</f>
        <v>-18.603548190000001</v>
      </c>
      <c r="G79">
        <f ca="1">IF(AND(ISNUMBER($G$310),$B$238=1),$G$310,HLOOKUP(INDIRECT(ADDRESS(2,COLUMN())),OFFSET($R$2,0,0,ROW()-1,12),ROW()-1,FALSE))</f>
        <v>4.9204238330000001</v>
      </c>
      <c r="H79">
        <f ca="1">IF(AND(ISNUMBER($H$310),$B$238=1),$H$310,HLOOKUP(INDIRECT(ADDRESS(2,COLUMN())),OFFSET($R$2,0,0,ROW()-1,12),ROW()-1,FALSE))</f>
        <v>28.91246786</v>
      </c>
      <c r="I79">
        <f ca="1">IF(AND(ISNUMBER($I$310),$B$238=1),$I$310,HLOOKUP(INDIRECT(ADDRESS(2,COLUMN())),OFFSET($R$2,0,0,ROW()-1,12),ROW()-1,FALSE))</f>
        <v>23.255406480000001</v>
      </c>
      <c r="J79">
        <f ca="1">IF(AND(ISNUMBER($J$310),$B$238=1),$J$310,HLOOKUP(INDIRECT(ADDRESS(2,COLUMN())),OFFSET($R$2,0,0,ROW()-1,12),ROW()-1,FALSE))</f>
        <v>14.662369440000001</v>
      </c>
      <c r="K79">
        <f ca="1">IF(AND(ISNUMBER($K$310),$B$238=1),$K$310,HLOOKUP(INDIRECT(ADDRESS(2,COLUMN())),OFFSET($R$2,0,0,ROW()-1,12),ROW()-1,FALSE))</f>
        <v>3.7618692330000001</v>
      </c>
      <c r="L79">
        <f ca="1">IF(AND(ISNUMBER($L$310),$B$238=1),$L$310,HLOOKUP(INDIRECT(ADDRESS(2,COLUMN())),OFFSET($R$2,0,0,ROW()-1,12),ROW()-1,FALSE))</f>
        <v>21.292309190000001</v>
      </c>
      <c r="M79">
        <f ca="1">IF(AND(ISNUMBER($M$310),$B$238=1),$M$310,HLOOKUP(INDIRECT(ADDRESS(2,COLUMN())),OFFSET($R$2,0,0,ROW()-1,12),ROW()-1,FALSE))</f>
        <v>253.92409380000001</v>
      </c>
      <c r="N79">
        <f ca="1">IF(AND(ISNUMBER($N$310),$B$238=1),$N$310,HLOOKUP(INDIRECT(ADDRESS(2,COLUMN())),OFFSET($R$2,0,0,ROW()-1,12),ROW()-1,FALSE))</f>
        <v>95.471137780000007</v>
      </c>
      <c r="O79">
        <f ca="1">IF(AND(ISNUMBER($O$310),$B$238=1),$O$310,HLOOKUP(INDIRECT(ADDRESS(2,COLUMN())),OFFSET($R$2,0,0,ROW()-1,12),ROW()-1,FALSE))</f>
        <v>33.620413190000001</v>
      </c>
      <c r="P79" t="str">
        <f ca="1">IF(AND(ISNUMBER($P$310),$B$238=1),$P$310,HLOOKUP(INDIRECT(ADDRESS(2,COLUMN())),OFFSET($R$2,0,0,ROW()-1,12),ROW()-1,FALSE))</f>
        <v/>
      </c>
      <c r="Q79">
        <f ca="1">IF(AND(ISNUMBER($Q$310),$B$238=1),$Q$310,HLOOKUP(INDIRECT(ADDRESS(2,COLUMN())),OFFSET($R$2,0,0,ROW()-1,12),ROW()-1,FALSE))</f>
        <v>-54.950084779999997</v>
      </c>
      <c r="R79">
        <f>-18.60354819</f>
        <v>-18.603548190000001</v>
      </c>
      <c r="S79">
        <f>4.920423833</f>
        <v>4.9204238330000001</v>
      </c>
      <c r="T79">
        <f>28.91246786</f>
        <v>28.91246786</v>
      </c>
      <c r="U79">
        <f>23.25540648</f>
        <v>23.255406480000001</v>
      </c>
      <c r="V79">
        <f>14.66236944</f>
        <v>14.662369440000001</v>
      </c>
      <c r="W79">
        <f>3.761869233</f>
        <v>3.7618692330000001</v>
      </c>
      <c r="X79">
        <f>21.29230919</f>
        <v>21.292309190000001</v>
      </c>
      <c r="Y79">
        <f>253.9240938</f>
        <v>253.92409380000001</v>
      </c>
      <c r="Z79">
        <f>95.47113778</f>
        <v>95.471137780000007</v>
      </c>
      <c r="AA79">
        <f>33.62041319</f>
        <v>33.620413190000001</v>
      </c>
      <c r="AB79" t="str">
        <f>""</f>
        <v/>
      </c>
      <c r="AC79">
        <f>-54.95008478</f>
        <v>-54.950084779999997</v>
      </c>
    </row>
    <row r="80" spans="1:29" x14ac:dyDescent="0.25">
      <c r="A80" t="str">
        <f>"    Capgemini SE"</f>
        <v xml:space="preserve">    Capgemini SE</v>
      </c>
      <c r="B80" t="str">
        <f>"CAP FP Equity"</f>
        <v>CAP FP Equity</v>
      </c>
      <c r="C80" t="str">
        <f t="shared" si="12"/>
        <v>RX553</v>
      </c>
      <c r="D80" t="str">
        <f t="shared" si="13"/>
        <v>EPS_BEF_XO_3YR_GEO_GROWTH</v>
      </c>
      <c r="E80" t="str">
        <f t="shared" si="14"/>
        <v>Dynamic</v>
      </c>
      <c r="F80">
        <f ca="1">IF(AND(ISNUMBER($F$311),$B$238=1),$F$311,HLOOKUP(INDIRECT(ADDRESS(2,COLUMN())),OFFSET($R$2,0,0,ROW()-1,12),ROW()-1,FALSE))</f>
        <v>-1.809506423</v>
      </c>
      <c r="G80">
        <f ca="1">IF(AND(ISNUMBER($G$311),$B$238=1),$G$311,HLOOKUP(INDIRECT(ADDRESS(2,COLUMN())),OFFSET($R$2,0,0,ROW()-1,12),ROW()-1,FALSE))</f>
        <v>-13.146924609999999</v>
      </c>
      <c r="H80">
        <f ca="1">IF(AND(ISNUMBER($H$311),$B$238=1),$H$311,HLOOKUP(INDIRECT(ADDRESS(2,COLUMN())),OFFSET($R$2,0,0,ROW()-1,12),ROW()-1,FALSE))</f>
        <v>9.8644875760000001</v>
      </c>
      <c r="I80">
        <f ca="1">IF(AND(ISNUMBER($I$311),$B$238=1),$I$311,HLOOKUP(INDIRECT(ADDRESS(2,COLUMN())),OFFSET($R$2,0,0,ROW()-1,12),ROW()-1,FALSE))</f>
        <v>24.780567399999999</v>
      </c>
      <c r="J80">
        <f ca="1">IF(AND(ISNUMBER($J$311),$B$238=1),$J$311,HLOOKUP(INDIRECT(ADDRESS(2,COLUMN())),OFFSET($R$2,0,0,ROW()-1,12),ROW()-1,FALSE))</f>
        <v>43.440722780000002</v>
      </c>
      <c r="K80">
        <f ca="1">IF(AND(ISNUMBER($K$311),$B$238=1),$K$311,HLOOKUP(INDIRECT(ADDRESS(2,COLUMN())),OFFSET($R$2,0,0,ROW()-1,12),ROW()-1,FALSE))</f>
        <v>11.848635440000001</v>
      </c>
      <c r="L80">
        <f ca="1">IF(AND(ISNUMBER($L$311),$B$238=1),$L$311,HLOOKUP(INDIRECT(ADDRESS(2,COLUMN())),OFFSET($R$2,0,0,ROW()-1,12),ROW()-1,FALSE))</f>
        <v>15.23090706</v>
      </c>
      <c r="M80">
        <f ca="1">IF(AND(ISNUMBER($M$311),$B$238=1),$M$311,HLOOKUP(INDIRECT(ADDRESS(2,COLUMN())),OFFSET($R$2,0,0,ROW()-1,12),ROW()-1,FALSE))</f>
        <v>22.480732750000001</v>
      </c>
      <c r="N80">
        <f ca="1">IF(AND(ISNUMBER($N$311),$B$238=1),$N$311,HLOOKUP(INDIRECT(ADDRESS(2,COLUMN())),OFFSET($R$2,0,0,ROW()-1,12),ROW()-1,FALSE))</f>
        <v>-5.7368315619999999</v>
      </c>
      <c r="O80">
        <f ca="1">IF(AND(ISNUMBER($O$311),$B$238=1),$O$311,HLOOKUP(INDIRECT(ADDRESS(2,COLUMN())),OFFSET($R$2,0,0,ROW()-1,12),ROW()-1,FALSE))</f>
        <v>-15.56435304</v>
      </c>
      <c r="P80">
        <f ca="1">IF(AND(ISNUMBER($P$311),$B$238=1),$P$311,HLOOKUP(INDIRECT(ADDRESS(2,COLUMN())),OFFSET($R$2,0,0,ROW()-1,12),ROW()-1,FALSE))</f>
        <v>-17.743363720000001</v>
      </c>
      <c r="Q80">
        <f ca="1">IF(AND(ISNUMBER($Q$311),$B$238=1),$Q$311,HLOOKUP(INDIRECT(ADDRESS(2,COLUMN())),OFFSET($R$2,0,0,ROW()-1,12),ROW()-1,FALSE))</f>
        <v>43.168878659999997</v>
      </c>
      <c r="R80">
        <f>-1.809506423</f>
        <v>-1.809506423</v>
      </c>
      <c r="S80">
        <f>-13.14692461</f>
        <v>-13.146924609999999</v>
      </c>
      <c r="T80">
        <f>9.864487576</f>
        <v>9.8644875760000001</v>
      </c>
      <c r="U80">
        <f>24.7805674</f>
        <v>24.780567399999999</v>
      </c>
      <c r="V80">
        <f>43.44072278</f>
        <v>43.440722780000002</v>
      </c>
      <c r="W80">
        <f>11.84863544</f>
        <v>11.848635440000001</v>
      </c>
      <c r="X80">
        <f>15.23090706</f>
        <v>15.23090706</v>
      </c>
      <c r="Y80">
        <f>22.48073275</f>
        <v>22.480732750000001</v>
      </c>
      <c r="Z80">
        <f>-5.736831562</f>
        <v>-5.7368315619999999</v>
      </c>
      <c r="AA80">
        <f>-15.56435304</f>
        <v>-15.56435304</v>
      </c>
      <c r="AB80">
        <f>-17.74336372</f>
        <v>-17.743363720000001</v>
      </c>
      <c r="AC80">
        <f>43.16887866</f>
        <v>43.168878659999997</v>
      </c>
    </row>
    <row r="81" spans="1:29" x14ac:dyDescent="0.25">
      <c r="A81" t="str">
        <f>"    CGI Inc"</f>
        <v xml:space="preserve">    CGI Inc</v>
      </c>
      <c r="B81" t="str">
        <f>"GIB US Equity"</f>
        <v>GIB US Equity</v>
      </c>
      <c r="C81" t="str">
        <f t="shared" si="12"/>
        <v>RX553</v>
      </c>
      <c r="D81" t="str">
        <f t="shared" si="13"/>
        <v>EPS_BEF_XO_3YR_GEO_GROWTH</v>
      </c>
      <c r="E81" t="str">
        <f t="shared" si="14"/>
        <v>Dynamic</v>
      </c>
      <c r="F81">
        <f ca="1">IF(AND(ISNUMBER($F$312),$B$238=1),$F$312,HLOOKUP(INDIRECT(ADDRESS(2,COLUMN())),OFFSET($R$2,0,0,ROW()-1,12),ROW()-1,FALSE))</f>
        <v>9.6708707199999999</v>
      </c>
      <c r="G81">
        <f ca="1">IF(AND(ISNUMBER($G$312),$B$238=1),$G$312,HLOOKUP(INDIRECT(ADDRESS(2,COLUMN())),OFFSET($R$2,0,0,ROW()-1,12),ROW()-1,FALSE))</f>
        <v>8.5839080540000001</v>
      </c>
      <c r="H81">
        <f ca="1">IF(AND(ISNUMBER($H$312),$B$238=1),$H$312,HLOOKUP(INDIRECT(ADDRESS(2,COLUMN())),OFFSET($R$2,0,0,ROW()-1,12),ROW()-1,FALSE))</f>
        <v>7.773374842</v>
      </c>
      <c r="I81">
        <f ca="1">IF(AND(ISNUMBER($I$312),$B$238=1),$I$312,HLOOKUP(INDIRECT(ADDRESS(2,COLUMN())),OFFSET($R$2,0,0,ROW()-1,12),ROW()-1,FALSE))</f>
        <v>33.356790169999996</v>
      </c>
      <c r="J81">
        <f ca="1">IF(AND(ISNUMBER($J$312),$B$238=1),$J$312,HLOOKUP(INDIRECT(ADDRESS(2,COLUMN())),OFFSET($R$2,0,0,ROW()-1,12),ROW()-1,FALSE))</f>
        <v>84.495827149999997</v>
      </c>
      <c r="K81">
        <f ca="1">IF(AND(ISNUMBER($K$312),$B$238=1),$K$312,HLOOKUP(INDIRECT(ADDRESS(2,COLUMN())),OFFSET($R$2,0,0,ROW()-1,12),ROW()-1,FALSE))</f>
        <v>18.99269039</v>
      </c>
      <c r="L81">
        <f ca="1">IF(AND(ISNUMBER($L$312),$B$238=1),$L$312,HLOOKUP(INDIRECT(ADDRESS(2,COLUMN())),OFFSET($R$2,0,0,ROW()-1,12),ROW()-1,FALSE))</f>
        <v>5.2331728379999998</v>
      </c>
      <c r="M81">
        <f ca="1">IF(AND(ISNUMBER($M$312),$B$238=1),$M$312,HLOOKUP(INDIRECT(ADDRESS(2,COLUMN())),OFFSET($R$2,0,0,ROW()-1,12),ROW()-1,FALSE))</f>
        <v>-21.408135290000001</v>
      </c>
      <c r="N81">
        <f ca="1">IF(AND(ISNUMBER($N$312),$B$238=1),$N$312,HLOOKUP(INDIRECT(ADDRESS(2,COLUMN())),OFFSET($R$2,0,0,ROW()-1,12),ROW()-1,FALSE))</f>
        <v>20.629084049999999</v>
      </c>
      <c r="O81">
        <f ca="1">IF(AND(ISNUMBER($O$312),$B$238=1),$O$312,HLOOKUP(INDIRECT(ADDRESS(2,COLUMN())),OFFSET($R$2,0,0,ROW()-1,12),ROW()-1,FALSE))</f>
        <v>21.38968676</v>
      </c>
      <c r="P81">
        <f ca="1">IF(AND(ISNUMBER($P$312),$B$238=1),$P$312,HLOOKUP(INDIRECT(ADDRESS(2,COLUMN())),OFFSET($R$2,0,0,ROW()-1,12),ROW()-1,FALSE))</f>
        <v>38.226360300000003</v>
      </c>
      <c r="Q81">
        <f ca="1">IF(AND(ISNUMBER($Q$312),$B$238=1),$Q$312,HLOOKUP(INDIRECT(ADDRESS(2,COLUMN())),OFFSET($R$2,0,0,ROW()-1,12),ROW()-1,FALSE))</f>
        <v>23.420115859999999</v>
      </c>
      <c r="R81">
        <f>9.67087072</f>
        <v>9.6708707199999999</v>
      </c>
      <c r="S81">
        <f>8.583908054</f>
        <v>8.5839080540000001</v>
      </c>
      <c r="T81">
        <f>7.773374842</f>
        <v>7.773374842</v>
      </c>
      <c r="U81">
        <f>33.35679017</f>
        <v>33.356790169999996</v>
      </c>
      <c r="V81">
        <f>84.49582715</f>
        <v>84.495827149999997</v>
      </c>
      <c r="W81">
        <f>18.99269039</f>
        <v>18.99269039</v>
      </c>
      <c r="X81">
        <f>5.233172838</f>
        <v>5.2331728379999998</v>
      </c>
      <c r="Y81">
        <f>-21.40813529</f>
        <v>-21.408135290000001</v>
      </c>
      <c r="Z81">
        <f>20.62908405</f>
        <v>20.629084049999999</v>
      </c>
      <c r="AA81">
        <f>21.38968676</f>
        <v>21.38968676</v>
      </c>
      <c r="AB81">
        <f>38.2263603</f>
        <v>38.226360300000003</v>
      </c>
      <c r="AC81">
        <f>23.42011586</f>
        <v>23.420115859999999</v>
      </c>
    </row>
    <row r="82" spans="1:29" x14ac:dyDescent="0.25">
      <c r="A82" t="str">
        <f>"    Cognizant Technology Solutions Corp"</f>
        <v xml:space="preserve">    Cognizant Technology Solutions Corp</v>
      </c>
      <c r="B82" t="str">
        <f>"CTSH US Equity"</f>
        <v>CTSH US Equity</v>
      </c>
      <c r="C82" t="str">
        <f t="shared" si="12"/>
        <v>RX553</v>
      </c>
      <c r="D82" t="str">
        <f t="shared" si="13"/>
        <v>EPS_BEF_XO_3YR_GEO_GROWTH</v>
      </c>
      <c r="E82" t="str">
        <f t="shared" si="14"/>
        <v>Dynamic</v>
      </c>
      <c r="F82">
        <f ca="1">IF(AND(ISNUMBER($F$313),$B$238=1),$F$313,HLOOKUP(INDIRECT(ADDRESS(2,COLUMN())),OFFSET($R$2,0,0,ROW()-1,12),ROW()-1,FALSE))</f>
        <v>8.8323461400000003</v>
      </c>
      <c r="G82">
        <f ca="1">IF(AND(ISNUMBER($G$313),$B$238=1),$G$313,HLOOKUP(INDIRECT(ADDRESS(2,COLUMN())),OFFSET($R$2,0,0,ROW()-1,12),ROW()-1,FALSE))</f>
        <v>10.577129940000001</v>
      </c>
      <c r="H82">
        <f ca="1">IF(AND(ISNUMBER($H$313),$B$238=1),$H$313,HLOOKUP(INDIRECT(ADDRESS(2,COLUMN())),OFFSET($R$2,0,0,ROW()-1,12),ROW()-1,FALSE))</f>
        <v>2.33600451</v>
      </c>
      <c r="I82">
        <f ca="1">IF(AND(ISNUMBER($I$313),$B$238=1),$I$313,HLOOKUP(INDIRECT(ADDRESS(2,COLUMN())),OFFSET($R$2,0,0,ROW()-1,12),ROW()-1,FALSE))</f>
        <v>7.9506306699999998</v>
      </c>
      <c r="J82">
        <f ca="1">IF(AND(ISNUMBER($J$313),$B$238=1),$J$313,HLOOKUP(INDIRECT(ADDRESS(2,COLUMN())),OFFSET($R$2,0,0,ROW()-1,12),ROW()-1,FALSE))</f>
        <v>15.23169319</v>
      </c>
      <c r="K82">
        <f ca="1">IF(AND(ISNUMBER($K$313),$B$238=1),$K$313,HLOOKUP(INDIRECT(ADDRESS(2,COLUMN())),OFFSET($R$2,0,0,ROW()-1,12),ROW()-1,FALSE))</f>
        <v>17.659893490000002</v>
      </c>
      <c r="L82">
        <f ca="1">IF(AND(ISNUMBER($L$313),$B$238=1),$L$313,HLOOKUP(INDIRECT(ADDRESS(2,COLUMN())),OFFSET($R$2,0,0,ROW()-1,12),ROW()-1,FALSE))</f>
        <v>18.5954956</v>
      </c>
      <c r="M82">
        <f ca="1">IF(AND(ISNUMBER($M$313),$B$238=1),$M$313,HLOOKUP(INDIRECT(ADDRESS(2,COLUMN())),OFFSET($R$2,0,0,ROW()-1,12),ROW()-1,FALSE))</f>
        <v>24.237111729999999</v>
      </c>
      <c r="N82">
        <f ca="1">IF(AND(ISNUMBER($N$313),$B$238=1),$N$313,HLOOKUP(INDIRECT(ADDRESS(2,COLUMN())),OFFSET($R$2,0,0,ROW()-1,12),ROW()-1,FALSE))</f>
        <v>24.997762819999998</v>
      </c>
      <c r="O82">
        <f ca="1">IF(AND(ISNUMBER($O$313),$B$238=1),$O$313,HLOOKUP(INDIRECT(ADDRESS(2,COLUMN())),OFFSET($R$2,0,0,ROW()-1,12),ROW()-1,FALSE))</f>
        <v>25.992104990000001</v>
      </c>
      <c r="P82">
        <f ca="1">IF(AND(ISNUMBER($P$313),$B$238=1),$P$313,HLOOKUP(INDIRECT(ADDRESS(2,COLUMN())),OFFSET($R$2,0,0,ROW()-1,12),ROW()-1,FALSE))</f>
        <v>30.178465070000001</v>
      </c>
      <c r="Q82">
        <f ca="1">IF(AND(ISNUMBER($Q$313),$B$238=1),$Q$313,HLOOKUP(INDIRECT(ADDRESS(2,COLUMN())),OFFSET($R$2,0,0,ROW()-1,12),ROW()-1,FALSE))</f>
        <v>34.674532859999999</v>
      </c>
      <c r="R82">
        <f>8.83234614</f>
        <v>8.8323461400000003</v>
      </c>
      <c r="S82">
        <f>10.57712994</f>
        <v>10.577129940000001</v>
      </c>
      <c r="T82">
        <f>2.33600451</f>
        <v>2.33600451</v>
      </c>
      <c r="U82">
        <f>7.95063067</f>
        <v>7.9506306699999998</v>
      </c>
      <c r="V82">
        <f>15.23169319</f>
        <v>15.23169319</v>
      </c>
      <c r="W82">
        <f>17.65989349</f>
        <v>17.659893490000002</v>
      </c>
      <c r="X82">
        <f>18.5954956</f>
        <v>18.5954956</v>
      </c>
      <c r="Y82">
        <f>24.23711173</f>
        <v>24.237111729999999</v>
      </c>
      <c r="Z82">
        <f>24.99776282</f>
        <v>24.997762819999998</v>
      </c>
      <c r="AA82">
        <f>25.99210499</f>
        <v>25.992104990000001</v>
      </c>
      <c r="AB82">
        <f>30.17846507</f>
        <v>30.178465070000001</v>
      </c>
      <c r="AC82">
        <f>34.67453286</f>
        <v>34.674532859999999</v>
      </c>
    </row>
    <row r="83" spans="1:29" x14ac:dyDescent="0.25">
      <c r="A83" t="str">
        <f>"    Conduent Inc"</f>
        <v xml:space="preserve">    Conduent Inc</v>
      </c>
      <c r="B83" t="str">
        <f>"CNDT US Equity"</f>
        <v>CNDT US Equity</v>
      </c>
      <c r="C83" t="str">
        <f t="shared" si="12"/>
        <v>RX553</v>
      </c>
      <c r="D83" t="str">
        <f t="shared" si="13"/>
        <v>EPS_BEF_XO_3YR_GEO_GROWTH</v>
      </c>
      <c r="E83" t="str">
        <f t="shared" si="14"/>
        <v>Dynamic</v>
      </c>
      <c r="F83" t="str">
        <f ca="1">IF(AND(ISNUMBER($F$314),$B$238=1),$F$314,HLOOKUP(INDIRECT(ADDRESS(2,COLUMN())),OFFSET($R$2,0,0,ROW()-1,12),ROW()-1,FALSE))</f>
        <v/>
      </c>
      <c r="G83" t="str">
        <f ca="1">IF(AND(ISNUMBER($G$314),$B$238=1),$G$314,HLOOKUP(INDIRECT(ADDRESS(2,COLUMN())),OFFSET($R$2,0,0,ROW()-1,12),ROW()-1,FALSE))</f>
        <v/>
      </c>
      <c r="H83" t="str">
        <f ca="1">IF(AND(ISNUMBER($H$314),$B$238=1),$H$314,HLOOKUP(INDIRECT(ADDRESS(2,COLUMN())),OFFSET($R$2,0,0,ROW()-1,12),ROW()-1,FALSE))</f>
        <v/>
      </c>
      <c r="I83" t="str">
        <f ca="1">IF(AND(ISNUMBER($I$314),$B$238=1),$I$314,HLOOKUP(INDIRECT(ADDRESS(2,COLUMN())),OFFSET($R$2,0,0,ROW()-1,12),ROW()-1,FALSE))</f>
        <v/>
      </c>
      <c r="J83" t="str">
        <f ca="1">IF(AND(ISNUMBER($J$314),$B$238=1),$J$314,HLOOKUP(INDIRECT(ADDRESS(2,COLUMN())),OFFSET($R$2,0,0,ROW()-1,12),ROW()-1,FALSE))</f>
        <v/>
      </c>
      <c r="K83" t="str">
        <f ca="1">IF(AND(ISNUMBER($K$314),$B$238=1),$K$314,HLOOKUP(INDIRECT(ADDRESS(2,COLUMN())),OFFSET($R$2,0,0,ROW()-1,12),ROW()-1,FALSE))</f>
        <v/>
      </c>
      <c r="L83" t="str">
        <f ca="1">IF(AND(ISNUMBER($L$314),$B$238=1),$L$314,HLOOKUP(INDIRECT(ADDRESS(2,COLUMN())),OFFSET($R$2,0,0,ROW()-1,12),ROW()-1,FALSE))</f>
        <v/>
      </c>
      <c r="M83" t="str">
        <f ca="1">IF(AND(ISNUMBER($M$314),$B$238=1),$M$314,HLOOKUP(INDIRECT(ADDRESS(2,COLUMN())),OFFSET($R$2,0,0,ROW()-1,12),ROW()-1,FALSE))</f>
        <v/>
      </c>
      <c r="N83" t="str">
        <f ca="1">IF(AND(ISNUMBER($N$314),$B$238=1),$N$314,HLOOKUP(INDIRECT(ADDRESS(2,COLUMN())),OFFSET($R$2,0,0,ROW()-1,12),ROW()-1,FALSE))</f>
        <v/>
      </c>
      <c r="O83" t="str">
        <f ca="1">IF(AND(ISNUMBER($O$314),$B$238=1),$O$314,HLOOKUP(INDIRECT(ADDRESS(2,COLUMN())),OFFSET($R$2,0,0,ROW()-1,12),ROW()-1,FALSE))</f>
        <v/>
      </c>
      <c r="P83" t="str">
        <f ca="1">IF(AND(ISNUMBER($P$314),$B$238=1),$P$314,HLOOKUP(INDIRECT(ADDRESS(2,COLUMN())),OFFSET($R$2,0,0,ROW()-1,12),ROW()-1,FALSE))</f>
        <v/>
      </c>
      <c r="Q83" t="str">
        <f ca="1">IF(AND(ISNUMBER($Q$314),$B$238=1),$Q$314,HLOOKUP(INDIRECT(ADDRESS(2,COLUMN())),OFFSET($R$2,0,0,ROW()-1,12),ROW()-1,FALSE))</f>
        <v/>
      </c>
      <c r="R83" t="str">
        <f>""</f>
        <v/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t="str">
        <f>""</f>
        <v/>
      </c>
      <c r="AC83" t="str">
        <f>""</f>
        <v/>
      </c>
    </row>
    <row r="84" spans="1:29" x14ac:dyDescent="0.25">
      <c r="A84" t="str">
        <f>"    DXC Technology Co"</f>
        <v xml:space="preserve">    DXC Technology Co</v>
      </c>
      <c r="B84" t="str">
        <f>"DXC US Equity"</f>
        <v>DXC US Equity</v>
      </c>
      <c r="C84" t="str">
        <f t="shared" si="12"/>
        <v>RX553</v>
      </c>
      <c r="D84" t="str">
        <f t="shared" si="13"/>
        <v>EPS_BEF_XO_3YR_GEO_GROWTH</v>
      </c>
      <c r="E84" t="str">
        <f t="shared" si="14"/>
        <v>Dynamic</v>
      </c>
      <c r="F84" t="str">
        <f ca="1">IF(AND(ISNUMBER($F$315),$B$238=1),$F$315,HLOOKUP(INDIRECT(ADDRESS(2,COLUMN())),OFFSET($R$2,0,0,ROW()-1,12),ROW()-1,FALSE))</f>
        <v/>
      </c>
      <c r="G84" t="str">
        <f ca="1">IF(AND(ISNUMBER($G$315),$B$238=1),$G$315,HLOOKUP(INDIRECT(ADDRESS(2,COLUMN())),OFFSET($R$2,0,0,ROW()-1,12),ROW()-1,FALSE))</f>
        <v/>
      </c>
      <c r="H84" t="str">
        <f ca="1">IF(AND(ISNUMBER($H$315),$B$238=1),$H$315,HLOOKUP(INDIRECT(ADDRESS(2,COLUMN())),OFFSET($R$2,0,0,ROW()-1,12),ROW()-1,FALSE))</f>
        <v/>
      </c>
      <c r="I84" t="str">
        <f ca="1">IF(AND(ISNUMBER($I$315),$B$238=1),$I$315,HLOOKUP(INDIRECT(ADDRESS(2,COLUMN())),OFFSET($R$2,0,0,ROW()-1,12),ROW()-1,FALSE))</f>
        <v/>
      </c>
      <c r="J84" t="str">
        <f ca="1">IF(AND(ISNUMBER($J$315),$B$238=1),$J$315,HLOOKUP(INDIRECT(ADDRESS(2,COLUMN())),OFFSET($R$2,0,0,ROW()-1,12),ROW()-1,FALSE))</f>
        <v/>
      </c>
      <c r="K84" t="str">
        <f ca="1">IF(AND(ISNUMBER($K$315),$B$238=1),$K$315,HLOOKUP(INDIRECT(ADDRESS(2,COLUMN())),OFFSET($R$2,0,0,ROW()-1,12),ROW()-1,FALSE))</f>
        <v/>
      </c>
      <c r="L84" t="str">
        <f ca="1">IF(AND(ISNUMBER($L$315),$B$238=1),$L$315,HLOOKUP(INDIRECT(ADDRESS(2,COLUMN())),OFFSET($R$2,0,0,ROW()-1,12),ROW()-1,FALSE))</f>
        <v/>
      </c>
      <c r="M84" t="str">
        <f ca="1">IF(AND(ISNUMBER($M$315),$B$238=1),$M$315,HLOOKUP(INDIRECT(ADDRESS(2,COLUMN())),OFFSET($R$2,0,0,ROW()-1,12),ROW()-1,FALSE))</f>
        <v/>
      </c>
      <c r="N84" t="str">
        <f ca="1">IF(AND(ISNUMBER($N$315),$B$238=1),$N$315,HLOOKUP(INDIRECT(ADDRESS(2,COLUMN())),OFFSET($R$2,0,0,ROW()-1,12),ROW()-1,FALSE))</f>
        <v/>
      </c>
      <c r="O84" t="str">
        <f ca="1">IF(AND(ISNUMBER($O$315),$B$238=1),$O$315,HLOOKUP(INDIRECT(ADDRESS(2,COLUMN())),OFFSET($R$2,0,0,ROW()-1,12),ROW()-1,FALSE))</f>
        <v/>
      </c>
      <c r="P84" t="str">
        <f ca="1">IF(AND(ISNUMBER($P$315),$B$238=1),$P$315,HLOOKUP(INDIRECT(ADDRESS(2,COLUMN())),OFFSET($R$2,0,0,ROW()-1,12),ROW()-1,FALSE))</f>
        <v/>
      </c>
      <c r="Q84" t="str">
        <f ca="1">IF(AND(ISNUMBER($Q$315),$B$238=1),$Q$315,HLOOKUP(INDIRECT(ADDRESS(2,COLUMN())),OFFSET($R$2,0,0,ROW()-1,12),ROW()-1,FALSE))</f>
        <v/>
      </c>
      <c r="R84" t="str">
        <f>""</f>
        <v/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t="str">
        <f>""</f>
        <v/>
      </c>
      <c r="AC84" t="str">
        <f>""</f>
        <v/>
      </c>
    </row>
    <row r="85" spans="1:29" x14ac:dyDescent="0.25">
      <c r="A85" t="str">
        <f>"    EPAM Systems Inc"</f>
        <v xml:space="preserve">    EPAM Systems Inc</v>
      </c>
      <c r="B85" t="str">
        <f>"EPAM US Equity"</f>
        <v>EPAM US Equity</v>
      </c>
      <c r="C85" t="str">
        <f t="shared" si="12"/>
        <v>RX553</v>
      </c>
      <c r="D85" t="str">
        <f t="shared" si="13"/>
        <v>EPS_BEF_XO_3YR_GEO_GROWTH</v>
      </c>
      <c r="E85" t="str">
        <f t="shared" si="14"/>
        <v>Dynamic</v>
      </c>
      <c r="F85">
        <f ca="1">IF(AND(ISNUMBER($F$316),$B$238=1),$F$316,HLOOKUP(INDIRECT(ADDRESS(2,COLUMN())),OFFSET($R$2,0,0,ROW()-1,12),ROW()-1,FALSE))</f>
        <v>34.281871150000001</v>
      </c>
      <c r="G85">
        <f ca="1">IF(AND(ISNUMBER($G$316),$B$238=1),$G$316,HLOOKUP(INDIRECT(ADDRESS(2,COLUMN())),OFFSET($R$2,0,0,ROW()-1,12),ROW()-1,FALSE))</f>
        <v>37.323217450000001</v>
      </c>
      <c r="H85">
        <f ca="1">IF(AND(ISNUMBER($H$316),$B$238=1),$H$316,HLOOKUP(INDIRECT(ADDRESS(2,COLUMN())),OFFSET($R$2,0,0,ROW()-1,12),ROW()-1,FALSE))</f>
        <v>-1.835278207</v>
      </c>
      <c r="I85">
        <f ca="1">IF(AND(ISNUMBER($I$316),$B$238=1),$I$316,HLOOKUP(INDIRECT(ADDRESS(2,COLUMN())),OFFSET($R$2,0,0,ROW()-1,12),ROW()-1,FALSE))</f>
        <v>13.42553051</v>
      </c>
      <c r="J85">
        <f ca="1">IF(AND(ISNUMBER($J$316),$B$238=1),$J$316,HLOOKUP(INDIRECT(ADDRESS(2,COLUMN())),OFFSET($R$2,0,0,ROW()-1,12),ROW()-1,FALSE))</f>
        <v>10.85300252</v>
      </c>
      <c r="K85">
        <f ca="1">IF(AND(ISNUMBER($K$316),$B$238=1),$K$316,HLOOKUP(INDIRECT(ADDRESS(2,COLUMN())),OFFSET($R$2,0,0,ROW()-1,12),ROW()-1,FALSE))</f>
        <v>29.073732039999999</v>
      </c>
      <c r="L85">
        <f ca="1">IF(AND(ISNUMBER($L$316),$B$238=1),$L$316,HLOOKUP(INDIRECT(ADDRESS(2,COLUMN())),OFFSET($R$2,0,0,ROW()-1,12),ROW()-1,FALSE))</f>
        <v>-41.403670009999999</v>
      </c>
      <c r="M85">
        <f ca="1">IF(AND(ISNUMBER($M$316),$B$238=1),$M$316,HLOOKUP(INDIRECT(ADDRESS(2,COLUMN())),OFFSET($R$2,0,0,ROW()-1,12),ROW()-1,FALSE))</f>
        <v>-12.100304319999999</v>
      </c>
      <c r="N85">
        <f ca="1">IF(AND(ISNUMBER($N$316),$B$238=1),$N$316,HLOOKUP(INDIRECT(ADDRESS(2,COLUMN())),OFFSET($R$2,0,0,ROW()-1,12),ROW()-1,FALSE))</f>
        <v>-29.92345109</v>
      </c>
      <c r="O85">
        <f ca="1">IF(AND(ISNUMBER($O$316),$B$238=1),$O$316,HLOOKUP(INDIRECT(ADDRESS(2,COLUMN())),OFFSET($R$2,0,0,ROW()-1,12),ROW()-1,FALSE))</f>
        <v>5.7121067820000002</v>
      </c>
      <c r="P85">
        <f ca="1">IF(AND(ISNUMBER($P$316),$B$238=1),$P$316,HLOOKUP(INDIRECT(ADDRESS(2,COLUMN())),OFFSET($R$2,0,0,ROW()-1,12),ROW()-1,FALSE))</f>
        <v>-26.811798379999999</v>
      </c>
      <c r="Q85" t="str">
        <f ca="1">IF(AND(ISNUMBER($Q$316),$B$238=1),$Q$316,HLOOKUP(INDIRECT(ADDRESS(2,COLUMN())),OFFSET($R$2,0,0,ROW()-1,12),ROW()-1,FALSE))</f>
        <v/>
      </c>
      <c r="R85">
        <f>34.28187115</f>
        <v>34.281871150000001</v>
      </c>
      <c r="S85">
        <f>37.32321745</f>
        <v>37.323217450000001</v>
      </c>
      <c r="T85">
        <f>-1.835278207</f>
        <v>-1.835278207</v>
      </c>
      <c r="U85">
        <f>13.42553051</f>
        <v>13.42553051</v>
      </c>
      <c r="V85">
        <f>10.85300252</f>
        <v>10.85300252</v>
      </c>
      <c r="W85">
        <f>29.07373204</f>
        <v>29.073732039999999</v>
      </c>
      <c r="X85">
        <f>-41.40367001</f>
        <v>-41.403670009999999</v>
      </c>
      <c r="Y85">
        <f>-12.10030432</f>
        <v>-12.100304319999999</v>
      </c>
      <c r="Z85">
        <f>-29.92345109</f>
        <v>-29.92345109</v>
      </c>
      <c r="AA85">
        <f>5.712106782</f>
        <v>5.7121067820000002</v>
      </c>
      <c r="AB85">
        <f>-26.81179838</f>
        <v>-26.811798379999999</v>
      </c>
      <c r="AC85" t="str">
        <f>""</f>
        <v/>
      </c>
    </row>
    <row r="86" spans="1:29" x14ac:dyDescent="0.25">
      <c r="A86" t="str">
        <f>"    Genpact Ltd"</f>
        <v xml:space="preserve">    Genpact Ltd</v>
      </c>
      <c r="B86" t="str">
        <f>"G US Equity"</f>
        <v>G US Equity</v>
      </c>
      <c r="C86" t="str">
        <f t="shared" si="12"/>
        <v>RX553</v>
      </c>
      <c r="D86" t="str">
        <f t="shared" si="13"/>
        <v>EPS_BEF_XO_3YR_GEO_GROWTH</v>
      </c>
      <c r="E86" t="str">
        <f t="shared" si="14"/>
        <v>Dynamic</v>
      </c>
      <c r="F86">
        <f ca="1">IF(AND(ISNUMBER($F$317),$B$238=1),$F$317,HLOOKUP(INDIRECT(ADDRESS(2,COLUMN())),OFFSET($R$2,0,0,ROW()-1,12),ROW()-1,FALSE))</f>
        <v>7.1664579670000004</v>
      </c>
      <c r="G86">
        <f ca="1">IF(AND(ISNUMBER($G$317),$B$238=1),$G$317,HLOOKUP(INDIRECT(ADDRESS(2,COLUMN())),OFFSET($R$2,0,0,ROW()-1,12),ROW()-1,FALSE))</f>
        <v>10.06424163</v>
      </c>
      <c r="H86">
        <f ca="1">IF(AND(ISNUMBER($H$317),$B$238=1),$H$317,HLOOKUP(INDIRECT(ADDRESS(2,COLUMN())),OFFSET($R$2,0,0,ROW()-1,12),ROW()-1,FALSE))</f>
        <v>16.057501980000001</v>
      </c>
      <c r="I86">
        <f ca="1">IF(AND(ISNUMBER($I$317),$B$238=1),$I$317,HLOOKUP(INDIRECT(ADDRESS(2,COLUMN())),OFFSET($R$2,0,0,ROW()-1,12),ROW()-1,FALSE))</f>
        <v>9.1392883059999992</v>
      </c>
      <c r="J86">
        <f ca="1">IF(AND(ISNUMBER($J$317),$B$238=1),$J$317,HLOOKUP(INDIRECT(ADDRESS(2,COLUMN())),OFFSET($R$2,0,0,ROW()-1,12),ROW()-1,FALSE))</f>
        <v>11.534955220000001</v>
      </c>
      <c r="K86">
        <f ca="1">IF(AND(ISNUMBER($K$317),$B$238=1),$K$317,HLOOKUP(INDIRECT(ADDRESS(2,COLUMN())),OFFSET($R$2,0,0,ROW()-1,12),ROW()-1,FALSE))</f>
        <v>1.5812891499999999</v>
      </c>
      <c r="L86">
        <f ca="1">IF(AND(ISNUMBER($L$317),$B$238=1),$L$317,HLOOKUP(INDIRECT(ADDRESS(2,COLUMN())),OFFSET($R$2,0,0,ROW()-1,12),ROW()-1,FALSE))</f>
        <v>15.44156733</v>
      </c>
      <c r="M86">
        <f ca="1">IF(AND(ISNUMBER($M$317),$B$238=1),$M$317,HLOOKUP(INDIRECT(ADDRESS(2,COLUMN())),OFFSET($R$2,0,0,ROW()-1,12),ROW()-1,FALSE))</f>
        <v>10.68259304</v>
      </c>
      <c r="N86">
        <f ca="1">IF(AND(ISNUMBER($N$317),$B$238=1),$N$317,HLOOKUP(INDIRECT(ADDRESS(2,COLUMN())),OFFSET($R$2,0,0,ROW()-1,12),ROW()-1,FALSE))</f>
        <v>12.049182829999999</v>
      </c>
      <c r="O86">
        <f ca="1">IF(AND(ISNUMBER($O$317),$B$238=1),$O$317,HLOOKUP(INDIRECT(ADDRESS(2,COLUMN())),OFFSET($R$2,0,0,ROW()-1,12),ROW()-1,FALSE))</f>
        <v>70.997594669999998</v>
      </c>
      <c r="P86">
        <f ca="1">IF(AND(ISNUMBER($P$317),$B$238=1),$P$317,HLOOKUP(INDIRECT(ADDRESS(2,COLUMN())),OFFSET($R$2,0,0,ROW()-1,12),ROW()-1,FALSE))</f>
        <v>127.66381149999999</v>
      </c>
      <c r="Q86">
        <f ca="1">IF(AND(ISNUMBER($Q$317),$B$238=1),$Q$317,HLOOKUP(INDIRECT(ADDRESS(2,COLUMN())),OFFSET($R$2,0,0,ROW()-1,12),ROW()-1,FALSE))</f>
        <v>194.9226031</v>
      </c>
      <c r="R86">
        <f>7.166457967</f>
        <v>7.1664579670000004</v>
      </c>
      <c r="S86">
        <f>10.06424163</f>
        <v>10.06424163</v>
      </c>
      <c r="T86">
        <f>16.05750198</f>
        <v>16.057501980000001</v>
      </c>
      <c r="U86">
        <f>9.139288306</f>
        <v>9.1392883059999992</v>
      </c>
      <c r="V86">
        <f>11.53495522</f>
        <v>11.534955220000001</v>
      </c>
      <c r="W86">
        <f>1.58128915</f>
        <v>1.5812891499999999</v>
      </c>
      <c r="X86">
        <f>15.44156733</f>
        <v>15.44156733</v>
      </c>
      <c r="Y86">
        <f>10.68259304</f>
        <v>10.68259304</v>
      </c>
      <c r="Z86">
        <f>12.04918283</f>
        <v>12.049182829999999</v>
      </c>
      <c r="AA86">
        <f>70.99759467</f>
        <v>70.997594669999998</v>
      </c>
      <c r="AB86">
        <f>127.6638115</f>
        <v>127.66381149999999</v>
      </c>
      <c r="AC86">
        <f>194.9226031</f>
        <v>194.9226031</v>
      </c>
    </row>
    <row r="87" spans="1:29" x14ac:dyDescent="0.25">
      <c r="A87" t="str">
        <f>"    HCL Technologies Ltd"</f>
        <v xml:space="preserve">    HCL Technologies Ltd</v>
      </c>
      <c r="B87" t="str">
        <f>"HCLT IN Equity"</f>
        <v>HCLT IN Equity</v>
      </c>
      <c r="C87" t="str">
        <f t="shared" si="12"/>
        <v>RX553</v>
      </c>
      <c r="D87" t="str">
        <f t="shared" si="13"/>
        <v>EPS_BEF_XO_3YR_GEO_GROWTH</v>
      </c>
      <c r="E87" t="str">
        <f t="shared" si="14"/>
        <v>Dynamic</v>
      </c>
      <c r="F87">
        <f ca="1">IF(AND(ISNUMBER($F$318),$B$238=1),$F$318,HLOOKUP(INDIRECT(ADDRESS(2,COLUMN())),OFFSET($R$2,0,0,ROW()-1,12),ROW()-1,FALSE))</f>
        <v>8.3689633580000002</v>
      </c>
      <c r="G87">
        <f ca="1">IF(AND(ISNUMBER($G$318),$B$238=1),$G$318,HLOOKUP(INDIRECT(ADDRESS(2,COLUMN())),OFFSET($R$2,0,0,ROW()-1,12),ROW()-1,FALSE))</f>
        <v>9.6647572089999993</v>
      </c>
      <c r="H87" t="str">
        <f ca="1">IF(AND(ISNUMBER($H$318),$B$238=1),$H$318,HLOOKUP(INDIRECT(ADDRESS(2,COLUMN())),OFFSET($R$2,0,0,ROW()-1,12),ROW()-1,FALSE))</f>
        <v/>
      </c>
      <c r="I87" t="str">
        <f ca="1">IF(AND(ISNUMBER($I$318),$B$238=1),$I$318,HLOOKUP(INDIRECT(ADDRESS(2,COLUMN())),OFFSET($R$2,0,0,ROW()-1,12),ROW()-1,FALSE))</f>
        <v/>
      </c>
      <c r="J87" t="str">
        <f ca="1">IF(AND(ISNUMBER($J$318),$B$238=1),$J$318,HLOOKUP(INDIRECT(ADDRESS(2,COLUMN())),OFFSET($R$2,0,0,ROW()-1,12),ROW()-1,FALSE))</f>
        <v/>
      </c>
      <c r="K87" t="str">
        <f ca="1">IF(AND(ISNUMBER($K$318),$B$238=1),$K$318,HLOOKUP(INDIRECT(ADDRESS(2,COLUMN())),OFFSET($R$2,0,0,ROW()-1,12),ROW()-1,FALSE))</f>
        <v/>
      </c>
      <c r="L87">
        <f ca="1">IF(AND(ISNUMBER($L$318),$B$238=1),$L$318,HLOOKUP(INDIRECT(ADDRESS(2,COLUMN())),OFFSET($R$2,0,0,ROW()-1,12),ROW()-1,FALSE))</f>
        <v>40.694892619999997</v>
      </c>
      <c r="M87">
        <f ca="1">IF(AND(ISNUMBER($M$318),$B$238=1),$M$318,HLOOKUP(INDIRECT(ADDRESS(2,COLUMN())),OFFSET($R$2,0,0,ROW()-1,12),ROW()-1,FALSE))</f>
        <v>45.986760850000003</v>
      </c>
      <c r="N87">
        <f ca="1">IF(AND(ISNUMBER($N$318),$B$238=1),$N$318,HLOOKUP(INDIRECT(ADDRESS(2,COLUMN())),OFFSET($R$2,0,0,ROW()-1,12),ROW()-1,FALSE))</f>
        <v>21.143932410000001</v>
      </c>
      <c r="O87">
        <f ca="1">IF(AND(ISNUMBER($O$318),$B$238=1),$O$318,HLOOKUP(INDIRECT(ADDRESS(2,COLUMN())),OFFSET($R$2,0,0,ROW()-1,12),ROW()-1,FALSE))</f>
        <v>15.03678736</v>
      </c>
      <c r="P87">
        <f ca="1">IF(AND(ISNUMBER($P$318),$B$238=1),$P$318,HLOOKUP(INDIRECT(ADDRESS(2,COLUMN())),OFFSET($R$2,0,0,ROW()-1,12),ROW()-1,FALSE))</f>
        <v>-2.5566482389999998</v>
      </c>
      <c r="Q87">
        <f ca="1">IF(AND(ISNUMBER($Q$318),$B$238=1),$Q$318,HLOOKUP(INDIRECT(ADDRESS(2,COLUMN())),OFFSET($R$2,0,0,ROW()-1,12),ROW()-1,FALSE))</f>
        <v>22.43387027</v>
      </c>
      <c r="R87">
        <f>8.368963358</f>
        <v>8.3689633580000002</v>
      </c>
      <c r="S87">
        <f>9.664757209</f>
        <v>9.6647572089999993</v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>
        <f>40.69489262</f>
        <v>40.694892619999997</v>
      </c>
      <c r="Y87">
        <f>45.98676085</f>
        <v>45.986760850000003</v>
      </c>
      <c r="Z87">
        <f>21.14393241</f>
        <v>21.143932410000001</v>
      </c>
      <c r="AA87">
        <f>15.03678736</f>
        <v>15.03678736</v>
      </c>
      <c r="AB87">
        <f>-2.556648239</f>
        <v>-2.5566482389999998</v>
      </c>
      <c r="AC87">
        <f>22.43387027</f>
        <v>22.43387027</v>
      </c>
    </row>
    <row r="88" spans="1:29" x14ac:dyDescent="0.25">
      <c r="A88" t="str">
        <f>"    Indra Sistemas SA"</f>
        <v xml:space="preserve">    Indra Sistemas SA</v>
      </c>
      <c r="B88" t="str">
        <f>"IDR SM Equity"</f>
        <v>IDR SM Equity</v>
      </c>
      <c r="C88" t="str">
        <f t="shared" si="12"/>
        <v>RX553</v>
      </c>
      <c r="D88" t="str">
        <f t="shared" si="13"/>
        <v>EPS_BEF_XO_3YR_GEO_GROWTH</v>
      </c>
      <c r="E88" t="str">
        <f t="shared" si="14"/>
        <v>Dynamic</v>
      </c>
      <c r="F88">
        <f ca="1">IF(AND(ISNUMBER($F$319),$B$238=1),$F$319,HLOOKUP(INDIRECT(ADDRESS(2,COLUMN())),OFFSET($R$2,0,0,ROW()-1,12),ROW()-1,FALSE))</f>
        <v>17.25102055</v>
      </c>
      <c r="G88" t="str">
        <f ca="1">IF(AND(ISNUMBER($G$319),$B$238=1),$G$319,HLOOKUP(INDIRECT(ADDRESS(2,COLUMN())),OFFSET($R$2,0,0,ROW()-1,12),ROW()-1,FALSE))</f>
        <v/>
      </c>
      <c r="H88" t="str">
        <f ca="1">IF(AND(ISNUMBER($H$319),$B$238=1),$H$319,HLOOKUP(INDIRECT(ADDRESS(2,COLUMN())),OFFSET($R$2,0,0,ROW()-1,12),ROW()-1,FALSE))</f>
        <v/>
      </c>
      <c r="I88" t="str">
        <f ca="1">IF(AND(ISNUMBER($I$319),$B$238=1),$I$319,HLOOKUP(INDIRECT(ADDRESS(2,COLUMN())),OFFSET($R$2,0,0,ROW()-1,12),ROW()-1,FALSE))</f>
        <v/>
      </c>
      <c r="J88" t="str">
        <f ca="1">IF(AND(ISNUMBER($J$319),$B$238=1),$J$319,HLOOKUP(INDIRECT(ADDRESS(2,COLUMN())),OFFSET($R$2,0,0,ROW()-1,12),ROW()-1,FALSE))</f>
        <v/>
      </c>
      <c r="K88" t="str">
        <f ca="1">IF(AND(ISNUMBER($K$319),$B$238=1),$K$319,HLOOKUP(INDIRECT(ADDRESS(2,COLUMN())),OFFSET($R$2,0,0,ROW()-1,12),ROW()-1,FALSE))</f>
        <v/>
      </c>
      <c r="L88">
        <f ca="1">IF(AND(ISNUMBER($L$319),$B$238=1),$L$319,HLOOKUP(INDIRECT(ADDRESS(2,COLUMN())),OFFSET($R$2,0,0,ROW()-1,12),ROW()-1,FALSE))</f>
        <v>-15.264402159999999</v>
      </c>
      <c r="M88">
        <f ca="1">IF(AND(ISNUMBER($M$319),$B$238=1),$M$319,HLOOKUP(INDIRECT(ADDRESS(2,COLUMN())),OFFSET($R$2,0,0,ROW()-1,12),ROW()-1,FALSE))</f>
        <v>-12.417585040000001</v>
      </c>
      <c r="N88">
        <f ca="1">IF(AND(ISNUMBER($N$319),$B$238=1),$N$319,HLOOKUP(INDIRECT(ADDRESS(2,COLUMN())),OFFSET($R$2,0,0,ROW()-1,12),ROW()-1,FALSE))</f>
        <v>-0.78218313100000003</v>
      </c>
      <c r="O88">
        <f ca="1">IF(AND(ISNUMBER($O$319),$B$238=1),$O$319,HLOOKUP(INDIRECT(ADDRESS(2,COLUMN())),OFFSET($R$2,0,0,ROW()-1,12),ROW()-1,FALSE))</f>
        <v>8.2253333180000006</v>
      </c>
      <c r="P88">
        <f ca="1">IF(AND(ISNUMBER($P$319),$B$238=1),$P$319,HLOOKUP(INDIRECT(ADDRESS(2,COLUMN())),OFFSET($R$2,0,0,ROW()-1,12),ROW()-1,FALSE))</f>
        <v>15.178944019999999</v>
      </c>
      <c r="Q88">
        <f ca="1">IF(AND(ISNUMBER($Q$319),$B$238=1),$Q$319,HLOOKUP(INDIRECT(ADDRESS(2,COLUMN())),OFFSET($R$2,0,0,ROW()-1,12),ROW()-1,FALSE))</f>
        <v>17.253700569999999</v>
      </c>
      <c r="R88">
        <f>17.25102055</f>
        <v>17.25102055</v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>
        <f>-15.26440216</f>
        <v>-15.264402159999999</v>
      </c>
      <c r="Y88">
        <f>-12.41758504</f>
        <v>-12.417585040000001</v>
      </c>
      <c r="Z88">
        <f>-0.782183131</f>
        <v>-0.78218313100000003</v>
      </c>
      <c r="AA88">
        <f>8.225333318</f>
        <v>8.2253333180000006</v>
      </c>
      <c r="AB88">
        <f>15.17894402</f>
        <v>15.178944019999999</v>
      </c>
      <c r="AC88">
        <f>17.25370057</f>
        <v>17.253700569999999</v>
      </c>
    </row>
    <row r="89" spans="1:29" x14ac:dyDescent="0.25">
      <c r="A89" t="str">
        <f>"    Infosys Ltd"</f>
        <v xml:space="preserve">    Infosys Ltd</v>
      </c>
      <c r="B89" t="str">
        <f>"INFY US Equity"</f>
        <v>INFY US Equity</v>
      </c>
      <c r="C89" t="str">
        <f t="shared" si="12"/>
        <v>RX553</v>
      </c>
      <c r="D89" t="str">
        <f t="shared" si="13"/>
        <v>EPS_BEF_XO_3YR_GEO_GROWTH</v>
      </c>
      <c r="E89" t="str">
        <f t="shared" si="14"/>
        <v>Dynamic</v>
      </c>
      <c r="F89">
        <f ca="1">IF(AND(ISNUMBER($F$320),$B$238=1),$F$320,HLOOKUP(INDIRECT(ADDRESS(2,COLUMN())),OFFSET($R$2,0,0,ROW()-1,12),ROW()-1,FALSE))</f>
        <v>7.4649693700000004</v>
      </c>
      <c r="G89">
        <f ca="1">IF(AND(ISNUMBER($G$320),$B$238=1),$G$320,HLOOKUP(INDIRECT(ADDRESS(2,COLUMN())),OFFSET($R$2,0,0,ROW()-1,12),ROW()-1,FALSE))</f>
        <v>6.2938574090000001</v>
      </c>
      <c r="H89">
        <f ca="1">IF(AND(ISNUMBER($H$320),$B$238=1),$H$320,HLOOKUP(INDIRECT(ADDRESS(2,COLUMN())),OFFSET($R$2,0,0,ROW()-1,12),ROW()-1,FALSE))</f>
        <v>9.6289171539999998</v>
      </c>
      <c r="I89">
        <f ca="1">IF(AND(ISNUMBER($I$320),$B$238=1),$I$320,HLOOKUP(INDIRECT(ADDRESS(2,COLUMN())),OFFSET($R$2,0,0,ROW()-1,12),ROW()-1,FALSE))</f>
        <v>10.46636906</v>
      </c>
      <c r="J89">
        <f ca="1">IF(AND(ISNUMBER($J$320),$B$238=1),$J$320,HLOOKUP(INDIRECT(ADDRESS(2,COLUMN())),OFFSET($R$2,0,0,ROW()-1,12),ROW()-1,FALSE))</f>
        <v>12.71261337</v>
      </c>
      <c r="K89">
        <f ca="1">IF(AND(ISNUMBER($K$320),$B$238=1),$K$320,HLOOKUP(INDIRECT(ADDRESS(2,COLUMN())),OFFSET($R$2,0,0,ROW()-1,12),ROW()-1,FALSE))</f>
        <v>14.02136642</v>
      </c>
      <c r="L89">
        <f ca="1">IF(AND(ISNUMBER($L$320),$B$238=1),$L$320,HLOOKUP(INDIRECT(ADDRESS(2,COLUMN())),OFFSET($R$2,0,0,ROW()-1,12),ROW()-1,FALSE))</f>
        <v>15.911573000000001</v>
      </c>
      <c r="M89">
        <f ca="1">IF(AND(ISNUMBER($M$320),$B$238=1),$M$320,HLOOKUP(INDIRECT(ADDRESS(2,COLUMN())),OFFSET($R$2,0,0,ROW()-1,12),ROW()-1,FALSE))</f>
        <v>14.783241930000001</v>
      </c>
      <c r="N89">
        <f ca="1">IF(AND(ISNUMBER($N$320),$B$238=1),$N$320,HLOOKUP(INDIRECT(ADDRESS(2,COLUMN())),OFFSET($R$2,0,0,ROW()-1,12),ROW()-1,FALSE))</f>
        <v>11.641803019999999</v>
      </c>
      <c r="O89">
        <f ca="1">IF(AND(ISNUMBER($O$320),$B$238=1),$O$320,HLOOKUP(INDIRECT(ADDRESS(2,COLUMN())),OFFSET($R$2,0,0,ROW()-1,12),ROW()-1,FALSE))</f>
        <v>13.640138309999999</v>
      </c>
      <c r="P89">
        <f ca="1">IF(AND(ISNUMBER($P$320),$B$238=1),$P$320,HLOOKUP(INDIRECT(ADDRESS(2,COLUMN())),OFFSET($R$2,0,0,ROW()-1,12),ROW()-1,FALSE))</f>
        <v>16.333037489999999</v>
      </c>
      <c r="Q89">
        <f ca="1">IF(AND(ISNUMBER($Q$320),$B$238=1),$Q$320,HLOOKUP(INDIRECT(ADDRESS(2,COLUMN())),OFFSET($R$2,0,0,ROW()-1,12),ROW()-1,FALSE))</f>
        <v>32.447746279999997</v>
      </c>
      <c r="R89">
        <f>7.46496937</f>
        <v>7.4649693700000004</v>
      </c>
      <c r="S89">
        <f>6.293857409</f>
        <v>6.2938574090000001</v>
      </c>
      <c r="T89">
        <f>9.628917154</f>
        <v>9.6289171539999998</v>
      </c>
      <c r="U89">
        <f>10.46636906</f>
        <v>10.46636906</v>
      </c>
      <c r="V89">
        <f>12.71261337</f>
        <v>12.71261337</v>
      </c>
      <c r="W89">
        <f>14.02136642</f>
        <v>14.02136642</v>
      </c>
      <c r="X89">
        <f>15.911573</f>
        <v>15.911573000000001</v>
      </c>
      <c r="Y89">
        <f>14.78324193</f>
        <v>14.783241930000001</v>
      </c>
      <c r="Z89">
        <f>11.64180302</f>
        <v>11.641803019999999</v>
      </c>
      <c r="AA89">
        <f>13.64013831</f>
        <v>13.640138309999999</v>
      </c>
      <c r="AB89">
        <f>16.33303749</f>
        <v>16.333037489999999</v>
      </c>
      <c r="AC89">
        <f>32.44774628</f>
        <v>32.447746279999997</v>
      </c>
    </row>
    <row r="90" spans="1:29" x14ac:dyDescent="0.25">
      <c r="A90" t="str">
        <f>"    International Business Machines Corp"</f>
        <v xml:space="preserve">    International Business Machines Corp</v>
      </c>
      <c r="B90" t="str">
        <f>"IBM US Equity"</f>
        <v>IBM US Equity</v>
      </c>
      <c r="C90" t="str">
        <f t="shared" si="12"/>
        <v>RX553</v>
      </c>
      <c r="D90" t="str">
        <f t="shared" si="13"/>
        <v>EPS_BEF_XO_3YR_GEO_GROWTH</v>
      </c>
      <c r="E90" t="str">
        <f t="shared" si="14"/>
        <v>Dynamic</v>
      </c>
      <c r="F90">
        <f ca="1">IF(AND(ISNUMBER($F$321),$B$238=1),$F$321,HLOOKUP(INDIRECT(ADDRESS(2,COLUMN())),OFFSET($R$2,0,0,ROW()-1,12),ROW()-1,FALSE))</f>
        <v>-5.1062459179999999</v>
      </c>
      <c r="G90">
        <f ca="1">IF(AND(ISNUMBER($G$321),$B$238=1),$G$321,HLOOKUP(INDIRECT(ADDRESS(2,COLUMN())),OFFSET($R$2,0,0,ROW()-1,12),ROW()-1,FALSE))</f>
        <v>-11.215790760000001</v>
      </c>
      <c r="H90">
        <f ca="1">IF(AND(ISNUMBER($H$321),$B$238=1),$H$321,HLOOKUP(INDIRECT(ADDRESS(2,COLUMN())),OFFSET($R$2,0,0,ROW()-1,12),ROW()-1,FALSE))</f>
        <v>-26.720971689999999</v>
      </c>
      <c r="I90">
        <f ca="1">IF(AND(ISNUMBER($I$321),$B$238=1),$I$321,HLOOKUP(INDIRECT(ADDRESS(2,COLUMN())),OFFSET($R$2,0,0,ROW()-1,12),ROW()-1,FALSE))</f>
        <v>-6.9080768719999996</v>
      </c>
      <c r="J90">
        <f ca="1">IF(AND(ISNUMBER($J$321),$B$238=1),$J$321,HLOOKUP(INDIRECT(ADDRESS(2,COLUMN())),OFFSET($R$2,0,0,ROW()-1,12),ROW()-1,FALSE))</f>
        <v>-2.8112665020000001</v>
      </c>
      <c r="K90">
        <f ca="1">IF(AND(ISNUMBER($K$321),$B$238=1),$K$321,HLOOKUP(INDIRECT(ADDRESS(2,COLUMN())),OFFSET($R$2,0,0,ROW()-1,12),ROW()-1,FALSE))</f>
        <v>5.7734638279999997</v>
      </c>
      <c r="L90">
        <f ca="1">IF(AND(ISNUMBER($L$321),$B$238=1),$L$321,HLOOKUP(INDIRECT(ADDRESS(2,COLUMN())),OFFSET($R$2,0,0,ROW()-1,12),ROW()-1,FALSE))</f>
        <v>9.6705330079999996</v>
      </c>
      <c r="M90">
        <f ca="1">IF(AND(ISNUMBER($M$321),$B$238=1),$M$321,HLOOKUP(INDIRECT(ADDRESS(2,COLUMN())),OFFSET($R$2,0,0,ROW()-1,12),ROW()-1,FALSE))</f>
        <v>13.712307600000001</v>
      </c>
      <c r="N90">
        <f ca="1">IF(AND(ISNUMBER($N$321),$B$238=1),$N$321,HLOOKUP(INDIRECT(ADDRESS(2,COLUMN())),OFFSET($R$2,0,0,ROW()-1,12),ROW()-1,FALSE))</f>
        <v>13.466988990000001</v>
      </c>
      <c r="O90">
        <f ca="1">IF(AND(ISNUMBER($O$321),$B$238=1),$O$321,HLOOKUP(INDIRECT(ADDRESS(2,COLUMN())),OFFSET($R$2,0,0,ROW()-1,12),ROW()-1,FALSE))</f>
        <v>16.887430030000001</v>
      </c>
      <c r="P90">
        <f ca="1">IF(AND(ISNUMBER($P$321),$B$238=1),$P$321,HLOOKUP(INDIRECT(ADDRESS(2,COLUMN())),OFFSET($R$2,0,0,ROW()-1,12),ROW()-1,FALSE))</f>
        <v>18.059733600000001</v>
      </c>
      <c r="Q90">
        <f ca="1">IF(AND(ISNUMBER($Q$321),$B$238=1),$Q$321,HLOOKUP(INDIRECT(ADDRESS(2,COLUMN())),OFFSET($R$2,0,0,ROW()-1,12),ROW()-1,FALSE))</f>
        <v>22.04001354</v>
      </c>
      <c r="R90">
        <f>-5.106245918</f>
        <v>-5.1062459179999999</v>
      </c>
      <c r="S90">
        <f>-11.21579076</f>
        <v>-11.215790760000001</v>
      </c>
      <c r="T90">
        <f>-26.72097169</f>
        <v>-26.720971689999999</v>
      </c>
      <c r="U90">
        <f>-6.908076872</f>
        <v>-6.9080768719999996</v>
      </c>
      <c r="V90">
        <f>-2.811266502</f>
        <v>-2.8112665020000001</v>
      </c>
      <c r="W90">
        <f>5.773463828</f>
        <v>5.7734638279999997</v>
      </c>
      <c r="X90">
        <f>9.670533008</f>
        <v>9.6705330079999996</v>
      </c>
      <c r="Y90">
        <f>13.7123076</f>
        <v>13.712307600000001</v>
      </c>
      <c r="Z90">
        <f>13.46698899</f>
        <v>13.466988990000001</v>
      </c>
      <c r="AA90">
        <f>16.88743003</f>
        <v>16.887430030000001</v>
      </c>
      <c r="AB90">
        <f>18.0597336</f>
        <v>18.059733600000001</v>
      </c>
      <c r="AC90">
        <f>22.04001354</f>
        <v>22.04001354</v>
      </c>
    </row>
    <row r="91" spans="1:29" x14ac:dyDescent="0.25">
      <c r="A91" t="str">
        <f>"    Tata Consultancy Services Ltd"</f>
        <v xml:space="preserve">    Tata Consultancy Services Ltd</v>
      </c>
      <c r="B91" t="str">
        <f>"TCS IN Equity"</f>
        <v>TCS IN Equity</v>
      </c>
      <c r="C91" t="str">
        <f t="shared" si="12"/>
        <v>RX553</v>
      </c>
      <c r="D91" t="str">
        <f t="shared" si="13"/>
        <v>EPS_BEF_XO_3YR_GEO_GROWTH</v>
      </c>
      <c r="E91" t="str">
        <f t="shared" si="14"/>
        <v>Dynamic</v>
      </c>
      <c r="F91">
        <f ca="1">IF(AND(ISNUMBER($F$322),$B$238=1),$F$322,HLOOKUP(INDIRECT(ADDRESS(2,COLUMN())),OFFSET($R$2,0,0,ROW()-1,12),ROW()-1,FALSE))</f>
        <v>8.9179597140000002</v>
      </c>
      <c r="G91">
        <f ca="1">IF(AND(ISNUMBER($G$322),$B$238=1),$G$322,HLOOKUP(INDIRECT(ADDRESS(2,COLUMN())),OFFSET($R$2,0,0,ROW()-1,12),ROW()-1,FALSE))</f>
        <v>10.48116124</v>
      </c>
      <c r="H91">
        <f ca="1">IF(AND(ISNUMBER($H$322),$B$238=1),$H$322,HLOOKUP(INDIRECT(ADDRESS(2,COLUMN())),OFFSET($R$2,0,0,ROW()-1,12),ROW()-1,FALSE))</f>
        <v>10.185718380000001</v>
      </c>
      <c r="I91">
        <f ca="1">IF(AND(ISNUMBER($I$322),$B$238=1),$I$322,HLOOKUP(INDIRECT(ADDRESS(2,COLUMN())),OFFSET($R$2,0,0,ROW()-1,12),ROW()-1,FALSE))</f>
        <v>10.98037523</v>
      </c>
      <c r="J91">
        <f ca="1">IF(AND(ISNUMBER($J$322),$B$238=1),$J$322,HLOOKUP(INDIRECT(ADDRESS(2,COLUMN())),OFFSET($R$2,0,0,ROW()-1,12),ROW()-1,FALSE))</f>
        <v>20.16258294</v>
      </c>
      <c r="K91">
        <f ca="1">IF(AND(ISNUMBER($K$322),$B$238=1),$K$322,HLOOKUP(INDIRECT(ADDRESS(2,COLUMN())),OFFSET($R$2,0,0,ROW()-1,12),ROW()-1,FALSE))</f>
        <v>23.641722739999999</v>
      </c>
      <c r="L91">
        <f ca="1">IF(AND(ISNUMBER($L$322),$B$238=1),$L$322,HLOOKUP(INDIRECT(ADDRESS(2,COLUMN())),OFFSET($R$2,0,0,ROW()-1,12),ROW()-1,FALSE))</f>
        <v>28.247853809999999</v>
      </c>
      <c r="M91">
        <f ca="1">IF(AND(ISNUMBER($M$322),$B$238=1),$M$322,HLOOKUP(INDIRECT(ADDRESS(2,COLUMN())),OFFSET($R$2,0,0,ROW()-1,12),ROW()-1,FALSE))</f>
        <v>25.785724519999999</v>
      </c>
      <c r="N91">
        <f ca="1">IF(AND(ISNUMBER($N$322),$B$238=1),$N$322,HLOOKUP(INDIRECT(ADDRESS(2,COLUMN())),OFFSET($R$2,0,0,ROW()-1,12),ROW()-1,FALSE))</f>
        <v>25.55203667</v>
      </c>
      <c r="O91">
        <f ca="1">IF(AND(ISNUMBER($O$322),$B$238=1),$O$322,HLOOKUP(INDIRECT(ADDRESS(2,COLUMN())),OFFSET($R$2,0,0,ROW()-1,12),ROW()-1,FALSE))</f>
        <v>21.684378049999999</v>
      </c>
      <c r="P91">
        <f ca="1">IF(AND(ISNUMBER($P$322),$B$238=1),$P$322,HLOOKUP(INDIRECT(ADDRESS(2,COLUMN())),OFFSET($R$2,0,0,ROW()-1,12),ROW()-1,FALSE))</f>
        <v>18.33954267</v>
      </c>
      <c r="Q91">
        <f ca="1">IF(AND(ISNUMBER($Q$322),$B$238=1),$Q$322,HLOOKUP(INDIRECT(ADDRESS(2,COLUMN())),OFFSET($R$2,0,0,ROW()-1,12),ROW()-1,FALSE))</f>
        <v>20.942626109999999</v>
      </c>
      <c r="R91">
        <f>8.917959714</f>
        <v>8.9179597140000002</v>
      </c>
      <c r="S91">
        <f>10.48116124</f>
        <v>10.48116124</v>
      </c>
      <c r="T91">
        <f>10.18571838</f>
        <v>10.185718380000001</v>
      </c>
      <c r="U91">
        <f>10.98037523</f>
        <v>10.98037523</v>
      </c>
      <c r="V91">
        <f>20.16258294</f>
        <v>20.16258294</v>
      </c>
      <c r="W91">
        <f>23.64172274</f>
        <v>23.641722739999999</v>
      </c>
      <c r="X91">
        <f>28.24785381</f>
        <v>28.247853809999999</v>
      </c>
      <c r="Y91">
        <f>25.78572452</f>
        <v>25.785724519999999</v>
      </c>
      <c r="Z91">
        <f>25.55203667</f>
        <v>25.55203667</v>
      </c>
      <c r="AA91">
        <f>21.68437805</f>
        <v>21.684378049999999</v>
      </c>
      <c r="AB91">
        <f>18.33954267</f>
        <v>18.33954267</v>
      </c>
      <c r="AC91">
        <f>20.94262611</f>
        <v>20.942626109999999</v>
      </c>
    </row>
    <row r="92" spans="1:29" x14ac:dyDescent="0.25">
      <c r="A92" t="str">
        <f>"    Tech Mahindra Ltd"</f>
        <v xml:space="preserve">    Tech Mahindra Ltd</v>
      </c>
      <c r="B92" t="str">
        <f>"TECHM IN Equity"</f>
        <v>TECHM IN Equity</v>
      </c>
      <c r="C92" t="str">
        <f t="shared" si="12"/>
        <v>RX553</v>
      </c>
      <c r="D92" t="str">
        <f t="shared" si="13"/>
        <v>EPS_BEF_XO_3YR_GEO_GROWTH</v>
      </c>
      <c r="E92" t="str">
        <f t="shared" si="14"/>
        <v>Dynamic</v>
      </c>
      <c r="F92">
        <f ca="1">IF(AND(ISNUMBER($F$323),$B$238=1),$F$323,HLOOKUP(INDIRECT(ADDRESS(2,COLUMN())),OFFSET($R$2,0,0,ROW()-1,12),ROW()-1,FALSE))</f>
        <v>12.909309329999999</v>
      </c>
      <c r="G92">
        <f ca="1">IF(AND(ISNUMBER($G$323),$B$238=1),$G$323,HLOOKUP(INDIRECT(ADDRESS(2,COLUMN())),OFFSET($R$2,0,0,ROW()-1,12),ROW()-1,FALSE))</f>
        <v>11.989168510000001</v>
      </c>
      <c r="H92">
        <f ca="1">IF(AND(ISNUMBER($H$323),$B$238=1),$H$323,HLOOKUP(INDIRECT(ADDRESS(2,COLUMN())),OFFSET($R$2,0,0,ROW()-1,12),ROW()-1,FALSE))</f>
        <v>16.142175770000001</v>
      </c>
      <c r="I92">
        <f ca="1">IF(AND(ISNUMBER($I$323),$B$238=1),$I$323,HLOOKUP(INDIRECT(ADDRESS(2,COLUMN())),OFFSET($R$2,0,0,ROW()-1,12),ROW()-1,FALSE))</f>
        <v>-0.43438577699999997</v>
      </c>
      <c r="J92">
        <f ca="1">IF(AND(ISNUMBER($J$323),$B$238=1),$J$323,HLOOKUP(INDIRECT(ADDRESS(2,COLUMN())),OFFSET($R$2,0,0,ROW()-1,12),ROW()-1,FALSE))</f>
        <v>11.030684190000001</v>
      </c>
      <c r="K92">
        <f ca="1">IF(AND(ISNUMBER($K$323),$B$238=1),$K$323,HLOOKUP(INDIRECT(ADDRESS(2,COLUMN())),OFFSET($R$2,0,0,ROW()-1,12),ROW()-1,FALSE))</f>
        <v>8.3928095789999997</v>
      </c>
      <c r="L92">
        <f ca="1">IF(AND(ISNUMBER($L$323),$B$238=1),$L$323,HLOOKUP(INDIRECT(ADDRESS(2,COLUMN())),OFFSET($R$2,0,0,ROW()-1,12),ROW()-1,FALSE))</f>
        <v>36.157847400000001</v>
      </c>
      <c r="M92">
        <f ca="1">IF(AND(ISNUMBER($M$323),$B$238=1),$M$323,HLOOKUP(INDIRECT(ADDRESS(2,COLUMN())),OFFSET($R$2,0,0,ROW()-1,12),ROW()-1,FALSE))</f>
        <v>20.659851150000001</v>
      </c>
      <c r="N92">
        <f ca="1">IF(AND(ISNUMBER($N$323),$B$238=1),$N$323,HLOOKUP(INDIRECT(ADDRESS(2,COLUMN())),OFFSET($R$2,0,0,ROW()-1,12),ROW()-1,FALSE))</f>
        <v>1.1223128570000001</v>
      </c>
      <c r="O92">
        <f ca="1">IF(AND(ISNUMBER($O$323),$B$238=1),$O$323,HLOOKUP(INDIRECT(ADDRESS(2,COLUMN())),OFFSET($R$2,0,0,ROW()-1,12),ROW()-1,FALSE))</f>
        <v>23.794106630000002</v>
      </c>
      <c r="P92">
        <f ca="1">IF(AND(ISNUMBER($P$323),$B$238=1),$P$323,HLOOKUP(INDIRECT(ADDRESS(2,COLUMN())),OFFSET($R$2,0,0,ROW()-1,12),ROW()-1,FALSE))</f>
        <v>75.822730370000002</v>
      </c>
      <c r="Q92">
        <f ca="1">IF(AND(ISNUMBER($Q$323),$B$238=1),$Q$323,HLOOKUP(INDIRECT(ADDRESS(2,COLUMN())),OFFSET($R$2,0,0,ROW()-1,12),ROW()-1,FALSE))</f>
        <v>54.465076029999999</v>
      </c>
      <c r="R92">
        <f>12.90930933</f>
        <v>12.909309329999999</v>
      </c>
      <c r="S92">
        <f>11.98916851</f>
        <v>11.989168510000001</v>
      </c>
      <c r="T92">
        <f>16.14217577</f>
        <v>16.142175770000001</v>
      </c>
      <c r="U92">
        <f>-0.434385777</f>
        <v>-0.43438577699999997</v>
      </c>
      <c r="V92">
        <f>11.03068419</f>
        <v>11.030684190000001</v>
      </c>
      <c r="W92">
        <f>8.392809579</f>
        <v>8.3928095789999997</v>
      </c>
      <c r="X92">
        <f>36.1578474</f>
        <v>36.157847400000001</v>
      </c>
      <c r="Y92">
        <f>20.65985115</f>
        <v>20.659851150000001</v>
      </c>
      <c r="Z92">
        <f>1.122312857</f>
        <v>1.1223128570000001</v>
      </c>
      <c r="AA92">
        <f>23.79410663</f>
        <v>23.794106630000002</v>
      </c>
      <c r="AB92">
        <f>75.82273037</f>
        <v>75.822730370000002</v>
      </c>
      <c r="AC92">
        <f>54.46507603</f>
        <v>54.465076029999999</v>
      </c>
    </row>
    <row r="93" spans="1:29" x14ac:dyDescent="0.25">
      <c r="A93" t="str">
        <f>"    Wipro Ltd"</f>
        <v xml:space="preserve">    Wipro Ltd</v>
      </c>
      <c r="B93" t="str">
        <f>"WIT US Equity"</f>
        <v>WIT US Equity</v>
      </c>
      <c r="C93" t="str">
        <f t="shared" si="12"/>
        <v>RX553</v>
      </c>
      <c r="D93" t="str">
        <f t="shared" si="13"/>
        <v>EPS_BEF_XO_3YR_GEO_GROWTH</v>
      </c>
      <c r="E93" t="str">
        <f t="shared" si="14"/>
        <v>Dynamic</v>
      </c>
      <c r="F93">
        <f ca="1">IF(AND(ISNUMBER($F$324),$B$238=1),$F$324,HLOOKUP(INDIRECT(ADDRESS(2,COLUMN())),OFFSET($R$2,0,0,ROW()-1,12),ROW()-1,FALSE))</f>
        <v>8.3371986469999992</v>
      </c>
      <c r="G93">
        <f ca="1">IF(AND(ISNUMBER($G$324),$B$238=1),$G$324,HLOOKUP(INDIRECT(ADDRESS(2,COLUMN())),OFFSET($R$2,0,0,ROW()-1,12),ROW()-1,FALSE))</f>
        <v>3.3032901909999999</v>
      </c>
      <c r="H93">
        <f ca="1">IF(AND(ISNUMBER($H$324),$B$238=1),$H$324,HLOOKUP(INDIRECT(ADDRESS(2,COLUMN())),OFFSET($R$2,0,0,ROW()-1,12),ROW()-1,FALSE))</f>
        <v>-1.468260903</v>
      </c>
      <c r="I93">
        <f ca="1">IF(AND(ISNUMBER($I$324),$B$238=1),$I$324,HLOOKUP(INDIRECT(ADDRESS(2,COLUMN())),OFFSET($R$2,0,0,ROW()-1,12),ROW()-1,FALSE))</f>
        <v>3.2516443330000002</v>
      </c>
      <c r="J93">
        <f ca="1">IF(AND(ISNUMBER($J$324),$B$238=1),$J$324,HLOOKUP(INDIRECT(ADDRESS(2,COLUMN())),OFFSET($R$2,0,0,ROW()-1,12),ROW()-1,FALSE))</f>
        <v>13.1853573</v>
      </c>
      <c r="K93">
        <f ca="1">IF(AND(ISNUMBER($K$324),$B$238=1),$K$324,HLOOKUP(INDIRECT(ADDRESS(2,COLUMN())),OFFSET($R$2,0,0,ROW()-1,12),ROW()-1,FALSE))</f>
        <v>15.698826629999999</v>
      </c>
      <c r="L93">
        <f ca="1">IF(AND(ISNUMBER($L$324),$B$238=1),$L$324,HLOOKUP(INDIRECT(ADDRESS(2,COLUMN())),OFFSET($R$2,0,0,ROW()-1,12),ROW()-1,FALSE))</f>
        <v>13.468065660000001</v>
      </c>
      <c r="M93">
        <f ca="1">IF(AND(ISNUMBER($M$324),$B$238=1),$M$324,HLOOKUP(INDIRECT(ADDRESS(2,COLUMN())),OFFSET($R$2,0,0,ROW()-1,12),ROW()-1,FALSE))</f>
        <v>9.4587948869999998</v>
      </c>
      <c r="N93">
        <f ca="1">IF(AND(ISNUMBER($N$324),$B$238=1),$N$324,HLOOKUP(INDIRECT(ADDRESS(2,COLUMN())),OFFSET($R$2,0,0,ROW()-1,12),ROW()-1,FALSE))</f>
        <v>12.264234869999999</v>
      </c>
      <c r="O93">
        <f ca="1">IF(AND(ISNUMBER($O$324),$B$238=1),$O$324,HLOOKUP(INDIRECT(ADDRESS(2,COLUMN())),OFFSET($R$2,0,0,ROW()-1,12),ROW()-1,FALSE))</f>
        <v>17.00522406</v>
      </c>
      <c r="P93">
        <f ca="1">IF(AND(ISNUMBER($P$324),$B$238=1),$P$324,HLOOKUP(INDIRECT(ADDRESS(2,COLUMN())),OFFSET($R$2,0,0,ROW()-1,12),ROW()-1,FALSE))</f>
        <v>15.5145596</v>
      </c>
      <c r="Q93">
        <f ca="1">IF(AND(ISNUMBER($Q$324),$B$238=1),$Q$324,HLOOKUP(INDIRECT(ADDRESS(2,COLUMN())),OFFSET($R$2,0,0,ROW()-1,12),ROW()-1,FALSE))</f>
        <v>22.18146617</v>
      </c>
      <c r="R93">
        <f>8.337198647</f>
        <v>8.3371986469999992</v>
      </c>
      <c r="S93">
        <f>3.303290191</f>
        <v>3.3032901909999999</v>
      </c>
      <c r="T93">
        <f>-1.468260903</f>
        <v>-1.468260903</v>
      </c>
      <c r="U93">
        <f>3.251644333</f>
        <v>3.2516443330000002</v>
      </c>
      <c r="V93">
        <f>13.1853573</f>
        <v>13.1853573</v>
      </c>
      <c r="W93">
        <f>15.69882663</f>
        <v>15.698826629999999</v>
      </c>
      <c r="X93">
        <f>13.46806566</f>
        <v>13.468065660000001</v>
      </c>
      <c r="Y93">
        <f>9.458794887</f>
        <v>9.4587948869999998</v>
      </c>
      <c r="Z93">
        <f>12.26423487</f>
        <v>12.264234869999999</v>
      </c>
      <c r="AA93">
        <f>17.00522406</f>
        <v>17.00522406</v>
      </c>
      <c r="AB93">
        <f>15.5145596</f>
        <v>15.5145596</v>
      </c>
      <c r="AC93">
        <f>22.18146617</f>
        <v>22.18146617</v>
      </c>
    </row>
    <row r="94" spans="1:29" x14ac:dyDescent="0.25">
      <c r="A94" t="str">
        <f>"Profitability Components (%):"</f>
        <v>Profitability Components (%):</v>
      </c>
      <c r="B94" t="str">
        <f>""</f>
        <v/>
      </c>
      <c r="E94" t="str">
        <f>"Heading"</f>
        <v>Heading</v>
      </c>
      <c r="R94" t="str">
        <f>""</f>
        <v/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t="str">
        <f>""</f>
        <v/>
      </c>
      <c r="AC94" t="str">
        <f>""</f>
        <v/>
      </c>
    </row>
    <row r="95" spans="1:29" x14ac:dyDescent="0.25">
      <c r="A95" t="str">
        <f>"Gross Margin"</f>
        <v>Gross Margin</v>
      </c>
      <c r="B95" t="str">
        <f>"BRITBPOV Index"</f>
        <v>BRITBPOV Index</v>
      </c>
      <c r="E95" t="str">
        <f>"Average"</f>
        <v>Average</v>
      </c>
      <c r="F95">
        <f ca="1">IF(ISERROR(IF(AVERAGE($F$96:$F$112) = 0, "", AVERAGE($F$96:$F$112))), "", (IF(AVERAGE($F$96:$F$112) = 0, "", AVERAGE($F$96:$F$112))))</f>
        <v>32.023191274999995</v>
      </c>
      <c r="G95">
        <f ca="1">IF(ISERROR(IF(AVERAGE($G$96:$G$112) = 0, "", AVERAGE($G$96:$G$112))), "", (IF(AVERAGE($G$96:$G$112) = 0, "", AVERAGE($G$96:$G$112))))</f>
        <v>32.543260568571426</v>
      </c>
      <c r="H95">
        <f ca="1">IF(ISERROR(IF(AVERAGE($H$96:$H$112) = 0, "", AVERAGE($H$96:$H$112))), "", (IF(AVERAGE($H$96:$H$112) = 0, "", AVERAGE($H$96:$H$112))))</f>
        <v>32.342173974615385</v>
      </c>
      <c r="I95">
        <f ca="1">IF(ISERROR(IF(AVERAGE($I$96:$I$112) = 0, "", AVERAGE($I$96:$I$112))), "", (IF(AVERAGE($I$96:$I$112) = 0, "", AVERAGE($I$96:$I$112))))</f>
        <v>31.92296132615385</v>
      </c>
      <c r="J95">
        <f ca="1">IF(ISERROR(IF(AVERAGE($J$96:$J$112) = 0, "", AVERAGE($J$96:$J$112))), "", (IF(AVERAGE($J$96:$J$112) = 0, "", AVERAGE($J$96:$J$112))))</f>
        <v>32.615461653333341</v>
      </c>
      <c r="K95">
        <f ca="1">IF(ISERROR(IF(AVERAGE($K$96:$K$112) = 0, "", AVERAGE($K$96:$K$112))), "", (IF(AVERAGE($K$96:$K$112) = 0, "", AVERAGE($K$96:$K$112))))</f>
        <v>33.276126554166666</v>
      </c>
      <c r="L95">
        <f ca="1">IF(ISERROR(IF(AVERAGE($L$96:$L$112) = 0, "", AVERAGE($L$96:$L$112))), "", (IF(AVERAGE($L$96:$L$112) = 0, "", AVERAGE($L$96:$L$112))))</f>
        <v>33.716280089999998</v>
      </c>
      <c r="M95">
        <f ca="1">IF(ISERROR(IF(AVERAGE($M$96:$M$112) = 0, "", AVERAGE($M$96:$M$112))), "", (IF(AVERAGE($M$96:$M$112) = 0, "", AVERAGE($M$96:$M$112))))</f>
        <v>33.620739675999999</v>
      </c>
      <c r="N95">
        <f ca="1">IF(ISERROR(IF(AVERAGE($N$96:$N$112) = 0, "", AVERAGE($N$96:$N$112))), "", (IF(AVERAGE($N$96:$N$112) = 0, "", AVERAGE($N$96:$N$112))))</f>
        <v>33.700265584</v>
      </c>
      <c r="O95">
        <f ca="1">IF(ISERROR(IF(AVERAGE($O$96:$O$112) = 0, "", AVERAGE($O$96:$O$112))), "", (IF(AVERAGE($O$96:$O$112) = 0, "", AVERAGE($O$96:$O$112))))</f>
        <v>35.284276332000005</v>
      </c>
      <c r="P95">
        <f ca="1">IF(ISERROR(IF(AVERAGE($P$96:$P$112) = 0, "", AVERAGE($P$96:$P$112))), "", (IF(AVERAGE($P$96:$P$112) = 0, "", AVERAGE($P$96:$P$112))))</f>
        <v>35.158759947999997</v>
      </c>
      <c r="Q95">
        <f ca="1">IF(ISERROR(IF(AVERAGE($Q$96:$Q$112) = 0, "", AVERAGE($Q$96:$Q$112))), "", (IF(AVERAGE($Q$96:$Q$112) = 0, "", AVERAGE($Q$96:$Q$112))))</f>
        <v>34.966045215000001</v>
      </c>
      <c r="R95">
        <f>32.02319128</f>
        <v>32.023191279999999</v>
      </c>
      <c r="S95">
        <f>32.54326057</f>
        <v>32.543260570000001</v>
      </c>
      <c r="T95">
        <f>32.34217397</f>
        <v>32.342173969999997</v>
      </c>
      <c r="U95">
        <f>31.92296132</f>
        <v>31.922961319999999</v>
      </c>
      <c r="V95">
        <f>32.61546165</f>
        <v>32.61546165</v>
      </c>
      <c r="W95">
        <f>33.27612655</f>
        <v>33.276126550000001</v>
      </c>
      <c r="X95">
        <f>33.71628009</f>
        <v>33.716280089999998</v>
      </c>
      <c r="Y95">
        <f>33.62073967</f>
        <v>33.620739669999999</v>
      </c>
      <c r="Z95">
        <f>33.70026558</f>
        <v>33.70026558</v>
      </c>
      <c r="AA95">
        <f>35.28427633</f>
        <v>35.284276329999997</v>
      </c>
      <c r="AB95">
        <f>35.15875995</f>
        <v>35.158759949999997</v>
      </c>
      <c r="AC95">
        <f>34.96604522</f>
        <v>34.966045219999998</v>
      </c>
    </row>
    <row r="96" spans="1:29" x14ac:dyDescent="0.25">
      <c r="A96" t="str">
        <f>"    Accenture PLC"</f>
        <v xml:space="preserve">    Accenture PLC</v>
      </c>
      <c r="B96" t="str">
        <f>"ACN US Equity"</f>
        <v>ACN US Equity</v>
      </c>
      <c r="C96" t="str">
        <f t="shared" ref="C96:C112" si="15">"RR057"</f>
        <v>RR057</v>
      </c>
      <c r="D96" t="str">
        <f t="shared" ref="D96:D112" si="16">"GROSS_MARGIN"</f>
        <v>GROSS_MARGIN</v>
      </c>
      <c r="E96" t="str">
        <f t="shared" ref="E96:E112" si="17">"Dynamic"</f>
        <v>Dynamic</v>
      </c>
      <c r="F96">
        <f ca="1">IF(AND(ISNUMBER($F$325),$B$238=1),$F$325,HLOOKUP(INDIRECT(ADDRESS(2,COLUMN())),OFFSET($R$2,0,0,ROW()-1,12),ROW()-1,FALSE))</f>
        <v>30.810329729999999</v>
      </c>
      <c r="G96">
        <f ca="1">IF(AND(ISNUMBER($G$325),$B$238=1),$G$325,HLOOKUP(INDIRECT(ADDRESS(2,COLUMN())),OFFSET($R$2,0,0,ROW()-1,12),ROW()-1,FALSE))</f>
        <v>30.477169329999999</v>
      </c>
      <c r="H96">
        <f ca="1">IF(AND(ISNUMBER($H$325),$B$238=1),$H$325,HLOOKUP(INDIRECT(ADDRESS(2,COLUMN())),OFFSET($R$2,0,0,ROW()-1,12),ROW()-1,FALSE))</f>
        <v>30.00230814</v>
      </c>
      <c r="I96">
        <f ca="1">IF(AND(ISNUMBER($I$325),$B$238=1),$I$325,HLOOKUP(INDIRECT(ADDRESS(2,COLUMN())),OFFSET($R$2,0,0,ROW()-1,12),ROW()-1,FALSE))</f>
        <v>29.534821319999999</v>
      </c>
      <c r="J96">
        <f ca="1">IF(AND(ISNUMBER($J$325),$B$238=1),$J$325,HLOOKUP(INDIRECT(ADDRESS(2,COLUMN())),OFFSET($R$2,0,0,ROW()-1,12),ROW()-1,FALSE))</f>
        <v>29.802250220000001</v>
      </c>
      <c r="K96">
        <f ca="1">IF(AND(ISNUMBER($K$325),$B$238=1),$K$325,HLOOKUP(INDIRECT(ADDRESS(2,COLUMN())),OFFSET($R$2,0,0,ROW()-1,12),ROW()-1,FALSE))</f>
        <v>30.382945360000001</v>
      </c>
      <c r="L96">
        <f ca="1">IF(AND(ISNUMBER($L$325),$B$238=1),$L$325,HLOOKUP(INDIRECT(ADDRESS(2,COLUMN())),OFFSET($R$2,0,0,ROW()-1,12),ROW()-1,FALSE))</f>
        <v>30.874800969999999</v>
      </c>
      <c r="M96">
        <f ca="1">IF(AND(ISNUMBER($M$325),$B$238=1),$M$325,HLOOKUP(INDIRECT(ADDRESS(2,COLUMN())),OFFSET($R$2,0,0,ROW()-1,12),ROW()-1,FALSE))</f>
        <v>30.18236795</v>
      </c>
      <c r="N96">
        <f ca="1">IF(AND(ISNUMBER($N$325),$B$238=1),$N$325,HLOOKUP(INDIRECT(ADDRESS(2,COLUMN())),OFFSET($R$2,0,0,ROW()-1,12),ROW()-1,FALSE))</f>
        <v>30.661153689999999</v>
      </c>
      <c r="O96">
        <f ca="1">IF(AND(ISNUMBER($O$325),$B$238=1),$O$325,HLOOKUP(INDIRECT(ADDRESS(2,COLUMN())),OFFSET($R$2,0,0,ROW()-1,12),ROW()-1,FALSE))</f>
        <v>31.396564089999998</v>
      </c>
      <c r="P96">
        <f ca="1">IF(AND(ISNUMBER($P$325),$B$238=1),$P$325,HLOOKUP(INDIRECT(ADDRESS(2,COLUMN())),OFFSET($R$2,0,0,ROW()-1,12),ROW()-1,FALSE))</f>
        <v>29.5245067</v>
      </c>
      <c r="Q96">
        <f ca="1">IF(AND(ISNUMBER($Q$325),$B$238=1),$Q$325,HLOOKUP(INDIRECT(ADDRESS(2,COLUMN())),OFFSET($R$2,0,0,ROW()-1,12),ROW()-1,FALSE))</f>
        <v>28.386009290000001</v>
      </c>
      <c r="R96">
        <f>30.81032973</f>
        <v>30.810329729999999</v>
      </c>
      <c r="S96">
        <f>30.47716933</f>
        <v>30.477169329999999</v>
      </c>
      <c r="T96">
        <f>30.00230814</f>
        <v>30.00230814</v>
      </c>
      <c r="U96">
        <f>29.53482132</f>
        <v>29.534821319999999</v>
      </c>
      <c r="V96">
        <f>29.80225022</f>
        <v>29.802250220000001</v>
      </c>
      <c r="W96">
        <f>30.38294536</f>
        <v>30.382945360000001</v>
      </c>
      <c r="X96">
        <f>30.87480097</f>
        <v>30.874800969999999</v>
      </c>
      <c r="Y96">
        <f>30.18236795</f>
        <v>30.18236795</v>
      </c>
      <c r="Z96">
        <f>30.66115369</f>
        <v>30.661153689999999</v>
      </c>
      <c r="AA96">
        <f>31.39656409</f>
        <v>31.396564089999998</v>
      </c>
      <c r="AB96">
        <f>29.5245067</f>
        <v>29.5245067</v>
      </c>
      <c r="AC96">
        <f>28.38600929</f>
        <v>28.386009290000001</v>
      </c>
    </row>
    <row r="97" spans="1:29" x14ac:dyDescent="0.25">
      <c r="A97" t="str">
        <f>"    Amdocs Ltd"</f>
        <v xml:space="preserve">    Amdocs Ltd</v>
      </c>
      <c r="B97" t="str">
        <f>"DOX US Equity"</f>
        <v>DOX US Equity</v>
      </c>
      <c r="C97" t="str">
        <f t="shared" si="15"/>
        <v>RR057</v>
      </c>
      <c r="D97" t="str">
        <f t="shared" si="16"/>
        <v>GROSS_MARGIN</v>
      </c>
      <c r="E97" t="str">
        <f t="shared" si="17"/>
        <v>Dynamic</v>
      </c>
      <c r="F97">
        <f ca="1">IF(AND(ISNUMBER($F$326),$B$238=1),$F$326,HLOOKUP(INDIRECT(ADDRESS(2,COLUMN())),OFFSET($R$2,0,0,ROW()-1,12),ROW()-1,FALSE))</f>
        <v>35.077394329999997</v>
      </c>
      <c r="G97">
        <f ca="1">IF(AND(ISNUMBER($G$326),$B$238=1),$G$326,HLOOKUP(INDIRECT(ADDRESS(2,COLUMN())),OFFSET($R$2,0,0,ROW()-1,12),ROW()-1,FALSE))</f>
        <v>34.70736033</v>
      </c>
      <c r="H97">
        <f ca="1">IF(AND(ISNUMBER($H$326),$B$238=1),$H$326,HLOOKUP(INDIRECT(ADDRESS(2,COLUMN())),OFFSET($R$2,0,0,ROW()-1,12),ROW()-1,FALSE))</f>
        <v>35.155017059999999</v>
      </c>
      <c r="I97">
        <f ca="1">IF(AND(ISNUMBER($I$326),$B$238=1),$I$326,HLOOKUP(INDIRECT(ADDRESS(2,COLUMN())),OFFSET($R$2,0,0,ROW()-1,12),ROW()-1,FALSE))</f>
        <v>35.236909830000002</v>
      </c>
      <c r="J97">
        <f ca="1">IF(AND(ISNUMBER($J$326),$B$238=1),$J$326,HLOOKUP(INDIRECT(ADDRESS(2,COLUMN())),OFFSET($R$2,0,0,ROW()-1,12),ROW()-1,FALSE))</f>
        <v>35.516303110000003</v>
      </c>
      <c r="K97">
        <f ca="1">IF(AND(ISNUMBER($K$326),$B$238=1),$K$326,HLOOKUP(INDIRECT(ADDRESS(2,COLUMN())),OFFSET($R$2,0,0,ROW()-1,12),ROW()-1,FALSE))</f>
        <v>35.26579727</v>
      </c>
      <c r="L97">
        <f ca="1">IF(AND(ISNUMBER($L$326),$B$238=1),$L$326,HLOOKUP(INDIRECT(ADDRESS(2,COLUMN())),OFFSET($R$2,0,0,ROW()-1,12),ROW()-1,FALSE))</f>
        <v>35.231722599999998</v>
      </c>
      <c r="M97">
        <f ca="1">IF(AND(ISNUMBER($M$326),$B$238=1),$M$326,HLOOKUP(INDIRECT(ADDRESS(2,COLUMN())),OFFSET($R$2,0,0,ROW()-1,12),ROW()-1,FALSE))</f>
        <v>35.770548120000001</v>
      </c>
      <c r="N97">
        <f ca="1">IF(AND(ISNUMBER($N$326),$B$238=1),$N$326,HLOOKUP(INDIRECT(ADDRESS(2,COLUMN())),OFFSET($R$2,0,0,ROW()-1,12),ROW()-1,FALSE))</f>
        <v>34.87903936</v>
      </c>
      <c r="O97">
        <f ca="1">IF(AND(ISNUMBER($O$326),$B$238=1),$O$326,HLOOKUP(INDIRECT(ADDRESS(2,COLUMN())),OFFSET($R$2,0,0,ROW()-1,12),ROW()-1,FALSE))</f>
        <v>36.141970620000002</v>
      </c>
      <c r="P97">
        <f ca="1">IF(AND(ISNUMBER($P$326),$B$238=1),$P$326,HLOOKUP(INDIRECT(ADDRESS(2,COLUMN())),OFFSET($R$2,0,0,ROW()-1,12),ROW()-1,FALSE))</f>
        <v>35.910413130000002</v>
      </c>
      <c r="Q97">
        <f ca="1">IF(AND(ISNUMBER($Q$326),$B$238=1),$Q$326,HLOOKUP(INDIRECT(ADDRESS(2,COLUMN())),OFFSET($R$2,0,0,ROW()-1,12),ROW()-1,FALSE))</f>
        <v>35.9193712</v>
      </c>
      <c r="R97">
        <f>35.07739433</f>
        <v>35.077394329999997</v>
      </c>
      <c r="S97">
        <f>34.70736033</f>
        <v>34.70736033</v>
      </c>
      <c r="T97">
        <f>35.15501706</f>
        <v>35.155017059999999</v>
      </c>
      <c r="U97">
        <f>35.23690983</f>
        <v>35.236909830000002</v>
      </c>
      <c r="V97">
        <f>35.51630311</f>
        <v>35.516303110000003</v>
      </c>
      <c r="W97">
        <f>35.26579727</f>
        <v>35.26579727</v>
      </c>
      <c r="X97">
        <f>35.2317226</f>
        <v>35.231722599999998</v>
      </c>
      <c r="Y97">
        <f>35.77054812</f>
        <v>35.770548120000001</v>
      </c>
      <c r="Z97">
        <f>34.87903936</f>
        <v>34.87903936</v>
      </c>
      <c r="AA97">
        <f>36.14197062</f>
        <v>36.141970620000002</v>
      </c>
      <c r="AB97">
        <f>35.91041313</f>
        <v>35.910413130000002</v>
      </c>
      <c r="AC97">
        <f>35.9193712</f>
        <v>35.9193712</v>
      </c>
    </row>
    <row r="98" spans="1:29" x14ac:dyDescent="0.25">
      <c r="A98" t="str">
        <f>"    Atos SE"</f>
        <v xml:space="preserve">    Atos SE</v>
      </c>
      <c r="B98" t="str">
        <f>"ATO FP Equity"</f>
        <v>ATO FP Equity</v>
      </c>
      <c r="C98" t="str">
        <f t="shared" si="15"/>
        <v>RR057</v>
      </c>
      <c r="D98" t="str">
        <f t="shared" si="16"/>
        <v>GROSS_MARGIN</v>
      </c>
      <c r="E98" t="str">
        <f t="shared" si="17"/>
        <v>Dynamic</v>
      </c>
      <c r="F98" t="str">
        <f ca="1">IF(AND(ISNUMBER($F$327),$B$238=1),$F$327,HLOOKUP(INDIRECT(ADDRESS(2,COLUMN())),OFFSET($R$2,0,0,ROW()-1,12),ROW()-1,FALSE))</f>
        <v/>
      </c>
      <c r="G98" t="str">
        <f ca="1">IF(AND(ISNUMBER($G$327),$B$238=1),$G$327,HLOOKUP(INDIRECT(ADDRESS(2,COLUMN())),OFFSET($R$2,0,0,ROW()-1,12),ROW()-1,FALSE))</f>
        <v/>
      </c>
      <c r="H98" t="str">
        <f ca="1">IF(AND(ISNUMBER($H$327),$B$238=1),$H$327,HLOOKUP(INDIRECT(ADDRESS(2,COLUMN())),OFFSET($R$2,0,0,ROW()-1,12),ROW()-1,FALSE))</f>
        <v/>
      </c>
      <c r="I98" t="str">
        <f ca="1">IF(AND(ISNUMBER($I$327),$B$238=1),$I$327,HLOOKUP(INDIRECT(ADDRESS(2,COLUMN())),OFFSET($R$2,0,0,ROW()-1,12),ROW()-1,FALSE))</f>
        <v/>
      </c>
      <c r="J98" t="str">
        <f ca="1">IF(AND(ISNUMBER($J$327),$B$238=1),$J$327,HLOOKUP(INDIRECT(ADDRESS(2,COLUMN())),OFFSET($R$2,0,0,ROW()-1,12),ROW()-1,FALSE))</f>
        <v/>
      </c>
      <c r="K98" t="str">
        <f ca="1">IF(AND(ISNUMBER($K$327),$B$238=1),$K$327,HLOOKUP(INDIRECT(ADDRESS(2,COLUMN())),OFFSET($R$2,0,0,ROW()-1,12),ROW()-1,FALSE))</f>
        <v/>
      </c>
      <c r="L98" t="str">
        <f ca="1">IF(AND(ISNUMBER($L$327),$B$238=1),$L$327,HLOOKUP(INDIRECT(ADDRESS(2,COLUMN())),OFFSET($R$2,0,0,ROW()-1,12),ROW()-1,FALSE))</f>
        <v/>
      </c>
      <c r="M98" t="str">
        <f ca="1">IF(AND(ISNUMBER($M$327),$B$238=1),$M$327,HLOOKUP(INDIRECT(ADDRESS(2,COLUMN())),OFFSET($R$2,0,0,ROW()-1,12),ROW()-1,FALSE))</f>
        <v/>
      </c>
      <c r="N98" t="str">
        <f ca="1">IF(AND(ISNUMBER($N$327),$B$238=1),$N$327,HLOOKUP(INDIRECT(ADDRESS(2,COLUMN())),OFFSET($R$2,0,0,ROW()-1,12),ROW()-1,FALSE))</f>
        <v/>
      </c>
      <c r="O98" t="str">
        <f ca="1">IF(AND(ISNUMBER($O$327),$B$238=1),$O$327,HLOOKUP(INDIRECT(ADDRESS(2,COLUMN())),OFFSET($R$2,0,0,ROW()-1,12),ROW()-1,FALSE))</f>
        <v/>
      </c>
      <c r="P98" t="str">
        <f ca="1">IF(AND(ISNUMBER($P$327),$B$238=1),$P$327,HLOOKUP(INDIRECT(ADDRESS(2,COLUMN())),OFFSET($R$2,0,0,ROW()-1,12),ROW()-1,FALSE))</f>
        <v/>
      </c>
      <c r="Q98" t="str">
        <f ca="1">IF(AND(ISNUMBER($Q$327),$B$238=1),$Q$327,HLOOKUP(INDIRECT(ADDRESS(2,COLUMN())),OFFSET($R$2,0,0,ROW()-1,12),ROW()-1,FALSE))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t="str">
        <f>""</f>
        <v/>
      </c>
      <c r="AC98" t="str">
        <f>""</f>
        <v/>
      </c>
    </row>
    <row r="99" spans="1:29" x14ac:dyDescent="0.25">
      <c r="A99" t="str">
        <f>"    Capgemini SE"</f>
        <v xml:space="preserve">    Capgemini SE</v>
      </c>
      <c r="B99" t="str">
        <f>"CAP FP Equity"</f>
        <v>CAP FP Equity</v>
      </c>
      <c r="C99" t="str">
        <f t="shared" si="15"/>
        <v>RR057</v>
      </c>
      <c r="D99" t="str">
        <f t="shared" si="16"/>
        <v>GROSS_MARGIN</v>
      </c>
      <c r="E99" t="str">
        <f t="shared" si="17"/>
        <v>Dynamic</v>
      </c>
      <c r="F99">
        <f ca="1">IF(AND(ISNUMBER($F$328),$B$238=1),$F$328,HLOOKUP(INDIRECT(ADDRESS(2,COLUMN())),OFFSET($R$2,0,0,ROW()-1,12),ROW()-1,FALSE))</f>
        <v>27.263716809999998</v>
      </c>
      <c r="G99">
        <f ca="1">IF(AND(ISNUMBER($G$328),$B$238=1),$G$328,HLOOKUP(INDIRECT(ADDRESS(2,COLUMN())),OFFSET($R$2,0,0,ROW()-1,12),ROW()-1,FALSE))</f>
        <v>27.051602639999999</v>
      </c>
      <c r="H99">
        <f ca="1">IF(AND(ISNUMBER($H$328),$B$238=1),$H$328,HLOOKUP(INDIRECT(ADDRESS(2,COLUMN())),OFFSET($R$2,0,0,ROW()-1,12),ROW()-1,FALSE))</f>
        <v>27.017964070000001</v>
      </c>
      <c r="I99">
        <f ca="1">IF(AND(ISNUMBER($I$328),$B$238=1),$I$328,HLOOKUP(INDIRECT(ADDRESS(2,COLUMN())),OFFSET($R$2,0,0,ROW()-1,12),ROW()-1,FALSE))</f>
        <v>26.76449478</v>
      </c>
      <c r="J99">
        <f ca="1">IF(AND(ISNUMBER($J$328),$B$238=1),$J$328,HLOOKUP(INDIRECT(ADDRESS(2,COLUMN())),OFFSET($R$2,0,0,ROW()-1,12),ROW()-1,FALSE))</f>
        <v>25.82459085</v>
      </c>
      <c r="K99">
        <f ca="1">IF(AND(ISNUMBER($K$328),$B$238=1),$K$328,HLOOKUP(INDIRECT(ADDRESS(2,COLUMN())),OFFSET($R$2,0,0,ROW()-1,12),ROW()-1,FALSE))</f>
        <v>24.713893880000001</v>
      </c>
      <c r="L99">
        <f ca="1">IF(AND(ISNUMBER($L$328),$B$238=1),$L$328,HLOOKUP(INDIRECT(ADDRESS(2,COLUMN())),OFFSET($R$2,0,0,ROW()-1,12),ROW()-1,FALSE))</f>
        <v>24.336107810000001</v>
      </c>
      <c r="M99">
        <f ca="1">IF(AND(ISNUMBER($M$328),$B$238=1),$M$328,HLOOKUP(INDIRECT(ADDRESS(2,COLUMN())),OFFSET($R$2,0,0,ROW()-1,12),ROW()-1,FALSE))</f>
        <v>23.597038189999999</v>
      </c>
      <c r="N99">
        <f ca="1">IF(AND(ISNUMBER($N$328),$B$238=1),$N$328,HLOOKUP(INDIRECT(ADDRESS(2,COLUMN())),OFFSET($R$2,0,0,ROW()-1,12),ROW()-1,FALSE))</f>
        <v>23.39832869</v>
      </c>
      <c r="O99">
        <f ca="1">IF(AND(ISNUMBER($O$328),$B$238=1),$O$328,HLOOKUP(INDIRECT(ADDRESS(2,COLUMN())),OFFSET($R$2,0,0,ROW()-1,12),ROW()-1,FALSE))</f>
        <v>23.75531793</v>
      </c>
      <c r="P99">
        <f ca="1">IF(AND(ISNUMBER($P$328),$B$238=1),$P$328,HLOOKUP(INDIRECT(ADDRESS(2,COLUMN())),OFFSET($R$2,0,0,ROW()-1,12),ROW()-1,FALSE))</f>
        <v>23.95173814</v>
      </c>
      <c r="Q99">
        <f ca="1">IF(AND(ISNUMBER($Q$328),$B$238=1),$Q$328,HLOOKUP(INDIRECT(ADDRESS(2,COLUMN())),OFFSET($R$2,0,0,ROW()-1,12),ROW()-1,FALSE))</f>
        <v>25.625717569999999</v>
      </c>
      <c r="R99">
        <f>27.26371681</f>
        <v>27.263716809999998</v>
      </c>
      <c r="S99">
        <f>27.05160264</f>
        <v>27.051602639999999</v>
      </c>
      <c r="T99">
        <f>27.01796407</f>
        <v>27.017964070000001</v>
      </c>
      <c r="U99">
        <f>26.76449478</f>
        <v>26.76449478</v>
      </c>
      <c r="V99">
        <f>25.82459085</f>
        <v>25.82459085</v>
      </c>
      <c r="W99">
        <f>24.71389388</f>
        <v>24.713893880000001</v>
      </c>
      <c r="X99">
        <f>24.33610781</f>
        <v>24.336107810000001</v>
      </c>
      <c r="Y99">
        <f>23.59703819</f>
        <v>23.597038189999999</v>
      </c>
      <c r="Z99">
        <f>23.39832869</f>
        <v>23.39832869</v>
      </c>
      <c r="AA99">
        <f>23.75531793</f>
        <v>23.75531793</v>
      </c>
      <c r="AB99">
        <f>23.95173814</f>
        <v>23.95173814</v>
      </c>
      <c r="AC99">
        <f>25.62571757</f>
        <v>25.625717569999999</v>
      </c>
    </row>
    <row r="100" spans="1:29" x14ac:dyDescent="0.25">
      <c r="A100" t="str">
        <f>"    CGI Inc"</f>
        <v xml:space="preserve">    CGI Inc</v>
      </c>
      <c r="B100" t="str">
        <f>"GIB US Equity"</f>
        <v>GIB US Equity</v>
      </c>
      <c r="C100" t="str">
        <f t="shared" si="15"/>
        <v>RR057</v>
      </c>
      <c r="D100" t="str">
        <f t="shared" si="16"/>
        <v>GROSS_MARGIN</v>
      </c>
      <c r="E100" t="str">
        <f t="shared" si="17"/>
        <v>Dynamic</v>
      </c>
      <c r="F100">
        <f ca="1">IF(AND(ISNUMBER($F$329),$B$238=1),$F$329,HLOOKUP(INDIRECT(ADDRESS(2,COLUMN())),OFFSET($R$2,0,0,ROW()-1,12),ROW()-1,FALSE))</f>
        <v>15.087056349999999</v>
      </c>
      <c r="G100">
        <f ca="1">IF(AND(ISNUMBER($G$329),$B$238=1),$G$329,HLOOKUP(INDIRECT(ADDRESS(2,COLUMN())),OFFSET($R$2,0,0,ROW()-1,12),ROW()-1,FALSE))</f>
        <v>14.817588689999999</v>
      </c>
      <c r="H100">
        <f ca="1">IF(AND(ISNUMBER($H$329),$B$238=1),$H$329,HLOOKUP(INDIRECT(ADDRESS(2,COLUMN())),OFFSET($R$2,0,0,ROW()-1,12),ROW()-1,FALSE))</f>
        <v>14.637135450000001</v>
      </c>
      <c r="I100">
        <f ca="1">IF(AND(ISNUMBER($I$329),$B$238=1),$I$329,HLOOKUP(INDIRECT(ADDRESS(2,COLUMN())),OFFSET($R$2,0,0,ROW()-1,12),ROW()-1,FALSE))</f>
        <v>14.624135470000001</v>
      </c>
      <c r="J100">
        <f ca="1">IF(AND(ISNUMBER($J$329),$B$238=1),$J$329,HLOOKUP(INDIRECT(ADDRESS(2,COLUMN())),OFFSET($R$2,0,0,ROW()-1,12),ROW()-1,FALSE))</f>
        <v>14.2707038</v>
      </c>
      <c r="K100">
        <f ca="1">IF(AND(ISNUMBER($K$329),$B$238=1),$K$329,HLOOKUP(INDIRECT(ADDRESS(2,COLUMN())),OFFSET($R$2,0,0,ROW()-1,12),ROW()-1,FALSE))</f>
        <v>13.0470589</v>
      </c>
      <c r="L100">
        <f ca="1">IF(AND(ISNUMBER($L$329),$B$238=1),$L$329,HLOOKUP(INDIRECT(ADDRESS(2,COLUMN())),OFFSET($R$2,0,0,ROW()-1,12),ROW()-1,FALSE))</f>
        <v>10.63315796</v>
      </c>
      <c r="M100">
        <f ca="1">IF(AND(ISNUMBER($M$329),$B$238=1),$M$329,HLOOKUP(INDIRECT(ADDRESS(2,COLUMN())),OFFSET($R$2,0,0,ROW()-1,12),ROW()-1,FALSE))</f>
        <v>11.432168860000001</v>
      </c>
      <c r="N100">
        <f ca="1">IF(AND(ISNUMBER($N$329),$B$238=1),$N$329,HLOOKUP(INDIRECT(ADDRESS(2,COLUMN())),OFFSET($R$2,0,0,ROW()-1,12),ROW()-1,FALSE))</f>
        <v>12.618118340000001</v>
      </c>
      <c r="O100">
        <f ca="1">IF(AND(ISNUMBER($O$329),$B$238=1),$O$329,HLOOKUP(INDIRECT(ADDRESS(2,COLUMN())),OFFSET($R$2,0,0,ROW()-1,12),ROW()-1,FALSE))</f>
        <v>18.924755040000001</v>
      </c>
      <c r="P100">
        <f ca="1">IF(AND(ISNUMBER($P$329),$B$238=1),$P$329,HLOOKUP(INDIRECT(ADDRESS(2,COLUMN())),OFFSET($R$2,0,0,ROW()-1,12),ROW()-1,FALSE))</f>
        <v>17.117057299999999</v>
      </c>
      <c r="Q100">
        <f ca="1">IF(AND(ISNUMBER($Q$329),$B$238=1),$Q$329,HLOOKUP(INDIRECT(ADDRESS(2,COLUMN())),OFFSET($R$2,0,0,ROW()-1,12),ROW()-1,FALSE))</f>
        <v>11.65534182</v>
      </c>
      <c r="R100">
        <f>15.08705635</f>
        <v>15.087056349999999</v>
      </c>
      <c r="S100">
        <f>14.81758869</f>
        <v>14.817588689999999</v>
      </c>
      <c r="T100">
        <f>14.63713545</f>
        <v>14.637135450000001</v>
      </c>
      <c r="U100">
        <f>14.62413547</f>
        <v>14.624135470000001</v>
      </c>
      <c r="V100">
        <f>14.2707038</f>
        <v>14.2707038</v>
      </c>
      <c r="W100">
        <f>13.0470589</f>
        <v>13.0470589</v>
      </c>
      <c r="X100">
        <f>10.63315796</f>
        <v>10.63315796</v>
      </c>
      <c r="Y100">
        <f>11.43216886</f>
        <v>11.432168860000001</v>
      </c>
      <c r="Z100">
        <f>12.61811834</f>
        <v>12.618118340000001</v>
      </c>
      <c r="AA100">
        <f>18.92475504</f>
        <v>18.924755040000001</v>
      </c>
      <c r="AB100">
        <f>17.1170573</f>
        <v>17.117057299999999</v>
      </c>
      <c r="AC100">
        <f>11.65534182</f>
        <v>11.65534182</v>
      </c>
    </row>
    <row r="101" spans="1:29" x14ac:dyDescent="0.25">
      <c r="A101" t="str">
        <f>"    Cognizant Technology Solutions Corp"</f>
        <v xml:space="preserve">    Cognizant Technology Solutions Corp</v>
      </c>
      <c r="B101" t="str">
        <f>"CTSH US Equity"</f>
        <v>CTSH US Equity</v>
      </c>
      <c r="C101" t="str">
        <f t="shared" si="15"/>
        <v>RR057</v>
      </c>
      <c r="D101" t="str">
        <f t="shared" si="16"/>
        <v>GROSS_MARGIN</v>
      </c>
      <c r="E101" t="str">
        <f t="shared" si="17"/>
        <v>Dynamic</v>
      </c>
      <c r="F101">
        <f ca="1">IF(AND(ISNUMBER($F$330),$B$238=1),$F$330,HLOOKUP(INDIRECT(ADDRESS(2,COLUMN())),OFFSET($R$2,0,0,ROW()-1,12),ROW()-1,FALSE))</f>
        <v>36.638264909999997</v>
      </c>
      <c r="G101">
        <f ca="1">IF(AND(ISNUMBER($G$330),$B$238=1),$G$330,HLOOKUP(INDIRECT(ADDRESS(2,COLUMN())),OFFSET($R$2,0,0,ROW()-1,12),ROW()-1,FALSE))</f>
        <v>38.989147289999998</v>
      </c>
      <c r="H101">
        <f ca="1">IF(AND(ISNUMBER($H$330),$B$238=1),$H$330,HLOOKUP(INDIRECT(ADDRESS(2,COLUMN())),OFFSET($R$2,0,0,ROW()-1,12),ROW()-1,FALSE))</f>
        <v>38.203916270000001</v>
      </c>
      <c r="I101">
        <f ca="1">IF(AND(ISNUMBER($I$330),$B$238=1),$I$330,HLOOKUP(INDIRECT(ADDRESS(2,COLUMN())),OFFSET($R$2,0,0,ROW()-1,12),ROW()-1,FALSE))</f>
        <v>39.882850150000003</v>
      </c>
      <c r="J101">
        <f ca="1">IF(AND(ISNUMBER($J$330),$B$238=1),$J$330,HLOOKUP(INDIRECT(ADDRESS(2,COLUMN())),OFFSET($R$2,0,0,ROW()-1,12),ROW()-1,FALSE))</f>
        <v>40.077319590000002</v>
      </c>
      <c r="K101">
        <f ca="1">IF(AND(ISNUMBER($K$330),$B$238=1),$K$330,HLOOKUP(INDIRECT(ADDRESS(2,COLUMN())),OFFSET($R$2,0,0,ROW()-1,12),ROW()-1,FALSE))</f>
        <v>40.160971279999998</v>
      </c>
      <c r="L101">
        <f ca="1">IF(AND(ISNUMBER($L$330),$B$238=1),$L$330,HLOOKUP(INDIRECT(ADDRESS(2,COLUMN())),OFFSET($R$2,0,0,ROW()-1,12),ROW()-1,FALSE))</f>
        <v>40.457350849999997</v>
      </c>
      <c r="M101">
        <f ca="1">IF(AND(ISNUMBER($M$330),$B$238=1),$M$330,HLOOKUP(INDIRECT(ADDRESS(2,COLUMN())),OFFSET($R$2,0,0,ROW()-1,12),ROW()-1,FALSE))</f>
        <v>41.764686509999997</v>
      </c>
      <c r="N101">
        <f ca="1">IF(AND(ISNUMBER($N$330),$B$238=1),$N$330,HLOOKUP(INDIRECT(ADDRESS(2,COLUMN())),OFFSET($R$2,0,0,ROW()-1,12),ROW()-1,FALSE))</f>
        <v>42.1902987</v>
      </c>
      <c r="O101">
        <f ca="1">IF(AND(ISNUMBER($O$330),$B$238=1),$O$330,HLOOKUP(INDIRECT(ADDRESS(2,COLUMN())),OFFSET($R$2,0,0,ROW()-1,12),ROW()-1,FALSE))</f>
        <v>42.196338330000003</v>
      </c>
      <c r="P101">
        <f ca="1">IF(AND(ISNUMBER($P$330),$B$238=1),$P$330,HLOOKUP(INDIRECT(ADDRESS(2,COLUMN())),OFFSET($R$2,0,0,ROW()-1,12),ROW()-1,FALSE))</f>
        <v>43.591549360000002</v>
      </c>
      <c r="Q101">
        <f ca="1">IF(AND(ISNUMBER($Q$330),$B$238=1),$Q$330,HLOOKUP(INDIRECT(ADDRESS(2,COLUMN())),OFFSET($R$2,0,0,ROW()-1,12),ROW()-1,FALSE))</f>
        <v>44.153188010000001</v>
      </c>
      <c r="R101">
        <f>36.63826491</f>
        <v>36.638264909999997</v>
      </c>
      <c r="S101">
        <f>38.98914729</f>
        <v>38.989147289999998</v>
      </c>
      <c r="T101">
        <f>38.20391627</f>
        <v>38.203916270000001</v>
      </c>
      <c r="U101">
        <f>39.88285015</f>
        <v>39.882850150000003</v>
      </c>
      <c r="V101">
        <f>40.07731959</f>
        <v>40.077319590000002</v>
      </c>
      <c r="W101">
        <f>40.16097128</f>
        <v>40.160971279999998</v>
      </c>
      <c r="X101">
        <f>40.45735085</f>
        <v>40.457350849999997</v>
      </c>
      <c r="Y101">
        <f>41.76468651</f>
        <v>41.764686509999997</v>
      </c>
      <c r="Z101">
        <f>42.1902987</f>
        <v>42.1902987</v>
      </c>
      <c r="AA101">
        <f>42.19633833</f>
        <v>42.196338330000003</v>
      </c>
      <c r="AB101">
        <f>43.59154936</f>
        <v>43.591549360000002</v>
      </c>
      <c r="AC101">
        <f>44.15318801</f>
        <v>44.153188010000001</v>
      </c>
    </row>
    <row r="102" spans="1:29" x14ac:dyDescent="0.25">
      <c r="A102" t="str">
        <f>"    Conduent Inc"</f>
        <v xml:space="preserve">    Conduent Inc</v>
      </c>
      <c r="B102" t="str">
        <f>"CNDT US Equity"</f>
        <v>CNDT US Equity</v>
      </c>
      <c r="C102" t="str">
        <f t="shared" si="15"/>
        <v>RR057</v>
      </c>
      <c r="D102" t="str">
        <f t="shared" si="16"/>
        <v>GROSS_MARGIN</v>
      </c>
      <c r="E102" t="str">
        <f t="shared" si="17"/>
        <v>Dynamic</v>
      </c>
      <c r="F102">
        <f ca="1">IF(AND(ISNUMBER($F$331),$B$238=1),$F$331,HLOOKUP(INDIRECT(ADDRESS(2,COLUMN())),OFFSET($R$2,0,0,ROW()-1,12),ROW()-1,FALSE))</f>
        <v>21.781956569999998</v>
      </c>
      <c r="G102">
        <f ca="1">IF(AND(ISNUMBER($G$331),$B$238=1),$G$331,HLOOKUP(INDIRECT(ADDRESS(2,COLUMN())),OFFSET($R$2,0,0,ROW()-1,12),ROW()-1,FALSE))</f>
        <v>22.455034300000001</v>
      </c>
      <c r="H102">
        <f ca="1">IF(AND(ISNUMBER($H$331),$B$238=1),$H$331,HLOOKUP(INDIRECT(ADDRESS(2,COLUMN())),OFFSET($R$2,0,0,ROW()-1,12),ROW()-1,FALSE))</f>
        <v>21.45466622</v>
      </c>
      <c r="I102">
        <f ca="1">IF(AND(ISNUMBER($I$331),$B$238=1),$I$331,HLOOKUP(INDIRECT(ADDRESS(2,COLUMN())),OFFSET($R$2,0,0,ROW()-1,12),ROW()-1,FALSE))</f>
        <v>14.20099875</v>
      </c>
      <c r="J102">
        <f ca="1">IF(AND(ISNUMBER($J$331),$B$238=1),$J$331,HLOOKUP(INDIRECT(ADDRESS(2,COLUMN())),OFFSET($R$2,0,0,ROW()-1,12),ROW()-1,FALSE))</f>
        <v>10.28219754</v>
      </c>
      <c r="K102">
        <f ca="1">IF(AND(ISNUMBER($K$331),$B$238=1),$K$331,HLOOKUP(INDIRECT(ADDRESS(2,COLUMN())),OFFSET($R$2,0,0,ROW()-1,12),ROW()-1,FALSE))</f>
        <v>16.402421449999999</v>
      </c>
      <c r="L102">
        <f ca="1">IF(AND(ISNUMBER($L$331),$B$238=1),$L$331,HLOOKUP(INDIRECT(ADDRESS(2,COLUMN())),OFFSET($R$2,0,0,ROW()-1,12),ROW()-1,FALSE))</f>
        <v>18.011338859999999</v>
      </c>
      <c r="M102" t="str">
        <f ca="1">IF(AND(ISNUMBER($M$331),$B$238=1),$M$331,HLOOKUP(INDIRECT(ADDRESS(2,COLUMN())),OFFSET($R$2,0,0,ROW()-1,12),ROW()-1,FALSE))</f>
        <v/>
      </c>
      <c r="N102" t="str">
        <f ca="1">IF(AND(ISNUMBER($N$331),$B$238=1),$N$331,HLOOKUP(INDIRECT(ADDRESS(2,COLUMN())),OFFSET($R$2,0,0,ROW()-1,12),ROW()-1,FALSE))</f>
        <v/>
      </c>
      <c r="O102" t="str">
        <f ca="1">IF(AND(ISNUMBER($O$331),$B$238=1),$O$331,HLOOKUP(INDIRECT(ADDRESS(2,COLUMN())),OFFSET($R$2,0,0,ROW()-1,12),ROW()-1,FALSE))</f>
        <v/>
      </c>
      <c r="P102" t="str">
        <f ca="1">IF(AND(ISNUMBER($P$331),$B$238=1),$P$331,HLOOKUP(INDIRECT(ADDRESS(2,COLUMN())),OFFSET($R$2,0,0,ROW()-1,12),ROW()-1,FALSE))</f>
        <v/>
      </c>
      <c r="Q102" t="str">
        <f ca="1">IF(AND(ISNUMBER($Q$331),$B$238=1),$Q$331,HLOOKUP(INDIRECT(ADDRESS(2,COLUMN())),OFFSET($R$2,0,0,ROW()-1,12),ROW()-1,FALSE))</f>
        <v/>
      </c>
      <c r="R102">
        <f>21.78195657</f>
        <v>21.781956569999998</v>
      </c>
      <c r="S102">
        <f>22.4550343</f>
        <v>22.455034300000001</v>
      </c>
      <c r="T102">
        <f>21.45466622</f>
        <v>21.45466622</v>
      </c>
      <c r="U102">
        <f>14.20099875</f>
        <v>14.20099875</v>
      </c>
      <c r="V102">
        <f>10.28219754</f>
        <v>10.28219754</v>
      </c>
      <c r="W102">
        <f>16.40242145</f>
        <v>16.402421449999999</v>
      </c>
      <c r="X102">
        <f>18.01133886</f>
        <v>18.011338859999999</v>
      </c>
      <c r="Y102" t="str">
        <f>""</f>
        <v/>
      </c>
      <c r="Z102" t="str">
        <f>""</f>
        <v/>
      </c>
      <c r="AA102" t="str">
        <f>""</f>
        <v/>
      </c>
      <c r="AB102" t="str">
        <f>""</f>
        <v/>
      </c>
      <c r="AC102" t="str">
        <f>""</f>
        <v/>
      </c>
    </row>
    <row r="103" spans="1:29" x14ac:dyDescent="0.25">
      <c r="A103" t="str">
        <f>"    DXC Technology Co"</f>
        <v xml:space="preserve">    DXC Technology Co</v>
      </c>
      <c r="B103" t="str">
        <f>"DXC US Equity"</f>
        <v>DXC US Equity</v>
      </c>
      <c r="C103" t="str">
        <f t="shared" si="15"/>
        <v>RR057</v>
      </c>
      <c r="D103" t="str">
        <f t="shared" si="16"/>
        <v>GROSS_MARGIN</v>
      </c>
      <c r="E103" t="str">
        <f t="shared" si="17"/>
        <v>Dynamic</v>
      </c>
      <c r="F103">
        <f ca="1">IF(AND(ISNUMBER($F$332),$B$238=1),$F$332,HLOOKUP(INDIRECT(ADDRESS(2,COLUMN())),OFFSET($R$2,0,0,ROW()-1,12),ROW()-1,FALSE))</f>
        <v>23.885171369999998</v>
      </c>
      <c r="G103">
        <f ca="1">IF(AND(ISNUMBER($G$332),$B$238=1),$G$332,HLOOKUP(INDIRECT(ADDRESS(2,COLUMN())),OFFSET($R$2,0,0,ROW()-1,12),ROW()-1,FALSE))</f>
        <v>27.98149665</v>
      </c>
      <c r="H103">
        <f ca="1">IF(AND(ISNUMBER($H$332),$B$238=1),$H$332,HLOOKUP(INDIRECT(ADDRESS(2,COLUMN())),OFFSET($R$2,0,0,ROW()-1,12),ROW()-1,FALSE))</f>
        <v>24.920627620000001</v>
      </c>
      <c r="I103">
        <f ca="1">IF(AND(ISNUMBER($I$332),$B$238=1),$I$332,HLOOKUP(INDIRECT(ADDRESS(2,COLUMN())),OFFSET($R$2,0,0,ROW()-1,12),ROW()-1,FALSE))</f>
        <v>21.83980468</v>
      </c>
      <c r="J103" t="str">
        <f ca="1">IF(AND(ISNUMBER($J$332),$B$238=1),$J$332,HLOOKUP(INDIRECT(ADDRESS(2,COLUMN())),OFFSET($R$2,0,0,ROW()-1,12),ROW()-1,FALSE))</f>
        <v/>
      </c>
      <c r="K103" t="str">
        <f ca="1">IF(AND(ISNUMBER($K$332),$B$238=1),$K$332,HLOOKUP(INDIRECT(ADDRESS(2,COLUMN())),OFFSET($R$2,0,0,ROW()-1,12),ROW()-1,FALSE))</f>
        <v/>
      </c>
      <c r="L103" t="str">
        <f ca="1">IF(AND(ISNUMBER($L$332),$B$238=1),$L$332,HLOOKUP(INDIRECT(ADDRESS(2,COLUMN())),OFFSET($R$2,0,0,ROW()-1,12),ROW()-1,FALSE))</f>
        <v/>
      </c>
      <c r="M103" t="str">
        <f ca="1">IF(AND(ISNUMBER($M$332),$B$238=1),$M$332,HLOOKUP(INDIRECT(ADDRESS(2,COLUMN())),OFFSET($R$2,0,0,ROW()-1,12),ROW()-1,FALSE))</f>
        <v/>
      </c>
      <c r="N103" t="str">
        <f ca="1">IF(AND(ISNUMBER($N$332),$B$238=1),$N$332,HLOOKUP(INDIRECT(ADDRESS(2,COLUMN())),OFFSET($R$2,0,0,ROW()-1,12),ROW()-1,FALSE))</f>
        <v/>
      </c>
      <c r="O103" t="str">
        <f ca="1">IF(AND(ISNUMBER($O$332),$B$238=1),$O$332,HLOOKUP(INDIRECT(ADDRESS(2,COLUMN())),OFFSET($R$2,0,0,ROW()-1,12),ROW()-1,FALSE))</f>
        <v/>
      </c>
      <c r="P103" t="str">
        <f ca="1">IF(AND(ISNUMBER($P$332),$B$238=1),$P$332,HLOOKUP(INDIRECT(ADDRESS(2,COLUMN())),OFFSET($R$2,0,0,ROW()-1,12),ROW()-1,FALSE))</f>
        <v/>
      </c>
      <c r="Q103" t="str">
        <f ca="1">IF(AND(ISNUMBER($Q$332),$B$238=1),$Q$332,HLOOKUP(INDIRECT(ADDRESS(2,COLUMN())),OFFSET($R$2,0,0,ROW()-1,12),ROW()-1,FALSE))</f>
        <v/>
      </c>
      <c r="R103">
        <f>23.88517137</f>
        <v>23.885171369999998</v>
      </c>
      <c r="S103">
        <f>27.98149665</f>
        <v>27.98149665</v>
      </c>
      <c r="T103">
        <f>24.92062762</f>
        <v>24.920627620000001</v>
      </c>
      <c r="U103">
        <f>21.83980468</f>
        <v>21.83980468</v>
      </c>
      <c r="V103" t="str">
        <f>""</f>
        <v/>
      </c>
      <c r="W103" t="str">
        <f>""</f>
        <v/>
      </c>
      <c r="X103" t="str">
        <f>""</f>
        <v/>
      </c>
      <c r="Y103" t="str">
        <f>""</f>
        <v/>
      </c>
      <c r="Z103" t="str">
        <f>""</f>
        <v/>
      </c>
      <c r="AA103" t="str">
        <f>""</f>
        <v/>
      </c>
      <c r="AB103" t="str">
        <f>""</f>
        <v/>
      </c>
      <c r="AC103" t="str">
        <f>""</f>
        <v/>
      </c>
    </row>
    <row r="104" spans="1:29" x14ac:dyDescent="0.25">
      <c r="A104" t="str">
        <f>"    EPAM Systems Inc"</f>
        <v xml:space="preserve">    EPAM Systems Inc</v>
      </c>
      <c r="B104" t="str">
        <f>"EPAM US Equity"</f>
        <v>EPAM US Equity</v>
      </c>
      <c r="C104" t="str">
        <f t="shared" si="15"/>
        <v>RR057</v>
      </c>
      <c r="D104" t="str">
        <f t="shared" si="16"/>
        <v>GROSS_MARGIN</v>
      </c>
      <c r="E104" t="str">
        <f t="shared" si="17"/>
        <v>Dynamic</v>
      </c>
      <c r="F104">
        <f ca="1">IF(AND(ISNUMBER($F$333),$B$238=1),$F$333,HLOOKUP(INDIRECT(ADDRESS(2,COLUMN())),OFFSET($R$2,0,0,ROW()-1,12),ROW()-1,FALSE))</f>
        <v>35.120790929999998</v>
      </c>
      <c r="G104">
        <f ca="1">IF(AND(ISNUMBER($G$333),$B$238=1),$G$333,HLOOKUP(INDIRECT(ADDRESS(2,COLUMN())),OFFSET($R$2,0,0,ROW()-1,12),ROW()-1,FALSE))</f>
        <v>35.595351270000002</v>
      </c>
      <c r="H104">
        <f ca="1">IF(AND(ISNUMBER($H$333),$B$238=1),$H$333,HLOOKUP(INDIRECT(ADDRESS(2,COLUMN())),OFFSET($R$2,0,0,ROW()-1,12),ROW()-1,FALSE))</f>
        <v>36.478108829999996</v>
      </c>
      <c r="I104">
        <f ca="1">IF(AND(ISNUMBER($I$333),$B$238=1),$I$333,HLOOKUP(INDIRECT(ADDRESS(2,COLUMN())),OFFSET($R$2,0,0,ROW()-1,12),ROW()-1,FALSE))</f>
        <v>36.456713550000003</v>
      </c>
      <c r="J104">
        <f ca="1">IF(AND(ISNUMBER($J$333),$B$238=1),$J$333,HLOOKUP(INDIRECT(ADDRESS(2,COLUMN())),OFFSET($R$2,0,0,ROW()-1,12),ROW()-1,FALSE))</f>
        <v>37.983192729999999</v>
      </c>
      <c r="K104">
        <f ca="1">IF(AND(ISNUMBER($K$333),$B$238=1),$K$333,HLOOKUP(INDIRECT(ADDRESS(2,COLUMN())),OFFSET($R$2,0,0,ROW()-1,12),ROW()-1,FALSE))</f>
        <v>37.463956809999999</v>
      </c>
      <c r="L104">
        <f ca="1">IF(AND(ISNUMBER($L$333),$B$238=1),$L$333,HLOOKUP(INDIRECT(ADDRESS(2,COLUMN())),OFFSET($R$2,0,0,ROW()-1,12),ROW()-1,FALSE))</f>
        <v>37.37356269</v>
      </c>
      <c r="M104">
        <f ca="1">IF(AND(ISNUMBER($M$333),$B$238=1),$M$333,HLOOKUP(INDIRECT(ADDRESS(2,COLUMN())),OFFSET($R$2,0,0,ROW()-1,12),ROW()-1,FALSE))</f>
        <v>37.675974359999998</v>
      </c>
      <c r="N104">
        <f ca="1">IF(AND(ISNUMBER($N$333),$B$238=1),$N$333,HLOOKUP(INDIRECT(ADDRESS(2,COLUMN())),OFFSET($R$2,0,0,ROW()-1,12),ROW()-1,FALSE))</f>
        <v>38.619188829999999</v>
      </c>
      <c r="O104">
        <f ca="1">IF(AND(ISNUMBER($O$333),$B$238=1),$O$333,HLOOKUP(INDIRECT(ADDRESS(2,COLUMN())),OFFSET($R$2,0,0,ROW()-1,12),ROW()-1,FALSE))</f>
        <v>40.255337560000001</v>
      </c>
      <c r="P104">
        <f ca="1">IF(AND(ISNUMBER($P$333),$B$238=1),$P$333,HLOOKUP(INDIRECT(ADDRESS(2,COLUMN())),OFFSET($R$2,0,0,ROW()-1,12),ROW()-1,FALSE))</f>
        <v>41.29145853</v>
      </c>
      <c r="Q104">
        <f ca="1">IF(AND(ISNUMBER($Q$333),$B$238=1),$Q$333,HLOOKUP(INDIRECT(ADDRESS(2,COLUMN())),OFFSET($R$2,0,0,ROW()-1,12),ROW()-1,FALSE))</f>
        <v>43.221151450000001</v>
      </c>
      <c r="R104">
        <f>35.12079093</f>
        <v>35.120790929999998</v>
      </c>
      <c r="S104">
        <f>35.59535127</f>
        <v>35.595351270000002</v>
      </c>
      <c r="T104">
        <f>36.47810883</f>
        <v>36.478108829999996</v>
      </c>
      <c r="U104">
        <f>36.45671355</f>
        <v>36.456713550000003</v>
      </c>
      <c r="V104">
        <f>37.98319273</f>
        <v>37.983192729999999</v>
      </c>
      <c r="W104">
        <f>37.46395681</f>
        <v>37.463956809999999</v>
      </c>
      <c r="X104">
        <f>37.37356269</f>
        <v>37.37356269</v>
      </c>
      <c r="Y104">
        <f>37.67597436</f>
        <v>37.675974359999998</v>
      </c>
      <c r="Z104">
        <f>38.61918883</f>
        <v>38.619188829999999</v>
      </c>
      <c r="AA104">
        <f>40.25533756</f>
        <v>40.255337560000001</v>
      </c>
      <c r="AB104">
        <f>41.29145853</f>
        <v>41.29145853</v>
      </c>
      <c r="AC104">
        <f>43.22115145</f>
        <v>43.221151450000001</v>
      </c>
    </row>
    <row r="105" spans="1:29" x14ac:dyDescent="0.25">
      <c r="A105" t="str">
        <f>"    Genpact Ltd"</f>
        <v xml:space="preserve">    Genpact Ltd</v>
      </c>
      <c r="B105" t="str">
        <f>"G US Equity"</f>
        <v>G US Equity</v>
      </c>
      <c r="C105" t="str">
        <f t="shared" si="15"/>
        <v>RR057</v>
      </c>
      <c r="D105" t="str">
        <f t="shared" si="16"/>
        <v>GROSS_MARGIN</v>
      </c>
      <c r="E105" t="str">
        <f t="shared" si="17"/>
        <v>Dynamic</v>
      </c>
      <c r="F105">
        <f ca="1">IF(AND(ISNUMBER($F$334),$B$238=1),$F$334,HLOOKUP(INDIRECT(ADDRESS(2,COLUMN())),OFFSET($R$2,0,0,ROW()-1,12),ROW()-1,FALSE))</f>
        <v>34.820054749999997</v>
      </c>
      <c r="G105">
        <f ca="1">IF(AND(ISNUMBER($G$334),$B$238=1),$G$334,HLOOKUP(INDIRECT(ADDRESS(2,COLUMN())),OFFSET($R$2,0,0,ROW()-1,12),ROW()-1,FALSE))</f>
        <v>35.957931080000002</v>
      </c>
      <c r="H105">
        <f ca="1">IF(AND(ISNUMBER($H$334),$B$238=1),$H$334,HLOOKUP(INDIRECT(ADDRESS(2,COLUMN())),OFFSET($R$2,0,0,ROW()-1,12),ROW()-1,FALSE))</f>
        <v>38.564792879999999</v>
      </c>
      <c r="I105">
        <f ca="1">IF(AND(ISNUMBER($I$334),$B$238=1),$I$334,HLOOKUP(INDIRECT(ADDRESS(2,COLUMN())),OFFSET($R$2,0,0,ROW()-1,12),ROW()-1,FALSE))</f>
        <v>39.537630180000001</v>
      </c>
      <c r="J105">
        <f ca="1">IF(AND(ISNUMBER($J$334),$B$238=1),$J$334,HLOOKUP(INDIRECT(ADDRESS(2,COLUMN())),OFFSET($R$2,0,0,ROW()-1,12),ROW()-1,FALSE))</f>
        <v>39.312462519999997</v>
      </c>
      <c r="K105">
        <f ca="1">IF(AND(ISNUMBER($K$334),$B$238=1),$K$334,HLOOKUP(INDIRECT(ADDRESS(2,COLUMN())),OFFSET($R$2,0,0,ROW()-1,12),ROW()-1,FALSE))</f>
        <v>39.54264165</v>
      </c>
      <c r="L105">
        <f ca="1">IF(AND(ISNUMBER($L$334),$B$238=1),$L$334,HLOOKUP(INDIRECT(ADDRESS(2,COLUMN())),OFFSET($R$2,0,0,ROW()-1,12),ROW()-1,FALSE))</f>
        <v>38.106338800000003</v>
      </c>
      <c r="M105">
        <f ca="1">IF(AND(ISNUMBER($M$334),$B$238=1),$M$334,HLOOKUP(INDIRECT(ADDRESS(2,COLUMN())),OFFSET($R$2,0,0,ROW()-1,12),ROW()-1,FALSE))</f>
        <v>39.128093960000001</v>
      </c>
      <c r="N105">
        <f ca="1">IF(AND(ISNUMBER($N$334),$B$238=1),$N$334,HLOOKUP(INDIRECT(ADDRESS(2,COLUMN())),OFFSET($R$2,0,0,ROW()-1,12),ROW()-1,FALSE))</f>
        <v>37.210922519999997</v>
      </c>
      <c r="O105">
        <f ca="1">IF(AND(ISNUMBER($O$334),$B$238=1),$O$334,HLOOKUP(INDIRECT(ADDRESS(2,COLUMN())),OFFSET($R$2,0,0,ROW()-1,12),ROW()-1,FALSE))</f>
        <v>37.36734122</v>
      </c>
      <c r="P105">
        <f ca="1">IF(AND(ISNUMBER($P$334),$B$238=1),$P$334,HLOOKUP(INDIRECT(ADDRESS(2,COLUMN())),OFFSET($R$2,0,0,ROW()-1,12),ROW()-1,FALSE))</f>
        <v>39.948092580000001</v>
      </c>
      <c r="Q105">
        <f ca="1">IF(AND(ISNUMBER($Q$334),$B$238=1),$Q$334,HLOOKUP(INDIRECT(ADDRESS(2,COLUMN())),OFFSET($R$2,0,0,ROW()-1,12),ROW()-1,FALSE))</f>
        <v>40.50701016</v>
      </c>
      <c r="R105">
        <f>34.82005475</f>
        <v>34.820054749999997</v>
      </c>
      <c r="S105">
        <f>35.95793108</f>
        <v>35.957931080000002</v>
      </c>
      <c r="T105">
        <f>38.56479288</f>
        <v>38.564792879999999</v>
      </c>
      <c r="U105">
        <f>39.53763018</f>
        <v>39.537630180000001</v>
      </c>
      <c r="V105">
        <f>39.31246252</f>
        <v>39.312462519999997</v>
      </c>
      <c r="W105">
        <f>39.54264165</f>
        <v>39.54264165</v>
      </c>
      <c r="X105">
        <f>38.1063388</f>
        <v>38.106338800000003</v>
      </c>
      <c r="Y105">
        <f>39.12809396</f>
        <v>39.128093960000001</v>
      </c>
      <c r="Z105">
        <f>37.21092252</f>
        <v>37.210922519999997</v>
      </c>
      <c r="AA105">
        <f>37.36734122</f>
        <v>37.36734122</v>
      </c>
      <c r="AB105">
        <f>39.94809258</f>
        <v>39.948092580000001</v>
      </c>
      <c r="AC105">
        <f>40.50701016</f>
        <v>40.50701016</v>
      </c>
    </row>
    <row r="106" spans="1:29" x14ac:dyDescent="0.25">
      <c r="A106" t="str">
        <f>"    HCL Technologies Ltd"</f>
        <v xml:space="preserve">    HCL Technologies Ltd</v>
      </c>
      <c r="B106" t="str">
        <f>"HCLT IN Equity"</f>
        <v>HCLT IN Equity</v>
      </c>
      <c r="C106" t="str">
        <f t="shared" si="15"/>
        <v>RR057</v>
      </c>
      <c r="D106" t="str">
        <f t="shared" si="16"/>
        <v>GROSS_MARGIN</v>
      </c>
      <c r="E106" t="str">
        <f t="shared" si="17"/>
        <v>Dynamic</v>
      </c>
      <c r="F106">
        <f ca="1">IF(AND(ISNUMBER($F$335),$B$238=1),$F$335,HLOOKUP(INDIRECT(ADDRESS(2,COLUMN())),OFFSET($R$2,0,0,ROW()-1,12),ROW()-1,FALSE))</f>
        <v>37.720410630000003</v>
      </c>
      <c r="G106">
        <f ca="1">IF(AND(ISNUMBER($G$335),$B$238=1),$G$335,HLOOKUP(INDIRECT(ADDRESS(2,COLUMN())),OFFSET($R$2,0,0,ROW()-1,12),ROW()-1,FALSE))</f>
        <v>34.965942259999998</v>
      </c>
      <c r="H106" t="str">
        <f ca="1">IF(AND(ISNUMBER($H$335),$B$238=1),$H$335,HLOOKUP(INDIRECT(ADDRESS(2,COLUMN())),OFFSET($R$2,0,0,ROW()-1,12),ROW()-1,FALSE))</f>
        <v/>
      </c>
      <c r="I106" t="str">
        <f ca="1">IF(AND(ISNUMBER($I$335),$B$238=1),$I$335,HLOOKUP(INDIRECT(ADDRESS(2,COLUMN())),OFFSET($R$2,0,0,ROW()-1,12),ROW()-1,FALSE))</f>
        <v/>
      </c>
      <c r="J106">
        <f ca="1">IF(AND(ISNUMBER($J$335),$B$238=1),$J$335,HLOOKUP(INDIRECT(ADDRESS(2,COLUMN())),OFFSET($R$2,0,0,ROW()-1,12),ROW()-1,FALSE))</f>
        <v>34.211117170000001</v>
      </c>
      <c r="K106" t="str">
        <f ca="1">IF(AND(ISNUMBER($K$335),$B$238=1),$K$335,HLOOKUP(INDIRECT(ADDRESS(2,COLUMN())),OFFSET($R$2,0,0,ROW()-1,12),ROW()-1,FALSE))</f>
        <v/>
      </c>
      <c r="L106">
        <f ca="1">IF(AND(ISNUMBER($L$335),$B$238=1),$L$335,HLOOKUP(INDIRECT(ADDRESS(2,COLUMN())),OFFSET($R$2,0,0,ROW()-1,12),ROW()-1,FALSE))</f>
        <v>38.589126460000003</v>
      </c>
      <c r="M106" t="str">
        <f ca="1">IF(AND(ISNUMBER($M$335),$B$238=1),$M$335,HLOOKUP(INDIRECT(ADDRESS(2,COLUMN())),OFFSET($R$2,0,0,ROW()-1,12),ROW()-1,FALSE))</f>
        <v/>
      </c>
      <c r="N106" t="str">
        <f ca="1">IF(AND(ISNUMBER($N$335),$B$238=1),$N$335,HLOOKUP(INDIRECT(ADDRESS(2,COLUMN())),OFFSET($R$2,0,0,ROW()-1,12),ROW()-1,FALSE))</f>
        <v/>
      </c>
      <c r="O106" t="str">
        <f ca="1">IF(AND(ISNUMBER($O$335),$B$238=1),$O$335,HLOOKUP(INDIRECT(ADDRESS(2,COLUMN())),OFFSET($R$2,0,0,ROW()-1,12),ROW()-1,FALSE))</f>
        <v/>
      </c>
      <c r="P106" t="str">
        <f ca="1">IF(AND(ISNUMBER($P$335),$B$238=1),$P$335,HLOOKUP(INDIRECT(ADDRESS(2,COLUMN())),OFFSET($R$2,0,0,ROW()-1,12),ROW()-1,FALSE))</f>
        <v/>
      </c>
      <c r="Q106" t="str">
        <f ca="1">IF(AND(ISNUMBER($Q$335),$B$238=1),$Q$335,HLOOKUP(INDIRECT(ADDRESS(2,COLUMN())),OFFSET($R$2,0,0,ROW()-1,12),ROW()-1,FALSE))</f>
        <v/>
      </c>
      <c r="R106">
        <f>37.72041063</f>
        <v>37.720410630000003</v>
      </c>
      <c r="S106">
        <f>34.96594226</f>
        <v>34.965942259999998</v>
      </c>
      <c r="T106" t="str">
        <f>""</f>
        <v/>
      </c>
      <c r="U106" t="str">
        <f>""</f>
        <v/>
      </c>
      <c r="V106">
        <f>34.21111717</f>
        <v>34.211117170000001</v>
      </c>
      <c r="W106" t="str">
        <f>""</f>
        <v/>
      </c>
      <c r="X106">
        <f>38.58912646</f>
        <v>38.589126460000003</v>
      </c>
      <c r="Y106" t="str">
        <f>""</f>
        <v/>
      </c>
      <c r="Z106" t="str">
        <f>""</f>
        <v/>
      </c>
      <c r="AA106" t="str">
        <f>""</f>
        <v/>
      </c>
      <c r="AB106" t="str">
        <f>""</f>
        <v/>
      </c>
      <c r="AC106" t="str">
        <f>""</f>
        <v/>
      </c>
    </row>
    <row r="107" spans="1:29" x14ac:dyDescent="0.25">
      <c r="A107" t="str">
        <f>"    Indra Sistemas SA"</f>
        <v xml:space="preserve">    Indra Sistemas SA</v>
      </c>
      <c r="B107" t="str">
        <f>"IDR SM Equity"</f>
        <v>IDR SM Equity</v>
      </c>
      <c r="C107" t="str">
        <f t="shared" si="15"/>
        <v>RR057</v>
      </c>
      <c r="D107" t="str">
        <f t="shared" si="16"/>
        <v>GROSS_MARGIN</v>
      </c>
      <c r="E107" t="str">
        <f t="shared" si="17"/>
        <v>Dynamic</v>
      </c>
      <c r="F107" t="str">
        <f ca="1">IF(AND(ISNUMBER($F$336),$B$238=1),$F$336,HLOOKUP(INDIRECT(ADDRESS(2,COLUMN())),OFFSET($R$2,0,0,ROW()-1,12),ROW()-1,FALSE))</f>
        <v/>
      </c>
      <c r="G107" t="str">
        <f ca="1">IF(AND(ISNUMBER($G$336),$B$238=1),$G$336,HLOOKUP(INDIRECT(ADDRESS(2,COLUMN())),OFFSET($R$2,0,0,ROW()-1,12),ROW()-1,FALSE))</f>
        <v/>
      </c>
      <c r="H107" t="str">
        <f ca="1">IF(AND(ISNUMBER($H$336),$B$238=1),$H$336,HLOOKUP(INDIRECT(ADDRESS(2,COLUMN())),OFFSET($R$2,0,0,ROW()-1,12),ROW()-1,FALSE))</f>
        <v/>
      </c>
      <c r="I107" t="str">
        <f ca="1">IF(AND(ISNUMBER($I$336),$B$238=1),$I$336,HLOOKUP(INDIRECT(ADDRESS(2,COLUMN())),OFFSET($R$2,0,0,ROW()-1,12),ROW()-1,FALSE))</f>
        <v/>
      </c>
      <c r="J107" t="str">
        <f ca="1">IF(AND(ISNUMBER($J$336),$B$238=1),$J$336,HLOOKUP(INDIRECT(ADDRESS(2,COLUMN())),OFFSET($R$2,0,0,ROW()-1,12),ROW()-1,FALSE))</f>
        <v/>
      </c>
      <c r="K107" t="str">
        <f ca="1">IF(AND(ISNUMBER($K$336),$B$238=1),$K$336,HLOOKUP(INDIRECT(ADDRESS(2,COLUMN())),OFFSET($R$2,0,0,ROW()-1,12),ROW()-1,FALSE))</f>
        <v/>
      </c>
      <c r="L107" t="str">
        <f ca="1">IF(AND(ISNUMBER($L$336),$B$238=1),$L$336,HLOOKUP(INDIRECT(ADDRESS(2,COLUMN())),OFFSET($R$2,0,0,ROW()-1,12),ROW()-1,FALSE))</f>
        <v/>
      </c>
      <c r="M107" t="str">
        <f ca="1">IF(AND(ISNUMBER($M$336),$B$238=1),$M$336,HLOOKUP(INDIRECT(ADDRESS(2,COLUMN())),OFFSET($R$2,0,0,ROW()-1,12),ROW()-1,FALSE))</f>
        <v/>
      </c>
      <c r="N107" t="str">
        <f ca="1">IF(AND(ISNUMBER($N$336),$B$238=1),$N$336,HLOOKUP(INDIRECT(ADDRESS(2,COLUMN())),OFFSET($R$2,0,0,ROW()-1,12),ROW()-1,FALSE))</f>
        <v/>
      </c>
      <c r="O107" t="str">
        <f ca="1">IF(AND(ISNUMBER($O$336),$B$238=1),$O$336,HLOOKUP(INDIRECT(ADDRESS(2,COLUMN())),OFFSET($R$2,0,0,ROW()-1,12),ROW()-1,FALSE))</f>
        <v/>
      </c>
      <c r="P107" t="str">
        <f ca="1">IF(AND(ISNUMBER($P$336),$B$238=1),$P$336,HLOOKUP(INDIRECT(ADDRESS(2,COLUMN())),OFFSET($R$2,0,0,ROW()-1,12),ROW()-1,FALSE))</f>
        <v/>
      </c>
      <c r="Q107" t="str">
        <f ca="1">IF(AND(ISNUMBER($Q$336),$B$238=1),$Q$336,HLOOKUP(INDIRECT(ADDRESS(2,COLUMN())),OFFSET($R$2,0,0,ROW()-1,12),ROW()-1,FALSE))</f>
        <v/>
      </c>
      <c r="R107" t="str">
        <f>""</f>
        <v/>
      </c>
      <c r="S107" t="str">
        <f>""</f>
        <v/>
      </c>
      <c r="T107" t="str">
        <f>""</f>
        <v/>
      </c>
      <c r="U107" t="str">
        <f>""</f>
        <v/>
      </c>
      <c r="V107" t="str">
        <f>""</f>
        <v/>
      </c>
      <c r="W107" t="str">
        <f>""</f>
        <v/>
      </c>
      <c r="X107" t="str">
        <f>""</f>
        <v/>
      </c>
      <c r="Y107" t="str">
        <f>""</f>
        <v/>
      </c>
      <c r="Z107" t="str">
        <f>""</f>
        <v/>
      </c>
      <c r="AA107" t="str">
        <f>""</f>
        <v/>
      </c>
      <c r="AB107" t="str">
        <f>""</f>
        <v/>
      </c>
      <c r="AC107" t="str">
        <f>""</f>
        <v/>
      </c>
    </row>
    <row r="108" spans="1:29" x14ac:dyDescent="0.25">
      <c r="A108" t="str">
        <f>"    Infosys Ltd"</f>
        <v xml:space="preserve">    Infosys Ltd</v>
      </c>
      <c r="B108" t="str">
        <f>"INFY US Equity"</f>
        <v>INFY US Equity</v>
      </c>
      <c r="C108" t="str">
        <f t="shared" si="15"/>
        <v>RR057</v>
      </c>
      <c r="D108" t="str">
        <f t="shared" si="16"/>
        <v>GROSS_MARGIN</v>
      </c>
      <c r="E108" t="str">
        <f t="shared" si="17"/>
        <v>Dynamic</v>
      </c>
      <c r="F108">
        <f ca="1">IF(AND(ISNUMBER($F$337),$B$238=1),$F$337,HLOOKUP(INDIRECT(ADDRESS(2,COLUMN())),OFFSET($R$2,0,0,ROW()-1,12),ROW()-1,FALSE))</f>
        <v>33.107907169999997</v>
      </c>
      <c r="G108">
        <f ca="1">IF(AND(ISNUMBER($G$337),$B$238=1),$G$337,HLOOKUP(INDIRECT(ADDRESS(2,COLUMN())),OFFSET($R$2,0,0,ROW()-1,12),ROW()-1,FALSE))</f>
        <v>34.844874509999997</v>
      </c>
      <c r="H108">
        <f ca="1">IF(AND(ISNUMBER($H$337),$B$238=1),$H$337,HLOOKUP(INDIRECT(ADDRESS(2,COLUMN())),OFFSET($R$2,0,0,ROW()-1,12),ROW()-1,FALSE))</f>
        <v>36.005785430000003</v>
      </c>
      <c r="I108">
        <f ca="1">IF(AND(ISNUMBER($I$337),$B$238=1),$I$337,HLOOKUP(INDIRECT(ADDRESS(2,COLUMN())),OFFSET($R$2,0,0,ROW()-1,12),ROW()-1,FALSE))</f>
        <v>36.842182119999997</v>
      </c>
      <c r="J108" t="str">
        <f ca="1">IF(AND(ISNUMBER($J$337),$B$238=1),$J$337,HLOOKUP(INDIRECT(ADDRESS(2,COLUMN())),OFFSET($R$2,0,0,ROW()-1,12),ROW()-1,FALSE))</f>
        <v/>
      </c>
      <c r="K108">
        <f ca="1">IF(AND(ISNUMBER($K$337),$B$238=1),$K$337,HLOOKUP(INDIRECT(ADDRESS(2,COLUMN())),OFFSET($R$2,0,0,ROW()-1,12),ROW()-1,FALSE))</f>
        <v>38.327800600000003</v>
      </c>
      <c r="L108">
        <f ca="1">IF(AND(ISNUMBER($L$337),$B$238=1),$L$337,HLOOKUP(INDIRECT(ADDRESS(2,COLUMN())),OFFSET($R$2,0,0,ROW()-1,12),ROW()-1,FALSE))</f>
        <v>35.88853649</v>
      </c>
      <c r="M108">
        <f ca="1">IF(AND(ISNUMBER($M$337),$B$238=1),$M$337,HLOOKUP(INDIRECT(ADDRESS(2,COLUMN())),OFFSET($R$2,0,0,ROW()-1,12),ROW()-1,FALSE))</f>
        <v>37.351308490000001</v>
      </c>
      <c r="N108">
        <f ca="1">IF(AND(ISNUMBER($N$337),$B$238=1),$N$337,HLOOKUP(INDIRECT(ADDRESS(2,COLUMN())),OFFSET($R$2,0,0,ROW()-1,12),ROW()-1,FALSE))</f>
        <v>41.281792850000002</v>
      </c>
      <c r="O108">
        <f ca="1">IF(AND(ISNUMBER($O$337),$B$238=1),$O$337,HLOOKUP(INDIRECT(ADDRESS(2,COLUMN())),OFFSET($R$2,0,0,ROW()-1,12),ROW()-1,FALSE))</f>
        <v>45.260172359999999</v>
      </c>
      <c r="P108">
        <f ca="1">IF(AND(ISNUMBER($P$337),$B$238=1),$P$337,HLOOKUP(INDIRECT(ADDRESS(2,COLUMN())),OFFSET($R$2,0,0,ROW()-1,12),ROW()-1,FALSE))</f>
        <v>42.749098580000002</v>
      </c>
      <c r="Q108">
        <f ca="1">IF(AND(ISNUMBER($Q$337),$B$238=1),$Q$337,HLOOKUP(INDIRECT(ADDRESS(2,COLUMN())),OFFSET($R$2,0,0,ROW()-1,12),ROW()-1,FALSE))</f>
        <v>45.765915270000001</v>
      </c>
      <c r="R108">
        <f>33.10790717</f>
        <v>33.107907169999997</v>
      </c>
      <c r="S108">
        <f>34.84487451</f>
        <v>34.844874509999997</v>
      </c>
      <c r="T108">
        <f>36.00578543</f>
        <v>36.005785430000003</v>
      </c>
      <c r="U108">
        <f>36.84218212</f>
        <v>36.842182119999997</v>
      </c>
      <c r="V108" t="str">
        <f>""</f>
        <v/>
      </c>
      <c r="W108">
        <f>38.3278006</f>
        <v>38.327800600000003</v>
      </c>
      <c r="X108">
        <f>35.88853649</f>
        <v>35.88853649</v>
      </c>
      <c r="Y108">
        <f>37.35130849</f>
        <v>37.351308490000001</v>
      </c>
      <c r="Z108">
        <f>41.28179285</f>
        <v>41.281792850000002</v>
      </c>
      <c r="AA108">
        <f>45.26017236</f>
        <v>45.260172359999999</v>
      </c>
      <c r="AB108">
        <f>42.74909858</f>
        <v>42.749098580000002</v>
      </c>
      <c r="AC108">
        <f>45.76591527</f>
        <v>45.765915270000001</v>
      </c>
    </row>
    <row r="109" spans="1:29" x14ac:dyDescent="0.25">
      <c r="A109" t="str">
        <f>"    International Business Machines Corp"</f>
        <v xml:space="preserve">    International Business Machines Corp</v>
      </c>
      <c r="B109" t="str">
        <f>"IBM US Equity"</f>
        <v>IBM US Equity</v>
      </c>
      <c r="C109" t="str">
        <f t="shared" si="15"/>
        <v>RR057</v>
      </c>
      <c r="D109" t="str">
        <f t="shared" si="16"/>
        <v>GROSS_MARGIN</v>
      </c>
      <c r="E109" t="str">
        <f t="shared" si="17"/>
        <v>Dynamic</v>
      </c>
      <c r="F109">
        <f ca="1">IF(AND(ISNUMBER($F$338),$B$238=1),$F$338,HLOOKUP(INDIRECT(ADDRESS(2,COLUMN())),OFFSET($R$2,0,0,ROW()-1,12),ROW()-1,FALSE))</f>
        <v>47.296719250000002</v>
      </c>
      <c r="G109">
        <f ca="1">IF(AND(ISNUMBER($G$338),$B$238=1),$G$338,HLOOKUP(INDIRECT(ADDRESS(2,COLUMN())),OFFSET($R$2,0,0,ROW()-1,12),ROW()-1,FALSE))</f>
        <v>46.407257100000002</v>
      </c>
      <c r="H109">
        <f ca="1">IF(AND(ISNUMBER($H$338),$B$238=1),$H$338,HLOOKUP(INDIRECT(ADDRESS(2,COLUMN())),OFFSET($R$2,0,0,ROW()-1,12),ROW()-1,FALSE))</f>
        <v>46.681155939999996</v>
      </c>
      <c r="I109">
        <f ca="1">IF(AND(ISNUMBER($I$338),$B$238=1),$I$338,HLOOKUP(INDIRECT(ADDRESS(2,COLUMN())),OFFSET($R$2,0,0,ROW()-1,12),ROW()-1,FALSE))</f>
        <v>47.916014969999999</v>
      </c>
      <c r="J109">
        <f ca="1">IF(AND(ISNUMBER($J$338),$B$238=1),$J$338,HLOOKUP(INDIRECT(ADDRESS(2,COLUMN())),OFFSET($R$2,0,0,ROW()-1,12),ROW()-1,FALSE))</f>
        <v>49.771840320000003</v>
      </c>
      <c r="K109">
        <f ca="1">IF(AND(ISNUMBER($K$338),$B$238=1),$K$338,HLOOKUP(INDIRECT(ADDRESS(2,COLUMN())),OFFSET($R$2,0,0,ROW()-1,12),ROW()-1,FALSE))</f>
        <v>50.011315510000003</v>
      </c>
      <c r="L109">
        <f ca="1">IF(AND(ISNUMBER($L$338),$B$238=1),$L$338,HLOOKUP(INDIRECT(ADDRESS(2,COLUMN())),OFFSET($R$2,0,0,ROW()-1,12),ROW()-1,FALSE))</f>
        <v>49.492207749999999</v>
      </c>
      <c r="M109">
        <f ca="1">IF(AND(ISNUMBER($M$338),$B$238=1),$M$338,HLOOKUP(INDIRECT(ADDRESS(2,COLUMN())),OFFSET($R$2,0,0,ROW()-1,12),ROW()-1,FALSE))</f>
        <v>48.954060310000003</v>
      </c>
      <c r="N109">
        <f ca="1">IF(AND(ISNUMBER($N$338),$B$238=1),$N$338,HLOOKUP(INDIRECT(ADDRESS(2,COLUMN())),OFFSET($R$2,0,0,ROW()-1,12),ROW()-1,FALSE))</f>
        <v>46.894758500000002</v>
      </c>
      <c r="O109">
        <f ca="1">IF(AND(ISNUMBER($O$338),$B$238=1),$O$338,HLOOKUP(INDIRECT(ADDRESS(2,COLUMN())),OFFSET($R$2,0,0,ROW()-1,12),ROW()-1,FALSE))</f>
        <v>46.072894759999997</v>
      </c>
      <c r="P109">
        <f ca="1">IF(AND(ISNUMBER($P$338),$B$238=1),$P$338,HLOOKUP(INDIRECT(ADDRESS(2,COLUMN())),OFFSET($R$2,0,0,ROW()-1,12),ROW()-1,FALSE))</f>
        <v>45.724639189999998</v>
      </c>
      <c r="Q109">
        <f ca="1">IF(AND(ISNUMBER($Q$338),$B$238=1),$Q$338,HLOOKUP(INDIRECT(ADDRESS(2,COLUMN())),OFFSET($R$2,0,0,ROW()-1,12),ROW()-1,FALSE))</f>
        <v>44.061565180000002</v>
      </c>
      <c r="R109">
        <f>47.29671925</f>
        <v>47.296719250000002</v>
      </c>
      <c r="S109">
        <f>46.4072571</f>
        <v>46.407257100000002</v>
      </c>
      <c r="T109">
        <f>46.68115594</f>
        <v>46.681155939999996</v>
      </c>
      <c r="U109">
        <f>47.91601497</f>
        <v>47.916014969999999</v>
      </c>
      <c r="V109">
        <f>49.77184032</f>
        <v>49.771840320000003</v>
      </c>
      <c r="W109">
        <f>50.01131551</f>
        <v>50.011315510000003</v>
      </c>
      <c r="X109">
        <f>49.49220775</f>
        <v>49.492207749999999</v>
      </c>
      <c r="Y109">
        <f>48.95406031</f>
        <v>48.954060310000003</v>
      </c>
      <c r="Z109">
        <f>46.8947585</f>
        <v>46.894758500000002</v>
      </c>
      <c r="AA109">
        <f>46.07289476</f>
        <v>46.072894759999997</v>
      </c>
      <c r="AB109">
        <f>45.72463919</f>
        <v>45.724639189999998</v>
      </c>
      <c r="AC109">
        <f>44.06156518</f>
        <v>44.061565180000002</v>
      </c>
    </row>
    <row r="110" spans="1:29" x14ac:dyDescent="0.25">
      <c r="A110" t="str">
        <f>"    Tata Consultancy Services Ltd"</f>
        <v xml:space="preserve">    Tata Consultancy Services Ltd</v>
      </c>
      <c r="B110" t="str">
        <f>"TCS IN Equity"</f>
        <v>TCS IN Equity</v>
      </c>
      <c r="C110" t="str">
        <f t="shared" si="15"/>
        <v>RR057</v>
      </c>
      <c r="D110" t="str">
        <f t="shared" si="16"/>
        <v>GROSS_MARGIN</v>
      </c>
      <c r="E110" t="str">
        <f t="shared" si="17"/>
        <v>Dynamic</v>
      </c>
      <c r="F110">
        <f ca="1">IF(AND(ISNUMBER($F$339),$B$238=1),$F$339,HLOOKUP(INDIRECT(ADDRESS(2,COLUMN())),OFFSET($R$2,0,0,ROW()-1,12),ROW()-1,FALSE))</f>
        <v>41.177070260000001</v>
      </c>
      <c r="G110">
        <f ca="1">IF(AND(ISNUMBER($G$339),$B$238=1),$G$339,HLOOKUP(INDIRECT(ADDRESS(2,COLUMN())),OFFSET($R$2,0,0,ROW()-1,12),ROW()-1,FALSE))</f>
        <v>41.856987770000003</v>
      </c>
      <c r="H110">
        <f ca="1">IF(AND(ISNUMBER($H$339),$B$238=1),$H$339,HLOOKUP(INDIRECT(ADDRESS(2,COLUMN())),OFFSET($R$2,0,0,ROW()-1,12),ROW()-1,FALSE))</f>
        <v>42.09123993</v>
      </c>
      <c r="I110">
        <f ca="1">IF(AND(ISNUMBER($I$339),$B$238=1),$I$339,HLOOKUP(INDIRECT(ADDRESS(2,COLUMN())),OFFSET($R$2,0,0,ROW()-1,12),ROW()-1,FALSE))</f>
        <v>43.299764340000003</v>
      </c>
      <c r="J110">
        <f ca="1">IF(AND(ISNUMBER($J$339),$B$238=1),$J$339,HLOOKUP(INDIRECT(ADDRESS(2,COLUMN())),OFFSET($R$2,0,0,ROW()-1,12),ROW()-1,FALSE))</f>
        <v>43.94639471</v>
      </c>
      <c r="K110">
        <f ca="1">IF(AND(ISNUMBER($K$339),$B$238=1),$K$339,HLOOKUP(INDIRECT(ADDRESS(2,COLUMN())),OFFSET($R$2,0,0,ROW()-1,12),ROW()-1,FALSE))</f>
        <v>42.419254590000001</v>
      </c>
      <c r="L110">
        <f ca="1">IF(AND(ISNUMBER($L$339),$B$238=1),$L$339,HLOOKUP(INDIRECT(ADDRESS(2,COLUMN())),OFFSET($R$2,0,0,ROW()-1,12),ROW()-1,FALSE))</f>
        <v>47.36000868</v>
      </c>
      <c r="M110" t="str">
        <f ca="1">IF(AND(ISNUMBER($M$339),$B$238=1),$M$339,HLOOKUP(INDIRECT(ADDRESS(2,COLUMN())),OFFSET($R$2,0,0,ROW()-1,12),ROW()-1,FALSE))</f>
        <v/>
      </c>
      <c r="N110" t="str">
        <f ca="1">IF(AND(ISNUMBER($N$339),$B$238=1),$N$339,HLOOKUP(INDIRECT(ADDRESS(2,COLUMN())),OFFSET($R$2,0,0,ROW()-1,12),ROW()-1,FALSE))</f>
        <v/>
      </c>
      <c r="O110" t="str">
        <f ca="1">IF(AND(ISNUMBER($O$339),$B$238=1),$O$339,HLOOKUP(INDIRECT(ADDRESS(2,COLUMN())),OFFSET($R$2,0,0,ROW()-1,12),ROW()-1,FALSE))</f>
        <v/>
      </c>
      <c r="P110" t="str">
        <f ca="1">IF(AND(ISNUMBER($P$339),$B$238=1),$P$339,HLOOKUP(INDIRECT(ADDRESS(2,COLUMN())),OFFSET($R$2,0,0,ROW()-1,12),ROW()-1,FALSE))</f>
        <v/>
      </c>
      <c r="Q110" t="str">
        <f ca="1">IF(AND(ISNUMBER($Q$339),$B$238=1),$Q$339,HLOOKUP(INDIRECT(ADDRESS(2,COLUMN())),OFFSET($R$2,0,0,ROW()-1,12),ROW()-1,FALSE))</f>
        <v/>
      </c>
      <c r="R110">
        <f>41.17707026</f>
        <v>41.177070260000001</v>
      </c>
      <c r="S110">
        <f>41.85698777</f>
        <v>41.856987770000003</v>
      </c>
      <c r="T110">
        <f>42.09123993</f>
        <v>42.09123993</v>
      </c>
      <c r="U110">
        <f>43.29976434</f>
        <v>43.299764340000003</v>
      </c>
      <c r="V110">
        <f>43.94639471</f>
        <v>43.94639471</v>
      </c>
      <c r="W110">
        <f>42.41925459</f>
        <v>42.419254590000001</v>
      </c>
      <c r="X110">
        <f>47.36000868</f>
        <v>47.36000868</v>
      </c>
      <c r="Y110" t="str">
        <f>""</f>
        <v/>
      </c>
      <c r="Z110" t="str">
        <f>""</f>
        <v/>
      </c>
      <c r="AA110" t="str">
        <f>""</f>
        <v/>
      </c>
      <c r="AB110" t="str">
        <f>""</f>
        <v/>
      </c>
      <c r="AC110" t="str">
        <f>""</f>
        <v/>
      </c>
    </row>
    <row r="111" spans="1:29" x14ac:dyDescent="0.25">
      <c r="A111" t="str">
        <f>"    Tech Mahindra Ltd"</f>
        <v xml:space="preserve">    Tech Mahindra Ltd</v>
      </c>
      <c r="B111" t="str">
        <f>"TECHM IN Equity"</f>
        <v>TECHM IN Equity</v>
      </c>
      <c r="C111" t="str">
        <f t="shared" si="15"/>
        <v>RR057</v>
      </c>
      <c r="D111" t="str">
        <f t="shared" si="16"/>
        <v>GROSS_MARGIN</v>
      </c>
      <c r="E111" t="str">
        <f t="shared" si="17"/>
        <v>Dynamic</v>
      </c>
      <c r="F111" t="str">
        <f ca="1">IF(AND(ISNUMBER($F$340),$B$238=1),$F$340,HLOOKUP(INDIRECT(ADDRESS(2,COLUMN())),OFFSET($R$2,0,0,ROW()-1,12),ROW()-1,FALSE))</f>
        <v/>
      </c>
      <c r="G111" t="str">
        <f ca="1">IF(AND(ISNUMBER($G$340),$B$238=1),$G$340,HLOOKUP(INDIRECT(ADDRESS(2,COLUMN())),OFFSET($R$2,0,0,ROW()-1,12),ROW()-1,FALSE))</f>
        <v/>
      </c>
      <c r="H111" t="str">
        <f ca="1">IF(AND(ISNUMBER($H$340),$B$238=1),$H$340,HLOOKUP(INDIRECT(ADDRESS(2,COLUMN())),OFFSET($R$2,0,0,ROW()-1,12),ROW()-1,FALSE))</f>
        <v/>
      </c>
      <c r="I111" t="str">
        <f ca="1">IF(AND(ISNUMBER($I$340),$B$238=1),$I$340,HLOOKUP(INDIRECT(ADDRESS(2,COLUMN())),OFFSET($R$2,0,0,ROW()-1,12),ROW()-1,FALSE))</f>
        <v/>
      </c>
      <c r="J111" t="str">
        <f ca="1">IF(AND(ISNUMBER($J$340),$B$238=1),$J$340,HLOOKUP(INDIRECT(ADDRESS(2,COLUMN())),OFFSET($R$2,0,0,ROW()-1,12),ROW()-1,FALSE))</f>
        <v/>
      </c>
      <c r="K111" t="str">
        <f ca="1">IF(AND(ISNUMBER($K$340),$B$238=1),$K$340,HLOOKUP(INDIRECT(ADDRESS(2,COLUMN())),OFFSET($R$2,0,0,ROW()-1,12),ROW()-1,FALSE))</f>
        <v/>
      </c>
      <c r="L111" t="str">
        <f ca="1">IF(AND(ISNUMBER($L$340),$B$238=1),$L$340,HLOOKUP(INDIRECT(ADDRESS(2,COLUMN())),OFFSET($R$2,0,0,ROW()-1,12),ROW()-1,FALSE))</f>
        <v/>
      </c>
      <c r="M111" t="str">
        <f ca="1">IF(AND(ISNUMBER($M$340),$B$238=1),$M$340,HLOOKUP(INDIRECT(ADDRESS(2,COLUMN())),OFFSET($R$2,0,0,ROW()-1,12),ROW()-1,FALSE))</f>
        <v/>
      </c>
      <c r="N111" t="str">
        <f ca="1">IF(AND(ISNUMBER($N$340),$B$238=1),$N$340,HLOOKUP(INDIRECT(ADDRESS(2,COLUMN())),OFFSET($R$2,0,0,ROW()-1,12),ROW()-1,FALSE))</f>
        <v/>
      </c>
      <c r="O111" t="str">
        <f ca="1">IF(AND(ISNUMBER($O$340),$B$238=1),$O$340,HLOOKUP(INDIRECT(ADDRESS(2,COLUMN())),OFFSET($R$2,0,0,ROW()-1,12),ROW()-1,FALSE))</f>
        <v/>
      </c>
      <c r="P111" t="str">
        <f ca="1">IF(AND(ISNUMBER($P$340),$B$238=1),$P$340,HLOOKUP(INDIRECT(ADDRESS(2,COLUMN())),OFFSET($R$2,0,0,ROW()-1,12),ROW()-1,FALSE))</f>
        <v/>
      </c>
      <c r="Q111" t="str">
        <f ca="1">IF(AND(ISNUMBER($Q$340),$B$238=1),$Q$340,HLOOKUP(INDIRECT(ADDRESS(2,COLUMN())),OFFSET($R$2,0,0,ROW()-1,12),ROW()-1,FALSE))</f>
        <v/>
      </c>
      <c r="R111" t="str">
        <f>""</f>
        <v/>
      </c>
      <c r="S111" t="str">
        <f>""</f>
        <v/>
      </c>
      <c r="T111" t="str">
        <f>""</f>
        <v/>
      </c>
      <c r="U111" t="str">
        <f>""</f>
        <v/>
      </c>
      <c r="V111" t="str">
        <f>""</f>
        <v/>
      </c>
      <c r="W111" t="str">
        <f>""</f>
        <v/>
      </c>
      <c r="X111" t="str">
        <f>""</f>
        <v/>
      </c>
      <c r="Y111" t="str">
        <f>""</f>
        <v/>
      </c>
      <c r="Z111" t="str">
        <f>""</f>
        <v/>
      </c>
      <c r="AA111" t="str">
        <f>""</f>
        <v/>
      </c>
      <c r="AB111" t="str">
        <f>""</f>
        <v/>
      </c>
      <c r="AC111" t="str">
        <f>""</f>
        <v/>
      </c>
    </row>
    <row r="112" spans="1:29" x14ac:dyDescent="0.25">
      <c r="A112" t="str">
        <f>"    Wipro Ltd"</f>
        <v xml:space="preserve">    Wipro Ltd</v>
      </c>
      <c r="B112" t="str">
        <f>"WIT US Equity"</f>
        <v>WIT US Equity</v>
      </c>
      <c r="C112" t="str">
        <f t="shared" si="15"/>
        <v>RR057</v>
      </c>
      <c r="D112" t="str">
        <f t="shared" si="16"/>
        <v>GROSS_MARGIN</v>
      </c>
      <c r="E112" t="str">
        <f t="shared" si="17"/>
        <v>Dynamic</v>
      </c>
      <c r="F112">
        <f ca="1">IF(AND(ISNUMBER($F$341),$B$238=1),$F$341,HLOOKUP(INDIRECT(ADDRESS(2,COLUMN())),OFFSET($R$2,0,0,ROW()-1,12),ROW()-1,FALSE))</f>
        <v>28.537834790000002</v>
      </c>
      <c r="G112">
        <f ca="1">IF(AND(ISNUMBER($G$341),$B$238=1),$G$341,HLOOKUP(INDIRECT(ADDRESS(2,COLUMN())),OFFSET($R$2,0,0,ROW()-1,12),ROW()-1,FALSE))</f>
        <v>29.497904739999999</v>
      </c>
      <c r="H112">
        <f ca="1">IF(AND(ISNUMBER($H$341),$B$238=1),$H$341,HLOOKUP(INDIRECT(ADDRESS(2,COLUMN())),OFFSET($R$2,0,0,ROW()-1,12),ROW()-1,FALSE))</f>
        <v>29.235543830000001</v>
      </c>
      <c r="I112">
        <f ca="1">IF(AND(ISNUMBER($I$341),$B$238=1),$I$341,HLOOKUP(INDIRECT(ADDRESS(2,COLUMN())),OFFSET($R$2,0,0,ROW()-1,12),ROW()-1,FALSE))</f>
        <v>28.8621771</v>
      </c>
      <c r="J112">
        <f ca="1">IF(AND(ISNUMBER($J$341),$B$238=1),$J$341,HLOOKUP(INDIRECT(ADDRESS(2,COLUMN())),OFFSET($R$2,0,0,ROW()-1,12),ROW()-1,FALSE))</f>
        <v>30.38716728</v>
      </c>
      <c r="K112">
        <f ca="1">IF(AND(ISNUMBER($K$341),$B$238=1),$K$341,HLOOKUP(INDIRECT(ADDRESS(2,COLUMN())),OFFSET($R$2,0,0,ROW()-1,12),ROW()-1,FALSE))</f>
        <v>31.575461350000001</v>
      </c>
      <c r="L112">
        <f ca="1">IF(AND(ISNUMBER($L$341),$B$238=1),$L$341,HLOOKUP(INDIRECT(ADDRESS(2,COLUMN())),OFFSET($R$2,0,0,ROW()-1,12),ROW()-1,FALSE))</f>
        <v>31.957381250000001</v>
      </c>
      <c r="M112">
        <f ca="1">IF(AND(ISNUMBER($M$341),$B$238=1),$M$341,HLOOKUP(INDIRECT(ADDRESS(2,COLUMN())),OFFSET($R$2,0,0,ROW()-1,12),ROW()-1,FALSE))</f>
        <v>30.351150010000001</v>
      </c>
      <c r="N112">
        <f ca="1">IF(AND(ISNUMBER($N$341),$B$238=1),$N$341,HLOOKUP(INDIRECT(ADDRESS(2,COLUMN())),OFFSET($R$2,0,0,ROW()-1,12),ROW()-1,FALSE))</f>
        <v>29.249054359999999</v>
      </c>
      <c r="O112">
        <f ca="1">IF(AND(ISNUMBER($O$341),$B$238=1),$O$341,HLOOKUP(INDIRECT(ADDRESS(2,COLUMN())),OFFSET($R$2,0,0,ROW()-1,12),ROW()-1,FALSE))</f>
        <v>31.472071410000002</v>
      </c>
      <c r="P112">
        <f ca="1">IF(AND(ISNUMBER($P$341),$B$238=1),$P$341,HLOOKUP(INDIRECT(ADDRESS(2,COLUMN())),OFFSET($R$2,0,0,ROW()-1,12),ROW()-1,FALSE))</f>
        <v>31.779045969999999</v>
      </c>
      <c r="Q112">
        <f ca="1">IF(AND(ISNUMBER($Q$341),$B$238=1),$Q$341,HLOOKUP(INDIRECT(ADDRESS(2,COLUMN())),OFFSET($R$2,0,0,ROW()-1,12),ROW()-1,FALSE))</f>
        <v>30.3651822</v>
      </c>
      <c r="R112">
        <f>28.53783479</f>
        <v>28.537834790000002</v>
      </c>
      <c r="S112">
        <f>29.49790474</f>
        <v>29.497904739999999</v>
      </c>
      <c r="T112">
        <f>29.23554383</f>
        <v>29.235543830000001</v>
      </c>
      <c r="U112">
        <f>28.8621771</f>
        <v>28.8621771</v>
      </c>
      <c r="V112">
        <f>30.38716728</f>
        <v>30.38716728</v>
      </c>
      <c r="W112">
        <f>31.57546135</f>
        <v>31.575461350000001</v>
      </c>
      <c r="X112">
        <f>31.95738125</f>
        <v>31.957381250000001</v>
      </c>
      <c r="Y112">
        <f>30.35115001</f>
        <v>30.351150010000001</v>
      </c>
      <c r="Z112">
        <f>29.24905436</f>
        <v>29.249054359999999</v>
      </c>
      <c r="AA112">
        <f>31.47207141</f>
        <v>31.472071410000002</v>
      </c>
      <c r="AB112">
        <f>31.77904597</f>
        <v>31.779045969999999</v>
      </c>
      <c r="AC112">
        <f>30.3651822</f>
        <v>30.3651822</v>
      </c>
    </row>
    <row r="113" spans="1:29" x14ac:dyDescent="0.25">
      <c r="A113" t="str">
        <f>"Operating Margin"</f>
        <v>Operating Margin</v>
      </c>
      <c r="B113" t="str">
        <f>"BRITBPOV Index"</f>
        <v>BRITBPOV Index</v>
      </c>
      <c r="E113" t="str">
        <f>"Average"</f>
        <v>Average</v>
      </c>
      <c r="F113">
        <f ca="1">IF(ISERROR(IF(AVERAGE($F$114:$F$130) = 0, "", AVERAGE($F$114:$F$130))), "", (IF(AVERAGE($F$114:$F$130) = 0, "", AVERAGE($F$114:$F$130))))</f>
        <v>8.0727683491176467</v>
      </c>
      <c r="G113">
        <f ca="1">IF(ISERROR(IF(AVERAGE($G$114:$G$130) = 0, "", AVERAGE($G$114:$G$130))), "", (IF(AVERAGE($G$114:$G$130) = 0, "", AVERAGE($G$114:$G$130))))</f>
        <v>12.98844779964706</v>
      </c>
      <c r="H113">
        <f ca="1">IF(ISERROR(IF(AVERAGE($H$114:$H$130) = 0, "", AVERAGE($H$114:$H$130))), "", (IF(AVERAGE($H$114:$H$130) = 0, "", AVERAGE($H$114:$H$130))))</f>
        <v>13.117544243470588</v>
      </c>
      <c r="I113">
        <f ca="1">IF(ISERROR(IF(AVERAGE($I$114:$I$130) = 0, "", AVERAGE($I$114:$I$130))), "", (IF(AVERAGE($I$114:$I$130) = 0, "", AVERAGE($I$114:$I$130))))</f>
        <v>11.668699216411763</v>
      </c>
      <c r="J113">
        <f ca="1">IF(ISERROR(IF(AVERAGE($J$114:$J$130) = 0, "", AVERAGE($J$114:$J$130))), "", (IF(AVERAGE($J$114:$J$130) = 0, "", AVERAGE($J$114:$J$130))))</f>
        <v>11.86119248925</v>
      </c>
      <c r="K113">
        <f ca="1">IF(ISERROR(IF(AVERAGE($K$114:$K$130) = 0, "", AVERAGE($K$114:$K$130))), "", (IF(AVERAGE($K$114:$K$130) = 0, "", AVERAGE($K$114:$K$130))))</f>
        <v>13.309275023866666</v>
      </c>
      <c r="L113">
        <f ca="1">IF(ISERROR(IF(AVERAGE($L$114:$L$130) = 0, "", AVERAGE($L$114:$L$130))), "", (IF(AVERAGE($L$114:$L$130) = 0, "", AVERAGE($L$114:$L$130))))</f>
        <v>15.117819672875001</v>
      </c>
      <c r="M113">
        <f ca="1">IF(ISERROR(IF(AVERAGE($M$114:$M$130) = 0, "", AVERAGE($M$114:$M$130))), "", (IF(AVERAGE($M$114:$M$130) = 0, "", AVERAGE($M$114:$M$130))))</f>
        <v>15.069235447066667</v>
      </c>
      <c r="N113">
        <f ca="1">IF(ISERROR(IF(AVERAGE($N$114:$N$130) = 0, "", AVERAGE($N$114:$N$130))), "", (IF(AVERAGE($N$114:$N$130) = 0, "", AVERAGE($N$114:$N$130))))</f>
        <v>15.235211953533334</v>
      </c>
      <c r="O113">
        <f ca="1">IF(ISERROR(IF(AVERAGE($O$114:$O$130) = 0, "", AVERAGE($O$114:$O$130))), "", (IF(AVERAGE($O$114:$O$130) = 0, "", AVERAGE($O$114:$O$130))))</f>
        <v>15.338385249733332</v>
      </c>
      <c r="P113">
        <f ca="1">IF(ISERROR(IF(AVERAGE($P$114:$P$130) = 0, "", AVERAGE($P$114:$P$130))), "", (IF(AVERAGE($P$114:$P$130) = 0, "", AVERAGE($P$114:$P$130))))</f>
        <v>14.945814077266668</v>
      </c>
      <c r="Q113">
        <f ca="1">IF(ISERROR(IF(AVERAGE($Q$114:$Q$130) = 0, "", AVERAGE($Q$114:$Q$130))), "", (IF(AVERAGE($Q$114:$Q$130) = 0, "", AVERAGE($Q$114:$Q$130))))</f>
        <v>15.323846437333335</v>
      </c>
      <c r="R113">
        <f>8.072768349</f>
        <v>8.0727683490000004</v>
      </c>
      <c r="S113">
        <f>12.9884478</f>
        <v>12.988447799999999</v>
      </c>
      <c r="T113">
        <f>13.11754424</f>
        <v>13.117544240000001</v>
      </c>
      <c r="U113">
        <f>11.66869922</f>
        <v>11.668699220000001</v>
      </c>
      <c r="V113">
        <f>11.86119249</f>
        <v>11.861192490000001</v>
      </c>
      <c r="W113">
        <f>13.30927502</f>
        <v>13.309275019999999</v>
      </c>
      <c r="X113">
        <f>15.11781967</f>
        <v>15.117819669999999</v>
      </c>
      <c r="Y113">
        <f>15.06923545</f>
        <v>15.069235450000001</v>
      </c>
      <c r="Z113">
        <f>15.23521195</f>
        <v>15.23521195</v>
      </c>
      <c r="AA113">
        <f>15.33838525</f>
        <v>15.33838525</v>
      </c>
      <c r="AB113">
        <f>14.94581408</f>
        <v>14.94581408</v>
      </c>
      <c r="AC113">
        <f>15.32384644</f>
        <v>15.323846440000001</v>
      </c>
    </row>
    <row r="114" spans="1:29" x14ac:dyDescent="0.25">
      <c r="A114" t="str">
        <f>"    Accenture PLC"</f>
        <v xml:space="preserve">    Accenture PLC</v>
      </c>
      <c r="B114" t="str">
        <f>"ACN US Equity"</f>
        <v>ACN US Equity</v>
      </c>
      <c r="C114" t="str">
        <f t="shared" ref="C114:C130" si="18">"RR026"</f>
        <v>RR026</v>
      </c>
      <c r="D114" t="str">
        <f t="shared" ref="D114:D130" si="19">"OPER_MARGIN"</f>
        <v>OPER_MARGIN</v>
      </c>
      <c r="E114" t="str">
        <f t="shared" ref="E114:E130" si="20">"Dynamic"</f>
        <v>Dynamic</v>
      </c>
      <c r="F114">
        <f ca="1">IF(AND(ISNUMBER($F$342),$B$238=1),$F$342,HLOOKUP(INDIRECT(ADDRESS(2,COLUMN())),OFFSET($R$2,0,0,ROW()-1,12),ROW()-1,FALSE))</f>
        <v>14.590008340000001</v>
      </c>
      <c r="G114">
        <f ca="1">IF(AND(ISNUMBER($G$342),$B$238=1),$G$342,HLOOKUP(INDIRECT(ADDRESS(2,COLUMN())),OFFSET($R$2,0,0,ROW()-1,12),ROW()-1,FALSE))</f>
        <v>14.389886219999999</v>
      </c>
      <c r="H114">
        <f ca="1">IF(AND(ISNUMBER($H$342),$B$238=1),$H$342,HLOOKUP(INDIRECT(ADDRESS(2,COLUMN())),OFFSET($R$2,0,0,ROW()-1,12),ROW()-1,FALSE))</f>
        <v>12.60043185</v>
      </c>
      <c r="I114">
        <f ca="1">IF(AND(ISNUMBER($I$342),$B$238=1),$I$342,HLOOKUP(INDIRECT(ADDRESS(2,COLUMN())),OFFSET($R$2,0,0,ROW()-1,12),ROW()-1,FALSE))</f>
        <v>13.824046969999999</v>
      </c>
      <c r="J114">
        <f ca="1">IF(AND(ISNUMBER($J$342),$B$238=1),$J$342,HLOOKUP(INDIRECT(ADDRESS(2,COLUMN())),OFFSET($R$2,0,0,ROW()-1,12),ROW()-1,FALSE))</f>
        <v>13.47697593</v>
      </c>
      <c r="K114">
        <f ca="1">IF(AND(ISNUMBER($K$342),$B$238=1),$K$342,HLOOKUP(INDIRECT(ADDRESS(2,COLUMN())),OFFSET($R$2,0,0,ROW()-1,12),ROW()-1,FALSE))</f>
        <v>13.49193865</v>
      </c>
      <c r="L114">
        <f ca="1">IF(AND(ISNUMBER($L$342),$B$238=1),$L$342,HLOOKUP(INDIRECT(ADDRESS(2,COLUMN())),OFFSET($R$2,0,0,ROW()-1,12),ROW()-1,FALSE))</f>
        <v>14.274657230000001</v>
      </c>
      <c r="M114">
        <f ca="1">IF(AND(ISNUMBER($M$342),$B$238=1),$M$342,HLOOKUP(INDIRECT(ADDRESS(2,COLUMN())),OFFSET($R$2,0,0,ROW()-1,12),ROW()-1,FALSE))</f>
        <v>13.001376690000001</v>
      </c>
      <c r="N114">
        <f ca="1">IF(AND(ISNUMBER($N$342),$B$238=1),$N$342,HLOOKUP(INDIRECT(ADDRESS(2,COLUMN())),OFFSET($R$2,0,0,ROW()-1,12),ROW()-1,FALSE))</f>
        <v>12.68770486</v>
      </c>
      <c r="O114">
        <f ca="1">IF(AND(ISNUMBER($O$342),$B$238=1),$O$342,HLOOKUP(INDIRECT(ADDRESS(2,COLUMN())),OFFSET($R$2,0,0,ROW()-1,12),ROW()-1,FALSE))</f>
        <v>12.621612349999999</v>
      </c>
      <c r="P114">
        <f ca="1">IF(AND(ISNUMBER($P$342),$B$238=1),$P$342,HLOOKUP(INDIRECT(ADDRESS(2,COLUMN())),OFFSET($R$2,0,0,ROW()-1,12),ROW()-1,FALSE))</f>
        <v>11.410248380000001</v>
      </c>
      <c r="Q114">
        <f ca="1">IF(AND(ISNUMBER($Q$342),$B$238=1),$Q$342,HLOOKUP(INDIRECT(ADDRESS(2,COLUMN())),OFFSET($R$2,0,0,ROW()-1,12),ROW()-1,FALSE))</f>
        <v>11.896984679999999</v>
      </c>
      <c r="R114">
        <f>14.59000834</f>
        <v>14.590008340000001</v>
      </c>
      <c r="S114">
        <f>14.38988622</f>
        <v>14.389886219999999</v>
      </c>
      <c r="T114">
        <f>12.60043185</f>
        <v>12.60043185</v>
      </c>
      <c r="U114">
        <f>13.82404697</f>
        <v>13.824046969999999</v>
      </c>
      <c r="V114">
        <f>13.47697593</f>
        <v>13.47697593</v>
      </c>
      <c r="W114">
        <f>13.49193865</f>
        <v>13.49193865</v>
      </c>
      <c r="X114">
        <f>14.27465723</f>
        <v>14.274657230000001</v>
      </c>
      <c r="Y114">
        <f>13.00137669</f>
        <v>13.001376690000001</v>
      </c>
      <c r="Z114">
        <f>12.68770486</f>
        <v>12.68770486</v>
      </c>
      <c r="AA114">
        <f>12.62161235</f>
        <v>12.621612349999999</v>
      </c>
      <c r="AB114">
        <f>11.41024838</f>
        <v>11.410248380000001</v>
      </c>
      <c r="AC114">
        <f>11.89698468</f>
        <v>11.896984679999999</v>
      </c>
    </row>
    <row r="115" spans="1:29" x14ac:dyDescent="0.25">
      <c r="A115" t="str">
        <f>"    Amdocs Ltd"</f>
        <v xml:space="preserve">    Amdocs Ltd</v>
      </c>
      <c r="B115" t="str">
        <f>"DOX US Equity"</f>
        <v>DOX US Equity</v>
      </c>
      <c r="C115" t="str">
        <f t="shared" si="18"/>
        <v>RR026</v>
      </c>
      <c r="D115" t="str">
        <f t="shared" si="19"/>
        <v>OPER_MARGIN</v>
      </c>
      <c r="E115" t="str">
        <f t="shared" si="20"/>
        <v>Dynamic</v>
      </c>
      <c r="F115">
        <f ca="1">IF(AND(ISNUMBER($F$343),$B$238=1),$F$343,HLOOKUP(INDIRECT(ADDRESS(2,COLUMN())),OFFSET($R$2,0,0,ROW()-1,12),ROW()-1,FALSE))</f>
        <v>13.94157442</v>
      </c>
      <c r="G115">
        <f ca="1">IF(AND(ISNUMBER($G$343),$B$238=1),$G$343,HLOOKUP(INDIRECT(ADDRESS(2,COLUMN())),OFFSET($R$2,0,0,ROW()-1,12),ROW()-1,FALSE))</f>
        <v>10.775460730000001</v>
      </c>
      <c r="H115">
        <f ca="1">IF(AND(ISNUMBER($H$343),$B$238=1),$H$343,HLOOKUP(INDIRECT(ADDRESS(2,COLUMN())),OFFSET($R$2,0,0,ROW()-1,12),ROW()-1,FALSE))</f>
        <v>13.37761222</v>
      </c>
      <c r="I115">
        <f ca="1">IF(AND(ISNUMBER($I$343),$B$238=1),$I$343,HLOOKUP(INDIRECT(ADDRESS(2,COLUMN())),OFFSET($R$2,0,0,ROW()-1,12),ROW()-1,FALSE))</f>
        <v>12.99384734</v>
      </c>
      <c r="J115">
        <f ca="1">IF(AND(ISNUMBER($J$343),$B$238=1),$J$343,HLOOKUP(INDIRECT(ADDRESS(2,COLUMN())),OFFSET($R$2,0,0,ROW()-1,12),ROW()-1,FALSE))</f>
        <v>14.160631779999999</v>
      </c>
      <c r="K115">
        <f ca="1">IF(AND(ISNUMBER($K$343),$B$238=1),$K$343,HLOOKUP(INDIRECT(ADDRESS(2,COLUMN())),OFFSET($R$2,0,0,ROW()-1,12),ROW()-1,FALSE))</f>
        <v>13.90848731</v>
      </c>
      <c r="L115">
        <f ca="1">IF(AND(ISNUMBER($L$343),$B$238=1),$L$343,HLOOKUP(INDIRECT(ADDRESS(2,COLUMN())),OFFSET($R$2,0,0,ROW()-1,12),ROW()-1,FALSE))</f>
        <v>14.3924989</v>
      </c>
      <c r="M115">
        <f ca="1">IF(AND(ISNUMBER($M$343),$B$238=1),$M$343,HLOOKUP(INDIRECT(ADDRESS(2,COLUMN())),OFFSET($R$2,0,0,ROW()-1,12),ROW()-1,FALSE))</f>
        <v>13.62750904</v>
      </c>
      <c r="N115">
        <f ca="1">IF(AND(ISNUMBER($N$343),$B$238=1),$N$343,HLOOKUP(INDIRECT(ADDRESS(2,COLUMN())),OFFSET($R$2,0,0,ROW()-1,12),ROW()-1,FALSE))</f>
        <v>12.724940589999999</v>
      </c>
      <c r="O115">
        <f ca="1">IF(AND(ISNUMBER($O$343),$B$238=1),$O$343,HLOOKUP(INDIRECT(ADDRESS(2,COLUMN())),OFFSET($R$2,0,0,ROW()-1,12),ROW()-1,FALSE))</f>
        <v>13.753429280000001</v>
      </c>
      <c r="P115">
        <f ca="1">IF(AND(ISNUMBER($P$343),$B$238=1),$P$343,HLOOKUP(INDIRECT(ADDRESS(2,COLUMN())),OFFSET($R$2,0,0,ROW()-1,12),ROW()-1,FALSE))</f>
        <v>12.83162516</v>
      </c>
      <c r="Q115">
        <f ca="1">IF(AND(ISNUMBER($Q$343),$B$238=1),$Q$343,HLOOKUP(INDIRECT(ADDRESS(2,COLUMN())),OFFSET($R$2,0,0,ROW()-1,12),ROW()-1,FALSE))</f>
        <v>13.2662639</v>
      </c>
      <c r="R115">
        <f>13.94157442</f>
        <v>13.94157442</v>
      </c>
      <c r="S115">
        <f>10.77546073</f>
        <v>10.775460730000001</v>
      </c>
      <c r="T115">
        <f>13.37761222</f>
        <v>13.37761222</v>
      </c>
      <c r="U115">
        <f>12.99384734</f>
        <v>12.99384734</v>
      </c>
      <c r="V115">
        <f>14.16063178</f>
        <v>14.160631779999999</v>
      </c>
      <c r="W115">
        <f>13.90848731</f>
        <v>13.90848731</v>
      </c>
      <c r="X115">
        <f>14.3924989</f>
        <v>14.3924989</v>
      </c>
      <c r="Y115">
        <f>13.62750904</f>
        <v>13.62750904</v>
      </c>
      <c r="Z115">
        <f>12.72494059</f>
        <v>12.724940589999999</v>
      </c>
      <c r="AA115">
        <f>13.75342928</f>
        <v>13.753429280000001</v>
      </c>
      <c r="AB115">
        <f>12.83162516</f>
        <v>12.83162516</v>
      </c>
      <c r="AC115">
        <f>13.2662639</f>
        <v>13.2662639</v>
      </c>
    </row>
    <row r="116" spans="1:29" x14ac:dyDescent="0.25">
      <c r="A116" t="str">
        <f>"    Atos SE"</f>
        <v xml:space="preserve">    Atos SE</v>
      </c>
      <c r="B116" t="str">
        <f>"ATO FP Equity"</f>
        <v>ATO FP Equity</v>
      </c>
      <c r="C116" t="str">
        <f t="shared" si="18"/>
        <v>RR026</v>
      </c>
      <c r="D116" t="str">
        <f t="shared" si="19"/>
        <v>OPER_MARGIN</v>
      </c>
      <c r="E116" t="str">
        <f t="shared" si="20"/>
        <v>Dynamic</v>
      </c>
      <c r="F116">
        <f ca="1">IF(AND(ISNUMBER($F$344),$B$238=1),$F$344,HLOOKUP(INDIRECT(ADDRESS(2,COLUMN())),OFFSET($R$2,0,0,ROW()-1,12),ROW()-1,FALSE))</f>
        <v>5.7128063510000002</v>
      </c>
      <c r="G116">
        <f ca="1">IF(AND(ISNUMBER($G$344),$B$238=1),$G$344,HLOOKUP(INDIRECT(ADDRESS(2,COLUMN())),OFFSET($R$2,0,0,ROW()-1,12),ROW()-1,FALSE))</f>
        <v>5.9541697969999996</v>
      </c>
      <c r="H116">
        <f ca="1">IF(AND(ISNUMBER($H$344),$B$238=1),$H$344,HLOOKUP(INDIRECT(ADDRESS(2,COLUMN())),OFFSET($R$2,0,0,ROW()-1,12),ROW()-1,FALSE))</f>
        <v>7.294098033</v>
      </c>
      <c r="I116">
        <f ca="1">IF(AND(ISNUMBER($I$344),$B$238=1),$I$344,HLOOKUP(INDIRECT(ADDRESS(2,COLUMN())),OFFSET($R$2,0,0,ROW()-1,12),ROW()-1,FALSE))</f>
        <v>6.8126580819999996</v>
      </c>
      <c r="J116">
        <f ca="1">IF(AND(ISNUMBER($J$344),$B$238=1),$J$344,HLOOKUP(INDIRECT(ADDRESS(2,COLUMN())),OFFSET($R$2,0,0,ROW()-1,12),ROW()-1,FALSE))</f>
        <v>5.5149501660000002</v>
      </c>
      <c r="K116">
        <f ca="1">IF(AND(ISNUMBER($K$344),$B$238=1),$K$344,HLOOKUP(INDIRECT(ADDRESS(2,COLUMN())),OFFSET($R$2,0,0,ROW()-1,12),ROW()-1,FALSE))</f>
        <v>4.8645483470000004</v>
      </c>
      <c r="L116">
        <f ca="1">IF(AND(ISNUMBER($L$344),$B$238=1),$L$344,HLOOKUP(INDIRECT(ADDRESS(2,COLUMN())),OFFSET($R$2,0,0,ROW()-1,12),ROW()-1,FALSE))</f>
        <v>4.837136954</v>
      </c>
      <c r="M116">
        <f ca="1">IF(AND(ISNUMBER($M$344),$B$238=1),$M$344,HLOOKUP(INDIRECT(ADDRESS(2,COLUMN())),OFFSET($R$2,0,0,ROW()-1,12),ROW()-1,FALSE))</f>
        <v>4.3123819860000001</v>
      </c>
      <c r="N116">
        <f ca="1">IF(AND(ISNUMBER($N$344),$B$238=1),$N$344,HLOOKUP(INDIRECT(ADDRESS(2,COLUMN())),OFFSET($R$2,0,0,ROW()-1,12),ROW()-1,FALSE))</f>
        <v>5.1038532109999997</v>
      </c>
      <c r="O116">
        <f ca="1">IF(AND(ISNUMBER($O$344),$B$238=1),$O$344,HLOOKUP(INDIRECT(ADDRESS(2,COLUMN())),OFFSET($R$2,0,0,ROW()-1,12),ROW()-1,FALSE))</f>
        <v>3.985579413</v>
      </c>
      <c r="P116">
        <f ca="1">IF(AND(ISNUMBER($P$344),$B$238=1),$P$344,HLOOKUP(INDIRECT(ADDRESS(2,COLUMN())),OFFSET($R$2,0,0,ROW()-1,12),ROW()-1,FALSE))</f>
        <v>0.61049346599999998</v>
      </c>
      <c r="Q116">
        <f ca="1">IF(AND(ISNUMBER($Q$344),$B$238=1),$Q$344,HLOOKUP(INDIRECT(ADDRESS(2,COLUMN())),OFFSET($R$2,0,0,ROW()-1,12),ROW()-1,FALSE))</f>
        <v>4.4011736460000002</v>
      </c>
      <c r="R116">
        <f>5.712806351</f>
        <v>5.7128063510000002</v>
      </c>
      <c r="S116">
        <f>5.954169797</f>
        <v>5.9541697969999996</v>
      </c>
      <c r="T116">
        <f>7.294098033</f>
        <v>7.294098033</v>
      </c>
      <c r="U116">
        <f>6.812658082</f>
        <v>6.8126580819999996</v>
      </c>
      <c r="V116">
        <f>5.514950166</f>
        <v>5.5149501660000002</v>
      </c>
      <c r="W116">
        <f>4.864548347</f>
        <v>4.8645483470000004</v>
      </c>
      <c r="X116">
        <f>4.837136954</f>
        <v>4.837136954</v>
      </c>
      <c r="Y116">
        <f>4.312381986</f>
        <v>4.3123819860000001</v>
      </c>
      <c r="Z116">
        <f>5.103853211</f>
        <v>5.1038532109999997</v>
      </c>
      <c r="AA116">
        <f>3.985579413</f>
        <v>3.985579413</v>
      </c>
      <c r="AB116">
        <f>0.610493466</f>
        <v>0.61049346599999998</v>
      </c>
      <c r="AC116">
        <f>4.401173646</f>
        <v>4.4011736460000002</v>
      </c>
    </row>
    <row r="117" spans="1:29" x14ac:dyDescent="0.25">
      <c r="A117" t="str">
        <f>"    Capgemini SE"</f>
        <v xml:space="preserve">    Capgemini SE</v>
      </c>
      <c r="B117" t="str">
        <f>"CAP FP Equity"</f>
        <v>CAP FP Equity</v>
      </c>
      <c r="C117" t="str">
        <f t="shared" si="18"/>
        <v>RR026</v>
      </c>
      <c r="D117" t="str">
        <f t="shared" si="19"/>
        <v>OPER_MARGIN</v>
      </c>
      <c r="E117" t="str">
        <f t="shared" si="20"/>
        <v>Dynamic</v>
      </c>
      <c r="F117">
        <f ca="1">IF(AND(ISNUMBER($F$345),$B$238=1),$F$345,HLOOKUP(INDIRECT(ADDRESS(2,COLUMN())),OFFSET($R$2,0,0,ROW()-1,12),ROW()-1,FALSE))</f>
        <v>10.145132739999999</v>
      </c>
      <c r="G117">
        <f ca="1">IF(AND(ISNUMBER($G$345),$B$238=1),$G$345,HLOOKUP(INDIRECT(ADDRESS(2,COLUMN())),OFFSET($R$2,0,0,ROW()-1,12),ROW()-1,FALSE))</f>
        <v>9.4794271430000006</v>
      </c>
      <c r="H117">
        <f ca="1">IF(AND(ISNUMBER($H$345),$B$238=1),$H$345,HLOOKUP(INDIRECT(ADDRESS(2,COLUMN())),OFFSET($R$2,0,0,ROW()-1,12),ROW()-1,FALSE))</f>
        <v>9.4451097799999992</v>
      </c>
      <c r="I117">
        <f ca="1">IF(AND(ISNUMBER($I$345),$B$238=1),$I$345,HLOOKUP(INDIRECT(ADDRESS(2,COLUMN())),OFFSET($R$2,0,0,ROW()-1,12),ROW()-1,FALSE))</f>
        <v>9.1554350430000007</v>
      </c>
      <c r="J117">
        <f ca="1">IF(AND(ISNUMBER($J$345),$B$238=1),$J$345,HLOOKUP(INDIRECT(ADDRESS(2,COLUMN())),OFFSET($R$2,0,0,ROW()-1,12),ROW()-1,FALSE))</f>
        <v>8.5774234160000002</v>
      </c>
      <c r="K117">
        <f ca="1">IF(AND(ISNUMBER($K$345),$B$238=1),$K$345,HLOOKUP(INDIRECT(ADDRESS(2,COLUMN())),OFFSET($R$2,0,0,ROW()-1,12),ROW()-1,FALSE))</f>
        <v>8.0677196630000001</v>
      </c>
      <c r="L117">
        <f ca="1">IF(AND(ISNUMBER($L$345),$B$238=1),$L$345,HLOOKUP(INDIRECT(ADDRESS(2,COLUMN())),OFFSET($R$2,0,0,ROW()-1,12),ROW()-1,FALSE))</f>
        <v>7.134363853</v>
      </c>
      <c r="M117">
        <f ca="1">IF(AND(ISNUMBER($M$345),$B$238=1),$M$345,HLOOKUP(INDIRECT(ADDRESS(2,COLUMN())),OFFSET($R$2,0,0,ROW()-1,12),ROW()-1,FALSE))</f>
        <v>5.9041309430000002</v>
      </c>
      <c r="N117">
        <f ca="1">IF(AND(ISNUMBER($N$345),$B$238=1),$N$345,HLOOKUP(INDIRECT(ADDRESS(2,COLUMN())),OFFSET($R$2,0,0,ROW()-1,12),ROW()-1,FALSE))</f>
        <v>6.1384504279999996</v>
      </c>
      <c r="O117">
        <f ca="1">IF(AND(ISNUMBER($O$345),$B$238=1),$O$345,HLOOKUP(INDIRECT(ADDRESS(2,COLUMN())),OFFSET($R$2,0,0,ROW()-1,12),ROW()-1,FALSE))</f>
        <v>5.6226284929999997</v>
      </c>
      <c r="P117">
        <f ca="1">IF(AND(ISNUMBER($P$345),$B$238=1),$P$345,HLOOKUP(INDIRECT(ADDRESS(2,COLUMN())),OFFSET($R$2,0,0,ROW()-1,12),ROW()-1,FALSE))</f>
        <v>3.9780193530000001</v>
      </c>
      <c r="Q117">
        <f ca="1">IF(AND(ISNUMBER($Q$345),$B$238=1),$Q$345,HLOOKUP(INDIRECT(ADDRESS(2,COLUMN())),OFFSET($R$2,0,0,ROW()-1,12),ROW()-1,FALSE))</f>
        <v>8.5419058549999995</v>
      </c>
      <c r="R117">
        <f>10.14513274</f>
        <v>10.145132739999999</v>
      </c>
      <c r="S117">
        <f>9.479427143</f>
        <v>9.4794271430000006</v>
      </c>
      <c r="T117">
        <f>9.44510978</f>
        <v>9.4451097799999992</v>
      </c>
      <c r="U117">
        <f>9.155435043</f>
        <v>9.1554350430000007</v>
      </c>
      <c r="V117">
        <f>8.577423416</f>
        <v>8.5774234160000002</v>
      </c>
      <c r="W117">
        <f>8.067719663</f>
        <v>8.0677196630000001</v>
      </c>
      <c r="X117">
        <f>7.134363853</f>
        <v>7.134363853</v>
      </c>
      <c r="Y117">
        <f>5.904130943</f>
        <v>5.9041309430000002</v>
      </c>
      <c r="Z117">
        <f>6.138450428</f>
        <v>6.1384504279999996</v>
      </c>
      <c r="AA117">
        <f>5.622628493</f>
        <v>5.6226284929999997</v>
      </c>
      <c r="AB117">
        <f>3.978019353</f>
        <v>3.9780193530000001</v>
      </c>
      <c r="AC117">
        <f>8.541905855</f>
        <v>8.5419058549999995</v>
      </c>
    </row>
    <row r="118" spans="1:29" x14ac:dyDescent="0.25">
      <c r="A118" t="str">
        <f>"    CGI Inc"</f>
        <v xml:space="preserve">    CGI Inc</v>
      </c>
      <c r="B118" t="str">
        <f>"GIB US Equity"</f>
        <v>GIB US Equity</v>
      </c>
      <c r="C118" t="str">
        <f t="shared" si="18"/>
        <v>RR026</v>
      </c>
      <c r="D118" t="str">
        <f t="shared" si="19"/>
        <v>OPER_MARGIN</v>
      </c>
      <c r="E118" t="str">
        <f t="shared" si="20"/>
        <v>Dynamic</v>
      </c>
      <c r="F118">
        <f ca="1">IF(AND(ISNUMBER($F$346),$B$238=1),$F$346,HLOOKUP(INDIRECT(ADDRESS(2,COLUMN())),OFFSET($R$2,0,0,ROW()-1,12),ROW()-1,FALSE))</f>
        <v>14.44784001</v>
      </c>
      <c r="G118">
        <f ca="1">IF(AND(ISNUMBER($G$346),$B$238=1),$G$346,HLOOKUP(INDIRECT(ADDRESS(2,COLUMN())),OFFSET($R$2,0,0,ROW()-1,12),ROW()-1,FALSE))</f>
        <v>13.6194389</v>
      </c>
      <c r="H118">
        <f ca="1">IF(AND(ISNUMBER($H$346),$B$238=1),$H$346,HLOOKUP(INDIRECT(ADDRESS(2,COLUMN())),OFFSET($R$2,0,0,ROW()-1,12),ROW()-1,FALSE))</f>
        <v>13.724886509999999</v>
      </c>
      <c r="I118">
        <f ca="1">IF(AND(ISNUMBER($I$346),$B$238=1),$I$346,HLOOKUP(INDIRECT(ADDRESS(2,COLUMN())),OFFSET($R$2,0,0,ROW()-1,12),ROW()-1,FALSE))</f>
        <v>14.35174681</v>
      </c>
      <c r="J118">
        <f ca="1">IF(AND(ISNUMBER($J$346),$B$238=1),$J$346,HLOOKUP(INDIRECT(ADDRESS(2,COLUMN())),OFFSET($R$2,0,0,ROW()-1,12),ROW()-1,FALSE))</f>
        <v>13.92169374</v>
      </c>
      <c r="K118">
        <f ca="1">IF(AND(ISNUMBER($K$346),$B$238=1),$K$346,HLOOKUP(INDIRECT(ADDRESS(2,COLUMN())),OFFSET($R$2,0,0,ROW()-1,12),ROW()-1,FALSE))</f>
        <v>11.8342519</v>
      </c>
      <c r="L118">
        <f ca="1">IF(AND(ISNUMBER($L$346),$B$238=1),$L$346,HLOOKUP(INDIRECT(ADDRESS(2,COLUMN())),OFFSET($R$2,0,0,ROW()-1,12),ROW()-1,FALSE))</f>
        <v>7.2771676960000002</v>
      </c>
      <c r="M118">
        <f ca="1">IF(AND(ISNUMBER($M$346),$B$238=1),$M$346,HLOOKUP(INDIRECT(ADDRESS(2,COLUMN())),OFFSET($R$2,0,0,ROW()-1,12),ROW()-1,FALSE))</f>
        <v>6.0895715289999997</v>
      </c>
      <c r="N118">
        <f ca="1">IF(AND(ISNUMBER($N$346),$B$238=1),$N$346,HLOOKUP(INDIRECT(ADDRESS(2,COLUMN())),OFFSET($R$2,0,0,ROW()-1,12),ROW()-1,FALSE))</f>
        <v>12.5311143</v>
      </c>
      <c r="O118">
        <f ca="1">IF(AND(ISNUMBER($O$346),$B$238=1),$O$346,HLOOKUP(INDIRECT(ADDRESS(2,COLUMN())),OFFSET($R$2,0,0,ROW()-1,12),ROW()-1,FALSE))</f>
        <v>13.14460399</v>
      </c>
      <c r="P118">
        <f ca="1">IF(AND(ISNUMBER($P$346),$B$238=1),$P$346,HLOOKUP(INDIRECT(ADDRESS(2,COLUMN())),OFFSET($R$2,0,0,ROW()-1,12),ROW()-1,FALSE))</f>
        <v>11.99933807</v>
      </c>
      <c r="Q118">
        <f ca="1">IF(AND(ISNUMBER($Q$346),$B$238=1),$Q$346,HLOOKUP(INDIRECT(ADDRESS(2,COLUMN())),OFFSET($R$2,0,0,ROW()-1,12),ROW()-1,FALSE))</f>
        <v>11.65534182</v>
      </c>
      <c r="R118">
        <f>14.44784001</f>
        <v>14.44784001</v>
      </c>
      <c r="S118">
        <f>13.6194389</f>
        <v>13.6194389</v>
      </c>
      <c r="T118">
        <f>13.72488651</f>
        <v>13.724886509999999</v>
      </c>
      <c r="U118">
        <f>14.35174681</f>
        <v>14.35174681</v>
      </c>
      <c r="V118">
        <f>13.92169374</f>
        <v>13.92169374</v>
      </c>
      <c r="W118">
        <f>11.8342519</f>
        <v>11.8342519</v>
      </c>
      <c r="X118">
        <f>7.277167696</f>
        <v>7.2771676960000002</v>
      </c>
      <c r="Y118">
        <f>6.089571529</f>
        <v>6.0895715289999997</v>
      </c>
      <c r="Z118">
        <f>12.5311143</f>
        <v>12.5311143</v>
      </c>
      <c r="AA118">
        <f>13.14460399</f>
        <v>13.14460399</v>
      </c>
      <c r="AB118">
        <f>11.99933807</f>
        <v>11.99933807</v>
      </c>
      <c r="AC118">
        <f>11.65534182</f>
        <v>11.65534182</v>
      </c>
    </row>
    <row r="119" spans="1:29" x14ac:dyDescent="0.25">
      <c r="A119" t="str">
        <f>"    Cognizant Technology Solutions Corp"</f>
        <v xml:space="preserve">    Cognizant Technology Solutions Corp</v>
      </c>
      <c r="B119" t="str">
        <f>"CTSH US Equity"</f>
        <v>CTSH US Equity</v>
      </c>
      <c r="C119" t="str">
        <f t="shared" si="18"/>
        <v>RR026</v>
      </c>
      <c r="D119" t="str">
        <f t="shared" si="19"/>
        <v>OPER_MARGIN</v>
      </c>
      <c r="E119" t="str">
        <f t="shared" si="20"/>
        <v>Dynamic</v>
      </c>
      <c r="F119">
        <f ca="1">IF(AND(ISNUMBER($F$347),$B$238=1),$F$347,HLOOKUP(INDIRECT(ADDRESS(2,COLUMN())),OFFSET($R$2,0,0,ROW()-1,12),ROW()-1,FALSE))</f>
        <v>14.615980459999999</v>
      </c>
      <c r="G119">
        <f ca="1">IF(AND(ISNUMBER($G$347),$B$238=1),$G$347,HLOOKUP(INDIRECT(ADDRESS(2,COLUMN())),OFFSET($R$2,0,0,ROW()-1,12),ROW()-1,FALSE))</f>
        <v>17.37054264</v>
      </c>
      <c r="H119">
        <f ca="1">IF(AND(ISNUMBER($H$347),$B$238=1),$H$347,HLOOKUP(INDIRECT(ADDRESS(2,COLUMN())),OFFSET($R$2,0,0,ROW()-1,12),ROW()-1,FALSE))</f>
        <v>16.752194459999998</v>
      </c>
      <c r="I119">
        <f ca="1">IF(AND(ISNUMBER($I$347),$B$238=1),$I$347,HLOOKUP(INDIRECT(ADDRESS(2,COLUMN())),OFFSET($R$2,0,0,ROW()-1,12),ROW()-1,FALSE))</f>
        <v>16.97189887</v>
      </c>
      <c r="J119">
        <f ca="1">IF(AND(ISNUMBER($J$347),$B$238=1),$J$347,HLOOKUP(INDIRECT(ADDRESS(2,COLUMN())),OFFSET($R$2,0,0,ROW()-1,12),ROW()-1,FALSE))</f>
        <v>17.25193299</v>
      </c>
      <c r="K119">
        <f ca="1">IF(AND(ISNUMBER($K$347),$B$238=1),$K$347,HLOOKUP(INDIRECT(ADDRESS(2,COLUMN())),OFFSET($R$2,0,0,ROW()-1,12),ROW()-1,FALSE))</f>
        <v>18.36651174</v>
      </c>
      <c r="L119">
        <f ca="1">IF(AND(ISNUMBER($L$347),$B$238=1),$L$347,HLOOKUP(INDIRECT(ADDRESS(2,COLUMN())),OFFSET($R$2,0,0,ROW()-1,12),ROW()-1,FALSE))</f>
        <v>18.97403753</v>
      </c>
      <c r="M119">
        <f ca="1">IF(AND(ISNUMBER($M$347),$B$238=1),$M$347,HLOOKUP(INDIRECT(ADDRESS(2,COLUMN())),OFFSET($R$2,0,0,ROW()-1,12),ROW()-1,FALSE))</f>
        <v>18.53265077</v>
      </c>
      <c r="N119">
        <f ca="1">IF(AND(ISNUMBER($N$347),$B$238=1),$N$347,HLOOKUP(INDIRECT(ADDRESS(2,COLUMN())),OFFSET($R$2,0,0,ROW()-1,12),ROW()-1,FALSE))</f>
        <v>18.566231609999999</v>
      </c>
      <c r="O119">
        <f ca="1">IF(AND(ISNUMBER($O$347),$B$238=1),$O$347,HLOOKUP(INDIRECT(ADDRESS(2,COLUMN())),OFFSET($R$2,0,0,ROW()-1,12),ROW()-1,FALSE))</f>
        <v>18.766964210000001</v>
      </c>
      <c r="P119">
        <f ca="1">IF(AND(ISNUMBER($P$347),$B$238=1),$P$347,HLOOKUP(INDIRECT(ADDRESS(2,COLUMN())),OFFSET($R$2,0,0,ROW()-1,12),ROW()-1,FALSE))</f>
        <v>18.864091859999998</v>
      </c>
      <c r="Q119">
        <f ca="1">IF(AND(ISNUMBER($Q$347),$B$238=1),$Q$347,HLOOKUP(INDIRECT(ADDRESS(2,COLUMN())),OFFSET($R$2,0,0,ROW()-1,12),ROW()-1,FALSE))</f>
        <v>18.345675750000002</v>
      </c>
      <c r="R119">
        <f>14.61598046</f>
        <v>14.615980459999999</v>
      </c>
      <c r="S119">
        <f>17.37054264</f>
        <v>17.37054264</v>
      </c>
      <c r="T119">
        <f>16.75219446</f>
        <v>16.752194459999998</v>
      </c>
      <c r="U119">
        <f>16.97189887</f>
        <v>16.97189887</v>
      </c>
      <c r="V119">
        <f>17.25193299</f>
        <v>17.25193299</v>
      </c>
      <c r="W119">
        <f>18.36651174</f>
        <v>18.36651174</v>
      </c>
      <c r="X119">
        <f>18.97403753</f>
        <v>18.97403753</v>
      </c>
      <c r="Y119">
        <f>18.53265077</f>
        <v>18.53265077</v>
      </c>
      <c r="Z119">
        <f>18.56623161</f>
        <v>18.566231609999999</v>
      </c>
      <c r="AA119">
        <f>18.76696421</f>
        <v>18.766964210000001</v>
      </c>
      <c r="AB119">
        <f>18.86409186</f>
        <v>18.864091859999998</v>
      </c>
      <c r="AC119">
        <f>18.34567575</f>
        <v>18.345675750000002</v>
      </c>
    </row>
    <row r="120" spans="1:29" x14ac:dyDescent="0.25">
      <c r="A120" t="str">
        <f>"    Conduent Inc"</f>
        <v xml:space="preserve">    Conduent Inc</v>
      </c>
      <c r="B120" t="str">
        <f>"CNDT US Equity"</f>
        <v>CNDT US Equity</v>
      </c>
      <c r="C120" t="str">
        <f t="shared" si="18"/>
        <v>RR026</v>
      </c>
      <c r="D120" t="str">
        <f t="shared" si="19"/>
        <v>OPER_MARGIN</v>
      </c>
      <c r="E120" t="str">
        <f t="shared" si="20"/>
        <v>Dynamic</v>
      </c>
      <c r="F120">
        <f ca="1">IF(AND(ISNUMBER($F$348),$B$238=1),$F$348,HLOOKUP(INDIRECT(ADDRESS(2,COLUMN())),OFFSET($R$2,0,0,ROW()-1,12),ROW()-1,FALSE))</f>
        <v>-45.399597040000003</v>
      </c>
      <c r="G120">
        <f ca="1">IF(AND(ISNUMBER($G$348),$B$238=1),$G$348,HLOOKUP(INDIRECT(ADDRESS(2,COLUMN())),OFFSET($R$2,0,0,ROW()-1,12),ROW()-1,FALSE))</f>
        <v>-5.1548303359999998</v>
      </c>
      <c r="H120">
        <f ca="1">IF(AND(ISNUMBER($H$348),$B$238=1),$H$348,HLOOKUP(INDIRECT(ADDRESS(2,COLUMN())),OFFSET($R$2,0,0,ROW()-1,12),ROW()-1,FALSE))</f>
        <v>1.8930587839999999</v>
      </c>
      <c r="I120">
        <f ca="1">IF(AND(ISNUMBER($I$348),$B$238=1),$I$348,HLOOKUP(INDIRECT(ADDRESS(2,COLUMN())),OFFSET($R$2,0,0,ROW()-1,12),ROW()-1,FALSE))</f>
        <v>-18.242821469999999</v>
      </c>
      <c r="J120">
        <f ca="1">IF(AND(ISNUMBER($J$348),$B$238=1),$J$348,HLOOKUP(INDIRECT(ADDRESS(2,COLUMN())),OFFSET($R$2,0,0,ROW()-1,12),ROW()-1,FALSE))</f>
        <v>-7.1299909939999999</v>
      </c>
      <c r="K120">
        <f ca="1">IF(AND(ISNUMBER($K$348),$B$238=1),$K$348,HLOOKUP(INDIRECT(ADDRESS(2,COLUMN())),OFFSET($R$2,0,0,ROW()-1,12),ROW()-1,FALSE))</f>
        <v>2.3349668490000002</v>
      </c>
      <c r="L120">
        <f ca="1">IF(AND(ISNUMBER($L$348),$B$238=1),$L$348,HLOOKUP(INDIRECT(ADDRESS(2,COLUMN())),OFFSET($R$2,0,0,ROW()-1,12),ROW()-1,FALSE))</f>
        <v>4.0703590639999998</v>
      </c>
      <c r="M120" t="str">
        <f ca="1">IF(AND(ISNUMBER($M$348),$B$238=1),$M$348,HLOOKUP(INDIRECT(ADDRESS(2,COLUMN())),OFFSET($R$2,0,0,ROW()-1,12),ROW()-1,FALSE))</f>
        <v/>
      </c>
      <c r="N120" t="str">
        <f ca="1">IF(AND(ISNUMBER($N$348),$B$238=1),$N$348,HLOOKUP(INDIRECT(ADDRESS(2,COLUMN())),OFFSET($R$2,0,0,ROW()-1,12),ROW()-1,FALSE))</f>
        <v/>
      </c>
      <c r="O120" t="str">
        <f ca="1">IF(AND(ISNUMBER($O$348),$B$238=1),$O$348,HLOOKUP(INDIRECT(ADDRESS(2,COLUMN())),OFFSET($R$2,0,0,ROW()-1,12),ROW()-1,FALSE))</f>
        <v/>
      </c>
      <c r="P120" t="str">
        <f ca="1">IF(AND(ISNUMBER($P$348),$B$238=1),$P$348,HLOOKUP(INDIRECT(ADDRESS(2,COLUMN())),OFFSET($R$2,0,0,ROW()-1,12),ROW()-1,FALSE))</f>
        <v/>
      </c>
      <c r="Q120" t="str">
        <f ca="1">IF(AND(ISNUMBER($Q$348),$B$238=1),$Q$348,HLOOKUP(INDIRECT(ADDRESS(2,COLUMN())),OFFSET($R$2,0,0,ROW()-1,12),ROW()-1,FALSE))</f>
        <v/>
      </c>
      <c r="R120">
        <f>-45.39959704</f>
        <v>-45.399597040000003</v>
      </c>
      <c r="S120">
        <f>-5.154830336</f>
        <v>-5.1548303359999998</v>
      </c>
      <c r="T120">
        <f>1.893058784</f>
        <v>1.8930587839999999</v>
      </c>
      <c r="U120">
        <f>-18.24282147</f>
        <v>-18.242821469999999</v>
      </c>
      <c r="V120">
        <f>-7.129990994</f>
        <v>-7.1299909939999999</v>
      </c>
      <c r="W120">
        <f>2.334966849</f>
        <v>2.3349668490000002</v>
      </c>
      <c r="X120">
        <f>4.070359064</f>
        <v>4.0703590639999998</v>
      </c>
      <c r="Y120" t="str">
        <f>""</f>
        <v/>
      </c>
      <c r="Z120" t="str">
        <f>""</f>
        <v/>
      </c>
      <c r="AA120" t="str">
        <f>""</f>
        <v/>
      </c>
      <c r="AB120" t="str">
        <f>""</f>
        <v/>
      </c>
      <c r="AC120" t="str">
        <f>""</f>
        <v/>
      </c>
    </row>
    <row r="121" spans="1:29" x14ac:dyDescent="0.25">
      <c r="A121" t="str">
        <f>"    DXC Technology Co"</f>
        <v xml:space="preserve">    DXC Technology Co</v>
      </c>
      <c r="B121" t="str">
        <f>"DXC US Equity"</f>
        <v>DXC US Equity</v>
      </c>
      <c r="C121" t="str">
        <f t="shared" si="18"/>
        <v>RR026</v>
      </c>
      <c r="D121" t="str">
        <f t="shared" si="19"/>
        <v>OPER_MARGIN</v>
      </c>
      <c r="E121" t="str">
        <f t="shared" si="20"/>
        <v>Dynamic</v>
      </c>
      <c r="F121">
        <f ca="1">IF(AND(ISNUMBER($F$349),$B$238=1),$F$349,HLOOKUP(INDIRECT(ADDRESS(2,COLUMN())),OFFSET($R$2,0,0,ROW()-1,12),ROW()-1,FALSE))</f>
        <v>-29.269040199999999</v>
      </c>
      <c r="G121">
        <f ca="1">IF(AND(ISNUMBER($G$349),$B$238=1),$G$349,HLOOKUP(INDIRECT(ADDRESS(2,COLUMN())),OFFSET($R$2,0,0,ROW()-1,12),ROW()-1,FALSE))</f>
        <v>8.2927769480000002</v>
      </c>
      <c r="H121">
        <f ca="1">IF(AND(ISNUMBER($H$349),$B$238=1),$H$349,HLOOKUP(INDIRECT(ADDRESS(2,COLUMN())),OFFSET($R$2,0,0,ROW()-1,12),ROW()-1,FALSE))</f>
        <v>7.0629917640000004</v>
      </c>
      <c r="I121">
        <f ca="1">IF(AND(ISNUMBER($I$349),$B$238=1),$I$349,HLOOKUP(INDIRECT(ADDRESS(2,COLUMN())),OFFSET($R$2,0,0,ROW()-1,12),ROW()-1,FALSE))</f>
        <v>-0.37016618099999998</v>
      </c>
      <c r="J121" t="str">
        <f ca="1">IF(AND(ISNUMBER($J$349),$B$238=1),$J$349,HLOOKUP(INDIRECT(ADDRESS(2,COLUMN())),OFFSET($R$2,0,0,ROW()-1,12),ROW()-1,FALSE))</f>
        <v/>
      </c>
      <c r="K121" t="str">
        <f ca="1">IF(AND(ISNUMBER($K$349),$B$238=1),$K$349,HLOOKUP(INDIRECT(ADDRESS(2,COLUMN())),OFFSET($R$2,0,0,ROW()-1,12),ROW()-1,FALSE))</f>
        <v/>
      </c>
      <c r="L121" t="str">
        <f ca="1">IF(AND(ISNUMBER($L$349),$B$238=1),$L$349,HLOOKUP(INDIRECT(ADDRESS(2,COLUMN())),OFFSET($R$2,0,0,ROW()-1,12),ROW()-1,FALSE))</f>
        <v/>
      </c>
      <c r="M121" t="str">
        <f ca="1">IF(AND(ISNUMBER($M$349),$B$238=1),$M$349,HLOOKUP(INDIRECT(ADDRESS(2,COLUMN())),OFFSET($R$2,0,0,ROW()-1,12),ROW()-1,FALSE))</f>
        <v/>
      </c>
      <c r="N121" t="str">
        <f ca="1">IF(AND(ISNUMBER($N$349),$B$238=1),$N$349,HLOOKUP(INDIRECT(ADDRESS(2,COLUMN())),OFFSET($R$2,0,0,ROW()-1,12),ROW()-1,FALSE))</f>
        <v/>
      </c>
      <c r="O121" t="str">
        <f ca="1">IF(AND(ISNUMBER($O$349),$B$238=1),$O$349,HLOOKUP(INDIRECT(ADDRESS(2,COLUMN())),OFFSET($R$2,0,0,ROW()-1,12),ROW()-1,FALSE))</f>
        <v/>
      </c>
      <c r="P121" t="str">
        <f ca="1">IF(AND(ISNUMBER($P$349),$B$238=1),$P$349,HLOOKUP(INDIRECT(ADDRESS(2,COLUMN())),OFFSET($R$2,0,0,ROW()-1,12),ROW()-1,FALSE))</f>
        <v/>
      </c>
      <c r="Q121" t="str">
        <f ca="1">IF(AND(ISNUMBER($Q$349),$B$238=1),$Q$349,HLOOKUP(INDIRECT(ADDRESS(2,COLUMN())),OFFSET($R$2,0,0,ROW()-1,12),ROW()-1,FALSE))</f>
        <v/>
      </c>
      <c r="R121">
        <f>-29.2690402</f>
        <v>-29.269040199999999</v>
      </c>
      <c r="S121">
        <f>8.292776948</f>
        <v>8.2927769480000002</v>
      </c>
      <c r="T121">
        <f>7.062991764</f>
        <v>7.0629917640000004</v>
      </c>
      <c r="U121">
        <f>-0.370166181</f>
        <v>-0.37016618099999998</v>
      </c>
      <c r="V121" t="str">
        <f>""</f>
        <v/>
      </c>
      <c r="W121" t="str">
        <f>""</f>
        <v/>
      </c>
      <c r="X121" t="str">
        <f>""</f>
        <v/>
      </c>
      <c r="Y121" t="str">
        <f>""</f>
        <v/>
      </c>
      <c r="Z121" t="str">
        <f>""</f>
        <v/>
      </c>
      <c r="AA121" t="str">
        <f>""</f>
        <v/>
      </c>
      <c r="AB121" t="str">
        <f>""</f>
        <v/>
      </c>
      <c r="AC121" t="str">
        <f>""</f>
        <v/>
      </c>
    </row>
    <row r="122" spans="1:29" x14ac:dyDescent="0.25">
      <c r="A122" t="str">
        <f>"    EPAM Systems Inc"</f>
        <v xml:space="preserve">    EPAM Systems Inc</v>
      </c>
      <c r="B122" t="str">
        <f>"EPAM US Equity"</f>
        <v>EPAM US Equity</v>
      </c>
      <c r="C122" t="str">
        <f t="shared" si="18"/>
        <v>RR026</v>
      </c>
      <c r="D122" t="str">
        <f t="shared" si="19"/>
        <v>OPER_MARGIN</v>
      </c>
      <c r="E122" t="str">
        <f t="shared" si="20"/>
        <v>Dynamic</v>
      </c>
      <c r="F122">
        <f ca="1">IF(AND(ISNUMBER($F$350),$B$238=1),$F$350,HLOOKUP(INDIRECT(ADDRESS(2,COLUMN())),OFFSET($R$2,0,0,ROW()-1,12),ROW()-1,FALSE))</f>
        <v>13.20299346</v>
      </c>
      <c r="G122">
        <f ca="1">IF(AND(ISNUMBER($G$350),$B$238=1),$G$350,HLOOKUP(INDIRECT(ADDRESS(2,COLUMN())),OFFSET($R$2,0,0,ROW()-1,12),ROW()-1,FALSE))</f>
        <v>13.33563404</v>
      </c>
      <c r="H122">
        <f ca="1">IF(AND(ISNUMBER($H$350),$B$238=1),$H$350,HLOOKUP(INDIRECT(ADDRESS(2,COLUMN())),OFFSET($R$2,0,0,ROW()-1,12),ROW()-1,FALSE))</f>
        <v>11.92362636</v>
      </c>
      <c r="I122">
        <f ca="1">IF(AND(ISNUMBER($I$350),$B$238=1),$I$350,HLOOKUP(INDIRECT(ADDRESS(2,COLUMN())),OFFSET($R$2,0,0,ROW()-1,12),ROW()-1,FALSE))</f>
        <v>11.524205869999999</v>
      </c>
      <c r="J122">
        <f ca="1">IF(AND(ISNUMBER($J$350),$B$238=1),$J$350,HLOOKUP(INDIRECT(ADDRESS(2,COLUMN())),OFFSET($R$2,0,0,ROW()-1,12),ROW()-1,FALSE))</f>
        <v>11.59214027</v>
      </c>
      <c r="K122">
        <f ca="1">IF(AND(ISNUMBER($K$350),$B$238=1),$K$350,HLOOKUP(INDIRECT(ADDRESS(2,COLUMN())),OFFSET($R$2,0,0,ROW()-1,12),ROW()-1,FALSE))</f>
        <v>11.80545377</v>
      </c>
      <c r="L122">
        <f ca="1">IF(AND(ISNUMBER($L$350),$B$238=1),$L$350,HLOOKUP(INDIRECT(ADDRESS(2,COLUMN())),OFFSET($R$2,0,0,ROW()-1,12),ROW()-1,FALSE))</f>
        <v>13.779617630000001</v>
      </c>
      <c r="M122">
        <f ca="1">IF(AND(ISNUMBER($M$350),$B$238=1),$M$350,HLOOKUP(INDIRECT(ADDRESS(2,COLUMN())),OFFSET($R$2,0,0,ROW()-1,12),ROW()-1,FALSE))</f>
        <v>15.21580271</v>
      </c>
      <c r="N122">
        <f ca="1">IF(AND(ISNUMBER($N$350),$B$238=1),$N$350,HLOOKUP(INDIRECT(ADDRESS(2,COLUMN())),OFFSET($R$2,0,0,ROW()-1,12),ROW()-1,FALSE))</f>
        <v>16.443466619999999</v>
      </c>
      <c r="O122">
        <f ca="1">IF(AND(ISNUMBER($O$350),$B$238=1),$O$350,HLOOKUP(INDIRECT(ADDRESS(2,COLUMN())),OFFSET($R$2,0,0,ROW()-1,12),ROW()-1,FALSE))</f>
        <v>14.781989319999999</v>
      </c>
      <c r="P122">
        <f ca="1">IF(AND(ISNUMBER($P$350),$B$238=1),$P$350,HLOOKUP(INDIRECT(ADDRESS(2,COLUMN())),OFFSET($R$2,0,0,ROW()-1,12),ROW()-1,FALSE))</f>
        <v>10.659001330000001</v>
      </c>
      <c r="Q122">
        <f ca="1">IF(AND(ISNUMBER($Q$350),$B$238=1),$Q$350,HLOOKUP(INDIRECT(ADDRESS(2,COLUMN())),OFFSET($R$2,0,0,ROW()-1,12),ROW()-1,FALSE))</f>
        <v>6.3654813490000004</v>
      </c>
      <c r="R122">
        <f>13.20299346</f>
        <v>13.20299346</v>
      </c>
      <c r="S122">
        <f>13.33563404</f>
        <v>13.33563404</v>
      </c>
      <c r="T122">
        <f>11.92362636</f>
        <v>11.92362636</v>
      </c>
      <c r="U122">
        <f>11.52420587</f>
        <v>11.524205869999999</v>
      </c>
      <c r="V122">
        <f>11.59214027</f>
        <v>11.59214027</v>
      </c>
      <c r="W122">
        <f>11.80545377</f>
        <v>11.80545377</v>
      </c>
      <c r="X122">
        <f>13.77961763</f>
        <v>13.779617630000001</v>
      </c>
      <c r="Y122">
        <f>15.21580271</f>
        <v>15.21580271</v>
      </c>
      <c r="Z122">
        <f>16.44346662</f>
        <v>16.443466619999999</v>
      </c>
      <c r="AA122">
        <f>14.78198932</f>
        <v>14.781989319999999</v>
      </c>
      <c r="AB122">
        <f>10.65900133</f>
        <v>10.659001330000001</v>
      </c>
      <c r="AC122">
        <f>6.365481349</f>
        <v>6.3654813490000004</v>
      </c>
    </row>
    <row r="123" spans="1:29" x14ac:dyDescent="0.25">
      <c r="A123" t="str">
        <f>"    Genpact Ltd"</f>
        <v xml:space="preserve">    Genpact Ltd</v>
      </c>
      <c r="B123" t="str">
        <f>"G US Equity"</f>
        <v>G US Equity</v>
      </c>
      <c r="C123" t="str">
        <f t="shared" si="18"/>
        <v>RR026</v>
      </c>
      <c r="D123" t="str">
        <f t="shared" si="19"/>
        <v>OPER_MARGIN</v>
      </c>
      <c r="E123" t="str">
        <f t="shared" si="20"/>
        <v>Dynamic</v>
      </c>
      <c r="F123">
        <f ca="1">IF(AND(ISNUMBER($F$351),$B$238=1),$F$351,HLOOKUP(INDIRECT(ADDRESS(2,COLUMN())),OFFSET($R$2,0,0,ROW()-1,12),ROW()-1,FALSE))</f>
        <v>12.1963004</v>
      </c>
      <c r="G123">
        <f ca="1">IF(AND(ISNUMBER($G$351),$B$238=1),$G$351,HLOOKUP(INDIRECT(ADDRESS(2,COLUMN())),OFFSET($R$2,0,0,ROW()-1,12),ROW()-1,FALSE))</f>
        <v>11.602011470000001</v>
      </c>
      <c r="H123">
        <f ca="1">IF(AND(ISNUMBER($H$351),$B$238=1),$H$351,HLOOKUP(INDIRECT(ADDRESS(2,COLUMN())),OFFSET($R$2,0,0,ROW()-1,12),ROW()-1,FALSE))</f>
        <v>12.104040700000001</v>
      </c>
      <c r="I123">
        <f ca="1">IF(AND(ISNUMBER($I$351),$B$238=1),$I$351,HLOOKUP(INDIRECT(ADDRESS(2,COLUMN())),OFFSET($R$2,0,0,ROW()-1,12),ROW()-1,FALSE))</f>
        <v>13.27259374</v>
      </c>
      <c r="J123">
        <f ca="1">IF(AND(ISNUMBER($J$351),$B$238=1),$J$351,HLOOKUP(INDIRECT(ADDRESS(2,COLUMN())),OFFSET($R$2,0,0,ROW()-1,12),ROW()-1,FALSE))</f>
        <v>13.57927774</v>
      </c>
      <c r="K123">
        <f ca="1">IF(AND(ISNUMBER($K$351),$B$238=1),$K$351,HLOOKUP(INDIRECT(ADDRESS(2,COLUMN())),OFFSET($R$2,0,0,ROW()-1,12),ROW()-1,FALSE))</f>
        <v>12.899276049999999</v>
      </c>
      <c r="L123">
        <f ca="1">IF(AND(ISNUMBER($L$351),$B$238=1),$L$351,HLOOKUP(INDIRECT(ADDRESS(2,COLUMN())),OFFSET($R$2,0,0,ROW()-1,12),ROW()-1,FALSE))</f>
        <v>14.518172399999999</v>
      </c>
      <c r="M123">
        <f ca="1">IF(AND(ISNUMBER($M$351),$B$238=1),$M$351,HLOOKUP(INDIRECT(ADDRESS(2,COLUMN())),OFFSET($R$2,0,0,ROW()-1,12),ROW()-1,FALSE))</f>
        <v>13.8984769</v>
      </c>
      <c r="N123">
        <f ca="1">IF(AND(ISNUMBER($N$351),$B$238=1),$N$351,HLOOKUP(INDIRECT(ADDRESS(2,COLUMN())),OFFSET($R$2,0,0,ROW()-1,12),ROW()-1,FALSE))</f>
        <v>13.5115681</v>
      </c>
      <c r="O123">
        <f ca="1">IF(AND(ISNUMBER($O$351),$B$238=1),$O$351,HLOOKUP(INDIRECT(ADDRESS(2,COLUMN())),OFFSET($R$2,0,0,ROW()-1,12),ROW()-1,FALSE))</f>
        <v>14.127817889999999</v>
      </c>
      <c r="P123">
        <f ca="1">IF(AND(ISNUMBER($P$351),$B$238=1),$P$351,HLOOKUP(INDIRECT(ADDRESS(2,COLUMN())),OFFSET($R$2,0,0,ROW()-1,12),ROW()-1,FALSE))</f>
        <v>14.47943925</v>
      </c>
      <c r="Q123">
        <f ca="1">IF(AND(ISNUMBER($Q$351),$B$238=1),$Q$351,HLOOKUP(INDIRECT(ADDRESS(2,COLUMN())),OFFSET($R$2,0,0,ROW()-1,12),ROW()-1,FALSE))</f>
        <v>12.846556700000001</v>
      </c>
      <c r="R123">
        <f>12.1963004</f>
        <v>12.1963004</v>
      </c>
      <c r="S123">
        <f>11.60201147</f>
        <v>11.602011470000001</v>
      </c>
      <c r="T123">
        <f>12.1040407</f>
        <v>12.104040700000001</v>
      </c>
      <c r="U123">
        <f>13.27259374</f>
        <v>13.27259374</v>
      </c>
      <c r="V123">
        <f>13.57927774</f>
        <v>13.57927774</v>
      </c>
      <c r="W123">
        <f>12.89927605</f>
        <v>12.899276049999999</v>
      </c>
      <c r="X123">
        <f>14.5181724</f>
        <v>14.518172399999999</v>
      </c>
      <c r="Y123">
        <f>13.8984769</f>
        <v>13.8984769</v>
      </c>
      <c r="Z123">
        <f>13.5115681</f>
        <v>13.5115681</v>
      </c>
      <c r="AA123">
        <f>14.12781789</f>
        <v>14.127817889999999</v>
      </c>
      <c r="AB123">
        <f>14.47943925</f>
        <v>14.47943925</v>
      </c>
      <c r="AC123">
        <f>12.8465567</f>
        <v>12.846556700000001</v>
      </c>
    </row>
    <row r="124" spans="1:29" x14ac:dyDescent="0.25">
      <c r="A124" t="str">
        <f>"    HCL Technologies Ltd"</f>
        <v xml:space="preserve">    HCL Technologies Ltd</v>
      </c>
      <c r="B124" t="str">
        <f>"HCLT IN Equity"</f>
        <v>HCLT IN Equity</v>
      </c>
      <c r="C124" t="str">
        <f t="shared" si="18"/>
        <v>RR026</v>
      </c>
      <c r="D124" t="str">
        <f t="shared" si="19"/>
        <v>OPER_MARGIN</v>
      </c>
      <c r="E124" t="str">
        <f t="shared" si="20"/>
        <v>Dynamic</v>
      </c>
      <c r="F124">
        <f ca="1">IF(AND(ISNUMBER($F$352),$B$238=1),$F$352,HLOOKUP(INDIRECT(ADDRESS(2,COLUMN())),OFFSET($R$2,0,0,ROW()-1,12),ROW()-1,FALSE))</f>
        <v>19.58132045</v>
      </c>
      <c r="G124">
        <f ca="1">IF(AND(ISNUMBER($G$352),$B$238=1),$G$352,HLOOKUP(INDIRECT(ADDRESS(2,COLUMN())),OFFSET($R$2,0,0,ROW()-1,12),ROW()-1,FALSE))</f>
        <v>19.49863306</v>
      </c>
      <c r="H124">
        <f ca="1">IF(AND(ISNUMBER($H$352),$B$238=1),$H$352,HLOOKUP(INDIRECT(ADDRESS(2,COLUMN())),OFFSET($R$2,0,0,ROW()-1,12),ROW()-1,FALSE))</f>
        <v>19.504043979999999</v>
      </c>
      <c r="I124">
        <f ca="1">IF(AND(ISNUMBER($I$352),$B$238=1),$I$352,HLOOKUP(INDIRECT(ADDRESS(2,COLUMN())),OFFSET($R$2,0,0,ROW()-1,12),ROW()-1,FALSE))</f>
        <v>20.090216999999999</v>
      </c>
      <c r="J124">
        <f ca="1">IF(AND(ISNUMBER($J$352),$B$238=1),$J$352,HLOOKUP(INDIRECT(ADDRESS(2,COLUMN())),OFFSET($R$2,0,0,ROW()-1,12),ROW()-1,FALSE))</f>
        <v>20.06286686</v>
      </c>
      <c r="K124" t="str">
        <f ca="1">IF(AND(ISNUMBER($K$352),$B$238=1),$K$352,HLOOKUP(INDIRECT(ADDRESS(2,COLUMN())),OFFSET($R$2,0,0,ROW()-1,12),ROW()-1,FALSE))</f>
        <v/>
      </c>
      <c r="L124">
        <f ca="1">IF(AND(ISNUMBER($L$352),$B$238=1),$L$352,HLOOKUP(INDIRECT(ADDRESS(2,COLUMN())),OFFSET($R$2,0,0,ROW()-1,12),ROW()-1,FALSE))</f>
        <v>24.10164558</v>
      </c>
      <c r="M124">
        <f ca="1">IF(AND(ISNUMBER($M$352),$B$238=1),$M$352,HLOOKUP(INDIRECT(ADDRESS(2,COLUMN())),OFFSET($R$2,0,0,ROW()-1,12),ROW()-1,FALSE))</f>
        <v>19.64109384</v>
      </c>
      <c r="N124">
        <f ca="1">IF(AND(ISNUMBER($N$352),$B$238=1),$N$352,HLOOKUP(INDIRECT(ADDRESS(2,COLUMN())),OFFSET($R$2,0,0,ROW()-1,12),ROW()-1,FALSE))</f>
        <v>15.2687279</v>
      </c>
      <c r="O124">
        <f ca="1">IF(AND(ISNUMBER($O$352),$B$238=1),$O$352,HLOOKUP(INDIRECT(ADDRESS(2,COLUMN())),OFFSET($R$2,0,0,ROW()-1,12),ROW()-1,FALSE))</f>
        <v>12.76106248</v>
      </c>
      <c r="P124">
        <f ca="1">IF(AND(ISNUMBER($P$352),$B$238=1),$P$352,HLOOKUP(INDIRECT(ADDRESS(2,COLUMN())),OFFSET($R$2,0,0,ROW()-1,12),ROW()-1,FALSE))</f>
        <v>12.54460795</v>
      </c>
      <c r="Q124">
        <f ca="1">IF(AND(ISNUMBER($Q$352),$B$238=1),$Q$352,HLOOKUP(INDIRECT(ADDRESS(2,COLUMN())),OFFSET($R$2,0,0,ROW()-1,12),ROW()-1,FALSE))</f>
        <v>16.551589969999998</v>
      </c>
      <c r="R124">
        <f>19.58132045</f>
        <v>19.58132045</v>
      </c>
      <c r="S124">
        <f>19.49863306</f>
        <v>19.49863306</v>
      </c>
      <c r="T124">
        <f>19.50404398</f>
        <v>19.504043979999999</v>
      </c>
      <c r="U124">
        <f>20.090217</f>
        <v>20.090216999999999</v>
      </c>
      <c r="V124">
        <f>20.06286686</f>
        <v>20.06286686</v>
      </c>
      <c r="W124" t="str">
        <f>""</f>
        <v/>
      </c>
      <c r="X124">
        <f>24.10164558</f>
        <v>24.10164558</v>
      </c>
      <c r="Y124">
        <f>19.64109384</f>
        <v>19.64109384</v>
      </c>
      <c r="Z124">
        <f>15.2687279</f>
        <v>15.2687279</v>
      </c>
      <c r="AA124">
        <f>12.76106248</f>
        <v>12.76106248</v>
      </c>
      <c r="AB124">
        <f>12.54460795</f>
        <v>12.54460795</v>
      </c>
      <c r="AC124">
        <f>16.55158997</f>
        <v>16.551589969999998</v>
      </c>
    </row>
    <row r="125" spans="1:29" x14ac:dyDescent="0.25">
      <c r="A125" t="str">
        <f>"    Indra Sistemas SA"</f>
        <v xml:space="preserve">    Indra Sistemas SA</v>
      </c>
      <c r="B125" t="str">
        <f>"IDR SM Equity"</f>
        <v>IDR SM Equity</v>
      </c>
      <c r="C125" t="str">
        <f t="shared" si="18"/>
        <v>RR026</v>
      </c>
      <c r="D125" t="str">
        <f t="shared" si="19"/>
        <v>OPER_MARGIN</v>
      </c>
      <c r="E125" t="str">
        <f t="shared" si="20"/>
        <v>Dynamic</v>
      </c>
      <c r="F125">
        <f ca="1">IF(AND(ISNUMBER($F$353),$B$238=1),$F$353,HLOOKUP(INDIRECT(ADDRESS(2,COLUMN())),OFFSET($R$2,0,0,ROW()-1,12),ROW()-1,FALSE))</f>
        <v>6.8984459439999997</v>
      </c>
      <c r="G125">
        <f ca="1">IF(AND(ISNUMBER($G$353),$B$238=1),$G$353,HLOOKUP(INDIRECT(ADDRESS(2,COLUMN())),OFFSET($R$2,0,0,ROW()-1,12),ROW()-1,FALSE))</f>
        <v>6.422584402</v>
      </c>
      <c r="H125">
        <f ca="1">IF(AND(ISNUMBER($H$353),$B$238=1),$H$353,HLOOKUP(INDIRECT(ADDRESS(2,COLUMN())),OFFSET($R$2,0,0,ROW()-1,12),ROW()-1,FALSE))</f>
        <v>6.4970164979999998</v>
      </c>
      <c r="I125">
        <f ca="1">IF(AND(ISNUMBER($I$353),$B$238=1),$I$353,HLOOKUP(INDIRECT(ADDRESS(2,COLUMN())),OFFSET($R$2,0,0,ROW()-1,12),ROW()-1,FALSE))</f>
        <v>5.9623756050000001</v>
      </c>
      <c r="J125">
        <f ca="1">IF(AND(ISNUMBER($J$353),$B$238=1),$J$353,HLOOKUP(INDIRECT(ADDRESS(2,COLUMN())),OFFSET($R$2,0,0,ROW()-1,12),ROW()-1,FALSE))</f>
        <v>-22.504248520000001</v>
      </c>
      <c r="K125">
        <f ca="1">IF(AND(ISNUMBER($K$353),$B$238=1),$K$353,HLOOKUP(INDIRECT(ADDRESS(2,COLUMN())),OFFSET($R$2,0,0,ROW()-1,12),ROW()-1,FALSE))</f>
        <v>-1.445733921</v>
      </c>
      <c r="L125">
        <f ca="1">IF(AND(ISNUMBER($L$353),$B$238=1),$L$353,HLOOKUP(INDIRECT(ADDRESS(2,COLUMN())),OFFSET($R$2,0,0,ROW()-1,12),ROW()-1,FALSE))</f>
        <v>6.8044280290000003</v>
      </c>
      <c r="M125">
        <f ca="1">IF(AND(ISNUMBER($M$353),$B$238=1),$M$353,HLOOKUP(INDIRECT(ADDRESS(2,COLUMN())),OFFSET($R$2,0,0,ROW()-1,12),ROW()-1,FALSE))</f>
        <v>7.3855993580000003</v>
      </c>
      <c r="N125">
        <f ca="1">IF(AND(ISNUMBER($N$353),$B$238=1),$N$353,HLOOKUP(INDIRECT(ADDRESS(2,COLUMN())),OFFSET($R$2,0,0,ROW()-1,12),ROW()-1,FALSE))</f>
        <v>9.9601821840000007</v>
      </c>
      <c r="O125">
        <f ca="1">IF(AND(ISNUMBER($O$353),$B$238=1),$O$353,HLOOKUP(INDIRECT(ADDRESS(2,COLUMN())),OFFSET($R$2,0,0,ROW()-1,12),ROW()-1,FALSE))</f>
        <v>9.8518131499999999</v>
      </c>
      <c r="P125">
        <f ca="1">IF(AND(ISNUMBER($P$353),$B$238=1),$P$353,HLOOKUP(INDIRECT(ADDRESS(2,COLUMN())),OFFSET($R$2,0,0,ROW()-1,12),ROW()-1,FALSE))</f>
        <v>11.3559869</v>
      </c>
      <c r="Q125">
        <f ca="1">IF(AND(ISNUMBER($Q$353),$B$238=1),$Q$353,HLOOKUP(INDIRECT(ADDRESS(2,COLUMN())),OFFSET($R$2,0,0,ROW()-1,12),ROW()-1,FALSE))</f>
        <v>11.404773560000001</v>
      </c>
      <c r="R125">
        <f>6.898445944</f>
        <v>6.8984459439999997</v>
      </c>
      <c r="S125">
        <f>6.422584402</f>
        <v>6.422584402</v>
      </c>
      <c r="T125">
        <f>6.497016498</f>
        <v>6.4970164979999998</v>
      </c>
      <c r="U125">
        <f>5.962375605</f>
        <v>5.9623756050000001</v>
      </c>
      <c r="V125">
        <f>-22.50424852</f>
        <v>-22.504248520000001</v>
      </c>
      <c r="W125">
        <f>-1.445733921</f>
        <v>-1.445733921</v>
      </c>
      <c r="X125">
        <f>6.804428029</f>
        <v>6.8044280290000003</v>
      </c>
      <c r="Y125">
        <f>7.385599358</f>
        <v>7.3855993580000003</v>
      </c>
      <c r="Z125">
        <f>9.960182184</f>
        <v>9.9601821840000007</v>
      </c>
      <c r="AA125">
        <f>9.85181315</f>
        <v>9.8518131499999999</v>
      </c>
      <c r="AB125">
        <f>11.3559869</f>
        <v>11.3559869</v>
      </c>
      <c r="AC125">
        <f>11.40477356</f>
        <v>11.404773560000001</v>
      </c>
    </row>
    <row r="126" spans="1:29" x14ac:dyDescent="0.25">
      <c r="A126" t="str">
        <f>"    Infosys Ltd"</f>
        <v xml:space="preserve">    Infosys Ltd</v>
      </c>
      <c r="B126" t="str">
        <f>"INFY US Equity"</f>
        <v>INFY US Equity</v>
      </c>
      <c r="C126" t="str">
        <f t="shared" si="18"/>
        <v>RR026</v>
      </c>
      <c r="D126" t="str">
        <f t="shared" si="19"/>
        <v>OPER_MARGIN</v>
      </c>
      <c r="E126" t="str">
        <f t="shared" si="20"/>
        <v>Dynamic</v>
      </c>
      <c r="F126">
        <f ca="1">IF(AND(ISNUMBER($F$354),$B$238=1),$F$354,HLOOKUP(INDIRECT(ADDRESS(2,COLUMN())),OFFSET($R$2,0,0,ROW()-1,12),ROW()-1,FALSE))</f>
        <v>21.339119520000001</v>
      </c>
      <c r="G126">
        <f ca="1">IF(AND(ISNUMBER($G$354),$B$238=1),$G$354,HLOOKUP(INDIRECT(ADDRESS(2,COLUMN())),OFFSET($R$2,0,0,ROW()-1,12),ROW()-1,FALSE))</f>
        <v>22.836407619999999</v>
      </c>
      <c r="H126">
        <f ca="1">IF(AND(ISNUMBER($H$354),$B$238=1),$H$354,HLOOKUP(INDIRECT(ADDRESS(2,COLUMN())),OFFSET($R$2,0,0,ROW()-1,12),ROW()-1,FALSE))</f>
        <v>24.315816340000001</v>
      </c>
      <c r="I126">
        <f ca="1">IF(AND(ISNUMBER($I$354),$B$238=1),$I$354,HLOOKUP(INDIRECT(ADDRESS(2,COLUMN())),OFFSET($R$2,0,0,ROW()-1,12),ROW()-1,FALSE))</f>
        <v>24.67875708</v>
      </c>
      <c r="J126">
        <f ca="1">IF(AND(ISNUMBER($J$354),$B$238=1),$J$354,HLOOKUP(INDIRECT(ADDRESS(2,COLUMN())),OFFSET($R$2,0,0,ROW()-1,12),ROW()-1,FALSE))</f>
        <v>25.01561474</v>
      </c>
      <c r="K126">
        <f ca="1">IF(AND(ISNUMBER($K$354),$B$238=1),$K$354,HLOOKUP(INDIRECT(ADDRESS(2,COLUMN())),OFFSET($R$2,0,0,ROW()-1,12),ROW()-1,FALSE))</f>
        <v>25.05110749</v>
      </c>
      <c r="L126">
        <f ca="1">IF(AND(ISNUMBER($L$354),$B$238=1),$L$354,HLOOKUP(INDIRECT(ADDRESS(2,COLUMN())),OFFSET($R$2,0,0,ROW()-1,12),ROW()-1,FALSE))</f>
        <v>23.559332179999998</v>
      </c>
      <c r="M126">
        <f ca="1">IF(AND(ISNUMBER($M$354),$B$238=1),$M$354,HLOOKUP(INDIRECT(ADDRESS(2,COLUMN())),OFFSET($R$2,0,0,ROW()-1,12),ROW()-1,FALSE))</f>
        <v>25.205689929999998</v>
      </c>
      <c r="N126">
        <f ca="1">IF(AND(ISNUMBER($N$354),$B$238=1),$N$354,HLOOKUP(INDIRECT(ADDRESS(2,COLUMN())),OFFSET($R$2,0,0,ROW()-1,12),ROW()-1,FALSE))</f>
        <v>28.834410389999999</v>
      </c>
      <c r="O126">
        <f ca="1">IF(AND(ISNUMBER($O$354),$B$238=1),$O$354,HLOOKUP(INDIRECT(ADDRESS(2,COLUMN())),OFFSET($R$2,0,0,ROW()-1,12),ROW()-1,FALSE))</f>
        <v>29.351659940000001</v>
      </c>
      <c r="P126">
        <f ca="1">IF(AND(ISNUMBER($P$354),$B$238=1),$P$354,HLOOKUP(INDIRECT(ADDRESS(2,COLUMN())),OFFSET($R$2,0,0,ROW()-1,12),ROW()-1,FALSE))</f>
        <v>30.252396449999999</v>
      </c>
      <c r="Q126">
        <f ca="1">IF(AND(ISNUMBER($Q$354),$B$238=1),$Q$354,HLOOKUP(INDIRECT(ADDRESS(2,COLUMN())),OFFSET($R$2,0,0,ROW()-1,12),ROW()-1,FALSE))</f>
        <v>31.68303139</v>
      </c>
      <c r="R126">
        <f>21.33911952</f>
        <v>21.339119520000001</v>
      </c>
      <c r="S126">
        <f>22.83640762</f>
        <v>22.836407619999999</v>
      </c>
      <c r="T126">
        <f>24.31581634</f>
        <v>24.315816340000001</v>
      </c>
      <c r="U126">
        <f>24.67875708</f>
        <v>24.67875708</v>
      </c>
      <c r="V126">
        <f>25.01561474</f>
        <v>25.01561474</v>
      </c>
      <c r="W126">
        <f>25.05110749</f>
        <v>25.05110749</v>
      </c>
      <c r="X126">
        <f>23.55933218</f>
        <v>23.559332179999998</v>
      </c>
      <c r="Y126">
        <f>25.20568993</f>
        <v>25.205689929999998</v>
      </c>
      <c r="Z126">
        <f>28.83441039</f>
        <v>28.834410389999999</v>
      </c>
      <c r="AA126">
        <f>29.35165994</f>
        <v>29.351659940000001</v>
      </c>
      <c r="AB126">
        <f>30.25239645</f>
        <v>30.252396449999999</v>
      </c>
      <c r="AC126">
        <f>31.68303139</f>
        <v>31.68303139</v>
      </c>
    </row>
    <row r="127" spans="1:29" x14ac:dyDescent="0.25">
      <c r="A127" t="str">
        <f>"    International Business Machines Corp"</f>
        <v xml:space="preserve">    International Business Machines Corp</v>
      </c>
      <c r="B127" t="str">
        <f>"IBM US Equity"</f>
        <v>IBM US Equity</v>
      </c>
      <c r="C127" t="str">
        <f t="shared" si="18"/>
        <v>RR026</v>
      </c>
      <c r="D127" t="str">
        <f t="shared" si="19"/>
        <v>OPER_MARGIN</v>
      </c>
      <c r="E127" t="str">
        <f t="shared" si="20"/>
        <v>Dynamic</v>
      </c>
      <c r="F127">
        <f ca="1">IF(AND(ISNUMBER($F$355),$B$238=1),$F$355,HLOOKUP(INDIRECT(ADDRESS(2,COLUMN())),OFFSET($R$2,0,0,ROW()-1,12),ROW()-1,FALSE))</f>
        <v>12.826163040000001</v>
      </c>
      <c r="G127">
        <f ca="1">IF(AND(ISNUMBER($G$355),$B$238=1),$G$355,HLOOKUP(INDIRECT(ADDRESS(2,COLUMN())),OFFSET($R$2,0,0,ROW()-1,12),ROW()-1,FALSE))</f>
        <v>15.31705846</v>
      </c>
      <c r="H127">
        <f ca="1">IF(AND(ISNUMBER($H$355),$B$238=1),$H$355,HLOOKUP(INDIRECT(ADDRESS(2,COLUMN())),OFFSET($R$2,0,0,ROW()-1,12),ROW()-1,FALSE))</f>
        <v>14.74999684</v>
      </c>
      <c r="I127">
        <f ca="1">IF(AND(ISNUMBER($I$355),$B$238=1),$I$355,HLOOKUP(INDIRECT(ADDRESS(2,COLUMN())),OFFSET($R$2,0,0,ROW()-1,12),ROW()-1,FALSE))</f>
        <v>14.3570365</v>
      </c>
      <c r="J127">
        <f ca="1">IF(AND(ISNUMBER($J$355),$B$238=1),$J$355,HLOOKUP(INDIRECT(ADDRESS(2,COLUMN())),OFFSET($R$2,0,0,ROW()-1,12),ROW()-1,FALSE))</f>
        <v>18.359207739999999</v>
      </c>
      <c r="K127">
        <f ca="1">IF(AND(ISNUMBER($K$355),$B$238=1),$K$355,HLOOKUP(INDIRECT(ADDRESS(2,COLUMN())),OFFSET($R$2,0,0,ROW()-1,12),ROW()-1,FALSE))</f>
        <v>19.171704760000001</v>
      </c>
      <c r="L127">
        <f ca="1">IF(AND(ISNUMBER($L$355),$B$238=1),$L$355,HLOOKUP(INDIRECT(ADDRESS(2,COLUMN())),OFFSET($R$2,0,0,ROW()-1,12),ROW()-1,FALSE))</f>
        <v>19.813555359999999</v>
      </c>
      <c r="M127">
        <f ca="1">IF(AND(ISNUMBER($M$355),$B$238=1),$M$355,HLOOKUP(INDIRECT(ADDRESS(2,COLUMN())),OFFSET($R$2,0,0,ROW()-1,12),ROW()-1,FALSE))</f>
        <v>20.493030310000002</v>
      </c>
      <c r="N127">
        <f ca="1">IF(AND(ISNUMBER($N$355),$B$238=1),$N$355,HLOOKUP(INDIRECT(ADDRESS(2,COLUMN())),OFFSET($R$2,0,0,ROW()-1,12),ROW()-1,FALSE))</f>
        <v>18.9737738</v>
      </c>
      <c r="O127">
        <f ca="1">IF(AND(ISNUMBER($O$355),$B$238=1),$O$355,HLOOKUP(INDIRECT(ADDRESS(2,COLUMN())),OFFSET($R$2,0,0,ROW()-1,12),ROW()-1,FALSE))</f>
        <v>18.17362571</v>
      </c>
      <c r="P127">
        <f ca="1">IF(AND(ISNUMBER($P$355),$B$238=1),$P$355,HLOOKUP(INDIRECT(ADDRESS(2,COLUMN())),OFFSET($R$2,0,0,ROW()-1,12),ROW()-1,FALSE))</f>
        <v>17.766661790000001</v>
      </c>
      <c r="Q127">
        <f ca="1">IF(AND(ISNUMBER($Q$355),$B$238=1),$Q$355,HLOOKUP(INDIRECT(ADDRESS(2,COLUMN())),OFFSET($R$2,0,0,ROW()-1,12),ROW()-1,FALSE))</f>
        <v>15.3797163</v>
      </c>
      <c r="R127">
        <f>12.82616304</f>
        <v>12.826163040000001</v>
      </c>
      <c r="S127">
        <f>15.31705846</f>
        <v>15.31705846</v>
      </c>
      <c r="T127">
        <f>14.74999684</f>
        <v>14.74999684</v>
      </c>
      <c r="U127">
        <f>14.3570365</f>
        <v>14.3570365</v>
      </c>
      <c r="V127">
        <f>18.35920774</f>
        <v>18.359207739999999</v>
      </c>
      <c r="W127">
        <f>19.17170476</f>
        <v>19.171704760000001</v>
      </c>
      <c r="X127">
        <f>19.81355536</f>
        <v>19.813555359999999</v>
      </c>
      <c r="Y127">
        <f>20.49303031</f>
        <v>20.493030310000002</v>
      </c>
      <c r="Z127">
        <f>18.9737738</f>
        <v>18.9737738</v>
      </c>
      <c r="AA127">
        <f>18.17362571</f>
        <v>18.17362571</v>
      </c>
      <c r="AB127">
        <f>17.76666179</f>
        <v>17.766661790000001</v>
      </c>
      <c r="AC127">
        <f>15.3797163</f>
        <v>15.3797163</v>
      </c>
    </row>
    <row r="128" spans="1:29" x14ac:dyDescent="0.25">
      <c r="A128" t="str">
        <f>"    Tata Consultancy Services Ltd"</f>
        <v xml:space="preserve">    Tata Consultancy Services Ltd</v>
      </c>
      <c r="B128" t="str">
        <f>"TCS IN Equity"</f>
        <v>TCS IN Equity</v>
      </c>
      <c r="C128" t="str">
        <f t="shared" si="18"/>
        <v>RR026</v>
      </c>
      <c r="D128" t="str">
        <f t="shared" si="19"/>
        <v>OPER_MARGIN</v>
      </c>
      <c r="E128" t="str">
        <f t="shared" si="20"/>
        <v>Dynamic</v>
      </c>
      <c r="F128">
        <f ca="1">IF(AND(ISNUMBER($F$356),$B$238=1),$F$356,HLOOKUP(INDIRECT(ADDRESS(2,COLUMN())),OFFSET($R$2,0,0,ROW()-1,12),ROW()-1,FALSE))</f>
        <v>24.581233390000001</v>
      </c>
      <c r="G128">
        <f ca="1">IF(AND(ISNUMBER($G$356),$B$238=1),$G$356,HLOOKUP(INDIRECT(ADDRESS(2,COLUMN())),OFFSET($R$2,0,0,ROW()-1,12),ROW()-1,FALSE))</f>
        <v>25.569597779999999</v>
      </c>
      <c r="H128">
        <f ca="1">IF(AND(ISNUMBER($H$356),$B$238=1),$H$356,HLOOKUP(INDIRECT(ADDRESS(2,COLUMN())),OFFSET($R$2,0,0,ROW()-1,12),ROW()-1,FALSE))</f>
        <v>24.777423970000001</v>
      </c>
      <c r="I128">
        <f ca="1">IF(AND(ISNUMBER($I$356),$B$238=1),$I$356,HLOOKUP(INDIRECT(ADDRESS(2,COLUMN())),OFFSET($R$2,0,0,ROW()-1,12),ROW()-1,FALSE))</f>
        <v>25.705711820000001</v>
      </c>
      <c r="J128">
        <f ca="1">IF(AND(ISNUMBER($J$356),$B$238=1),$J$356,HLOOKUP(INDIRECT(ADDRESS(2,COLUMN())),OFFSET($R$2,0,0,ROW()-1,12),ROW()-1,FALSE))</f>
        <v>26.498904700000001</v>
      </c>
      <c r="K128">
        <f ca="1">IF(AND(ISNUMBER($K$356),$B$238=1),$K$356,HLOOKUP(INDIRECT(ADDRESS(2,COLUMN())),OFFSET($R$2,0,0,ROW()-1,12),ROW()-1,FALSE))</f>
        <v>24.08543366</v>
      </c>
      <c r="L128">
        <f ca="1">IF(AND(ISNUMBER($L$356),$B$238=1),$L$356,HLOOKUP(INDIRECT(ADDRESS(2,COLUMN())),OFFSET($R$2,0,0,ROW()-1,12),ROW()-1,FALSE))</f>
        <v>29.101780040000001</v>
      </c>
      <c r="M128">
        <f ca="1">IF(AND(ISNUMBER($M$356),$B$238=1),$M$356,HLOOKUP(INDIRECT(ADDRESS(2,COLUMN())),OFFSET($R$2,0,0,ROW()-1,12),ROW()-1,FALSE))</f>
        <v>26.92511511</v>
      </c>
      <c r="N128">
        <f ca="1">IF(AND(ISNUMBER($N$356),$B$238=1),$N$356,HLOOKUP(INDIRECT(ADDRESS(2,COLUMN())),OFFSET($R$2,0,0,ROW()-1,12),ROW()-1,FALSE))</f>
        <v>27.646371739999999</v>
      </c>
      <c r="O128">
        <f ca="1">IF(AND(ISNUMBER($O$356),$B$238=1),$O$356,HLOOKUP(INDIRECT(ADDRESS(2,COLUMN())),OFFSET($R$2,0,0,ROW()-1,12),ROW()-1,FALSE))</f>
        <v>27.979201870000001</v>
      </c>
      <c r="P128">
        <f ca="1">IF(AND(ISNUMBER($P$356),$B$238=1),$P$356,HLOOKUP(INDIRECT(ADDRESS(2,COLUMN())),OFFSET($R$2,0,0,ROW()-1,12),ROW()-1,FALSE))</f>
        <v>26.753076700000001</v>
      </c>
      <c r="Q128">
        <f ca="1">IF(AND(ISNUMBER($Q$356),$B$238=1),$Q$356,HLOOKUP(INDIRECT(ADDRESS(2,COLUMN())),OFFSET($R$2,0,0,ROW()-1,12),ROW()-1,FALSE))</f>
        <v>23.750578869999998</v>
      </c>
      <c r="R128">
        <f>24.58123339</f>
        <v>24.581233390000001</v>
      </c>
      <c r="S128">
        <f>25.56959778</f>
        <v>25.569597779999999</v>
      </c>
      <c r="T128">
        <f>24.77742397</f>
        <v>24.777423970000001</v>
      </c>
      <c r="U128">
        <f>25.70571182</f>
        <v>25.705711820000001</v>
      </c>
      <c r="V128">
        <f>26.4989047</f>
        <v>26.498904700000001</v>
      </c>
      <c r="W128">
        <f>24.08543366</f>
        <v>24.08543366</v>
      </c>
      <c r="X128">
        <f>29.10178004</f>
        <v>29.101780040000001</v>
      </c>
      <c r="Y128">
        <f>26.92511511</f>
        <v>26.92511511</v>
      </c>
      <c r="Z128">
        <f>27.64637174</f>
        <v>27.646371739999999</v>
      </c>
      <c r="AA128">
        <f>27.97920187</f>
        <v>27.979201870000001</v>
      </c>
      <c r="AB128">
        <f>26.7530767</f>
        <v>26.753076700000001</v>
      </c>
      <c r="AC128">
        <f>23.75057887</f>
        <v>23.750578869999998</v>
      </c>
    </row>
    <row r="129" spans="1:29" x14ac:dyDescent="0.25">
      <c r="A129" t="str">
        <f>"    Tech Mahindra Ltd"</f>
        <v xml:space="preserve">    Tech Mahindra Ltd</v>
      </c>
      <c r="B129" t="str">
        <f>"TECHM IN Equity"</f>
        <v>TECHM IN Equity</v>
      </c>
      <c r="C129" t="str">
        <f t="shared" si="18"/>
        <v>RR026</v>
      </c>
      <c r="D129" t="str">
        <f t="shared" si="19"/>
        <v>OPER_MARGIN</v>
      </c>
      <c r="E129" t="str">
        <f t="shared" si="20"/>
        <v>Dynamic</v>
      </c>
      <c r="F129">
        <f ca="1">IF(AND(ISNUMBER($F$357),$B$238=1),$F$357,HLOOKUP(INDIRECT(ADDRESS(2,COLUMN())),OFFSET($R$2,0,0,ROW()-1,12),ROW()-1,FALSE))</f>
        <v>11.019894089999999</v>
      </c>
      <c r="G129">
        <f ca="1">IF(AND(ISNUMBER($G$357),$B$238=1),$G$357,HLOOKUP(INDIRECT(ADDRESS(2,COLUMN())),OFFSET($R$2,0,0,ROW()-1,12),ROW()-1,FALSE))</f>
        <v>14.989594759999999</v>
      </c>
      <c r="H129">
        <f ca="1">IF(AND(ISNUMBER($H$357),$B$238=1),$H$357,HLOOKUP(INDIRECT(ADDRESS(2,COLUMN())),OFFSET($R$2,0,0,ROW()-1,12),ROW()-1,FALSE))</f>
        <v>11.77854541</v>
      </c>
      <c r="I129">
        <f ca="1">IF(AND(ISNUMBER($I$357),$B$238=1),$I$357,HLOOKUP(INDIRECT(ADDRESS(2,COLUMN())),OFFSET($R$2,0,0,ROW()-1,12),ROW()-1,FALSE))</f>
        <v>11.00278647</v>
      </c>
      <c r="J129">
        <f ca="1">IF(AND(ISNUMBER($J$357),$B$238=1),$J$357,HLOOKUP(INDIRECT(ADDRESS(2,COLUMN())),OFFSET($R$2,0,0,ROW()-1,12),ROW()-1,FALSE))</f>
        <v>13.25459912</v>
      </c>
      <c r="K129">
        <f ca="1">IF(AND(ISNUMBER($K$357),$B$238=1),$K$357,HLOOKUP(INDIRECT(ADDRESS(2,COLUMN())),OFFSET($R$2,0,0,ROW()-1,12),ROW()-1,FALSE))</f>
        <v>15.65559893</v>
      </c>
      <c r="L129">
        <f ca="1">IF(AND(ISNUMBER($L$357),$B$238=1),$L$357,HLOOKUP(INDIRECT(ADDRESS(2,COLUMN())),OFFSET($R$2,0,0,ROW()-1,12),ROW()-1,FALSE))</f>
        <v>19.444119929999999</v>
      </c>
      <c r="M129">
        <f ca="1">IF(AND(ISNUMBER($M$357),$B$238=1),$M$357,HLOOKUP(INDIRECT(ADDRESS(2,COLUMN())),OFFSET($R$2,0,0,ROW()-1,12),ROW()-1,FALSE))</f>
        <v>17.8114679</v>
      </c>
      <c r="N129">
        <f ca="1">IF(AND(ISNUMBER($N$357),$B$238=1),$N$357,HLOOKUP(INDIRECT(ADDRESS(2,COLUMN())),OFFSET($R$2,0,0,ROW()-1,12),ROW()-1,FALSE))</f>
        <v>13.80949779</v>
      </c>
      <c r="O129">
        <f ca="1">IF(AND(ISNUMBER($O$357),$B$238=1),$O$357,HLOOKUP(INDIRECT(ADDRESS(2,COLUMN())),OFFSET($R$2,0,0,ROW()-1,12),ROW()-1,FALSE))</f>
        <v>16.726975599999999</v>
      </c>
      <c r="P129">
        <f ca="1">IF(AND(ISNUMBER($P$357),$B$238=1),$P$357,HLOOKUP(INDIRECT(ADDRESS(2,COLUMN())),OFFSET($R$2,0,0,ROW()-1,12),ROW()-1,FALSE))</f>
        <v>21.591646130000001</v>
      </c>
      <c r="Q129">
        <f ca="1">IF(AND(ISNUMBER($Q$357),$B$238=1),$Q$357,HLOOKUP(INDIRECT(ADDRESS(2,COLUMN())),OFFSET($R$2,0,0,ROW()-1,12),ROW()-1,FALSE))</f>
        <v>26.268282299999999</v>
      </c>
      <c r="R129">
        <f>11.01989409</f>
        <v>11.019894089999999</v>
      </c>
      <c r="S129">
        <f>14.98959476</f>
        <v>14.989594759999999</v>
      </c>
      <c r="T129">
        <f>11.77854541</f>
        <v>11.77854541</v>
      </c>
      <c r="U129">
        <f>11.00278647</f>
        <v>11.00278647</v>
      </c>
      <c r="V129">
        <f>13.25459912</f>
        <v>13.25459912</v>
      </c>
      <c r="W129">
        <f>15.65559893</f>
        <v>15.65559893</v>
      </c>
      <c r="X129">
        <f>19.44411993</f>
        <v>19.444119929999999</v>
      </c>
      <c r="Y129">
        <f>17.8114679</f>
        <v>17.8114679</v>
      </c>
      <c r="Z129">
        <f>13.80949779</f>
        <v>13.80949779</v>
      </c>
      <c r="AA129">
        <f>16.7269756</f>
        <v>16.726975599999999</v>
      </c>
      <c r="AB129">
        <f>21.59164613</f>
        <v>21.591646130000001</v>
      </c>
      <c r="AC129">
        <f>26.2682823</f>
        <v>26.268282299999999</v>
      </c>
    </row>
    <row r="130" spans="1:29" x14ac:dyDescent="0.25">
      <c r="A130" t="str">
        <f>"    Wipro Ltd"</f>
        <v xml:space="preserve">    Wipro Ltd</v>
      </c>
      <c r="B130" t="str">
        <f>"WIT US Equity"</f>
        <v>WIT US Equity</v>
      </c>
      <c r="C130" t="str">
        <f t="shared" si="18"/>
        <v>RR026</v>
      </c>
      <c r="D130" t="str">
        <f t="shared" si="19"/>
        <v>OPER_MARGIN</v>
      </c>
      <c r="E130" t="str">
        <f t="shared" si="20"/>
        <v>Dynamic</v>
      </c>
      <c r="F130">
        <f ca="1">IF(AND(ISNUMBER($F$358),$B$238=1),$F$358,HLOOKUP(INDIRECT(ADDRESS(2,COLUMN())),OFFSET($R$2,0,0,ROW()-1,12),ROW()-1,FALSE))</f>
        <v>16.806886559999999</v>
      </c>
      <c r="G130">
        <f ca="1">IF(AND(ISNUMBER($G$358),$B$238=1),$G$358,HLOOKUP(INDIRECT(ADDRESS(2,COLUMN())),OFFSET($R$2,0,0,ROW()-1,12),ROW()-1,FALSE))</f>
        <v>16.505218960000001</v>
      </c>
      <c r="H130">
        <f ca="1">IF(AND(ISNUMBER($H$358),$B$238=1),$H$358,HLOOKUP(INDIRECT(ADDRESS(2,COLUMN())),OFFSET($R$2,0,0,ROW()-1,12),ROW()-1,FALSE))</f>
        <v>15.197358639999999</v>
      </c>
      <c r="I130">
        <f ca="1">IF(AND(ISNUMBER($I$358),$B$238=1),$I$358,HLOOKUP(INDIRECT(ADDRESS(2,COLUMN())),OFFSET($R$2,0,0,ROW()-1,12),ROW()-1,FALSE))</f>
        <v>16.277557130000002</v>
      </c>
      <c r="J130">
        <f ca="1">IF(AND(ISNUMBER($J$358),$B$238=1),$J$358,HLOOKUP(INDIRECT(ADDRESS(2,COLUMN())),OFFSET($R$2,0,0,ROW()-1,12),ROW()-1,FALSE))</f>
        <v>18.14710015</v>
      </c>
      <c r="K130">
        <f ca="1">IF(AND(ISNUMBER($K$358),$B$238=1),$K$358,HLOOKUP(INDIRECT(ADDRESS(2,COLUMN())),OFFSET($R$2,0,0,ROW()-1,12),ROW()-1,FALSE))</f>
        <v>19.547860159999999</v>
      </c>
      <c r="L130">
        <f ca="1">IF(AND(ISNUMBER($L$358),$B$238=1),$L$358,HLOOKUP(INDIRECT(ADDRESS(2,COLUMN())),OFFSET($R$2,0,0,ROW()-1,12),ROW()-1,FALSE))</f>
        <v>19.80224239</v>
      </c>
      <c r="M130">
        <f ca="1">IF(AND(ISNUMBER($M$358),$B$238=1),$M$358,HLOOKUP(INDIRECT(ADDRESS(2,COLUMN())),OFFSET($R$2,0,0,ROW()-1,12),ROW()-1,FALSE))</f>
        <v>17.994634690000002</v>
      </c>
      <c r="N130">
        <f ca="1">IF(AND(ISNUMBER($N$358),$B$238=1),$N$358,HLOOKUP(INDIRECT(ADDRESS(2,COLUMN())),OFFSET($R$2,0,0,ROW()-1,12),ROW()-1,FALSE))</f>
        <v>16.327885779999999</v>
      </c>
      <c r="O130">
        <f ca="1">IF(AND(ISNUMBER($O$358),$B$238=1),$O$358,HLOOKUP(INDIRECT(ADDRESS(2,COLUMN())),OFFSET($R$2,0,0,ROW()-1,12),ROW()-1,FALSE))</f>
        <v>18.426815049999998</v>
      </c>
      <c r="P130">
        <f ca="1">IF(AND(ISNUMBER($P$358),$B$238=1),$P$358,HLOOKUP(INDIRECT(ADDRESS(2,COLUMN())),OFFSET($R$2,0,0,ROW()-1,12),ROW()-1,FALSE))</f>
        <v>19.090578369999999</v>
      </c>
      <c r="Q130">
        <f ca="1">IF(AND(ISNUMBER($Q$358),$B$238=1),$Q$358,HLOOKUP(INDIRECT(ADDRESS(2,COLUMN())),OFFSET($R$2,0,0,ROW()-1,12),ROW()-1,FALSE))</f>
        <v>17.500340470000001</v>
      </c>
      <c r="R130">
        <f>16.80688656</f>
        <v>16.806886559999999</v>
      </c>
      <c r="S130">
        <f>16.50521896</f>
        <v>16.505218960000001</v>
      </c>
      <c r="T130">
        <f>15.19735864</f>
        <v>15.197358639999999</v>
      </c>
      <c r="U130">
        <f>16.27755713</f>
        <v>16.277557130000002</v>
      </c>
      <c r="V130">
        <f>18.14710015</f>
        <v>18.14710015</v>
      </c>
      <c r="W130">
        <f>19.54786016</f>
        <v>19.547860159999999</v>
      </c>
      <c r="X130">
        <f>19.80224239</f>
        <v>19.80224239</v>
      </c>
      <c r="Y130">
        <f>17.99463469</f>
        <v>17.994634690000002</v>
      </c>
      <c r="Z130">
        <f>16.32788578</f>
        <v>16.327885779999999</v>
      </c>
      <c r="AA130">
        <f>18.42681505</f>
        <v>18.426815049999998</v>
      </c>
      <c r="AB130">
        <f>19.09057837</f>
        <v>19.090578369999999</v>
      </c>
      <c r="AC130">
        <f>17.50034047</f>
        <v>17.500340470000001</v>
      </c>
    </row>
    <row r="131" spans="1:29" x14ac:dyDescent="0.25">
      <c r="A131" t="str">
        <f>"EBITDA Margin"</f>
        <v>EBITDA Margin</v>
      </c>
      <c r="B131" t="str">
        <f>"BRITBPOV Index"</f>
        <v>BRITBPOV Index</v>
      </c>
      <c r="E131" t="str">
        <f>"Average"</f>
        <v>Average</v>
      </c>
      <c r="F131">
        <f ca="1">IF(ISERROR(IF(AVERAGE($F$132:$F$148) = 0, "", AVERAGE($F$132:$F$148))), "", (IF(AVERAGE($F$132:$F$148) = 0, "", AVERAGE($F$132:$F$148))))</f>
        <v>13.398578316470589</v>
      </c>
      <c r="G131">
        <f ca="1">IF(ISERROR(IF(AVERAGE($G$132:$G$148) = 0, "", AVERAGE($G$132:$G$148))), "", (IF(AVERAGE($G$132:$G$148) = 0, "", AVERAGE($G$132:$G$148))))</f>
        <v>16.921182897588238</v>
      </c>
      <c r="H131">
        <f ca="1">IF(ISERROR(IF(AVERAGE($H$132:$H$148) = 0, "", AVERAGE($H$132:$H$148))), "", (IF(AVERAGE($H$132:$H$148) = 0, "", AVERAGE($H$132:$H$148))))</f>
        <v>17.039667132647057</v>
      </c>
      <c r="I131">
        <f ca="1">IF(ISERROR(IF(AVERAGE($I$132:$I$148) = 0, "", AVERAGE($I$132:$I$148))), "", (IF(AVERAGE($I$132:$I$148) = 0, "", AVERAGE($I$132:$I$148))))</f>
        <v>15.52768856017647</v>
      </c>
      <c r="J131">
        <f ca="1">IF(ISERROR(IF(AVERAGE($J$132:$J$148) = 0, "", AVERAGE($J$132:$J$148))), "", (IF(AVERAGE($J$132:$J$148) = 0, "", AVERAGE($J$132:$J$148))))</f>
        <v>15.202585471562502</v>
      </c>
      <c r="K131">
        <f ca="1">IF(ISERROR(IF(AVERAGE($K$132:$K$148) = 0, "", AVERAGE($K$132:$K$148))), "", (IF(AVERAGE($K$132:$K$148) = 0, "", AVERAGE($K$132:$K$148))))</f>
        <v>16.802166195400002</v>
      </c>
      <c r="L131">
        <f ca="1">IF(ISERROR(IF(AVERAGE($L$132:$L$148) = 0, "", AVERAGE($L$132:$L$148))), "", (IF(AVERAGE($L$132:$L$148) = 0, "", AVERAGE($L$132:$L$148))))</f>
        <v>18.5143620381875</v>
      </c>
      <c r="M131">
        <f ca="1">IF(ISERROR(IF(AVERAGE($M$132:$M$148) = 0, "", AVERAGE($M$132:$M$148))), "", (IF(AVERAGE($M$132:$M$148) = 0, "", AVERAGE($M$132:$M$148))))</f>
        <v>18.116471793866666</v>
      </c>
      <c r="N131">
        <f ca="1">IF(ISERROR(IF(AVERAGE($N$132:$N$148) = 0, "", AVERAGE($N$132:$N$148))), "", (IF(AVERAGE($N$132:$N$148) = 0, "", AVERAGE($N$132:$N$148))))</f>
        <v>18.427375169733338</v>
      </c>
      <c r="O131">
        <f ca="1">IF(ISERROR(IF(AVERAGE($O$132:$O$148) = 0, "", AVERAGE($O$132:$O$148))), "", (IF(AVERAGE($O$132:$O$148) = 0, "", AVERAGE($O$132:$O$148))))</f>
        <v>18.825905985000002</v>
      </c>
      <c r="P131">
        <f ca="1">IF(ISERROR(IF(AVERAGE($P$132:$P$148) = 0, "", AVERAGE($P$132:$P$148))), "", (IF(AVERAGE($P$132:$P$148) = 0, "", AVERAGE($P$132:$P$148))))</f>
        <v>18.766270195266667</v>
      </c>
      <c r="Q131">
        <f ca="1">IF(ISERROR(IF(AVERAGE($Q$132:$Q$148) = 0, "", AVERAGE($Q$132:$Q$148))), "", (IF(AVERAGE($Q$132:$Q$148) = 0, "", AVERAGE($Q$132:$Q$148))))</f>
        <v>19.043938778533334</v>
      </c>
      <c r="R131">
        <f>13.39857832</f>
        <v>13.39857832</v>
      </c>
      <c r="S131">
        <f>16.9211829</f>
        <v>16.921182900000002</v>
      </c>
      <c r="T131">
        <f>17.03966713</f>
        <v>17.039667130000002</v>
      </c>
      <c r="U131">
        <f>15.52768856</f>
        <v>15.52768856</v>
      </c>
      <c r="V131">
        <f>15.20258547</f>
        <v>15.202585470000001</v>
      </c>
      <c r="W131">
        <f>16.80216619</f>
        <v>16.802166190000001</v>
      </c>
      <c r="X131">
        <f>18.51436204</f>
        <v>18.514362040000002</v>
      </c>
      <c r="Y131">
        <f>18.11647179</f>
        <v>18.116471789999999</v>
      </c>
      <c r="Z131">
        <f>18.42737517</f>
        <v>18.427375170000001</v>
      </c>
      <c r="AA131">
        <f>18.82590599</f>
        <v>18.825905989999999</v>
      </c>
      <c r="AB131">
        <f>18.7662702</f>
        <v>18.766270200000001</v>
      </c>
      <c r="AC131">
        <f>19.04393878</f>
        <v>19.043938780000001</v>
      </c>
    </row>
    <row r="132" spans="1:29" x14ac:dyDescent="0.25">
      <c r="A132" t="str">
        <f>"    Accenture PLC"</f>
        <v xml:space="preserve">    Accenture PLC</v>
      </c>
      <c r="B132" t="str">
        <f>"ACN US Equity"</f>
        <v>ACN US Equity</v>
      </c>
      <c r="C132" t="str">
        <f t="shared" ref="C132:C148" si="21">"RX225"</f>
        <v>RX225</v>
      </c>
      <c r="D132" t="str">
        <f t="shared" ref="D132:D148" si="22">"EBITDA_TO_REVENUE"</f>
        <v>EBITDA_TO_REVENUE</v>
      </c>
      <c r="E132" t="str">
        <f t="shared" ref="E132:E148" si="23">"Dynamic"</f>
        <v>Dynamic</v>
      </c>
      <c r="F132">
        <f ca="1">IF(AND(ISNUMBER($F$359),$B$238=1),$F$359,HLOOKUP(INDIRECT(ADDRESS(2,COLUMN())),OFFSET($R$2,0,0,ROW()-1,12),ROW()-1,FALSE))</f>
        <v>16.655864480000002</v>
      </c>
      <c r="G132">
        <f ca="1">IF(AND(ISNUMBER($G$359),$B$238=1),$G$359,HLOOKUP(INDIRECT(ADDRESS(2,COLUMN())),OFFSET($R$2,0,0,ROW()-1,12),ROW()-1,FALSE))</f>
        <v>16.650727180000001</v>
      </c>
      <c r="H132">
        <f ca="1">IF(AND(ISNUMBER($H$359),$B$238=1),$H$359,HLOOKUP(INDIRECT(ADDRESS(2,COLUMN())),OFFSET($R$2,0,0,ROW()-1,12),ROW()-1,FALSE))</f>
        <v>14.78125213</v>
      </c>
      <c r="I132">
        <f ca="1">IF(AND(ISNUMBER($I$359),$B$238=1),$I$359,HLOOKUP(INDIRECT(ADDRESS(2,COLUMN())),OFFSET($R$2,0,0,ROW()-1,12),ROW()-1,FALSE))</f>
        <v>15.919164800000001</v>
      </c>
      <c r="J132">
        <f ca="1">IF(AND(ISNUMBER($J$359),$B$238=1),$J$359,HLOOKUP(INDIRECT(ADDRESS(2,COLUMN())),OFFSET($R$2,0,0,ROW()-1,12),ROW()-1,FALSE))</f>
        <v>15.439407360000001</v>
      </c>
      <c r="K132">
        <f ca="1">IF(AND(ISNUMBER($K$359),$B$238=1),$K$359,HLOOKUP(INDIRECT(ADDRESS(2,COLUMN())),OFFSET($R$2,0,0,ROW()-1,12),ROW()-1,FALSE))</f>
        <v>15.43938734</v>
      </c>
      <c r="L132">
        <f ca="1">IF(AND(ISNUMBER($L$359),$B$238=1),$L$359,HLOOKUP(INDIRECT(ADDRESS(2,COLUMN())),OFFSET($R$2,0,0,ROW()-1,12),ROW()-1,FALSE))</f>
        <v>16.225774019999999</v>
      </c>
      <c r="M132">
        <f ca="1">IF(AND(ISNUMBER($M$359),$B$238=1),$M$359,HLOOKUP(INDIRECT(ADDRESS(2,COLUMN())),OFFSET($R$2,0,0,ROW()-1,12),ROW()-1,FALSE))</f>
        <v>14.99461095</v>
      </c>
      <c r="N132">
        <f ca="1">IF(AND(ISNUMBER($N$359),$B$238=1),$N$359,HLOOKUP(INDIRECT(ADDRESS(2,COLUMN())),OFFSET($R$2,0,0,ROW()-1,12),ROW()-1,FALSE))</f>
        <v>14.564126509999999</v>
      </c>
      <c r="O132">
        <f ca="1">IF(AND(ISNUMBER($O$359),$B$238=1),$O$359,HLOOKUP(INDIRECT(ADDRESS(2,COLUMN())),OFFSET($R$2,0,0,ROW()-1,12),ROW()-1,FALSE))</f>
        <v>14.6770657</v>
      </c>
      <c r="P132">
        <f ca="1">IF(AND(ISNUMBER($P$359),$B$238=1),$P$359,HLOOKUP(INDIRECT(ADDRESS(2,COLUMN())),OFFSET($R$2,0,0,ROW()-1,12),ROW()-1,FALSE))</f>
        <v>13.56204022</v>
      </c>
      <c r="Q132">
        <f ca="1">IF(AND(ISNUMBER($Q$359),$B$238=1),$Q$359,HLOOKUP(INDIRECT(ADDRESS(2,COLUMN())),OFFSET($R$2,0,0,ROW()-1,12),ROW()-1,FALSE))</f>
        <v>13.838299279999999</v>
      </c>
      <c r="R132">
        <f>16.65586448</f>
        <v>16.655864480000002</v>
      </c>
      <c r="S132">
        <f>16.65072718</f>
        <v>16.650727180000001</v>
      </c>
      <c r="T132">
        <f>14.78125213</f>
        <v>14.78125213</v>
      </c>
      <c r="U132">
        <f>15.9191648</f>
        <v>15.919164800000001</v>
      </c>
      <c r="V132">
        <f>15.43940736</f>
        <v>15.439407360000001</v>
      </c>
      <c r="W132">
        <f>15.43938734</f>
        <v>15.43938734</v>
      </c>
      <c r="X132">
        <f>16.22577402</f>
        <v>16.225774019999999</v>
      </c>
      <c r="Y132">
        <f>14.99461095</f>
        <v>14.99461095</v>
      </c>
      <c r="Z132">
        <f>14.56412651</f>
        <v>14.564126509999999</v>
      </c>
      <c r="AA132">
        <f>14.6770657</f>
        <v>14.6770657</v>
      </c>
      <c r="AB132">
        <f>13.56204022</f>
        <v>13.56204022</v>
      </c>
      <c r="AC132">
        <f>13.83829928</f>
        <v>13.838299279999999</v>
      </c>
    </row>
    <row r="133" spans="1:29" x14ac:dyDescent="0.25">
      <c r="A133" t="str">
        <f>"    Amdocs Ltd"</f>
        <v xml:space="preserve">    Amdocs Ltd</v>
      </c>
      <c r="B133" t="str">
        <f>"DOX US Equity"</f>
        <v>DOX US Equity</v>
      </c>
      <c r="C133" t="str">
        <f t="shared" si="21"/>
        <v>RX225</v>
      </c>
      <c r="D133" t="str">
        <f t="shared" si="22"/>
        <v>EBITDA_TO_REVENUE</v>
      </c>
      <c r="E133" t="str">
        <f t="shared" si="23"/>
        <v>Dynamic</v>
      </c>
      <c r="F133">
        <f ca="1">IF(AND(ISNUMBER($F$360),$B$238=1),$F$360,HLOOKUP(INDIRECT(ADDRESS(2,COLUMN())),OFFSET($R$2,0,0,ROW()-1,12),ROW()-1,FALSE))</f>
        <v>18.976775459999999</v>
      </c>
      <c r="G133">
        <f ca="1">IF(AND(ISNUMBER($G$360),$B$238=1),$G$360,HLOOKUP(INDIRECT(ADDRESS(2,COLUMN())),OFFSET($R$2,0,0,ROW()-1,12),ROW()-1,FALSE))</f>
        <v>16.089489960000002</v>
      </c>
      <c r="H133">
        <f ca="1">IF(AND(ISNUMBER($H$360),$B$238=1),$H$360,HLOOKUP(INDIRECT(ADDRESS(2,COLUMN())),OFFSET($R$2,0,0,ROW()-1,12),ROW()-1,FALSE))</f>
        <v>18.93428114</v>
      </c>
      <c r="I133">
        <f ca="1">IF(AND(ISNUMBER($I$360),$B$238=1),$I$360,HLOOKUP(INDIRECT(ADDRESS(2,COLUMN())),OFFSET($R$2,0,0,ROW()-1,12),ROW()-1,FALSE))</f>
        <v>18.689865520000001</v>
      </c>
      <c r="J133">
        <f ca="1">IF(AND(ISNUMBER($J$360),$B$238=1),$J$360,HLOOKUP(INDIRECT(ADDRESS(2,COLUMN())),OFFSET($R$2,0,0,ROW()-1,12),ROW()-1,FALSE))</f>
        <v>18.95802926</v>
      </c>
      <c r="K133">
        <f ca="1">IF(AND(ISNUMBER($K$360),$B$238=1),$K$360,HLOOKUP(INDIRECT(ADDRESS(2,COLUMN())),OFFSET($R$2,0,0,ROW()-1,12),ROW()-1,FALSE))</f>
        <v>18.476068130000002</v>
      </c>
      <c r="L133">
        <f ca="1">IF(AND(ISNUMBER($L$360),$B$238=1),$L$360,HLOOKUP(INDIRECT(ADDRESS(2,COLUMN())),OFFSET($R$2,0,0,ROW()-1,12),ROW()-1,FALSE))</f>
        <v>18.599974769999999</v>
      </c>
      <c r="M133">
        <f ca="1">IF(AND(ISNUMBER($M$360),$B$238=1),$M$360,HLOOKUP(INDIRECT(ADDRESS(2,COLUMN())),OFFSET($R$2,0,0,ROW()-1,12),ROW()-1,FALSE))</f>
        <v>18.543393500000001</v>
      </c>
      <c r="N133">
        <f ca="1">IF(AND(ISNUMBER($N$360),$B$238=1),$N$360,HLOOKUP(INDIRECT(ADDRESS(2,COLUMN())),OFFSET($R$2,0,0,ROW()-1,12),ROW()-1,FALSE))</f>
        <v>18.435844729999999</v>
      </c>
      <c r="O133">
        <f ca="1">IF(AND(ISNUMBER($O$360),$B$238=1),$O$360,HLOOKUP(INDIRECT(ADDRESS(2,COLUMN())),OFFSET($R$2,0,0,ROW()-1,12),ROW()-1,FALSE))</f>
        <v>20.319292489999999</v>
      </c>
      <c r="P133">
        <f ca="1">IF(AND(ISNUMBER($P$360),$B$238=1),$P$360,HLOOKUP(INDIRECT(ADDRESS(2,COLUMN())),OFFSET($R$2,0,0,ROW()-1,12),ROW()-1,FALSE))</f>
        <v>19.752554230000001</v>
      </c>
      <c r="Q133">
        <f ca="1">IF(AND(ISNUMBER($Q$360),$B$238=1),$Q$360,HLOOKUP(INDIRECT(ADDRESS(2,COLUMN())),OFFSET($R$2,0,0,ROW()-1,12),ROW()-1,FALSE))</f>
        <v>19.36781805</v>
      </c>
      <c r="R133">
        <f>18.97677546</f>
        <v>18.976775459999999</v>
      </c>
      <c r="S133">
        <f>16.08948996</f>
        <v>16.089489960000002</v>
      </c>
      <c r="T133">
        <f>18.93428114</f>
        <v>18.93428114</v>
      </c>
      <c r="U133">
        <f>18.68986552</f>
        <v>18.689865520000001</v>
      </c>
      <c r="V133">
        <f>18.95802926</f>
        <v>18.95802926</v>
      </c>
      <c r="W133">
        <f>18.47606813</f>
        <v>18.476068130000002</v>
      </c>
      <c r="X133">
        <f>18.59997477</f>
        <v>18.599974769999999</v>
      </c>
      <c r="Y133">
        <f>18.5433935</f>
        <v>18.543393500000001</v>
      </c>
      <c r="Z133">
        <f>18.43584473</f>
        <v>18.435844729999999</v>
      </c>
      <c r="AA133">
        <f>20.31929249</f>
        <v>20.319292489999999</v>
      </c>
      <c r="AB133">
        <f>19.75255423</f>
        <v>19.752554230000001</v>
      </c>
      <c r="AC133">
        <f>19.36781805</f>
        <v>19.36781805</v>
      </c>
    </row>
    <row r="134" spans="1:29" x14ac:dyDescent="0.25">
      <c r="A134" t="str">
        <f>"    Atos SE"</f>
        <v xml:space="preserve">    Atos SE</v>
      </c>
      <c r="B134" t="str">
        <f>"ATO FP Equity"</f>
        <v>ATO FP Equity</v>
      </c>
      <c r="C134" t="str">
        <f t="shared" si="21"/>
        <v>RX225</v>
      </c>
      <c r="D134" t="str">
        <f t="shared" si="22"/>
        <v>EBITDA_TO_REVENUE</v>
      </c>
      <c r="E134" t="str">
        <f t="shared" si="23"/>
        <v>Dynamic</v>
      </c>
      <c r="F134">
        <f ca="1">IF(AND(ISNUMBER($F$361),$B$238=1),$F$361,HLOOKUP(INDIRECT(ADDRESS(2,COLUMN())),OFFSET($R$2,0,0,ROW()-1,12),ROW()-1,FALSE))</f>
        <v>12.84949948</v>
      </c>
      <c r="G134">
        <f ca="1">IF(AND(ISNUMBER($G$361),$B$238=1),$G$361,HLOOKUP(INDIRECT(ADDRESS(2,COLUMN())),OFFSET($R$2,0,0,ROW()-1,12),ROW()-1,FALSE))</f>
        <v>10.11457551</v>
      </c>
      <c r="H134">
        <f ca="1">IF(AND(ISNUMBER($H$361),$B$238=1),$H$361,HLOOKUP(INDIRECT(ADDRESS(2,COLUMN())),OFFSET($R$2,0,0,ROW()-1,12),ROW()-1,FALSE))</f>
        <v>11.937312439999999</v>
      </c>
      <c r="I134">
        <f ca="1">IF(AND(ISNUMBER($I$361),$B$238=1),$I$361,HLOOKUP(INDIRECT(ADDRESS(2,COLUMN())),OFFSET($R$2,0,0,ROW()-1,12),ROW()-1,FALSE))</f>
        <v>11.09930217</v>
      </c>
      <c r="J134">
        <f ca="1">IF(AND(ISNUMBER($J$361),$B$238=1),$J$361,HLOOKUP(INDIRECT(ADDRESS(2,COLUMN())),OFFSET($R$2,0,0,ROW()-1,12),ROW()-1,FALSE))</f>
        <v>9.9836226660000005</v>
      </c>
      <c r="K134">
        <f ca="1">IF(AND(ISNUMBER($K$361),$B$238=1),$K$361,HLOOKUP(INDIRECT(ADDRESS(2,COLUMN())),OFFSET($R$2,0,0,ROW()-1,12),ROW()-1,FALSE))</f>
        <v>8.8828000710000001</v>
      </c>
      <c r="L134">
        <f ca="1">IF(AND(ISNUMBER($L$361),$B$238=1),$L$361,HLOOKUP(INDIRECT(ADDRESS(2,COLUMN())),OFFSET($R$2,0,0,ROW()-1,12),ROW()-1,FALSE))</f>
        <v>9.1716388460000005</v>
      </c>
      <c r="M134">
        <f ca="1">IF(AND(ISNUMBER($M$361),$B$238=1),$M$361,HLOOKUP(INDIRECT(ADDRESS(2,COLUMN())),OFFSET($R$2,0,0,ROW()-1,12),ROW()-1,FALSE))</f>
        <v>8.6971269630000005</v>
      </c>
      <c r="N134">
        <f ca="1">IF(AND(ISNUMBER($N$361),$B$238=1),$N$361,HLOOKUP(INDIRECT(ADDRESS(2,COLUMN())),OFFSET($R$2,0,0,ROW()-1,12),ROW()-1,FALSE))</f>
        <v>9.4899082569999997</v>
      </c>
      <c r="O134">
        <f ca="1">IF(AND(ISNUMBER($O$361),$B$238=1),$O$361,HLOOKUP(INDIRECT(ADDRESS(2,COLUMN())),OFFSET($R$2,0,0,ROW()-1,12),ROW()-1,FALSE))</f>
        <v>8.2420427840000006</v>
      </c>
      <c r="P134">
        <f ca="1">IF(AND(ISNUMBER($P$361),$B$238=1),$P$361,HLOOKUP(INDIRECT(ADDRESS(2,COLUMN())),OFFSET($R$2,0,0,ROW()-1,12),ROW()-1,FALSE))</f>
        <v>4.9405110199999998</v>
      </c>
      <c r="Q134">
        <f ca="1">IF(AND(ISNUMBER($Q$361),$B$238=1),$Q$361,HLOOKUP(INDIRECT(ADDRESS(2,COLUMN())),OFFSET($R$2,0,0,ROW()-1,12),ROW()-1,FALSE))</f>
        <v>8.6920956700000005</v>
      </c>
      <c r="R134">
        <f>12.84949948</f>
        <v>12.84949948</v>
      </c>
      <c r="S134">
        <f>10.11457551</f>
        <v>10.11457551</v>
      </c>
      <c r="T134">
        <f>11.93731244</f>
        <v>11.937312439999999</v>
      </c>
      <c r="U134">
        <f>11.09930217</f>
        <v>11.09930217</v>
      </c>
      <c r="V134">
        <f>9.983622666</f>
        <v>9.9836226660000005</v>
      </c>
      <c r="W134">
        <f>8.882800071</f>
        <v>8.8828000710000001</v>
      </c>
      <c r="X134">
        <f>9.171638846</f>
        <v>9.1716388460000005</v>
      </c>
      <c r="Y134">
        <f>8.697126963</f>
        <v>8.6971269630000005</v>
      </c>
      <c r="Z134">
        <f>9.489908257</f>
        <v>9.4899082569999997</v>
      </c>
      <c r="AA134">
        <f>8.242042784</f>
        <v>8.2420427840000006</v>
      </c>
      <c r="AB134">
        <f>4.94051102</f>
        <v>4.9405110199999998</v>
      </c>
      <c r="AC134">
        <f>8.69209567</f>
        <v>8.6920956700000005</v>
      </c>
    </row>
    <row r="135" spans="1:29" x14ac:dyDescent="0.25">
      <c r="A135" t="str">
        <f>"    Capgemini SE"</f>
        <v xml:space="preserve">    Capgemini SE</v>
      </c>
      <c r="B135" t="str">
        <f>"CAP FP Equity"</f>
        <v>CAP FP Equity</v>
      </c>
      <c r="C135" t="str">
        <f t="shared" si="21"/>
        <v>RX225</v>
      </c>
      <c r="D135" t="str">
        <f t="shared" si="22"/>
        <v>EBITDA_TO_REVENUE</v>
      </c>
      <c r="E135" t="str">
        <f t="shared" si="23"/>
        <v>Dynamic</v>
      </c>
      <c r="F135">
        <f ca="1">IF(AND(ISNUMBER($F$362),$B$238=1),$F$362,HLOOKUP(INDIRECT(ADDRESS(2,COLUMN())),OFFSET($R$2,0,0,ROW()-1,12),ROW()-1,FALSE))</f>
        <v>14.00353982</v>
      </c>
      <c r="G135">
        <f ca="1">IF(AND(ISNUMBER($G$362),$B$238=1),$G$362,HLOOKUP(INDIRECT(ADDRESS(2,COLUMN())),OFFSET($R$2,0,0,ROW()-1,12),ROW()-1,FALSE))</f>
        <v>11.767826019999999</v>
      </c>
      <c r="H135">
        <f ca="1">IF(AND(ISNUMBER($H$362),$B$238=1),$H$362,HLOOKUP(INDIRECT(ADDRESS(2,COLUMN())),OFFSET($R$2,0,0,ROW()-1,12),ROW()-1,FALSE))</f>
        <v>11.84830339</v>
      </c>
      <c r="I135">
        <f ca="1">IF(AND(ISNUMBER($I$362),$B$238=1),$I$362,HLOOKUP(INDIRECT(ADDRESS(2,COLUMN())),OFFSET($R$2,0,0,ROW()-1,12),ROW()-1,FALSE))</f>
        <v>11.539995210000001</v>
      </c>
      <c r="J135">
        <f ca="1">IF(AND(ISNUMBER($J$362),$B$238=1),$J$362,HLOOKUP(INDIRECT(ADDRESS(2,COLUMN())),OFFSET($R$2,0,0,ROW()-1,12),ROW()-1,FALSE))</f>
        <v>10.79311792</v>
      </c>
      <c r="K135">
        <f ca="1">IF(AND(ISNUMBER($K$362),$B$238=1),$K$362,HLOOKUP(INDIRECT(ADDRESS(2,COLUMN())),OFFSET($R$2,0,0,ROW()-1,12),ROW()-1,FALSE))</f>
        <v>9.9971625839999998</v>
      </c>
      <c r="L135">
        <f ca="1">IF(AND(ISNUMBER($L$362),$B$238=1),$L$362,HLOOKUP(INDIRECT(ADDRESS(2,COLUMN())),OFFSET($R$2,0,0,ROW()-1,12),ROW()-1,FALSE))</f>
        <v>9.1954022989999995</v>
      </c>
      <c r="M135">
        <f ca="1">IF(AND(ISNUMBER($M$362),$B$238=1),$M$362,HLOOKUP(INDIRECT(ADDRESS(2,COLUMN())),OFFSET($R$2,0,0,ROW()-1,12),ROW()-1,FALSE))</f>
        <v>8.1254871400000006</v>
      </c>
      <c r="N135">
        <f ca="1">IF(AND(ISNUMBER($N$362),$B$238=1),$N$362,HLOOKUP(INDIRECT(ADDRESS(2,COLUMN())),OFFSET($R$2,0,0,ROW()-1,12),ROW()-1,FALSE))</f>
        <v>8.0779944290000003</v>
      </c>
      <c r="O135">
        <f ca="1">IF(AND(ISNUMBER($O$362),$B$238=1),$O$362,HLOOKUP(INDIRECT(ADDRESS(2,COLUMN())),OFFSET($R$2,0,0,ROW()-1,12),ROW()-1,FALSE))</f>
        <v>7.6463148209999998</v>
      </c>
      <c r="P135">
        <f ca="1">IF(AND(ISNUMBER($P$362),$B$238=1),$P$362,HLOOKUP(INDIRECT(ADDRESS(2,COLUMN())),OFFSET($R$2,0,0,ROW()-1,12),ROW()-1,FALSE))</f>
        <v>5.9371640189999999</v>
      </c>
      <c r="Q135">
        <f ca="1">IF(AND(ISNUMBER($Q$362),$B$238=1),$Q$362,HLOOKUP(INDIRECT(ADDRESS(2,COLUMN())),OFFSET($R$2,0,0,ROW()-1,12),ROW()-1,FALSE))</f>
        <v>11.26291619</v>
      </c>
      <c r="R135">
        <f>14.00353982</f>
        <v>14.00353982</v>
      </c>
      <c r="S135">
        <f>11.76782602</f>
        <v>11.767826019999999</v>
      </c>
      <c r="T135">
        <f>11.84830339</f>
        <v>11.84830339</v>
      </c>
      <c r="U135">
        <f>11.53999521</f>
        <v>11.539995210000001</v>
      </c>
      <c r="V135">
        <f>10.79311792</f>
        <v>10.79311792</v>
      </c>
      <c r="W135">
        <f>9.997162584</f>
        <v>9.9971625839999998</v>
      </c>
      <c r="X135">
        <f>9.195402299</f>
        <v>9.1954022989999995</v>
      </c>
      <c r="Y135">
        <f>8.12548714</f>
        <v>8.1254871400000006</v>
      </c>
      <c r="Z135">
        <f>8.077994429</f>
        <v>8.0779944290000003</v>
      </c>
      <c r="AA135">
        <f>7.646314821</f>
        <v>7.6463148209999998</v>
      </c>
      <c r="AB135">
        <f>5.937164019</f>
        <v>5.9371640189999999</v>
      </c>
      <c r="AC135">
        <f>11.26291619</f>
        <v>11.26291619</v>
      </c>
    </row>
    <row r="136" spans="1:29" x14ac:dyDescent="0.25">
      <c r="A136" t="str">
        <f>"    CGI Inc"</f>
        <v xml:space="preserve">    CGI Inc</v>
      </c>
      <c r="B136" t="str">
        <f>"GIB US Equity"</f>
        <v>GIB US Equity</v>
      </c>
      <c r="C136" t="str">
        <f t="shared" si="21"/>
        <v>RX225</v>
      </c>
      <c r="D136" t="str">
        <f t="shared" si="22"/>
        <v>EBITDA_TO_REVENUE</v>
      </c>
      <c r="E136" t="str">
        <f t="shared" si="23"/>
        <v>Dynamic</v>
      </c>
      <c r="F136">
        <f ca="1">IF(AND(ISNUMBER($F$363),$B$238=1),$F$363,HLOOKUP(INDIRECT(ADDRESS(2,COLUMN())),OFFSET($R$2,0,0,ROW()-1,12),ROW()-1,FALSE))</f>
        <v>17.68698917</v>
      </c>
      <c r="G136">
        <f ca="1">IF(AND(ISNUMBER($G$363),$B$238=1),$G$363,HLOOKUP(INDIRECT(ADDRESS(2,COLUMN())),OFFSET($R$2,0,0,ROW()-1,12),ROW()-1,FALSE))</f>
        <v>17.031978850000002</v>
      </c>
      <c r="H136">
        <f ca="1">IF(AND(ISNUMBER($H$363),$B$238=1),$H$363,HLOOKUP(INDIRECT(ADDRESS(2,COLUMN())),OFFSET($R$2,0,0,ROW()-1,12),ROW()-1,FALSE))</f>
        <v>17.203002730000001</v>
      </c>
      <c r="I136">
        <f ca="1">IF(AND(ISNUMBER($I$363),$B$238=1),$I$363,HLOOKUP(INDIRECT(ADDRESS(2,COLUMN())),OFFSET($R$2,0,0,ROW()-1,12),ROW()-1,FALSE))</f>
        <v>18.0964825</v>
      </c>
      <c r="J136">
        <f ca="1">IF(AND(ISNUMBER($J$363),$B$238=1),$J$363,HLOOKUP(INDIRECT(ADDRESS(2,COLUMN())),OFFSET($R$2,0,0,ROW()-1,12),ROW()-1,FALSE))</f>
        <v>18.043790009999999</v>
      </c>
      <c r="K136">
        <f ca="1">IF(AND(ISNUMBER($K$363),$B$238=1),$K$363,HLOOKUP(INDIRECT(ADDRESS(2,COLUMN())),OFFSET($R$2,0,0,ROW()-1,12),ROW()-1,FALSE))</f>
        <v>16.065156959999999</v>
      </c>
      <c r="L136">
        <f ca="1">IF(AND(ISNUMBER($L$363),$B$238=1),$L$363,HLOOKUP(INDIRECT(ADDRESS(2,COLUMN())),OFFSET($R$2,0,0,ROW()-1,12),ROW()-1,FALSE))</f>
        <v>11.60002594</v>
      </c>
      <c r="M136">
        <f ca="1">IF(AND(ISNUMBER($M$363),$B$238=1),$M$363,HLOOKUP(INDIRECT(ADDRESS(2,COLUMN())),OFFSET($R$2,0,0,ROW()-1,12),ROW()-1,FALSE))</f>
        <v>10.93818819</v>
      </c>
      <c r="N136">
        <f ca="1">IF(AND(ISNUMBER($N$363),$B$238=1),$N$363,HLOOKUP(INDIRECT(ADDRESS(2,COLUMN())),OFFSET($R$2,0,0,ROW()-1,12),ROW()-1,FALSE))</f>
        <v>17.818923649999999</v>
      </c>
      <c r="O136">
        <f ca="1">IF(AND(ISNUMBER($O$363),$B$238=1),$O$363,HLOOKUP(INDIRECT(ADDRESS(2,COLUMN())),OFFSET($R$2,0,0,ROW()-1,12),ROW()-1,FALSE))</f>
        <v>19.032415109999999</v>
      </c>
      <c r="P136">
        <f ca="1">IF(AND(ISNUMBER($P$363),$B$238=1),$P$363,HLOOKUP(INDIRECT(ADDRESS(2,COLUMN())),OFFSET($R$2,0,0,ROW()-1,12),ROW()-1,FALSE))</f>
        <v>17.700718999999999</v>
      </c>
      <c r="Q136">
        <f ca="1">IF(AND(ISNUMBER($Q$363),$B$238=1),$Q$363,HLOOKUP(INDIRECT(ADDRESS(2,COLUMN())),OFFSET($R$2,0,0,ROW()-1,12),ROW()-1,FALSE))</f>
        <v>16.677653759999998</v>
      </c>
      <c r="R136">
        <f>17.68698917</f>
        <v>17.68698917</v>
      </c>
      <c r="S136">
        <f>17.03197885</f>
        <v>17.031978850000002</v>
      </c>
      <c r="T136">
        <f>17.20300273</f>
        <v>17.203002730000001</v>
      </c>
      <c r="U136">
        <f>18.0964825</f>
        <v>18.0964825</v>
      </c>
      <c r="V136">
        <f>18.04379001</f>
        <v>18.043790009999999</v>
      </c>
      <c r="W136">
        <f>16.06515696</f>
        <v>16.065156959999999</v>
      </c>
      <c r="X136">
        <f>11.60002594</f>
        <v>11.60002594</v>
      </c>
      <c r="Y136">
        <f>10.93818819</f>
        <v>10.93818819</v>
      </c>
      <c r="Z136">
        <f>17.81892365</f>
        <v>17.818923649999999</v>
      </c>
      <c r="AA136">
        <f>19.03241511</f>
        <v>19.032415109999999</v>
      </c>
      <c r="AB136">
        <f>17.700719</f>
        <v>17.700718999999999</v>
      </c>
      <c r="AC136">
        <f>16.67765376</f>
        <v>16.677653759999998</v>
      </c>
    </row>
    <row r="137" spans="1:29" x14ac:dyDescent="0.25">
      <c r="A137" t="str">
        <f>"    Cognizant Technology Solutions Corp"</f>
        <v xml:space="preserve">    Cognizant Technology Solutions Corp</v>
      </c>
      <c r="B137" t="str">
        <f>"CTSH US Equity"</f>
        <v>CTSH US Equity</v>
      </c>
      <c r="C137" t="str">
        <f t="shared" si="21"/>
        <v>RX225</v>
      </c>
      <c r="D137" t="str">
        <f t="shared" si="22"/>
        <v>EBITDA_TO_REVENUE</v>
      </c>
      <c r="E137" t="str">
        <f t="shared" si="23"/>
        <v>Dynamic</v>
      </c>
      <c r="F137">
        <f ca="1">IF(AND(ISNUMBER($F$364),$B$238=1),$F$364,HLOOKUP(INDIRECT(ADDRESS(2,COLUMN())),OFFSET($R$2,0,0,ROW()-1,12),ROW()-1,FALSE))</f>
        <v>19.215873210000002</v>
      </c>
      <c r="G137">
        <f ca="1">IF(AND(ISNUMBER($G$364),$B$238=1),$G$364,HLOOKUP(INDIRECT(ADDRESS(2,COLUMN())),OFFSET($R$2,0,0,ROW()-1,12),ROW()-1,FALSE))</f>
        <v>20.45891473</v>
      </c>
      <c r="H137">
        <f ca="1">IF(AND(ISNUMBER($H$364),$B$238=1),$H$364,HLOOKUP(INDIRECT(ADDRESS(2,COLUMN())),OFFSET($R$2,0,0,ROW()-1,12),ROW()-1,FALSE))</f>
        <v>19.743416610000001</v>
      </c>
      <c r="I137">
        <f ca="1">IF(AND(ISNUMBER($I$364),$B$238=1),$I$364,HLOOKUP(INDIRECT(ADDRESS(2,COLUMN())),OFFSET($R$2,0,0,ROW()-1,12),ROW()-1,FALSE))</f>
        <v>19.782012309999999</v>
      </c>
      <c r="J137">
        <f ca="1">IF(AND(ISNUMBER($J$364),$B$238=1),$J$364,HLOOKUP(INDIRECT(ADDRESS(2,COLUMN())),OFFSET($R$2,0,0,ROW()-1,12),ROW()-1,FALSE))</f>
        <v>19.90979381</v>
      </c>
      <c r="K137">
        <f ca="1">IF(AND(ISNUMBER($K$364),$B$238=1),$K$364,HLOOKUP(INDIRECT(ADDRESS(2,COLUMN())),OFFSET($R$2,0,0,ROW()-1,12),ROW()-1,FALSE))</f>
        <v>20.394243230000001</v>
      </c>
      <c r="L137">
        <f ca="1">IF(AND(ISNUMBER($L$364),$B$238=1),$L$364,HLOOKUP(INDIRECT(ADDRESS(2,COLUMN())),OFFSET($R$2,0,0,ROW()-1,12),ROW()-1,FALSE))</f>
        <v>21.00871077</v>
      </c>
      <c r="M137">
        <f ca="1">IF(AND(ISNUMBER($M$364),$B$238=1),$M$364,HLOOKUP(INDIRECT(ADDRESS(2,COLUMN())),OFFSET($R$2,0,0,ROW()-1,12),ROW()-1,FALSE))</f>
        <v>20.664122859999999</v>
      </c>
      <c r="N137">
        <f ca="1">IF(AND(ISNUMBER($N$364),$B$238=1),$N$364,HLOOKUP(INDIRECT(ADDRESS(2,COLUMN())),OFFSET($R$2,0,0,ROW()-1,12),ROW()-1,FALSE))</f>
        <v>20.594851689999999</v>
      </c>
      <c r="O137">
        <f ca="1">IF(AND(ISNUMBER($O$364),$B$238=1),$O$364,HLOOKUP(INDIRECT(ADDRESS(2,COLUMN())),OFFSET($R$2,0,0,ROW()-1,12),ROW()-1,FALSE))</f>
        <v>21.165977009999999</v>
      </c>
      <c r="P137">
        <f ca="1">IF(AND(ISNUMBER($P$364),$B$238=1),$P$364,HLOOKUP(INDIRECT(ADDRESS(2,COLUMN())),OFFSET($R$2,0,0,ROW()-1,12),ROW()-1,FALSE))</f>
        <v>21.589928579999999</v>
      </c>
      <c r="Q137">
        <f ca="1">IF(AND(ISNUMBER($Q$364),$B$238=1),$Q$364,HLOOKUP(INDIRECT(ADDRESS(2,COLUMN())),OFFSET($R$2,0,0,ROW()-1,12),ROW()-1,FALSE))</f>
        <v>21.001532510000001</v>
      </c>
      <c r="R137">
        <f>19.21587321</f>
        <v>19.215873210000002</v>
      </c>
      <c r="S137">
        <f>20.45891473</f>
        <v>20.45891473</v>
      </c>
      <c r="T137">
        <f>19.74341661</f>
        <v>19.743416610000001</v>
      </c>
      <c r="U137">
        <f>19.78201231</f>
        <v>19.782012309999999</v>
      </c>
      <c r="V137">
        <f>19.90979381</f>
        <v>19.90979381</v>
      </c>
      <c r="W137">
        <f>20.39424323</f>
        <v>20.394243230000001</v>
      </c>
      <c r="X137">
        <f>21.00871077</f>
        <v>21.00871077</v>
      </c>
      <c r="Y137">
        <f>20.66412286</f>
        <v>20.664122859999999</v>
      </c>
      <c r="Z137">
        <f>20.59485169</f>
        <v>20.594851689999999</v>
      </c>
      <c r="AA137">
        <f>21.16597701</f>
        <v>21.165977009999999</v>
      </c>
      <c r="AB137">
        <f>21.58992858</f>
        <v>21.589928579999999</v>
      </c>
      <c r="AC137">
        <f>21.00153251</f>
        <v>21.001532510000001</v>
      </c>
    </row>
    <row r="138" spans="1:29" x14ac:dyDescent="0.25">
      <c r="A138" t="str">
        <f>"    Conduent Inc"</f>
        <v xml:space="preserve">    Conduent Inc</v>
      </c>
      <c r="B138" t="str">
        <f>"CNDT US Equity"</f>
        <v>CNDT US Equity</v>
      </c>
      <c r="C138" t="str">
        <f t="shared" si="21"/>
        <v>RX225</v>
      </c>
      <c r="D138" t="str">
        <f t="shared" si="22"/>
        <v>EBITDA_TO_REVENUE</v>
      </c>
      <c r="E138" t="str">
        <f t="shared" si="23"/>
        <v>Dynamic</v>
      </c>
      <c r="F138">
        <f ca="1">IF(AND(ISNUMBER($F$365),$B$238=1),$F$365,HLOOKUP(INDIRECT(ADDRESS(2,COLUMN())),OFFSET($R$2,0,0,ROW()-1,12),ROW()-1,FALSE))</f>
        <v>-35.28094918</v>
      </c>
      <c r="G138">
        <f ca="1">IF(AND(ISNUMBER($G$365),$B$238=1),$G$365,HLOOKUP(INDIRECT(ADDRESS(2,COLUMN())),OFFSET($R$2,0,0,ROW()-1,12),ROW()-1,FALSE))</f>
        <v>3.3747450400000001</v>
      </c>
      <c r="H138">
        <f ca="1">IF(AND(ISNUMBER($H$365),$B$238=1),$H$365,HLOOKUP(INDIRECT(ADDRESS(2,COLUMN())),OFFSET($R$2,0,0,ROW()-1,12),ROW()-1,FALSE))</f>
        <v>10.1129193</v>
      </c>
      <c r="I138">
        <f ca="1">IF(AND(ISNUMBER($I$365),$B$238=1),$I$365,HLOOKUP(INDIRECT(ADDRESS(2,COLUMN())),OFFSET($R$2,0,0,ROW()-1,12),ROW()-1,FALSE))</f>
        <v>-8.676654182</v>
      </c>
      <c r="J138">
        <f ca="1">IF(AND(ISNUMBER($J$365),$B$238=1),$J$365,HLOOKUP(INDIRECT(ADDRESS(2,COLUMN())),OFFSET($R$2,0,0,ROW()-1,12),ROW()-1,FALSE))</f>
        <v>1.8763134189999999</v>
      </c>
      <c r="K138">
        <f ca="1">IF(AND(ISNUMBER($K$365),$B$238=1),$K$365,HLOOKUP(INDIRECT(ADDRESS(2,COLUMN())),OFFSET($R$2,0,0,ROW()-1,12),ROW()-1,FALSE))</f>
        <v>13.678293460000001</v>
      </c>
      <c r="L138">
        <f ca="1">IF(AND(ISNUMBER($L$365),$B$238=1),$L$365,HLOOKUP(INDIRECT(ADDRESS(2,COLUMN())),OFFSET($R$2,0,0,ROW()-1,12),ROW()-1,FALSE))</f>
        <v>14.74051461</v>
      </c>
      <c r="M138" t="str">
        <f ca="1">IF(AND(ISNUMBER($M$365),$B$238=1),$M$365,HLOOKUP(INDIRECT(ADDRESS(2,COLUMN())),OFFSET($R$2,0,0,ROW()-1,12),ROW()-1,FALSE))</f>
        <v/>
      </c>
      <c r="N138" t="str">
        <f ca="1">IF(AND(ISNUMBER($N$365),$B$238=1),$N$365,HLOOKUP(INDIRECT(ADDRESS(2,COLUMN())),OFFSET($R$2,0,0,ROW()-1,12),ROW()-1,FALSE))</f>
        <v/>
      </c>
      <c r="O138" t="str">
        <f ca="1">IF(AND(ISNUMBER($O$365),$B$238=1),$O$365,HLOOKUP(INDIRECT(ADDRESS(2,COLUMN())),OFFSET($R$2,0,0,ROW()-1,12),ROW()-1,FALSE))</f>
        <v/>
      </c>
      <c r="P138" t="str">
        <f ca="1">IF(AND(ISNUMBER($P$365),$B$238=1),$P$365,HLOOKUP(INDIRECT(ADDRESS(2,COLUMN())),OFFSET($R$2,0,0,ROW()-1,12),ROW()-1,FALSE))</f>
        <v/>
      </c>
      <c r="Q138" t="str">
        <f ca="1">IF(AND(ISNUMBER($Q$365),$B$238=1),$Q$365,HLOOKUP(INDIRECT(ADDRESS(2,COLUMN())),OFFSET($R$2,0,0,ROW()-1,12),ROW()-1,FALSE))</f>
        <v/>
      </c>
      <c r="R138">
        <f>-35.28094918</f>
        <v>-35.28094918</v>
      </c>
      <c r="S138">
        <f>3.37474504</f>
        <v>3.3747450400000001</v>
      </c>
      <c r="T138">
        <f>10.1129193</f>
        <v>10.1129193</v>
      </c>
      <c r="U138">
        <f>-8.676654182</f>
        <v>-8.676654182</v>
      </c>
      <c r="V138">
        <f>1.876313419</f>
        <v>1.8763134189999999</v>
      </c>
      <c r="W138">
        <f>13.67829346</f>
        <v>13.678293460000001</v>
      </c>
      <c r="X138">
        <f>14.74051461</f>
        <v>14.74051461</v>
      </c>
      <c r="Y138" t="str">
        <f>""</f>
        <v/>
      </c>
      <c r="Z138" t="str">
        <f>""</f>
        <v/>
      </c>
      <c r="AA138" t="str">
        <f>""</f>
        <v/>
      </c>
      <c r="AB138" t="str">
        <f>""</f>
        <v/>
      </c>
      <c r="AC138" t="str">
        <f>""</f>
        <v/>
      </c>
    </row>
    <row r="139" spans="1:29" x14ac:dyDescent="0.25">
      <c r="A139" t="str">
        <f>"    DXC Technology Co"</f>
        <v xml:space="preserve">    DXC Technology Co</v>
      </c>
      <c r="B139" t="str">
        <f>"DXC US Equity"</f>
        <v>DXC US Equity</v>
      </c>
      <c r="C139" t="str">
        <f t="shared" si="21"/>
        <v>RX225</v>
      </c>
      <c r="D139" t="str">
        <f t="shared" si="22"/>
        <v>EBITDA_TO_REVENUE</v>
      </c>
      <c r="E139" t="str">
        <f t="shared" si="23"/>
        <v>Dynamic</v>
      </c>
      <c r="F139">
        <f ca="1">IF(AND(ISNUMBER($F$366),$B$238=1),$F$366,HLOOKUP(INDIRECT(ADDRESS(2,COLUMN())),OFFSET($R$2,0,0,ROW()-1,12),ROW()-1,FALSE))</f>
        <v>-15.9217449</v>
      </c>
      <c r="G139">
        <f ca="1">IF(AND(ISNUMBER($G$366),$B$238=1),$G$366,HLOOKUP(INDIRECT(ADDRESS(2,COLUMN())),OFFSET($R$2,0,0,ROW()-1,12),ROW()-1,FALSE))</f>
        <v>18.040765189999998</v>
      </c>
      <c r="H139">
        <f ca="1">IF(AND(ISNUMBER($H$366),$B$238=1),$H$366,HLOOKUP(INDIRECT(ADDRESS(2,COLUMN())),OFFSET($R$2,0,0,ROW()-1,12),ROW()-1,FALSE))</f>
        <v>16.330005060000001</v>
      </c>
      <c r="I139">
        <f ca="1">IF(AND(ISNUMBER($I$366),$B$238=1),$I$366,HLOOKUP(INDIRECT(ADDRESS(2,COLUMN())),OFFSET($R$2,0,0,ROW()-1,12),ROW()-1,FALSE))</f>
        <v>8.0018902099999991</v>
      </c>
      <c r="J139" t="str">
        <f ca="1">IF(AND(ISNUMBER($J$366),$B$238=1),$J$366,HLOOKUP(INDIRECT(ADDRESS(2,COLUMN())),OFFSET($R$2,0,0,ROW()-1,12),ROW()-1,FALSE))</f>
        <v/>
      </c>
      <c r="K139" t="str">
        <f ca="1">IF(AND(ISNUMBER($K$366),$B$238=1),$K$366,HLOOKUP(INDIRECT(ADDRESS(2,COLUMN())),OFFSET($R$2,0,0,ROW()-1,12),ROW()-1,FALSE))</f>
        <v/>
      </c>
      <c r="L139" t="str">
        <f ca="1">IF(AND(ISNUMBER($L$366),$B$238=1),$L$366,HLOOKUP(INDIRECT(ADDRESS(2,COLUMN())),OFFSET($R$2,0,0,ROW()-1,12),ROW()-1,FALSE))</f>
        <v/>
      </c>
      <c r="M139" t="str">
        <f ca="1">IF(AND(ISNUMBER($M$366),$B$238=1),$M$366,HLOOKUP(INDIRECT(ADDRESS(2,COLUMN())),OFFSET($R$2,0,0,ROW()-1,12),ROW()-1,FALSE))</f>
        <v/>
      </c>
      <c r="N139" t="str">
        <f ca="1">IF(AND(ISNUMBER($N$366),$B$238=1),$N$366,HLOOKUP(INDIRECT(ADDRESS(2,COLUMN())),OFFSET($R$2,0,0,ROW()-1,12),ROW()-1,FALSE))</f>
        <v/>
      </c>
      <c r="O139" t="str">
        <f ca="1">IF(AND(ISNUMBER($O$366),$B$238=1),$O$366,HLOOKUP(INDIRECT(ADDRESS(2,COLUMN())),OFFSET($R$2,0,0,ROW()-1,12),ROW()-1,FALSE))</f>
        <v/>
      </c>
      <c r="P139" t="str">
        <f ca="1">IF(AND(ISNUMBER($P$366),$B$238=1),$P$366,HLOOKUP(INDIRECT(ADDRESS(2,COLUMN())),OFFSET($R$2,0,0,ROW()-1,12),ROW()-1,FALSE))</f>
        <v/>
      </c>
      <c r="Q139" t="str">
        <f ca="1">IF(AND(ISNUMBER($Q$366),$B$238=1),$Q$366,HLOOKUP(INDIRECT(ADDRESS(2,COLUMN())),OFFSET($R$2,0,0,ROW()-1,12),ROW()-1,FALSE))</f>
        <v/>
      </c>
      <c r="R139">
        <f>-15.9217449</f>
        <v>-15.9217449</v>
      </c>
      <c r="S139">
        <f>18.04076519</f>
        <v>18.040765189999998</v>
      </c>
      <c r="T139">
        <f>16.33000506</f>
        <v>16.330005060000001</v>
      </c>
      <c r="U139">
        <f>8.00189021</f>
        <v>8.0018902099999991</v>
      </c>
      <c r="V139" t="str">
        <f>""</f>
        <v/>
      </c>
      <c r="W139" t="str">
        <f>""</f>
        <v/>
      </c>
      <c r="X139" t="str">
        <f>""</f>
        <v/>
      </c>
      <c r="Y139" t="str">
        <f>""</f>
        <v/>
      </c>
      <c r="Z139" t="str">
        <f>""</f>
        <v/>
      </c>
      <c r="AA139" t="str">
        <f>""</f>
        <v/>
      </c>
      <c r="AB139" t="str">
        <f>""</f>
        <v/>
      </c>
      <c r="AC139" t="str">
        <f>""</f>
        <v/>
      </c>
    </row>
    <row r="140" spans="1:29" x14ac:dyDescent="0.25">
      <c r="A140" t="str">
        <f>"    EPAM Systems Inc"</f>
        <v xml:space="preserve">    EPAM Systems Inc</v>
      </c>
      <c r="B140" t="str">
        <f>"EPAM US Equity"</f>
        <v>EPAM US Equity</v>
      </c>
      <c r="C140" t="str">
        <f t="shared" si="21"/>
        <v>RX225</v>
      </c>
      <c r="D140" t="str">
        <f t="shared" si="22"/>
        <v>EBITDA_TO_REVENUE</v>
      </c>
      <c r="E140" t="str">
        <f t="shared" si="23"/>
        <v>Dynamic</v>
      </c>
      <c r="F140">
        <f ca="1">IF(AND(ISNUMBER($F$367),$B$238=1),$F$367,HLOOKUP(INDIRECT(ADDRESS(2,COLUMN())),OFFSET($R$2,0,0,ROW()-1,12),ROW()-1,FALSE))</f>
        <v>17.913826759999999</v>
      </c>
      <c r="G140">
        <f ca="1">IF(AND(ISNUMBER($G$367),$B$238=1),$G$367,HLOOKUP(INDIRECT(ADDRESS(2,COLUMN())),OFFSET($R$2,0,0,ROW()-1,12),ROW()-1,FALSE))</f>
        <v>15.323791910000001</v>
      </c>
      <c r="H140">
        <f ca="1">IF(AND(ISNUMBER($H$367),$B$238=1),$H$367,HLOOKUP(INDIRECT(ADDRESS(2,COLUMN())),OFFSET($R$2,0,0,ROW()-1,12),ROW()-1,FALSE))</f>
        <v>13.892811050000001</v>
      </c>
      <c r="I140">
        <f ca="1">IF(AND(ISNUMBER($I$367),$B$238=1),$I$367,HLOOKUP(INDIRECT(ADDRESS(2,COLUMN())),OFFSET($R$2,0,0,ROW()-1,12),ROW()-1,FALSE))</f>
        <v>13.54009716</v>
      </c>
      <c r="J140">
        <f ca="1">IF(AND(ISNUMBER($J$367),$B$238=1),$J$367,HLOOKUP(INDIRECT(ADDRESS(2,COLUMN())),OFFSET($R$2,0,0,ROW()-1,12),ROW()-1,FALSE))</f>
        <v>13.495046650000001</v>
      </c>
      <c r="K140">
        <f ca="1">IF(AND(ISNUMBER($K$367),$B$238=1),$K$367,HLOOKUP(INDIRECT(ADDRESS(2,COLUMN())),OFFSET($R$2,0,0,ROW()-1,12),ROW()-1,FALSE))</f>
        <v>14.200296700000001</v>
      </c>
      <c r="L140">
        <f ca="1">IF(AND(ISNUMBER($L$367),$B$238=1),$L$367,HLOOKUP(INDIRECT(ADDRESS(2,COLUMN())),OFFSET($R$2,0,0,ROW()-1,12),ROW()-1,FALSE))</f>
        <v>16.50336776</v>
      </c>
      <c r="M140">
        <f ca="1">IF(AND(ISNUMBER($M$367),$B$238=1),$M$367,HLOOKUP(INDIRECT(ADDRESS(2,COLUMN())),OFFSET($R$2,0,0,ROW()-1,12),ROW()-1,FALSE))</f>
        <v>17.724337770000002</v>
      </c>
      <c r="N140">
        <f ca="1">IF(AND(ISNUMBER($N$367),$B$238=1),$N$367,HLOOKUP(INDIRECT(ADDRESS(2,COLUMN())),OFFSET($R$2,0,0,ROW()-1,12),ROW()-1,FALSE))</f>
        <v>18.696790700000001</v>
      </c>
      <c r="O140">
        <f ca="1">IF(AND(ISNUMBER($O$367),$B$238=1),$O$367,HLOOKUP(INDIRECT(ADDRESS(2,COLUMN())),OFFSET($R$2,0,0,ROW()-1,12),ROW()-1,FALSE))</f>
        <v>17.595931910000001</v>
      </c>
      <c r="P140">
        <f ca="1">IF(AND(ISNUMBER($P$367),$B$238=1),$P$367,HLOOKUP(INDIRECT(ADDRESS(2,COLUMN())),OFFSET($R$2,0,0,ROW()-1,12),ROW()-1,FALSE))</f>
        <v>14.40585838</v>
      </c>
      <c r="Q140">
        <f ca="1">IF(AND(ISNUMBER($Q$367),$B$238=1),$Q$367,HLOOKUP(INDIRECT(ADDRESS(2,COLUMN())),OFFSET($R$2,0,0,ROW()-1,12),ROW()-1,FALSE))</f>
        <v>9.4090841180000009</v>
      </c>
      <c r="R140">
        <f>17.91382676</f>
        <v>17.913826759999999</v>
      </c>
      <c r="S140">
        <f>15.32379191</f>
        <v>15.323791910000001</v>
      </c>
      <c r="T140">
        <f>13.89281105</f>
        <v>13.892811050000001</v>
      </c>
      <c r="U140">
        <f>13.54009716</f>
        <v>13.54009716</v>
      </c>
      <c r="V140">
        <f>13.49504665</f>
        <v>13.495046650000001</v>
      </c>
      <c r="W140">
        <f>14.2002967</f>
        <v>14.200296700000001</v>
      </c>
      <c r="X140">
        <f>16.50336776</f>
        <v>16.50336776</v>
      </c>
      <c r="Y140">
        <f>17.72433777</f>
        <v>17.724337770000002</v>
      </c>
      <c r="Z140">
        <f>18.6967907</f>
        <v>18.696790700000001</v>
      </c>
      <c r="AA140">
        <f>17.59593191</f>
        <v>17.595931910000001</v>
      </c>
      <c r="AB140">
        <f>14.40585838</f>
        <v>14.40585838</v>
      </c>
      <c r="AC140">
        <f>9.409084118</f>
        <v>9.4090841180000009</v>
      </c>
    </row>
    <row r="141" spans="1:29" x14ac:dyDescent="0.25">
      <c r="A141" t="str">
        <f>"    Genpact Ltd"</f>
        <v xml:space="preserve">    Genpact Ltd</v>
      </c>
      <c r="B141" t="str">
        <f>"G US Equity"</f>
        <v>G US Equity</v>
      </c>
      <c r="C141" t="str">
        <f t="shared" si="21"/>
        <v>RX225</v>
      </c>
      <c r="D141" t="str">
        <f t="shared" si="22"/>
        <v>EBITDA_TO_REVENUE</v>
      </c>
      <c r="E141" t="str">
        <f t="shared" si="23"/>
        <v>Dynamic</v>
      </c>
      <c r="F141">
        <f ca="1">IF(AND(ISNUMBER($F$368),$B$238=1),$F$368,HLOOKUP(INDIRECT(ADDRESS(2,COLUMN())),OFFSET($R$2,0,0,ROW()-1,12),ROW()-1,FALSE))</f>
        <v>17.966688659999999</v>
      </c>
      <c r="G141">
        <f ca="1">IF(AND(ISNUMBER($G$368),$B$238=1),$G$368,HLOOKUP(INDIRECT(ADDRESS(2,COLUMN())),OFFSET($R$2,0,0,ROW()-1,12),ROW()-1,FALSE))</f>
        <v>15.05836796</v>
      </c>
      <c r="H141">
        <f ca="1">IF(AND(ISNUMBER($H$368),$B$238=1),$H$368,HLOOKUP(INDIRECT(ADDRESS(2,COLUMN())),OFFSET($R$2,0,0,ROW()-1,12),ROW()-1,FALSE))</f>
        <v>15.57197867</v>
      </c>
      <c r="I141">
        <f ca="1">IF(AND(ISNUMBER($I$368),$B$238=1),$I$368,HLOOKUP(INDIRECT(ADDRESS(2,COLUMN())),OFFSET($R$2,0,0,ROW()-1,12),ROW()-1,FALSE))</f>
        <v>16.452047570000001</v>
      </c>
      <c r="J141">
        <f ca="1">IF(AND(ISNUMBER($J$368),$B$238=1),$J$368,HLOOKUP(INDIRECT(ADDRESS(2,COLUMN())),OFFSET($R$2,0,0,ROW()-1,12),ROW()-1,FALSE))</f>
        <v>16.943662929999999</v>
      </c>
      <c r="K141">
        <f ca="1">IF(AND(ISNUMBER($K$368),$B$238=1),$K$368,HLOOKUP(INDIRECT(ADDRESS(2,COLUMN())),OFFSET($R$2,0,0,ROW()-1,12),ROW()-1,FALSE))</f>
        <v>16.391671980000002</v>
      </c>
      <c r="L141">
        <f ca="1">IF(AND(ISNUMBER($L$368),$B$238=1),$L$368,HLOOKUP(INDIRECT(ADDRESS(2,COLUMN())),OFFSET($R$2,0,0,ROW()-1,12),ROW()-1,FALSE))</f>
        <v>18.10448139</v>
      </c>
      <c r="M141">
        <f ca="1">IF(AND(ISNUMBER($M$368),$B$238=1),$M$368,HLOOKUP(INDIRECT(ADDRESS(2,COLUMN())),OFFSET($R$2,0,0,ROW()-1,12),ROW()-1,FALSE))</f>
        <v>18.072778190000001</v>
      </c>
      <c r="N141">
        <f ca="1">IF(AND(ISNUMBER($N$368),$B$238=1),$N$368,HLOOKUP(INDIRECT(ADDRESS(2,COLUMN())),OFFSET($R$2,0,0,ROW()-1,12),ROW()-1,FALSE))</f>
        <v>18.415794200000001</v>
      </c>
      <c r="O141">
        <f ca="1">IF(AND(ISNUMBER($O$368),$B$238=1),$O$368,HLOOKUP(INDIRECT(ADDRESS(2,COLUMN())),OFFSET($R$2,0,0,ROW()-1,12),ROW()-1,FALSE))</f>
        <v>20.018062480000001</v>
      </c>
      <c r="P141">
        <f ca="1">IF(AND(ISNUMBER($P$368),$B$238=1),$P$368,HLOOKUP(INDIRECT(ADDRESS(2,COLUMN())),OFFSET($R$2,0,0,ROW()-1,12),ROW()-1,FALSE))</f>
        <v>21.584970949999999</v>
      </c>
      <c r="Q141">
        <f ca="1">IF(AND(ISNUMBER($Q$368),$B$238=1),$Q$368,HLOOKUP(INDIRECT(ADDRESS(2,COLUMN())),OFFSET($R$2,0,0,ROW()-1,12),ROW()-1,FALSE))</f>
        <v>21.69185289</v>
      </c>
      <c r="R141">
        <f>17.96668866</f>
        <v>17.966688659999999</v>
      </c>
      <c r="S141">
        <f>15.05836796</f>
        <v>15.05836796</v>
      </c>
      <c r="T141">
        <f>15.57197867</f>
        <v>15.57197867</v>
      </c>
      <c r="U141">
        <f>16.45204757</f>
        <v>16.452047570000001</v>
      </c>
      <c r="V141">
        <f>16.94366293</f>
        <v>16.943662929999999</v>
      </c>
      <c r="W141">
        <f>16.39167198</f>
        <v>16.391671980000002</v>
      </c>
      <c r="X141">
        <f>18.10448139</f>
        <v>18.10448139</v>
      </c>
      <c r="Y141">
        <f>18.07277819</f>
        <v>18.072778190000001</v>
      </c>
      <c r="Z141">
        <f>18.4157942</f>
        <v>18.415794200000001</v>
      </c>
      <c r="AA141">
        <f>20.01806248</f>
        <v>20.018062480000001</v>
      </c>
      <c r="AB141">
        <f>21.58497095</f>
        <v>21.584970949999999</v>
      </c>
      <c r="AC141">
        <f>21.69185289</f>
        <v>21.69185289</v>
      </c>
    </row>
    <row r="142" spans="1:29" x14ac:dyDescent="0.25">
      <c r="A142" t="str">
        <f>"    HCL Technologies Ltd"</f>
        <v xml:space="preserve">    HCL Technologies Ltd</v>
      </c>
      <c r="B142" t="str">
        <f>"HCLT IN Equity"</f>
        <v>HCLT IN Equity</v>
      </c>
      <c r="C142" t="str">
        <f t="shared" si="21"/>
        <v>RX225</v>
      </c>
      <c r="D142" t="str">
        <f t="shared" si="22"/>
        <v>EBITDA_TO_REVENUE</v>
      </c>
      <c r="E142" t="str">
        <f t="shared" si="23"/>
        <v>Dynamic</v>
      </c>
      <c r="F142">
        <f ca="1">IF(AND(ISNUMBER($F$369),$B$238=1),$F$369,HLOOKUP(INDIRECT(ADDRESS(2,COLUMN())),OFFSET($R$2,0,0,ROW()-1,12),ROW()-1,FALSE))</f>
        <v>23.599033819999999</v>
      </c>
      <c r="G142">
        <f ca="1">IF(AND(ISNUMBER($G$369),$B$238=1),$G$369,HLOOKUP(INDIRECT(ADDRESS(2,COLUMN())),OFFSET($R$2,0,0,ROW()-1,12),ROW()-1,FALSE))</f>
        <v>23.051526809999999</v>
      </c>
      <c r="H142">
        <f ca="1">IF(AND(ISNUMBER($H$369),$B$238=1),$H$369,HLOOKUP(INDIRECT(ADDRESS(2,COLUMN())),OFFSET($R$2,0,0,ROW()-1,12),ROW()-1,FALSE))</f>
        <v>22.238921080000001</v>
      </c>
      <c r="I142">
        <f ca="1">IF(AND(ISNUMBER($I$369),$B$238=1),$I$369,HLOOKUP(INDIRECT(ADDRESS(2,COLUMN())),OFFSET($R$2,0,0,ROW()-1,12),ROW()-1,FALSE))</f>
        <v>21.830900199999999</v>
      </c>
      <c r="J142">
        <f ca="1">IF(AND(ISNUMBER($J$369),$B$238=1),$J$369,HLOOKUP(INDIRECT(ADDRESS(2,COLUMN())),OFFSET($R$2,0,0,ROW()-1,12),ROW()-1,FALSE))</f>
        <v>21.453314939999999</v>
      </c>
      <c r="K142" t="str">
        <f ca="1">IF(AND(ISNUMBER($K$369),$B$238=1),$K$369,HLOOKUP(INDIRECT(ADDRESS(2,COLUMN())),OFFSET($R$2,0,0,ROW()-1,12),ROW()-1,FALSE))</f>
        <v/>
      </c>
      <c r="L142">
        <f ca="1">IF(AND(ISNUMBER($L$369),$B$238=1),$L$369,HLOOKUP(INDIRECT(ADDRESS(2,COLUMN())),OFFSET($R$2,0,0,ROW()-1,12),ROW()-1,FALSE))</f>
        <v>26.327474909999999</v>
      </c>
      <c r="M142">
        <f ca="1">IF(AND(ISNUMBER($M$369),$B$238=1),$M$369,HLOOKUP(INDIRECT(ADDRESS(2,COLUMN())),OFFSET($R$2,0,0,ROW()-1,12),ROW()-1,FALSE))</f>
        <v>22.1302792</v>
      </c>
      <c r="N142">
        <f ca="1">IF(AND(ISNUMBER($N$369),$B$238=1),$N$369,HLOOKUP(INDIRECT(ADDRESS(2,COLUMN())),OFFSET($R$2,0,0,ROW()-1,12),ROW()-1,FALSE))</f>
        <v>17.905432170000001</v>
      </c>
      <c r="O142">
        <f ca="1">IF(AND(ISNUMBER($O$369),$B$238=1),$O$369,HLOOKUP(INDIRECT(ADDRESS(2,COLUMN())),OFFSET($R$2,0,0,ROW()-1,12),ROW()-1,FALSE))</f>
        <v>15.68336021</v>
      </c>
      <c r="P142">
        <f ca="1">IF(AND(ISNUMBER($P$369),$B$238=1),$P$369,HLOOKUP(INDIRECT(ADDRESS(2,COLUMN())),OFFSET($R$2,0,0,ROW()-1,12),ROW()-1,FALSE))</f>
        <v>15.98972998</v>
      </c>
      <c r="Q142">
        <f ca="1">IF(AND(ISNUMBER($Q$369),$B$238=1),$Q$369,HLOOKUP(INDIRECT(ADDRESS(2,COLUMN())),OFFSET($R$2,0,0,ROW()-1,12),ROW()-1,FALSE))</f>
        <v>20.222085140000001</v>
      </c>
      <c r="R142">
        <f>23.59903382</f>
        <v>23.599033819999999</v>
      </c>
      <c r="S142">
        <f>23.05152681</f>
        <v>23.051526809999999</v>
      </c>
      <c r="T142">
        <f>22.23892108</f>
        <v>22.238921080000001</v>
      </c>
      <c r="U142">
        <f>21.8309002</f>
        <v>21.830900199999999</v>
      </c>
      <c r="V142">
        <f>21.45331494</f>
        <v>21.453314939999999</v>
      </c>
      <c r="W142" t="str">
        <f>""</f>
        <v/>
      </c>
      <c r="X142">
        <f>26.32747491</f>
        <v>26.327474909999999</v>
      </c>
      <c r="Y142">
        <f>22.1302792</f>
        <v>22.1302792</v>
      </c>
      <c r="Z142">
        <f>17.90543217</f>
        <v>17.905432170000001</v>
      </c>
      <c r="AA142">
        <f>15.68336021</f>
        <v>15.68336021</v>
      </c>
      <c r="AB142">
        <f>15.98972998</f>
        <v>15.98972998</v>
      </c>
      <c r="AC142">
        <f>20.22208514</f>
        <v>20.222085140000001</v>
      </c>
    </row>
    <row r="143" spans="1:29" x14ac:dyDescent="0.25">
      <c r="A143" t="str">
        <f>"    Indra Sistemas SA"</f>
        <v xml:space="preserve">    Indra Sistemas SA</v>
      </c>
      <c r="B143" t="str">
        <f>"IDR SM Equity"</f>
        <v>IDR SM Equity</v>
      </c>
      <c r="C143" t="str">
        <f t="shared" si="21"/>
        <v>RX225</v>
      </c>
      <c r="D143" t="str">
        <f t="shared" si="22"/>
        <v>EBITDA_TO_REVENUE</v>
      </c>
      <c r="E143" t="str">
        <f t="shared" si="23"/>
        <v>Dynamic</v>
      </c>
      <c r="F143">
        <f ca="1">IF(AND(ISNUMBER($F$370),$B$238=1),$F$370,HLOOKUP(INDIRECT(ADDRESS(2,COLUMN())),OFFSET($R$2,0,0,ROW()-1,12),ROW()-1,FALSE))</f>
        <v>10.8068849</v>
      </c>
      <c r="G143">
        <f ca="1">IF(AND(ISNUMBER($G$370),$B$238=1),$G$370,HLOOKUP(INDIRECT(ADDRESS(2,COLUMN())),OFFSET($R$2,0,0,ROW()-1,12),ROW()-1,FALSE))</f>
        <v>9.4414954889999994</v>
      </c>
      <c r="H143">
        <f ca="1">IF(AND(ISNUMBER($H$370),$B$238=1),$H$370,HLOOKUP(INDIRECT(ADDRESS(2,COLUMN())),OFFSET($R$2,0,0,ROW()-1,12),ROW()-1,FALSE))</f>
        <v>8.8425367949999991</v>
      </c>
      <c r="I143">
        <f ca="1">IF(AND(ISNUMBER($I$370),$B$238=1),$I$370,HLOOKUP(INDIRECT(ADDRESS(2,COLUMN())),OFFSET($R$2,0,0,ROW()-1,12),ROW()-1,FALSE))</f>
        <v>8.4661902349999991</v>
      </c>
      <c r="J143">
        <f ca="1">IF(AND(ISNUMBER($J$370),$B$238=1),$J$370,HLOOKUP(INDIRECT(ADDRESS(2,COLUMN())),OFFSET($R$2,0,0,ROW()-1,12),ROW()-1,FALSE))</f>
        <v>-19.50537538</v>
      </c>
      <c r="K143">
        <f ca="1">IF(AND(ISNUMBER($K$370),$B$238=1),$K$370,HLOOKUP(INDIRECT(ADDRESS(2,COLUMN())),OFFSET($R$2,0,0,ROW()-1,12),ROW()-1,FALSE))</f>
        <v>0.740600806</v>
      </c>
      <c r="L143">
        <f ca="1">IF(AND(ISNUMBER($L$370),$B$238=1),$L$370,HLOOKUP(INDIRECT(ADDRESS(2,COLUMN())),OFFSET($R$2,0,0,ROW()-1,12),ROW()-1,FALSE))</f>
        <v>8.5859208060000007</v>
      </c>
      <c r="M143">
        <f ca="1">IF(AND(ISNUMBER($M$370),$B$238=1),$M$370,HLOOKUP(INDIRECT(ADDRESS(2,COLUMN())),OFFSET($R$2,0,0,ROW()-1,12),ROW()-1,FALSE))</f>
        <v>8.5641520849999999</v>
      </c>
      <c r="N143">
        <f ca="1">IF(AND(ISNUMBER($N$370),$B$238=1),$N$370,HLOOKUP(INDIRECT(ADDRESS(2,COLUMN())),OFFSET($R$2,0,0,ROW()-1,12),ROW()-1,FALSE))</f>
        <v>11.999166819999999</v>
      </c>
      <c r="O143">
        <f ca="1">IF(AND(ISNUMBER($O$370),$B$238=1),$O$370,HLOOKUP(INDIRECT(ADDRESS(2,COLUMN())),OFFSET($R$2,0,0,ROW()-1,12),ROW()-1,FALSE))</f>
        <v>12.002501329999999</v>
      </c>
      <c r="P143">
        <f ca="1">IF(AND(ISNUMBER($P$370),$B$238=1),$P$370,HLOOKUP(INDIRECT(ADDRESS(2,COLUMN())),OFFSET($R$2,0,0,ROW()-1,12),ROW()-1,FALSE))</f>
        <v>13.35129416</v>
      </c>
      <c r="Q143">
        <f ca="1">IF(AND(ISNUMBER($Q$370),$B$238=1),$Q$370,HLOOKUP(INDIRECT(ADDRESS(2,COLUMN())),OFFSET($R$2,0,0,ROW()-1,12),ROW()-1,FALSE))</f>
        <v>12.99060963</v>
      </c>
      <c r="R143">
        <f>10.8068849</f>
        <v>10.8068849</v>
      </c>
      <c r="S143">
        <f>9.441495489</f>
        <v>9.4414954889999994</v>
      </c>
      <c r="T143">
        <f>8.842536795</f>
        <v>8.8425367949999991</v>
      </c>
      <c r="U143">
        <f>8.466190235</f>
        <v>8.4661902349999991</v>
      </c>
      <c r="V143">
        <f>-19.50537538</f>
        <v>-19.50537538</v>
      </c>
      <c r="W143">
        <f>0.740600806</f>
        <v>0.740600806</v>
      </c>
      <c r="X143">
        <f>8.585920806</f>
        <v>8.5859208060000007</v>
      </c>
      <c r="Y143">
        <f>8.564152085</f>
        <v>8.5641520849999999</v>
      </c>
      <c r="Z143">
        <f>11.99916682</f>
        <v>11.999166819999999</v>
      </c>
      <c r="AA143">
        <f>12.00250133</f>
        <v>12.002501329999999</v>
      </c>
      <c r="AB143">
        <f>13.35129416</f>
        <v>13.35129416</v>
      </c>
      <c r="AC143">
        <f>12.99060963</f>
        <v>12.99060963</v>
      </c>
    </row>
    <row r="144" spans="1:29" x14ac:dyDescent="0.25">
      <c r="A144" t="str">
        <f>"    Infosys Ltd"</f>
        <v xml:space="preserve">    Infosys Ltd</v>
      </c>
      <c r="B144" t="str">
        <f>"INFY US Equity"</f>
        <v>INFY US Equity</v>
      </c>
      <c r="C144" t="str">
        <f t="shared" si="21"/>
        <v>RX225</v>
      </c>
      <c r="D144" t="str">
        <f t="shared" si="22"/>
        <v>EBITDA_TO_REVENUE</v>
      </c>
      <c r="E144" t="str">
        <f t="shared" si="23"/>
        <v>Dynamic</v>
      </c>
      <c r="F144">
        <f ca="1">IF(AND(ISNUMBER($F$371),$B$238=1),$F$371,HLOOKUP(INDIRECT(ADDRESS(2,COLUMN())),OFFSET($R$2,0,0,ROW()-1,12),ROW()-1,FALSE))</f>
        <v>24.525558700000001</v>
      </c>
      <c r="G144">
        <f ca="1">IF(AND(ISNUMBER($G$371),$B$238=1),$G$371,HLOOKUP(INDIRECT(ADDRESS(2,COLUMN())),OFFSET($R$2,0,0,ROW()-1,12),ROW()-1,FALSE))</f>
        <v>25.268823709999999</v>
      </c>
      <c r="H144">
        <f ca="1">IF(AND(ISNUMBER($H$371),$B$238=1),$H$371,HLOOKUP(INDIRECT(ADDRESS(2,COLUMN())),OFFSET($R$2,0,0,ROW()-1,12),ROW()-1,FALSE))</f>
        <v>26.957545159999999</v>
      </c>
      <c r="I144">
        <f ca="1">IF(AND(ISNUMBER($I$371),$B$238=1),$I$371,HLOOKUP(INDIRECT(ADDRESS(2,COLUMN())),OFFSET($R$2,0,0,ROW()-1,12),ROW()-1,FALSE))</f>
        <v>27.165469309999999</v>
      </c>
      <c r="J144">
        <f ca="1">IF(AND(ISNUMBER($J$371),$B$238=1),$J$371,HLOOKUP(INDIRECT(ADDRESS(2,COLUMN())),OFFSET($R$2,0,0,ROW()-1,12),ROW()-1,FALSE))</f>
        <v>27.352220500000001</v>
      </c>
      <c r="K144">
        <f ca="1">IF(AND(ISNUMBER($K$371),$B$238=1),$K$371,HLOOKUP(INDIRECT(ADDRESS(2,COLUMN())),OFFSET($R$2,0,0,ROW()-1,12),ROW()-1,FALSE))</f>
        <v>27.056021309999998</v>
      </c>
      <c r="L144">
        <f ca="1">IF(AND(ISNUMBER($L$371),$B$238=1),$L$371,HLOOKUP(INDIRECT(ADDRESS(2,COLUMN())),OFFSET($R$2,0,0,ROW()-1,12),ROW()-1,FALSE))</f>
        <v>26.300041889999999</v>
      </c>
      <c r="M144">
        <f ca="1">IF(AND(ISNUMBER($M$371),$B$238=1),$M$371,HLOOKUP(INDIRECT(ADDRESS(2,COLUMN())),OFFSET($R$2,0,0,ROW()-1,12),ROW()-1,FALSE))</f>
        <v>28.003568600000001</v>
      </c>
      <c r="N144">
        <f ca="1">IF(AND(ISNUMBER($N$371),$B$238=1),$N$371,HLOOKUP(INDIRECT(ADDRESS(2,COLUMN())),OFFSET($R$2,0,0,ROW()-1,12),ROW()-1,FALSE))</f>
        <v>31.612023480000001</v>
      </c>
      <c r="O144">
        <f ca="1">IF(AND(ISNUMBER($O$371),$B$238=1),$O$371,HLOOKUP(INDIRECT(ADDRESS(2,COLUMN())),OFFSET($R$2,0,0,ROW()-1,12),ROW()-1,FALSE))</f>
        <v>32.457001560000002</v>
      </c>
      <c r="P144">
        <f ca="1">IF(AND(ISNUMBER($P$371),$B$238=1),$P$371,HLOOKUP(INDIRECT(ADDRESS(2,COLUMN())),OFFSET($R$2,0,0,ROW()-1,12),ROW()-1,FALSE))</f>
        <v>34.39451236</v>
      </c>
      <c r="Q144">
        <f ca="1">IF(AND(ISNUMBER($Q$371),$B$238=1),$Q$371,HLOOKUP(INDIRECT(ADDRESS(2,COLUMN())),OFFSET($R$2,0,0,ROW()-1,12),ROW()-1,FALSE))</f>
        <v>35.19107546</v>
      </c>
      <c r="R144">
        <f>24.5255587</f>
        <v>24.525558700000001</v>
      </c>
      <c r="S144">
        <f>25.26882371</f>
        <v>25.268823709999999</v>
      </c>
      <c r="T144">
        <f>26.95754516</f>
        <v>26.957545159999999</v>
      </c>
      <c r="U144">
        <f>27.16546931</f>
        <v>27.165469309999999</v>
      </c>
      <c r="V144">
        <f>27.3522205</f>
        <v>27.352220500000001</v>
      </c>
      <c r="W144">
        <f>27.05602131</f>
        <v>27.056021309999998</v>
      </c>
      <c r="X144">
        <f>26.30004189</f>
        <v>26.300041889999999</v>
      </c>
      <c r="Y144">
        <f>28.0035686</f>
        <v>28.003568600000001</v>
      </c>
      <c r="Z144">
        <f>31.61202348</f>
        <v>31.612023480000001</v>
      </c>
      <c r="AA144">
        <f>32.45700156</f>
        <v>32.457001560000002</v>
      </c>
      <c r="AB144">
        <f>34.39451236</f>
        <v>34.39451236</v>
      </c>
      <c r="AC144">
        <f>35.19107546</f>
        <v>35.19107546</v>
      </c>
    </row>
    <row r="145" spans="1:29" x14ac:dyDescent="0.25">
      <c r="A145" t="str">
        <f>"    International Business Machines Corp"</f>
        <v xml:space="preserve">    International Business Machines Corp</v>
      </c>
      <c r="B145" t="str">
        <f>"IBM US Equity"</f>
        <v>IBM US Equity</v>
      </c>
      <c r="C145" t="str">
        <f t="shared" si="21"/>
        <v>RX225</v>
      </c>
      <c r="D145" t="str">
        <f t="shared" si="22"/>
        <v>EBITDA_TO_REVENUE</v>
      </c>
      <c r="E145" t="str">
        <f t="shared" si="23"/>
        <v>Dynamic</v>
      </c>
      <c r="F145">
        <f ca="1">IF(AND(ISNUMBER($F$372),$B$238=1),$F$372,HLOOKUP(INDIRECT(ADDRESS(2,COLUMN())),OFFSET($R$2,0,0,ROW()-1,12),ROW()-1,FALSE))</f>
        <v>22.781183970000001</v>
      </c>
      <c r="G145">
        <f ca="1">IF(AND(ISNUMBER($G$372),$B$238=1),$G$372,HLOOKUP(INDIRECT(ADDRESS(2,COLUMN())),OFFSET($R$2,0,0,ROW()-1,12),ROW()-1,FALSE))</f>
        <v>20.94457916</v>
      </c>
      <c r="H145">
        <f ca="1">IF(AND(ISNUMBER($H$372),$B$238=1),$H$372,HLOOKUP(INDIRECT(ADDRESS(2,COLUMN())),OFFSET($R$2,0,0,ROW()-1,12),ROW()-1,FALSE))</f>
        <v>20.488002120000001</v>
      </c>
      <c r="I145">
        <f ca="1">IF(AND(ISNUMBER($I$372),$B$238=1),$I$372,HLOOKUP(INDIRECT(ADDRESS(2,COLUMN())),OFFSET($R$2,0,0,ROW()-1,12),ROW()-1,FALSE))</f>
        <v>19.838836820000001</v>
      </c>
      <c r="J145">
        <f ca="1">IF(AND(ISNUMBER($J$372),$B$238=1),$J$372,HLOOKUP(INDIRECT(ADDRESS(2,COLUMN())),OFFSET($R$2,0,0,ROW()-1,12),ROW()-1,FALSE))</f>
        <v>23.075323279999999</v>
      </c>
      <c r="K145">
        <f ca="1">IF(AND(ISNUMBER($K$372),$B$238=1),$K$372,HLOOKUP(INDIRECT(ADDRESS(2,COLUMN())),OFFSET($R$2,0,0,ROW()-1,12),ROW()-1,FALSE))</f>
        <v>24.012587159999999</v>
      </c>
      <c r="L145">
        <f ca="1">IF(AND(ISNUMBER($L$372),$B$238=1),$L$372,HLOOKUP(INDIRECT(ADDRESS(2,COLUMN())),OFFSET($R$2,0,0,ROW()-1,12),ROW()-1,FALSE))</f>
        <v>24.569215289999999</v>
      </c>
      <c r="M145">
        <f ca="1">IF(AND(ISNUMBER($M$372),$B$238=1),$M$372,HLOOKUP(INDIRECT(ADDRESS(2,COLUMN())),OFFSET($R$2,0,0,ROW()-1,12),ROW()-1,FALSE))</f>
        <v>25.03839649</v>
      </c>
      <c r="N145">
        <f ca="1">IF(AND(ISNUMBER($N$372),$B$238=1),$N$372,HLOOKUP(INDIRECT(ADDRESS(2,COLUMN())),OFFSET($R$2,0,0,ROW()-1,12),ROW()-1,FALSE))</f>
        <v>23.477309290000001</v>
      </c>
      <c r="O145">
        <f ca="1">IF(AND(ISNUMBER($O$372),$B$238=1),$O$372,HLOOKUP(INDIRECT(ADDRESS(2,COLUMN())),OFFSET($R$2,0,0,ROW()-1,12),ROW()-1,FALSE))</f>
        <v>23.009912889999999</v>
      </c>
      <c r="P145">
        <f ca="1">IF(AND(ISNUMBER($P$372),$B$238=1),$P$372,HLOOKUP(INDIRECT(ADDRESS(2,COLUMN())),OFFSET($R$2,0,0,ROW()-1,12),ROW()-1,FALSE))</f>
        <v>22.98189185</v>
      </c>
      <c r="Q145">
        <f ca="1">IF(AND(ISNUMBER($Q$372),$B$238=1),$Q$372,HLOOKUP(INDIRECT(ADDRESS(2,COLUMN())),OFFSET($R$2,0,0,ROW()-1,12),ROW()-1,FALSE))</f>
        <v>20.638811159999999</v>
      </c>
      <c r="R145">
        <f>22.78118397</f>
        <v>22.781183970000001</v>
      </c>
      <c r="S145">
        <f>20.94457916</f>
        <v>20.94457916</v>
      </c>
      <c r="T145">
        <f>20.48800212</f>
        <v>20.488002120000001</v>
      </c>
      <c r="U145">
        <f>19.83883682</f>
        <v>19.838836820000001</v>
      </c>
      <c r="V145">
        <f>23.07532328</f>
        <v>23.075323279999999</v>
      </c>
      <c r="W145">
        <f>24.01258716</f>
        <v>24.012587159999999</v>
      </c>
      <c r="X145">
        <f>24.56921529</f>
        <v>24.569215289999999</v>
      </c>
      <c r="Y145">
        <f>25.03839649</f>
        <v>25.03839649</v>
      </c>
      <c r="Z145">
        <f>23.47730929</f>
        <v>23.477309290000001</v>
      </c>
      <c r="AA145">
        <f>23.00991289</f>
        <v>23.009912889999999</v>
      </c>
      <c r="AB145">
        <f>22.98189185</f>
        <v>22.98189185</v>
      </c>
      <c r="AC145">
        <f>20.63881116</f>
        <v>20.638811159999999</v>
      </c>
    </row>
    <row r="146" spans="1:29" x14ac:dyDescent="0.25">
      <c r="A146" t="str">
        <f>"    Tata Consultancy Services Ltd"</f>
        <v xml:space="preserve">    Tata Consultancy Services Ltd</v>
      </c>
      <c r="B146" t="str">
        <f>"TCS IN Equity"</f>
        <v>TCS IN Equity</v>
      </c>
      <c r="C146" t="str">
        <f t="shared" si="21"/>
        <v>RX225</v>
      </c>
      <c r="D146" t="str">
        <f t="shared" si="22"/>
        <v>EBITDA_TO_REVENUE</v>
      </c>
      <c r="E146" t="str">
        <f t="shared" si="23"/>
        <v>Dynamic</v>
      </c>
      <c r="F146">
        <f ca="1">IF(AND(ISNUMBER($F$373),$B$238=1),$F$373,HLOOKUP(INDIRECT(ADDRESS(2,COLUMN())),OFFSET($R$2,0,0,ROW()-1,12),ROW()-1,FALSE))</f>
        <v>26.829734500000001</v>
      </c>
      <c r="G146">
        <f ca="1">IF(AND(ISNUMBER($G$373),$B$238=1),$G$373,HLOOKUP(INDIRECT(ADDRESS(2,COLUMN())),OFFSET($R$2,0,0,ROW()-1,12),ROW()-1,FALSE))</f>
        <v>26.97336529</v>
      </c>
      <c r="H146">
        <f ca="1">IF(AND(ISNUMBER($H$373),$B$238=1),$H$373,HLOOKUP(INDIRECT(ADDRESS(2,COLUMN())),OFFSET($R$2,0,0,ROW()-1,12),ROW()-1,FALSE))</f>
        <v>26.41343904</v>
      </c>
      <c r="I146">
        <f ca="1">IF(AND(ISNUMBER($I$373),$B$238=1),$I$373,HLOOKUP(INDIRECT(ADDRESS(2,COLUMN())),OFFSET($R$2,0,0,ROW()-1,12),ROW()-1,FALSE))</f>
        <v>27.39009545</v>
      </c>
      <c r="J146">
        <f ca="1">IF(AND(ISNUMBER($J$373),$B$238=1),$J$373,HLOOKUP(INDIRECT(ADDRESS(2,COLUMN())),OFFSET($R$2,0,0,ROW()-1,12),ROW()-1,FALSE))</f>
        <v>28.236658510000002</v>
      </c>
      <c r="K146">
        <f ca="1">IF(AND(ISNUMBER($K$373),$B$238=1),$K$373,HLOOKUP(INDIRECT(ADDRESS(2,COLUMN())),OFFSET($R$2,0,0,ROW()-1,12),ROW()-1,FALSE))</f>
        <v>26.061040009999999</v>
      </c>
      <c r="L146">
        <f ca="1">IF(AND(ISNUMBER($L$373),$B$238=1),$L$373,HLOOKUP(INDIRECT(ADDRESS(2,COLUMN())),OFFSET($R$2,0,0,ROW()-1,12),ROW()-1,FALSE))</f>
        <v>30.7204579</v>
      </c>
      <c r="M146">
        <f ca="1">IF(AND(ISNUMBER($M$373),$B$238=1),$M$373,HLOOKUP(INDIRECT(ADDRESS(2,COLUMN())),OFFSET($R$2,0,0,ROW()-1,12),ROW()-1,FALSE))</f>
        <v>28.63956013</v>
      </c>
      <c r="N146">
        <f ca="1">IF(AND(ISNUMBER($N$373),$B$238=1),$N$373,HLOOKUP(INDIRECT(ADDRESS(2,COLUMN())),OFFSET($R$2,0,0,ROW()-1,12),ROW()-1,FALSE))</f>
        <v>29.52378654</v>
      </c>
      <c r="O146">
        <f ca="1">IF(AND(ISNUMBER($O$373),$B$238=1),$O$373,HLOOKUP(INDIRECT(ADDRESS(2,COLUMN())),OFFSET($R$2,0,0,ROW()-1,12),ROW()-1,FALSE))</f>
        <v>29.949113870000001</v>
      </c>
      <c r="P146">
        <f ca="1">IF(AND(ISNUMBER($P$373),$B$238=1),$P$373,HLOOKUP(INDIRECT(ADDRESS(2,COLUMN())),OFFSET($R$2,0,0,ROW()-1,12),ROW()-1,FALSE))</f>
        <v>28.953921749999999</v>
      </c>
      <c r="Q146">
        <f ca="1">IF(AND(ISNUMBER($Q$373),$B$238=1),$Q$373,HLOOKUP(INDIRECT(ADDRESS(2,COLUMN())),OFFSET($R$2,0,0,ROW()-1,12),ROW()-1,FALSE))</f>
        <v>25.778703969999999</v>
      </c>
      <c r="R146">
        <f>26.8297345</f>
        <v>26.829734500000001</v>
      </c>
      <c r="S146">
        <f>26.97336529</f>
        <v>26.97336529</v>
      </c>
      <c r="T146">
        <f>26.41343904</f>
        <v>26.41343904</v>
      </c>
      <c r="U146">
        <f>27.39009545</f>
        <v>27.39009545</v>
      </c>
      <c r="V146">
        <f>28.23665851</f>
        <v>28.236658510000002</v>
      </c>
      <c r="W146">
        <f>26.06104001</f>
        <v>26.061040009999999</v>
      </c>
      <c r="X146">
        <f>30.7204579</f>
        <v>30.7204579</v>
      </c>
      <c r="Y146">
        <f>28.63956013</f>
        <v>28.63956013</v>
      </c>
      <c r="Z146">
        <f>29.52378654</f>
        <v>29.52378654</v>
      </c>
      <c r="AA146">
        <f>29.94911387</f>
        <v>29.949113870000001</v>
      </c>
      <c r="AB146">
        <f>28.95392175</f>
        <v>28.953921749999999</v>
      </c>
      <c r="AC146">
        <f>25.77870397</f>
        <v>25.778703969999999</v>
      </c>
    </row>
    <row r="147" spans="1:29" x14ac:dyDescent="0.25">
      <c r="A147" t="str">
        <f>"    Tech Mahindra Ltd"</f>
        <v xml:space="preserve">    Tech Mahindra Ltd</v>
      </c>
      <c r="B147" t="str">
        <f>"TECHM IN Equity"</f>
        <v>TECHM IN Equity</v>
      </c>
      <c r="C147" t="str">
        <f t="shared" si="21"/>
        <v>RX225</v>
      </c>
      <c r="D147" t="str">
        <f t="shared" si="22"/>
        <v>EBITDA_TO_REVENUE</v>
      </c>
      <c r="E147" t="str">
        <f t="shared" si="23"/>
        <v>Dynamic</v>
      </c>
      <c r="F147">
        <f ca="1">IF(AND(ISNUMBER($F$374),$B$238=1),$F$374,HLOOKUP(INDIRECT(ADDRESS(2,COLUMN())),OFFSET($R$2,0,0,ROW()-1,12),ROW()-1,FALSE))</f>
        <v>14.9414862</v>
      </c>
      <c r="G147">
        <f ca="1">IF(AND(ISNUMBER($G$374),$B$238=1),$G$374,HLOOKUP(INDIRECT(ADDRESS(2,COLUMN())),OFFSET($R$2,0,0,ROW()-1,12),ROW()-1,FALSE))</f>
        <v>18.239830059999999</v>
      </c>
      <c r="H147">
        <f ca="1">IF(AND(ISNUMBER($H$374),$B$238=1),$H$374,HLOOKUP(INDIRECT(ADDRESS(2,COLUMN())),OFFSET($R$2,0,0,ROW()-1,12),ROW()-1,FALSE))</f>
        <v>15.30437495</v>
      </c>
      <c r="I147">
        <f ca="1">IF(AND(ISNUMBER($I$374),$B$238=1),$I$374,HLOOKUP(INDIRECT(ADDRESS(2,COLUMN())),OFFSET($R$2,0,0,ROW()-1,12),ROW()-1,FALSE))</f>
        <v>14.35924889</v>
      </c>
      <c r="J147">
        <f ca="1">IF(AND(ISNUMBER($J$374),$B$238=1),$J$374,HLOOKUP(INDIRECT(ADDRESS(2,COLUMN())),OFFSET($R$2,0,0,ROW()-1,12),ROW()-1,FALSE))</f>
        <v>16.118999630000001</v>
      </c>
      <c r="K147">
        <f ca="1">IF(AND(ISNUMBER($K$374),$B$238=1),$K$374,HLOOKUP(INDIRECT(ADDRESS(2,COLUMN())),OFFSET($R$2,0,0,ROW()-1,12),ROW()-1,FALSE))</f>
        <v>18.358361370000001</v>
      </c>
      <c r="L147">
        <f ca="1">IF(AND(ISNUMBER($L$374),$B$238=1),$L$374,HLOOKUP(INDIRECT(ADDRESS(2,COLUMN())),OFFSET($R$2,0,0,ROW()-1,12),ROW()-1,FALSE))</f>
        <v>22.217147959999998</v>
      </c>
      <c r="M147">
        <f ca="1">IF(AND(ISNUMBER($M$374),$B$238=1),$M$374,HLOOKUP(INDIRECT(ADDRESS(2,COLUMN())),OFFSET($R$2,0,0,ROW()-1,12),ROW()-1,FALSE))</f>
        <v>20.721362989999999</v>
      </c>
      <c r="N147">
        <f ca="1">IF(AND(ISNUMBER($N$374),$B$238=1),$N$374,HLOOKUP(INDIRECT(ADDRESS(2,COLUMN())),OFFSET($R$2,0,0,ROW()-1,12),ROW()-1,FALSE))</f>
        <v>16.747727560000001</v>
      </c>
      <c r="O147">
        <f ca="1">IF(AND(ISNUMBER($O$374),$B$238=1),$O$374,HLOOKUP(INDIRECT(ADDRESS(2,COLUMN())),OFFSET($R$2,0,0,ROW()-1,12),ROW()-1,FALSE))</f>
        <v>19.518695770000001</v>
      </c>
      <c r="P147">
        <f ca="1">IF(AND(ISNUMBER($P$374),$B$238=1),$P$374,HLOOKUP(INDIRECT(ADDRESS(2,COLUMN())),OFFSET($R$2,0,0,ROW()-1,12),ROW()-1,FALSE))</f>
        <v>24.486530890000001</v>
      </c>
      <c r="Q147">
        <f ca="1">IF(AND(ISNUMBER($Q$374),$B$238=1),$Q$374,HLOOKUP(INDIRECT(ADDRESS(2,COLUMN())),OFFSET($R$2,0,0,ROW()-1,12),ROW()-1,FALSE))</f>
        <v>28.725334289999999</v>
      </c>
      <c r="R147">
        <f>14.9414862</f>
        <v>14.9414862</v>
      </c>
      <c r="S147">
        <f>18.23983006</f>
        <v>18.239830059999999</v>
      </c>
      <c r="T147">
        <f>15.30437495</f>
        <v>15.30437495</v>
      </c>
      <c r="U147">
        <f>14.35924889</f>
        <v>14.35924889</v>
      </c>
      <c r="V147">
        <f>16.11899963</f>
        <v>16.118999630000001</v>
      </c>
      <c r="W147">
        <f>18.35836137</f>
        <v>18.358361370000001</v>
      </c>
      <c r="X147">
        <f>22.21714796</f>
        <v>22.217147959999998</v>
      </c>
      <c r="Y147">
        <f>20.72136299</f>
        <v>20.721362989999999</v>
      </c>
      <c r="Z147">
        <f>16.74772756</f>
        <v>16.747727560000001</v>
      </c>
      <c r="AA147">
        <f>19.51869577</f>
        <v>19.518695770000001</v>
      </c>
      <c r="AB147">
        <f>24.48653089</f>
        <v>24.486530890000001</v>
      </c>
      <c r="AC147">
        <f>28.72533429</f>
        <v>28.725334289999999</v>
      </c>
    </row>
    <row r="148" spans="1:29" x14ac:dyDescent="0.25">
      <c r="A148" t="str">
        <f>"    Wipro Ltd"</f>
        <v xml:space="preserve">    Wipro Ltd</v>
      </c>
      <c r="B148" t="str">
        <f>"WIT US Equity"</f>
        <v>WIT US Equity</v>
      </c>
      <c r="C148" t="str">
        <f t="shared" si="21"/>
        <v>RX225</v>
      </c>
      <c r="D148" t="str">
        <f t="shared" si="22"/>
        <v>EBITDA_TO_REVENUE</v>
      </c>
      <c r="E148" t="str">
        <f t="shared" si="23"/>
        <v>Dynamic</v>
      </c>
      <c r="F148">
        <f ca="1">IF(AND(ISNUMBER($F$375),$B$238=1),$F$375,HLOOKUP(INDIRECT(ADDRESS(2,COLUMN())),OFFSET($R$2,0,0,ROW()-1,12),ROW()-1,FALSE))</f>
        <v>20.225586329999999</v>
      </c>
      <c r="G148">
        <f ca="1">IF(AND(ISNUMBER($G$375),$B$238=1),$G$375,HLOOKUP(INDIRECT(ADDRESS(2,COLUMN())),OFFSET($R$2,0,0,ROW()-1,12),ROW()-1,FALSE))</f>
        <v>19.829306389999999</v>
      </c>
      <c r="H148">
        <f ca="1">IF(AND(ISNUMBER($H$375),$B$238=1),$H$375,HLOOKUP(INDIRECT(ADDRESS(2,COLUMN())),OFFSET($R$2,0,0,ROW()-1,12),ROW()-1,FALSE))</f>
        <v>19.074239590000001</v>
      </c>
      <c r="I148">
        <f ca="1">IF(AND(ISNUMBER($I$375),$B$238=1),$I$375,HLOOKUP(INDIRECT(ADDRESS(2,COLUMN())),OFFSET($R$2,0,0,ROW()-1,12),ROW()-1,FALSE))</f>
        <v>20.475761349999999</v>
      </c>
      <c r="J148">
        <f ca="1">IF(AND(ISNUMBER($J$375),$B$238=1),$J$375,HLOOKUP(INDIRECT(ADDRESS(2,COLUMN())),OFFSET($R$2,0,0,ROW()-1,12),ROW()-1,FALSE))</f>
        <v>21.06744204</v>
      </c>
      <c r="K148">
        <f ca="1">IF(AND(ISNUMBER($K$375),$B$238=1),$K$375,HLOOKUP(INDIRECT(ADDRESS(2,COLUMN())),OFFSET($R$2,0,0,ROW()-1,12),ROW()-1,FALSE))</f>
        <v>22.278801820000002</v>
      </c>
      <c r="L148">
        <f ca="1">IF(AND(ISNUMBER($L$375),$B$238=1),$L$375,HLOOKUP(INDIRECT(ADDRESS(2,COLUMN())),OFFSET($R$2,0,0,ROW()-1,12),ROW()-1,FALSE))</f>
        <v>22.35964345</v>
      </c>
      <c r="M148">
        <f ca="1">IF(AND(ISNUMBER($M$375),$B$238=1),$M$375,HLOOKUP(INDIRECT(ADDRESS(2,COLUMN())),OFFSET($R$2,0,0,ROW()-1,12),ROW()-1,FALSE))</f>
        <v>20.889711850000001</v>
      </c>
      <c r="N148">
        <f ca="1">IF(AND(ISNUMBER($N$375),$B$238=1),$N$375,HLOOKUP(INDIRECT(ADDRESS(2,COLUMN())),OFFSET($R$2,0,0,ROW()-1,12),ROW()-1,FALSE))</f>
        <v>19.050947520000001</v>
      </c>
      <c r="O148">
        <f ca="1">IF(AND(ISNUMBER($O$375),$B$238=1),$O$375,HLOOKUP(INDIRECT(ADDRESS(2,COLUMN())),OFFSET($R$2,0,0,ROW()-1,12),ROW()-1,FALSE))</f>
        <v>21.070901840000001</v>
      </c>
      <c r="P148">
        <f ca="1">IF(AND(ISNUMBER($P$375),$B$238=1),$P$375,HLOOKUP(INDIRECT(ADDRESS(2,COLUMN())),OFFSET($R$2,0,0,ROW()-1,12),ROW()-1,FALSE))</f>
        <v>21.86242554</v>
      </c>
      <c r="Q148">
        <f ca="1">IF(AND(ISNUMBER($Q$375),$B$238=1),$Q$375,HLOOKUP(INDIRECT(ADDRESS(2,COLUMN())),OFFSET($R$2,0,0,ROW()-1,12),ROW()-1,FALSE))</f>
        <v>20.171209560000001</v>
      </c>
      <c r="R148">
        <f>20.22558633</f>
        <v>20.225586329999999</v>
      </c>
      <c r="S148">
        <f>19.82930639</f>
        <v>19.829306389999999</v>
      </c>
      <c r="T148">
        <f>19.07423959</f>
        <v>19.074239590000001</v>
      </c>
      <c r="U148">
        <f>20.47576135</f>
        <v>20.475761349999999</v>
      </c>
      <c r="V148">
        <f>21.06744204</f>
        <v>21.06744204</v>
      </c>
      <c r="W148">
        <f>22.27880182</f>
        <v>22.278801820000002</v>
      </c>
      <c r="X148">
        <f>22.35964345</f>
        <v>22.35964345</v>
      </c>
      <c r="Y148">
        <f>20.88971185</f>
        <v>20.889711850000001</v>
      </c>
      <c r="Z148">
        <f>19.05094752</f>
        <v>19.050947520000001</v>
      </c>
      <c r="AA148">
        <f>21.07090184</f>
        <v>21.070901840000001</v>
      </c>
      <c r="AB148">
        <f>21.86242554</f>
        <v>21.86242554</v>
      </c>
      <c r="AC148">
        <f>20.17120956</f>
        <v>20.171209560000001</v>
      </c>
    </row>
    <row r="149" spans="1:29" x14ac:dyDescent="0.25">
      <c r="A149" t="str">
        <f>"Effective Tax Rate"</f>
        <v>Effective Tax Rate</v>
      </c>
      <c r="B149" t="str">
        <f>""</f>
        <v/>
      </c>
      <c r="E149" t="str">
        <f>"Average"</f>
        <v>Average</v>
      </c>
      <c r="F149">
        <f ca="1">IF(ISERROR(IF(AVERAGE($F$150:$F$166) = 0, "", AVERAGE($F$150:$F$166))), "", (IF(AVERAGE($F$150:$F$166) = 0, "", AVERAGE($F$150:$F$166))))</f>
        <v>21.836761561466673</v>
      </c>
      <c r="G149">
        <f ca="1">IF(ISERROR(IF(AVERAGE($G$150:$G$166) = 0, "", AVERAGE($G$150:$G$166))), "", (IF(AVERAGE($G$150:$G$166) = 0, "", AVERAGE($G$150:$G$166))))</f>
        <v>21.1727665730625</v>
      </c>
      <c r="H149">
        <f ca="1">IF(ISERROR(IF(AVERAGE($H$150:$H$166) = 0, "", AVERAGE($H$150:$H$166))), "", (IF(AVERAGE($H$150:$H$166) = 0, "", AVERAGE($H$150:$H$166))))</f>
        <v>27.290525985333336</v>
      </c>
      <c r="I149">
        <f ca="1">IF(ISERROR(IF(AVERAGE($I$150:$I$166) = 0, "", AVERAGE($I$150:$I$166))), "", (IF(AVERAGE($I$150:$I$166) = 0, "", AVERAGE($I$150:$I$166))))</f>
        <v>22.153104464066665</v>
      </c>
      <c r="J149">
        <f ca="1">IF(ISERROR(IF(AVERAGE($J$150:$J$166) = 0, "", AVERAGE($J$150:$J$166))), "", (IF(AVERAGE($J$150:$J$166) = 0, "", AVERAGE($J$150:$J$166))))</f>
        <v>21.77484127692308</v>
      </c>
      <c r="K149">
        <f ca="1">IF(ISERROR(IF(AVERAGE($K$150:$K$166) = 0, "", AVERAGE($K$150:$K$166))), "", (IF(AVERAGE($K$150:$K$166) = 0, "", AVERAGE($K$150:$K$166))))</f>
        <v>23.63921521538462</v>
      </c>
      <c r="L149">
        <f ca="1">IF(ISERROR(IF(AVERAGE($L$150:$L$166) = 0, "", AVERAGE($L$150:$L$166))), "", (IF(AVERAGE($L$150:$L$166) = 0, "", AVERAGE($L$150:$L$166))))</f>
        <v>23.121169223750002</v>
      </c>
      <c r="M149">
        <f ca="1">IF(ISERROR(IF(AVERAGE($M$150:$M$166) = 0, "", AVERAGE($M$150:$M$166))), "", (IF(AVERAGE($M$150:$M$166) = 0, "", AVERAGE($M$150:$M$166))))</f>
        <v>25.464327202666663</v>
      </c>
      <c r="N149">
        <f ca="1">IF(ISERROR(IF(AVERAGE($N$150:$N$166) = 0, "", AVERAGE($N$150:$N$166))), "", (IF(AVERAGE($N$150:$N$166) = 0, "", AVERAGE($N$150:$N$166))))</f>
        <v>23.523669920666666</v>
      </c>
      <c r="O149">
        <f ca="1">IF(ISERROR(IF(AVERAGE($O$150:$O$166) = 0, "", AVERAGE($O$150:$O$166))), "", (IF(AVERAGE($O$150:$O$166) = 0, "", AVERAGE($O$150:$O$166))))</f>
        <v>20.859324790333336</v>
      </c>
      <c r="P149">
        <f ca="1">IF(ISERROR(IF(AVERAGE($P$150:$P$166) = 0, "", AVERAGE($P$150:$P$166))), "", (IF(AVERAGE($P$150:$P$166) = 0, "", AVERAGE($P$150:$P$166))))</f>
        <v>18.880391168214285</v>
      </c>
      <c r="Q149">
        <f ca="1">IF(ISERROR(IF(AVERAGE($Q$150:$Q$166) = 0, "", AVERAGE($Q$150:$Q$166))), "", (IF(AVERAGE($Q$150:$Q$166) = 0, "", AVERAGE($Q$150:$Q$166))))</f>
        <v>22.484851088599999</v>
      </c>
      <c r="R149">
        <f>21.83676156</f>
        <v>21.836761559999999</v>
      </c>
      <c r="S149">
        <f>21.17276657</f>
        <v>21.17276657</v>
      </c>
      <c r="T149">
        <f>27.29052599</f>
        <v>27.290525989999999</v>
      </c>
      <c r="U149">
        <f>22.15310446</f>
        <v>22.153104460000002</v>
      </c>
      <c r="V149">
        <f>21.77484128</f>
        <v>21.77484128</v>
      </c>
      <c r="W149">
        <f>23.63921522</f>
        <v>23.639215220000001</v>
      </c>
      <c r="X149">
        <f>23.12116922</f>
        <v>23.121169219999999</v>
      </c>
      <c r="Y149">
        <f>25.4643272</f>
        <v>25.4643272</v>
      </c>
      <c r="Z149">
        <f>23.52366992</f>
        <v>23.52366992</v>
      </c>
      <c r="AA149">
        <f>20.85932479</f>
        <v>20.859324789999999</v>
      </c>
      <c r="AB149">
        <f>18.88039117</f>
        <v>18.880391169999999</v>
      </c>
      <c r="AC149">
        <f>22.48485109</f>
        <v>22.484851089999999</v>
      </c>
    </row>
    <row r="150" spans="1:29" x14ac:dyDescent="0.25">
      <c r="A150" t="str">
        <f>"    Accenture PLC"</f>
        <v xml:space="preserve">    Accenture PLC</v>
      </c>
      <c r="B150" t="str">
        <f>"ACN US Equity"</f>
        <v>ACN US Equity</v>
      </c>
      <c r="C150" t="str">
        <f t="shared" ref="C150:C166" si="24">"RR037"</f>
        <v>RR037</v>
      </c>
      <c r="D150" t="str">
        <f t="shared" ref="D150:D166" si="25">"EFF_TAX_RATE"</f>
        <v>EFF_TAX_RATE</v>
      </c>
      <c r="E150" t="str">
        <f t="shared" ref="E150:E166" si="26">"Dynamic"</f>
        <v>Dynamic</v>
      </c>
      <c r="F150">
        <f ca="1">IF(AND(ISNUMBER($F$376),$B$238=1),$F$376,HLOOKUP(INDIRECT(ADDRESS(2,COLUMN())),OFFSET($R$2,0,0,ROW()-1,12),ROW()-1,FALSE))</f>
        <v>22.482431850000001</v>
      </c>
      <c r="G150">
        <f ca="1">IF(AND(ISNUMBER($G$376),$B$238=1),$G$376,HLOOKUP(INDIRECT(ADDRESS(2,COLUMN())),OFFSET($R$2,0,0,ROW()-1,12),ROW()-1,FALSE))</f>
        <v>27.435838230000002</v>
      </c>
      <c r="H150">
        <f ca="1">IF(AND(ISNUMBER($H$376),$B$238=1),$H$376,HLOOKUP(INDIRECT(ADDRESS(2,COLUMN())),OFFSET($R$2,0,0,ROW()-1,12),ROW()-1,FALSE))</f>
        <v>21.254185410000002</v>
      </c>
      <c r="I150">
        <f ca="1">IF(AND(ISNUMBER($I$376),$B$238=1),$I$376,HLOOKUP(INDIRECT(ADDRESS(2,COLUMN())),OFFSET($R$2,0,0,ROW()-1,12),ROW()-1,FALSE))</f>
        <v>22.378029590000001</v>
      </c>
      <c r="J150">
        <f ca="1">IF(AND(ISNUMBER($J$376),$B$238=1),$J$376,HLOOKUP(INDIRECT(ADDRESS(2,COLUMN())),OFFSET($R$2,0,0,ROW()-1,12),ROW()-1,FALSE))</f>
        <v>25.77334243</v>
      </c>
      <c r="K150">
        <f ca="1">IF(AND(ISNUMBER($K$376),$B$238=1),$K$376,HLOOKUP(INDIRECT(ADDRESS(2,COLUMN())),OFFSET($R$2,0,0,ROW()-1,12),ROW()-1,FALSE))</f>
        <v>26.101001440000001</v>
      </c>
      <c r="L150">
        <f ca="1">IF(AND(ISNUMBER($L$376),$B$238=1),$L$376,HLOOKUP(INDIRECT(ADDRESS(2,COLUMN())),OFFSET($R$2,0,0,ROW()-1,12),ROW()-1,FALSE))</f>
        <v>18.085315260000002</v>
      </c>
      <c r="M150">
        <f ca="1">IF(AND(ISNUMBER($M$376),$B$238=1),$M$376,HLOOKUP(INDIRECT(ADDRESS(2,COLUMN())),OFFSET($R$2,0,0,ROW()-1,12),ROW()-1,FALSE))</f>
        <v>27.643260779999999</v>
      </c>
      <c r="N150">
        <f ca="1">IF(AND(ISNUMBER($N$376),$B$238=1),$N$376,HLOOKUP(INDIRECT(ADDRESS(2,COLUMN())),OFFSET($R$2,0,0,ROW()-1,12),ROW()-1,FALSE))</f>
        <v>27.299999830000001</v>
      </c>
      <c r="O150">
        <f ca="1">IF(AND(ISNUMBER($O$376),$B$238=1),$O$376,HLOOKUP(INDIRECT(ADDRESS(2,COLUMN())),OFFSET($R$2,0,0,ROW()-1,12),ROW()-1,FALSE))</f>
        <v>29.299995989999999</v>
      </c>
      <c r="P150">
        <f ca="1">IF(AND(ISNUMBER($P$376),$B$238=1),$P$376,HLOOKUP(INDIRECT(ADDRESS(2,COLUMN())),OFFSET($R$2,0,0,ROW()-1,12),ROW()-1,FALSE))</f>
        <v>27.619974490000001</v>
      </c>
      <c r="Q150">
        <f ca="1">IF(AND(ISNUMBER($Q$376),$B$238=1),$Q$376,HLOOKUP(INDIRECT(ADDRESS(2,COLUMN())),OFFSET($R$2,0,0,ROW()-1,12),ROW()-1,FALSE))</f>
        <v>29.299991439999999</v>
      </c>
      <c r="R150">
        <f>22.48243185</f>
        <v>22.482431850000001</v>
      </c>
      <c r="S150">
        <f>27.43583823</f>
        <v>27.435838230000002</v>
      </c>
      <c r="T150">
        <f>21.25418541</f>
        <v>21.254185410000002</v>
      </c>
      <c r="U150">
        <f>22.37802959</f>
        <v>22.378029590000001</v>
      </c>
      <c r="V150">
        <f>25.77334243</f>
        <v>25.77334243</v>
      </c>
      <c r="W150">
        <f>26.10100144</f>
        <v>26.101001440000001</v>
      </c>
      <c r="X150">
        <f>18.08531526</f>
        <v>18.085315260000002</v>
      </c>
      <c r="Y150">
        <f>27.64326078</f>
        <v>27.643260779999999</v>
      </c>
      <c r="Z150">
        <f>27.29999983</f>
        <v>27.299999830000001</v>
      </c>
      <c r="AA150">
        <f>29.29999599</f>
        <v>29.299995989999999</v>
      </c>
      <c r="AB150">
        <f>27.61997449</f>
        <v>27.619974490000001</v>
      </c>
      <c r="AC150">
        <f>29.29999144</f>
        <v>29.299991439999999</v>
      </c>
    </row>
    <row r="151" spans="1:29" x14ac:dyDescent="0.25">
      <c r="A151" t="str">
        <f>"    Amdocs Ltd"</f>
        <v xml:space="preserve">    Amdocs Ltd</v>
      </c>
      <c r="B151" t="str">
        <f>"DOX US Equity"</f>
        <v>DOX US Equity</v>
      </c>
      <c r="C151" t="str">
        <f t="shared" si="24"/>
        <v>RR037</v>
      </c>
      <c r="D151" t="str">
        <f t="shared" si="25"/>
        <v>EFF_TAX_RATE</v>
      </c>
      <c r="E151" t="str">
        <f t="shared" si="26"/>
        <v>Dynamic</v>
      </c>
      <c r="F151">
        <f ca="1">IF(AND(ISNUMBER($F$377),$B$238=1),$F$377,HLOOKUP(INDIRECT(ADDRESS(2,COLUMN())),OFFSET($R$2,0,0,ROW()-1,12),ROW()-1,FALSE))</f>
        <v>15.57369688</v>
      </c>
      <c r="G151">
        <f ca="1">IF(AND(ISNUMBER($G$377),$B$238=1),$G$377,HLOOKUP(INDIRECT(ADDRESS(2,COLUMN())),OFFSET($R$2,0,0,ROW()-1,12),ROW()-1,FALSE))</f>
        <v>15.928462469999999</v>
      </c>
      <c r="H151">
        <f ca="1">IF(AND(ISNUMBER($H$377),$B$238=1),$H$377,HLOOKUP(INDIRECT(ADDRESS(2,COLUMN())),OFFSET($R$2,0,0,ROW()-1,12),ROW()-1,FALSE))</f>
        <v>14.834123590000001</v>
      </c>
      <c r="I151">
        <f ca="1">IF(AND(ISNUMBER($I$377),$B$238=1),$I$377,HLOOKUP(INDIRECT(ADDRESS(2,COLUMN())),OFFSET($R$2,0,0,ROW()-1,12),ROW()-1,FALSE))</f>
        <v>15.54926985</v>
      </c>
      <c r="J151">
        <f ca="1">IF(AND(ISNUMBER($J$377),$B$238=1),$J$377,HLOOKUP(INDIRECT(ADDRESS(2,COLUMN())),OFFSET($R$2,0,0,ROW()-1,12),ROW()-1,FALSE))</f>
        <v>13.097093129999999</v>
      </c>
      <c r="K151">
        <f ca="1">IF(AND(ISNUMBER($K$377),$B$238=1),$K$377,HLOOKUP(INDIRECT(ADDRESS(2,COLUMN())),OFFSET($R$2,0,0,ROW()-1,12),ROW()-1,FALSE))</f>
        <v>13.77346543</v>
      </c>
      <c r="L151">
        <f ca="1">IF(AND(ISNUMBER($L$377),$B$238=1),$L$377,HLOOKUP(INDIRECT(ADDRESS(2,COLUMN())),OFFSET($R$2,0,0,ROW()-1,12),ROW()-1,FALSE))</f>
        <v>13.25784423</v>
      </c>
      <c r="M151">
        <f ca="1">IF(AND(ISNUMBER($M$377),$B$238=1),$M$377,HLOOKUP(INDIRECT(ADDRESS(2,COLUMN())),OFFSET($R$2,0,0,ROW()-1,12),ROW()-1,FALSE))</f>
        <v>11.35906542</v>
      </c>
      <c r="N151">
        <f ca="1">IF(AND(ISNUMBER($N$377),$B$238=1),$N$377,HLOOKUP(INDIRECT(ADDRESS(2,COLUMN())),OFFSET($R$2,0,0,ROW()-1,12),ROW()-1,FALSE))</f>
        <v>12.39351338</v>
      </c>
      <c r="O151">
        <f ca="1">IF(AND(ISNUMBER($O$377),$B$238=1),$O$377,HLOOKUP(INDIRECT(ADDRESS(2,COLUMN())),OFFSET($R$2,0,0,ROW()-1,12),ROW()-1,FALSE))</f>
        <v>10.74285358</v>
      </c>
      <c r="P151">
        <f ca="1">IF(AND(ISNUMBER($P$377),$B$238=1),$P$377,HLOOKUP(INDIRECT(ADDRESS(2,COLUMN())),OFFSET($R$2,0,0,ROW()-1,12),ROW()-1,FALSE))</f>
        <v>10.91835676</v>
      </c>
      <c r="Q151">
        <f ca="1">IF(AND(ISNUMBER($Q$377),$B$238=1),$Q$377,HLOOKUP(INDIRECT(ADDRESS(2,COLUMN())),OFFSET($R$2,0,0,ROW()-1,12),ROW()-1,FALSE))</f>
        <v>9.2551568549999992</v>
      </c>
      <c r="R151">
        <f>15.57369688</f>
        <v>15.57369688</v>
      </c>
      <c r="S151">
        <f>15.92846247</f>
        <v>15.928462469999999</v>
      </c>
      <c r="T151">
        <f>14.83412359</f>
        <v>14.834123590000001</v>
      </c>
      <c r="U151">
        <f>15.54926985</f>
        <v>15.54926985</v>
      </c>
      <c r="V151">
        <f>13.09709313</f>
        <v>13.097093129999999</v>
      </c>
      <c r="W151">
        <f>13.77346543</f>
        <v>13.77346543</v>
      </c>
      <c r="X151">
        <f>13.25784423</f>
        <v>13.25784423</v>
      </c>
      <c r="Y151">
        <f>11.35906542</f>
        <v>11.35906542</v>
      </c>
      <c r="Z151">
        <f>12.39351338</f>
        <v>12.39351338</v>
      </c>
      <c r="AA151">
        <f>10.74285358</f>
        <v>10.74285358</v>
      </c>
      <c r="AB151">
        <f>10.91835676</f>
        <v>10.91835676</v>
      </c>
      <c r="AC151">
        <f>9.255156855</f>
        <v>9.2551568549999992</v>
      </c>
    </row>
    <row r="152" spans="1:29" x14ac:dyDescent="0.25">
      <c r="A152" t="str">
        <f>"    Atos SE"</f>
        <v xml:space="preserve">    Atos SE</v>
      </c>
      <c r="B152" t="str">
        <f>"ATO FP Equity"</f>
        <v>ATO FP Equity</v>
      </c>
      <c r="C152" t="str">
        <f t="shared" si="24"/>
        <v>RR037</v>
      </c>
      <c r="D152" t="str">
        <f t="shared" si="25"/>
        <v>EFF_TAX_RATE</v>
      </c>
      <c r="E152" t="str">
        <f t="shared" si="26"/>
        <v>Dynamic</v>
      </c>
      <c r="F152">
        <f ca="1">IF(AND(ISNUMBER($F$378),$B$238=1),$F$378,HLOOKUP(INDIRECT(ADDRESS(2,COLUMN())),OFFSET($R$2,0,0,ROW()-1,12),ROW()-1,FALSE))</f>
        <v>18.061674010000001</v>
      </c>
      <c r="G152">
        <f ca="1">IF(AND(ISNUMBER($G$378),$B$238=1),$G$378,HLOOKUP(INDIRECT(ADDRESS(2,COLUMN())),OFFSET($R$2,0,0,ROW()-1,12),ROW()-1,FALSE))</f>
        <v>0.176366843</v>
      </c>
      <c r="H152">
        <f ca="1">IF(AND(ISNUMBER($H$378),$B$238=1),$H$378,HLOOKUP(INDIRECT(ADDRESS(2,COLUMN())),OFFSET($R$2,0,0,ROW()-1,12),ROW()-1,FALSE))</f>
        <v>18.327183269999999</v>
      </c>
      <c r="I152">
        <f ca="1">IF(AND(ISNUMBER($I$378),$B$238=1),$I$378,HLOOKUP(INDIRECT(ADDRESS(2,COLUMN())),OFFSET($R$2,0,0,ROW()-1,12),ROW()-1,FALSE))</f>
        <v>18.310224179999999</v>
      </c>
      <c r="J152">
        <f ca="1">IF(AND(ISNUMBER($J$378),$B$238=1),$J$378,HLOOKUP(INDIRECT(ADDRESS(2,COLUMN())),OFFSET($R$2,0,0,ROW()-1,12),ROW()-1,FALSE))</f>
        <v>20.161734979999999</v>
      </c>
      <c r="K152">
        <f ca="1">IF(AND(ISNUMBER($K$378),$B$238=1),$K$378,HLOOKUP(INDIRECT(ADDRESS(2,COLUMN())),OFFSET($R$2,0,0,ROW()-1,12),ROW()-1,FALSE))</f>
        <v>26.781579619999999</v>
      </c>
      <c r="L152">
        <f ca="1">IF(AND(ISNUMBER($L$378),$B$238=1),$L$378,HLOOKUP(INDIRECT(ADDRESS(2,COLUMN())),OFFSET($R$2,0,0,ROW()-1,12),ROW()-1,FALSE))</f>
        <v>27.090395480000002</v>
      </c>
      <c r="M152">
        <f ca="1">IF(AND(ISNUMBER($M$378),$B$238=1),$M$378,HLOOKUP(INDIRECT(ADDRESS(2,COLUMN())),OFFSET($R$2,0,0,ROW()-1,12),ROW()-1,FALSE))</f>
        <v>31.219660189999999</v>
      </c>
      <c r="N152">
        <f ca="1">IF(AND(ISNUMBER($N$378),$B$238=1),$N$378,HLOOKUP(INDIRECT(ADDRESS(2,COLUMN())),OFFSET($R$2,0,0,ROW()-1,12),ROW()-1,FALSE))</f>
        <v>41.402497599999997</v>
      </c>
      <c r="O152">
        <f ca="1">IF(AND(ISNUMBER($O$378),$B$238=1),$O$378,HLOOKUP(INDIRECT(ADDRESS(2,COLUMN())),OFFSET($R$2,0,0,ROW()-1,12),ROW()-1,FALSE))</f>
        <v>32.840909089999997</v>
      </c>
      <c r="P152" t="str">
        <f ca="1">IF(AND(ISNUMBER($P$378),$B$238=1),$P$378,HLOOKUP(INDIRECT(ADDRESS(2,COLUMN())),OFFSET($R$2,0,0,ROW()-1,12),ROW()-1,FALSE))</f>
        <v/>
      </c>
      <c r="Q152">
        <f ca="1">IF(AND(ISNUMBER($Q$378),$B$238=1),$Q$378,HLOOKUP(INDIRECT(ADDRESS(2,COLUMN())),OFFSET($R$2,0,0,ROW()-1,12),ROW()-1,FALSE))</f>
        <v>62.064516130000001</v>
      </c>
      <c r="R152">
        <f>18.06167401</f>
        <v>18.061674010000001</v>
      </c>
      <c r="S152">
        <f>0.176366843</f>
        <v>0.176366843</v>
      </c>
      <c r="T152">
        <f>18.32718327</f>
        <v>18.327183269999999</v>
      </c>
      <c r="U152">
        <f>18.31022418</f>
        <v>18.310224179999999</v>
      </c>
      <c r="V152">
        <f>20.16173498</f>
        <v>20.161734979999999</v>
      </c>
      <c r="W152">
        <f>26.78157962</f>
        <v>26.781579619999999</v>
      </c>
      <c r="X152">
        <f>27.09039548</f>
        <v>27.090395480000002</v>
      </c>
      <c r="Y152">
        <f>31.21966019</f>
        <v>31.219660189999999</v>
      </c>
      <c r="Z152">
        <f>41.4024976</f>
        <v>41.402497599999997</v>
      </c>
      <c r="AA152">
        <f>32.84090909</f>
        <v>32.840909089999997</v>
      </c>
      <c r="AB152" t="str">
        <f>""</f>
        <v/>
      </c>
      <c r="AC152">
        <f>62.06451613</f>
        <v>62.064516130000001</v>
      </c>
    </row>
    <row r="153" spans="1:29" x14ac:dyDescent="0.25">
      <c r="A153" t="str">
        <f>"    Capgemini SE"</f>
        <v xml:space="preserve">    Capgemini SE</v>
      </c>
      <c r="B153" t="str">
        <f>"CAP FP Equity"</f>
        <v>CAP FP Equity</v>
      </c>
      <c r="C153" t="str">
        <f t="shared" si="24"/>
        <v>RR037</v>
      </c>
      <c r="D153" t="str">
        <f t="shared" si="25"/>
        <v>EFF_TAX_RATE</v>
      </c>
      <c r="E153" t="str">
        <f t="shared" si="26"/>
        <v>Dynamic</v>
      </c>
      <c r="F153">
        <f ca="1">IF(AND(ISNUMBER($F$379),$B$238=1),$F$379,HLOOKUP(INDIRECT(ADDRESS(2,COLUMN())),OFFSET($R$2,0,0,ROW()-1,12),ROW()-1,FALSE))</f>
        <v>37.075332349999996</v>
      </c>
      <c r="G153">
        <f ca="1">IF(AND(ISNUMBER($G$379),$B$238=1),$G$379,HLOOKUP(INDIRECT(ADDRESS(2,COLUMN())),OFFSET($R$2,0,0,ROW()-1,12),ROW()-1,FALSE))</f>
        <v>38.172502129999998</v>
      </c>
      <c r="H153">
        <f ca="1">IF(AND(ISNUMBER($H$379),$B$238=1),$H$379,HLOOKUP(INDIRECT(ADDRESS(2,COLUMN())),OFFSET($R$2,0,0,ROW()-1,12),ROW()-1,FALSE))</f>
        <v>27.272727270000001</v>
      </c>
      <c r="I153">
        <f ca="1">IF(AND(ISNUMBER($I$379),$B$238=1),$I$379,HLOOKUP(INDIRECT(ADDRESS(2,COLUMN())),OFFSET($R$2,0,0,ROW()-1,12),ROW()-1,FALSE))</f>
        <v>9.3812375249999995</v>
      </c>
      <c r="J153" t="str">
        <f ca="1">IF(AND(ISNUMBER($J$379),$B$238=1),$J$379,HLOOKUP(INDIRECT(ADDRESS(2,COLUMN())),OFFSET($R$2,0,0,ROW()-1,12),ROW()-1,FALSE))</f>
        <v/>
      </c>
      <c r="K153">
        <f ca="1">IF(AND(ISNUMBER($K$379),$B$238=1),$K$379,HLOOKUP(INDIRECT(ADDRESS(2,COLUMN())),OFFSET($R$2,0,0,ROW()-1,12),ROW()-1,FALSE))</f>
        <v>26.819923370000001</v>
      </c>
      <c r="L153">
        <f ca="1">IF(AND(ISNUMBER($L$379),$B$238=1),$L$379,HLOOKUP(INDIRECT(ADDRESS(2,COLUMN())),OFFSET($R$2,0,0,ROW()-1,12),ROW()-1,FALSE))</f>
        <v>29.449838190000001</v>
      </c>
      <c r="M153">
        <f ca="1">IF(AND(ISNUMBER($M$379),$B$238=1),$M$379,HLOOKUP(INDIRECT(ADDRESS(2,COLUMN())),OFFSET($R$2,0,0,ROW()-1,12),ROW()-1,FALSE))</f>
        <v>28.18371608</v>
      </c>
      <c r="N153">
        <f ca="1">IF(AND(ISNUMBER($N$379),$B$238=1),$N$379,HLOOKUP(INDIRECT(ADDRESS(2,COLUMN())),OFFSET($R$2,0,0,ROW()-1,12),ROW()-1,FALSE))</f>
        <v>20.6122449</v>
      </c>
      <c r="O153">
        <f ca="1">IF(AND(ISNUMBER($O$379),$B$238=1),$O$379,HLOOKUP(INDIRECT(ADDRESS(2,COLUMN())),OFFSET($R$2,0,0,ROW()-1,12),ROW()-1,FALSE))</f>
        <v>30.84577114</v>
      </c>
      <c r="P153">
        <f ca="1">IF(AND(ISNUMBER($P$379),$B$238=1),$P$379,HLOOKUP(INDIRECT(ADDRESS(2,COLUMN())),OFFSET($R$2,0,0,ROW()-1,12),ROW()-1,FALSE))</f>
        <v>25.523012550000001</v>
      </c>
      <c r="Q153">
        <f ca="1">IF(AND(ISNUMBER($Q$379),$B$238=1),$Q$379,HLOOKUP(INDIRECT(ADDRESS(2,COLUMN())),OFFSET($R$2,0,0,ROW()-1,12),ROW()-1,FALSE))</f>
        <v>20.45855379</v>
      </c>
      <c r="R153">
        <f>37.07533235</f>
        <v>37.075332349999996</v>
      </c>
      <c r="S153">
        <f>38.17250213</f>
        <v>38.172502129999998</v>
      </c>
      <c r="T153">
        <f>27.27272727</f>
        <v>27.272727270000001</v>
      </c>
      <c r="U153">
        <f>9.381237525</f>
        <v>9.3812375249999995</v>
      </c>
      <c r="V153" t="str">
        <f>""</f>
        <v/>
      </c>
      <c r="W153">
        <f>26.81992337</f>
        <v>26.819923370000001</v>
      </c>
      <c r="X153">
        <f>29.44983819</f>
        <v>29.449838190000001</v>
      </c>
      <c r="Y153">
        <f>28.18371608</f>
        <v>28.18371608</v>
      </c>
      <c r="Z153">
        <f>20.6122449</f>
        <v>20.6122449</v>
      </c>
      <c r="AA153">
        <f>30.84577114</f>
        <v>30.84577114</v>
      </c>
      <c r="AB153">
        <f>25.52301255</f>
        <v>25.523012550000001</v>
      </c>
      <c r="AC153">
        <f>20.45855379</f>
        <v>20.45855379</v>
      </c>
    </row>
    <row r="154" spans="1:29" x14ac:dyDescent="0.25">
      <c r="A154" t="str">
        <f>"    CGI Inc"</f>
        <v xml:space="preserve">    CGI Inc</v>
      </c>
      <c r="B154" t="str">
        <f>"GIB US Equity"</f>
        <v>GIB US Equity</v>
      </c>
      <c r="C154" t="str">
        <f t="shared" si="24"/>
        <v>RR037</v>
      </c>
      <c r="D154" t="str">
        <f t="shared" si="25"/>
        <v>EFF_TAX_RATE</v>
      </c>
      <c r="E154" t="str">
        <f t="shared" si="26"/>
        <v>Dynamic</v>
      </c>
      <c r="F154">
        <f ca="1">IF(AND(ISNUMBER($F$380),$B$238=1),$F$380,HLOOKUP(INDIRECT(ADDRESS(2,COLUMN())),OFFSET($R$2,0,0,ROW()-1,12),ROW()-1,FALSE))</f>
        <v>24.672261750000001</v>
      </c>
      <c r="G154">
        <f ca="1">IF(AND(ISNUMBER($G$380),$B$238=1),$G$380,HLOOKUP(INDIRECT(ADDRESS(2,COLUMN())),OFFSET($R$2,0,0,ROW()-1,12),ROW()-1,FALSE))</f>
        <v>23.394810669999998</v>
      </c>
      <c r="H154">
        <f ca="1">IF(AND(ISNUMBER($H$380),$B$238=1),$H$380,HLOOKUP(INDIRECT(ADDRESS(2,COLUMN())),OFFSET($R$2,0,0,ROW()-1,12),ROW()-1,FALSE))</f>
        <v>26.990818090000001</v>
      </c>
      <c r="I154">
        <f ca="1">IF(AND(ISNUMBER($I$380),$B$238=1),$I$380,HLOOKUP(INDIRECT(ADDRESS(2,COLUMN())),OFFSET($R$2,0,0,ROW()-1,12),ROW()-1,FALSE))</f>
        <v>26.43674047</v>
      </c>
      <c r="J154">
        <f ca="1">IF(AND(ISNUMBER($J$380),$B$238=1),$J$380,HLOOKUP(INDIRECT(ADDRESS(2,COLUMN())),OFFSET($R$2,0,0,ROW()-1,12),ROW()-1,FALSE))</f>
        <v>26.419218579999999</v>
      </c>
      <c r="K154">
        <f ca="1">IF(AND(ISNUMBER($K$380),$B$238=1),$K$380,HLOOKUP(INDIRECT(ADDRESS(2,COLUMN())),OFFSET($R$2,0,0,ROW()-1,12),ROW()-1,FALSE))</f>
        <v>23.959920369999999</v>
      </c>
      <c r="L154">
        <f ca="1">IF(AND(ISNUMBER($L$380),$B$238=1),$L$380,HLOOKUP(INDIRECT(ADDRESS(2,COLUMN())),OFFSET($R$2,0,0,ROW()-1,12),ROW()-1,FALSE))</f>
        <v>27.373482769999999</v>
      </c>
      <c r="M154">
        <f ca="1">IF(AND(ISNUMBER($M$380),$B$238=1),$M$380,HLOOKUP(INDIRECT(ADDRESS(2,COLUMN())),OFFSET($R$2,0,0,ROW()-1,12),ROW()-1,FALSE))</f>
        <v>49.97489788</v>
      </c>
      <c r="N154">
        <f ca="1">IF(AND(ISNUMBER($N$380),$B$238=1),$N$380,HLOOKUP(INDIRECT(ADDRESS(2,COLUMN())),OFFSET($R$2,0,0,ROW()-1,12),ROW()-1,FALSE))</f>
        <v>18.53654002</v>
      </c>
      <c r="O154">
        <f ca="1">IF(AND(ISNUMBER($O$380),$B$238=1),$O$380,HLOOKUP(INDIRECT(ADDRESS(2,COLUMN())),OFFSET($R$2,0,0,ROW()-1,12),ROW()-1,FALSE))</f>
        <v>24.065592710000001</v>
      </c>
      <c r="P154">
        <f ca="1">IF(AND(ISNUMBER($P$380),$B$238=1),$P$380,HLOOKUP(INDIRECT(ADDRESS(2,COLUMN())),OFFSET($R$2,0,0,ROW()-1,12),ROW()-1,FALSE))</f>
        <v>28.387513599999998</v>
      </c>
      <c r="Q154">
        <f ca="1">IF(AND(ISNUMBER($Q$380),$B$238=1),$Q$380,HLOOKUP(INDIRECT(ADDRESS(2,COLUMN())),OFFSET($R$2,0,0,ROW()-1,12),ROW()-1,FALSE))</f>
        <v>24.447946739999999</v>
      </c>
      <c r="R154">
        <f>24.67226175</f>
        <v>24.672261750000001</v>
      </c>
      <c r="S154">
        <f>23.39481067</f>
        <v>23.394810669999998</v>
      </c>
      <c r="T154">
        <f>26.99081809</f>
        <v>26.990818090000001</v>
      </c>
      <c r="U154">
        <f>26.43674047</f>
        <v>26.43674047</v>
      </c>
      <c r="V154">
        <f>26.41921858</f>
        <v>26.419218579999999</v>
      </c>
      <c r="W154">
        <f>23.95992037</f>
        <v>23.959920369999999</v>
      </c>
      <c r="X154">
        <f>27.37348277</f>
        <v>27.373482769999999</v>
      </c>
      <c r="Y154">
        <f>49.97489788</f>
        <v>49.97489788</v>
      </c>
      <c r="Z154">
        <f>18.53654002</f>
        <v>18.53654002</v>
      </c>
      <c r="AA154">
        <f>24.06559271</f>
        <v>24.065592710000001</v>
      </c>
      <c r="AB154">
        <f>28.3875136</f>
        <v>28.387513599999998</v>
      </c>
      <c r="AC154">
        <f>24.44794674</f>
        <v>24.447946739999999</v>
      </c>
    </row>
    <row r="155" spans="1:29" x14ac:dyDescent="0.25">
      <c r="A155" t="str">
        <f>"    Cognizant Technology Solutions Corp"</f>
        <v xml:space="preserve">    Cognizant Technology Solutions Corp</v>
      </c>
      <c r="B155" t="str">
        <f>"CTSH US Equity"</f>
        <v>CTSH US Equity</v>
      </c>
      <c r="C155" t="str">
        <f t="shared" si="24"/>
        <v>RR037</v>
      </c>
      <c r="D155" t="str">
        <f t="shared" si="25"/>
        <v>EFF_TAX_RATE</v>
      </c>
      <c r="E155" t="str">
        <f t="shared" si="26"/>
        <v>Dynamic</v>
      </c>
      <c r="F155">
        <f ca="1">IF(AND(ISNUMBER($F$381),$B$238=1),$F$381,HLOOKUP(INDIRECT(ADDRESS(2,COLUMN())),OFFSET($R$2,0,0,ROW()-1,12),ROW()-1,FALSE))</f>
        <v>25.285096339999999</v>
      </c>
      <c r="G155">
        <f ca="1">IF(AND(ISNUMBER($G$381),$B$238=1),$G$381,HLOOKUP(INDIRECT(ADDRESS(2,COLUMN())),OFFSET($R$2,0,0,ROW()-1,12),ROW()-1,FALSE))</f>
        <v>24.95530926</v>
      </c>
      <c r="H155">
        <f ca="1">IF(AND(ISNUMBER($H$381),$B$238=1),$H$381,HLOOKUP(INDIRECT(ADDRESS(2,COLUMN())),OFFSET($R$2,0,0,ROW()-1,12),ROW()-1,FALSE))</f>
        <v>43.427495290000003</v>
      </c>
      <c r="I155">
        <f ca="1">IF(AND(ISNUMBER($I$381),$B$238=1),$I$381,HLOOKUP(INDIRECT(ADDRESS(2,COLUMN())),OFFSET($R$2,0,0,ROW()-1,12),ROW()-1,FALSE))</f>
        <v>34.153585069999998</v>
      </c>
      <c r="J155">
        <f ca="1">IF(AND(ISNUMBER($J$381),$B$238=1),$J$381,HLOOKUP(INDIRECT(ADDRESS(2,COLUMN())),OFFSET($R$2,0,0,ROW()-1,12),ROW()-1,FALSE))</f>
        <v>24.953789279999999</v>
      </c>
      <c r="K155">
        <f ca="1">IF(AND(ISNUMBER($K$381),$B$238=1),$K$381,HLOOKUP(INDIRECT(ADDRESS(2,COLUMN())),OFFSET($R$2,0,0,ROW()-1,12),ROW()-1,FALSE))</f>
        <v>25.19230769</v>
      </c>
      <c r="L155">
        <f ca="1">IF(AND(ISNUMBER($L$381),$B$238=1),$L$381,HLOOKUP(INDIRECT(ADDRESS(2,COLUMN())),OFFSET($R$2,0,0,ROW()-1,12),ROW()-1,FALSE))</f>
        <v>27.213364160000001</v>
      </c>
      <c r="M155">
        <f ca="1">IF(AND(ISNUMBER($M$381),$B$238=1),$M$381,HLOOKUP(INDIRECT(ADDRESS(2,COLUMN())),OFFSET($R$2,0,0,ROW()-1,12),ROW()-1,FALSE))</f>
        <v>24.238539169999999</v>
      </c>
      <c r="N155">
        <f ca="1">IF(AND(ISNUMBER($N$381),$B$238=1),$N$381,HLOOKUP(INDIRECT(ADDRESS(2,COLUMN())),OFFSET($R$2,0,0,ROW()-1,12),ROW()-1,FALSE))</f>
        <v>24.422122420000001</v>
      </c>
      <c r="O155">
        <f ca="1">IF(AND(ISNUMBER($O$381),$B$238=1),$O$381,HLOOKUP(INDIRECT(ADDRESS(2,COLUMN())),OFFSET($R$2,0,0,ROW()-1,12),ROW()-1,FALSE))</f>
        <v>16.50845683</v>
      </c>
      <c r="P155">
        <f ca="1">IF(AND(ISNUMBER($P$381),$B$238=1),$P$381,HLOOKUP(INDIRECT(ADDRESS(2,COLUMN())),OFFSET($R$2,0,0,ROW()-1,12),ROW()-1,FALSE))</f>
        <v>16.011906719999999</v>
      </c>
      <c r="Q155">
        <f ca="1">IF(AND(ISNUMBER($Q$381),$B$238=1),$Q$381,HLOOKUP(INDIRECT(ADDRESS(2,COLUMN())),OFFSET($R$2,0,0,ROW()-1,12),ROW()-1,FALSE))</f>
        <v>16.374876260000001</v>
      </c>
      <c r="R155">
        <f>25.28509634</f>
        <v>25.285096339999999</v>
      </c>
      <c r="S155">
        <f>24.95530926</f>
        <v>24.95530926</v>
      </c>
      <c r="T155">
        <f>43.42749529</f>
        <v>43.427495290000003</v>
      </c>
      <c r="U155">
        <f>34.15358507</f>
        <v>34.153585069999998</v>
      </c>
      <c r="V155">
        <f>24.95378928</f>
        <v>24.953789279999999</v>
      </c>
      <c r="W155">
        <f>25.19230769</f>
        <v>25.19230769</v>
      </c>
      <c r="X155">
        <f>27.21336416</f>
        <v>27.213364160000001</v>
      </c>
      <c r="Y155">
        <f>24.23853917</f>
        <v>24.238539169999999</v>
      </c>
      <c r="Z155">
        <f>24.42212242</f>
        <v>24.422122420000001</v>
      </c>
      <c r="AA155">
        <f>16.50845683</f>
        <v>16.50845683</v>
      </c>
      <c r="AB155">
        <f>16.01190672</f>
        <v>16.011906719999999</v>
      </c>
      <c r="AC155">
        <f>16.37487626</f>
        <v>16.374876260000001</v>
      </c>
    </row>
    <row r="156" spans="1:29" x14ac:dyDescent="0.25">
      <c r="A156" t="str">
        <f>"    Conduent Inc"</f>
        <v xml:space="preserve">    Conduent Inc</v>
      </c>
      <c r="B156" t="str">
        <f>"CNDT US Equity"</f>
        <v>CNDT US Equity</v>
      </c>
      <c r="C156" t="str">
        <f t="shared" si="24"/>
        <v>RR037</v>
      </c>
      <c r="D156" t="str">
        <f t="shared" si="25"/>
        <v>EFF_TAX_RATE</v>
      </c>
      <c r="E156" t="str">
        <f t="shared" si="26"/>
        <v>Dynamic</v>
      </c>
      <c r="F156" t="str">
        <f ca="1">IF(AND(ISNUMBER($F$382),$B$238=1),$F$382,HLOOKUP(INDIRECT(ADDRESS(2,COLUMN())),OFFSET($R$2,0,0,ROW()-1,12),ROW()-1,FALSE))</f>
        <v/>
      </c>
      <c r="G156" t="str">
        <f ca="1">IF(AND(ISNUMBER($G$382),$B$238=1),$G$382,HLOOKUP(INDIRECT(ADDRESS(2,COLUMN())),OFFSET($R$2,0,0,ROW()-1,12),ROW()-1,FALSE))</f>
        <v/>
      </c>
      <c r="H156" t="str">
        <f ca="1">IF(AND(ISNUMBER($H$382),$B$238=1),$H$382,HLOOKUP(INDIRECT(ADDRESS(2,COLUMN())),OFFSET($R$2,0,0,ROW()-1,12),ROW()-1,FALSE))</f>
        <v/>
      </c>
      <c r="I156" t="str">
        <f ca="1">IF(AND(ISNUMBER($I$382),$B$238=1),$I$382,HLOOKUP(INDIRECT(ADDRESS(2,COLUMN())),OFFSET($R$2,0,0,ROW()-1,12),ROW()-1,FALSE))</f>
        <v/>
      </c>
      <c r="J156" t="str">
        <f ca="1">IF(AND(ISNUMBER($J$382),$B$238=1),$J$382,HLOOKUP(INDIRECT(ADDRESS(2,COLUMN())),OFFSET($R$2,0,0,ROW()-1,12),ROW()-1,FALSE))</f>
        <v/>
      </c>
      <c r="K156" t="str">
        <f ca="1">IF(AND(ISNUMBER($K$382),$B$238=1),$K$382,HLOOKUP(INDIRECT(ADDRESS(2,COLUMN())),OFFSET($R$2,0,0,ROW()-1,12),ROW()-1,FALSE))</f>
        <v/>
      </c>
      <c r="L156">
        <f ca="1">IF(AND(ISNUMBER($L$382),$B$238=1),$L$382,HLOOKUP(INDIRECT(ADDRESS(2,COLUMN())),OFFSET($R$2,0,0,ROW()-1,12),ROW()-1,FALSE))</f>
        <v>34.782608699999997</v>
      </c>
      <c r="M156" t="str">
        <f ca="1">IF(AND(ISNUMBER($M$382),$B$238=1),$M$382,HLOOKUP(INDIRECT(ADDRESS(2,COLUMN())),OFFSET($R$2,0,0,ROW()-1,12),ROW()-1,FALSE))</f>
        <v/>
      </c>
      <c r="N156" t="str">
        <f ca="1">IF(AND(ISNUMBER($N$382),$B$238=1),$N$382,HLOOKUP(INDIRECT(ADDRESS(2,COLUMN())),OFFSET($R$2,0,0,ROW()-1,12),ROW()-1,FALSE))</f>
        <v/>
      </c>
      <c r="O156" t="str">
        <f ca="1">IF(AND(ISNUMBER($O$382),$B$238=1),$O$382,HLOOKUP(INDIRECT(ADDRESS(2,COLUMN())),OFFSET($R$2,0,0,ROW()-1,12),ROW()-1,FALSE))</f>
        <v/>
      </c>
      <c r="P156" t="str">
        <f ca="1">IF(AND(ISNUMBER($P$382),$B$238=1),$P$382,HLOOKUP(INDIRECT(ADDRESS(2,COLUMN())),OFFSET($R$2,0,0,ROW()-1,12),ROW()-1,FALSE))</f>
        <v/>
      </c>
      <c r="Q156" t="str">
        <f ca="1">IF(AND(ISNUMBER($Q$382),$B$238=1),$Q$382,HLOOKUP(INDIRECT(ADDRESS(2,COLUMN())),OFFSET($R$2,0,0,ROW()-1,12),ROW()-1,FALSE))</f>
        <v/>
      </c>
      <c r="R156" t="str">
        <f>""</f>
        <v/>
      </c>
      <c r="S156" t="str">
        <f>""</f>
        <v/>
      </c>
      <c r="T156" t="str">
        <f>""</f>
        <v/>
      </c>
      <c r="U156" t="str">
        <f>""</f>
        <v/>
      </c>
      <c r="V156" t="str">
        <f>""</f>
        <v/>
      </c>
      <c r="W156" t="str">
        <f>""</f>
        <v/>
      </c>
      <c r="X156">
        <f>34.7826087</f>
        <v>34.782608699999997</v>
      </c>
      <c r="Y156" t="str">
        <f>""</f>
        <v/>
      </c>
      <c r="Z156" t="str">
        <f>""</f>
        <v/>
      </c>
      <c r="AA156" t="str">
        <f>""</f>
        <v/>
      </c>
      <c r="AB156" t="str">
        <f>""</f>
        <v/>
      </c>
      <c r="AC156" t="str">
        <f>""</f>
        <v/>
      </c>
    </row>
    <row r="157" spans="1:29" x14ac:dyDescent="0.25">
      <c r="A157" t="str">
        <f>"    DXC Technology Co"</f>
        <v xml:space="preserve">    DXC Technology Co</v>
      </c>
      <c r="B157" t="str">
        <f>"DXC US Equity"</f>
        <v>DXC US Equity</v>
      </c>
      <c r="C157" t="str">
        <f t="shared" si="24"/>
        <v>RR037</v>
      </c>
      <c r="D157" t="str">
        <f t="shared" si="25"/>
        <v>EFF_TAX_RATE</v>
      </c>
      <c r="E157" t="str">
        <f t="shared" si="26"/>
        <v>Dynamic</v>
      </c>
      <c r="F157" t="str">
        <f ca="1">IF(AND(ISNUMBER($F$383),$B$238=1),$F$383,HLOOKUP(INDIRECT(ADDRESS(2,COLUMN())),OFFSET($R$2,0,0,ROW()-1,12),ROW()-1,FALSE))</f>
        <v/>
      </c>
      <c r="G157">
        <f ca="1">IF(AND(ISNUMBER($G$383),$B$238=1),$G$383,HLOOKUP(INDIRECT(ADDRESS(2,COLUMN())),OFFSET($R$2,0,0,ROW()-1,12),ROW()-1,FALSE))</f>
        <v>19.009900989999998</v>
      </c>
      <c r="H157" t="str">
        <f ca="1">IF(AND(ISNUMBER($H$383),$B$238=1),$H$383,HLOOKUP(INDIRECT(ADDRESS(2,COLUMN())),OFFSET($R$2,0,0,ROW()-1,12),ROW()-1,FALSE))</f>
        <v/>
      </c>
      <c r="I157" t="str">
        <f ca="1">IF(AND(ISNUMBER($I$383),$B$238=1),$I$383,HLOOKUP(INDIRECT(ADDRESS(2,COLUMN())),OFFSET($R$2,0,0,ROW()-1,12),ROW()-1,FALSE))</f>
        <v/>
      </c>
      <c r="J157" t="str">
        <f ca="1">IF(AND(ISNUMBER($J$383),$B$238=1),$J$383,HLOOKUP(INDIRECT(ADDRESS(2,COLUMN())),OFFSET($R$2,0,0,ROW()-1,12),ROW()-1,FALSE))</f>
        <v/>
      </c>
      <c r="K157" t="str">
        <f ca="1">IF(AND(ISNUMBER($K$383),$B$238=1),$K$383,HLOOKUP(INDIRECT(ADDRESS(2,COLUMN())),OFFSET($R$2,0,0,ROW()-1,12),ROW()-1,FALSE))</f>
        <v/>
      </c>
      <c r="L157" t="str">
        <f ca="1">IF(AND(ISNUMBER($L$383),$B$238=1),$L$383,HLOOKUP(INDIRECT(ADDRESS(2,COLUMN())),OFFSET($R$2,0,0,ROW()-1,12),ROW()-1,FALSE))</f>
        <v/>
      </c>
      <c r="M157" t="str">
        <f ca="1">IF(AND(ISNUMBER($M$383),$B$238=1),$M$383,HLOOKUP(INDIRECT(ADDRESS(2,COLUMN())),OFFSET($R$2,0,0,ROW()-1,12),ROW()-1,FALSE))</f>
        <v/>
      </c>
      <c r="N157" t="str">
        <f ca="1">IF(AND(ISNUMBER($N$383),$B$238=1),$N$383,HLOOKUP(INDIRECT(ADDRESS(2,COLUMN())),OFFSET($R$2,0,0,ROW()-1,12),ROW()-1,FALSE))</f>
        <v/>
      </c>
      <c r="O157" t="str">
        <f ca="1">IF(AND(ISNUMBER($O$383),$B$238=1),$O$383,HLOOKUP(INDIRECT(ADDRESS(2,COLUMN())),OFFSET($R$2,0,0,ROW()-1,12),ROW()-1,FALSE))</f>
        <v/>
      </c>
      <c r="P157" t="str">
        <f ca="1">IF(AND(ISNUMBER($P$383),$B$238=1),$P$383,HLOOKUP(INDIRECT(ADDRESS(2,COLUMN())),OFFSET($R$2,0,0,ROW()-1,12),ROW()-1,FALSE))</f>
        <v/>
      </c>
      <c r="Q157" t="str">
        <f ca="1">IF(AND(ISNUMBER($Q$383),$B$238=1),$Q$383,HLOOKUP(INDIRECT(ADDRESS(2,COLUMN())),OFFSET($R$2,0,0,ROW()-1,12),ROW()-1,FALSE))</f>
        <v/>
      </c>
      <c r="R157" t="str">
        <f>""</f>
        <v/>
      </c>
      <c r="S157">
        <f>19.00990099</f>
        <v>19.009900989999998</v>
      </c>
      <c r="T157" t="str">
        <f>""</f>
        <v/>
      </c>
      <c r="U157" t="str">
        <f>""</f>
        <v/>
      </c>
      <c r="V157" t="str">
        <f>""</f>
        <v/>
      </c>
      <c r="W157" t="str">
        <f>""</f>
        <v/>
      </c>
      <c r="X157" t="str">
        <f>""</f>
        <v/>
      </c>
      <c r="Y157" t="str">
        <f>""</f>
        <v/>
      </c>
      <c r="Z157" t="str">
        <f>""</f>
        <v/>
      </c>
      <c r="AA157" t="str">
        <f>""</f>
        <v/>
      </c>
      <c r="AB157" t="str">
        <f>""</f>
        <v/>
      </c>
      <c r="AC157" t="str">
        <f>""</f>
        <v/>
      </c>
    </row>
    <row r="158" spans="1:29" x14ac:dyDescent="0.25">
      <c r="A158" t="str">
        <f>"    EPAM Systems Inc"</f>
        <v xml:space="preserve">    EPAM Systems Inc</v>
      </c>
      <c r="B158" t="str">
        <f>"EPAM US Equity"</f>
        <v>EPAM US Equity</v>
      </c>
      <c r="C158" t="str">
        <f t="shared" si="24"/>
        <v>RR037</v>
      </c>
      <c r="D158" t="str">
        <f t="shared" si="25"/>
        <v>EFF_TAX_RATE</v>
      </c>
      <c r="E158" t="str">
        <f t="shared" si="26"/>
        <v>Dynamic</v>
      </c>
      <c r="F158">
        <f ca="1">IF(AND(ISNUMBER($F$384),$B$238=1),$F$384,HLOOKUP(INDIRECT(ADDRESS(2,COLUMN())),OFFSET($R$2,0,0,ROW()-1,12),ROW()-1,FALSE))</f>
        <v>12.843292399999999</v>
      </c>
      <c r="G158">
        <f ca="1">IF(AND(ISNUMBER($G$384),$B$238=1),$G$384,HLOOKUP(INDIRECT(ADDRESS(2,COLUMN())),OFFSET($R$2,0,0,ROW()-1,12),ROW()-1,FALSE))</f>
        <v>3.810259716</v>
      </c>
      <c r="H158">
        <f ca="1">IF(AND(ISNUMBER($H$384),$B$238=1),$H$384,HLOOKUP(INDIRECT(ADDRESS(2,COLUMN())),OFFSET($R$2,0,0,ROW()-1,12),ROW()-1,FALSE))</f>
        <v>58.257078110000002</v>
      </c>
      <c r="I158">
        <f ca="1">IF(AND(ISNUMBER($I$384),$B$238=1),$I$384,HLOOKUP(INDIRECT(ADDRESS(2,COLUMN())),OFFSET($R$2,0,0,ROW()-1,12),ROW()-1,FALSE))</f>
        <v>21.50775703</v>
      </c>
      <c r="J158">
        <f ca="1">IF(AND(ISNUMBER($J$384),$B$238=1),$J$384,HLOOKUP(INDIRECT(ADDRESS(2,COLUMN())),OFFSET($R$2,0,0,ROW()-1,12),ROW()-1,FALSE))</f>
        <v>20.37710946</v>
      </c>
      <c r="K158">
        <f ca="1">IF(AND(ISNUMBER($K$384),$B$238=1),$K$384,HLOOKUP(INDIRECT(ADDRESS(2,COLUMN())),OFFSET($R$2,0,0,ROW()-1,12),ROW()-1,FALSE))</f>
        <v>19.90960634</v>
      </c>
      <c r="L158">
        <f ca="1">IF(AND(ISNUMBER($L$384),$B$238=1),$L$384,HLOOKUP(INDIRECT(ADDRESS(2,COLUMN())),OFFSET($R$2,0,0,ROW()-1,12),ROW()-1,FALSE))</f>
        <v>19.247101730000001</v>
      </c>
      <c r="M158">
        <f ca="1">IF(AND(ISNUMBER($M$384),$B$238=1),$M$384,HLOOKUP(INDIRECT(ADDRESS(2,COLUMN())),OFFSET($R$2,0,0,ROW()-1,12),ROW()-1,FALSE))</f>
        <v>17.276771480000001</v>
      </c>
      <c r="N158">
        <f ca="1">IF(AND(ISNUMBER($N$384),$B$238=1),$N$384,HLOOKUP(INDIRECT(ADDRESS(2,COLUMN())),OFFSET($R$2,0,0,ROW()-1,12),ROW()-1,FALSE))</f>
        <v>15.98537657</v>
      </c>
      <c r="O158">
        <f ca="1">IF(AND(ISNUMBER($O$384),$B$238=1),$O$384,HLOOKUP(INDIRECT(ADDRESS(2,COLUMN())),OFFSET($R$2,0,0,ROW()-1,12),ROW()-1,FALSE))</f>
        <v>8.9628557650000005</v>
      </c>
      <c r="P158">
        <f ca="1">IF(AND(ISNUMBER($P$384),$B$238=1),$P$384,HLOOKUP(INDIRECT(ADDRESS(2,COLUMN())),OFFSET($R$2,0,0,ROW()-1,12),ROW()-1,FALSE))</f>
        <v>6.1012008050000004</v>
      </c>
      <c r="Q158">
        <f ca="1">IF(AND(ISNUMBER($Q$384),$B$238=1),$Q$384,HLOOKUP(INDIRECT(ADDRESS(2,COLUMN())),OFFSET($R$2,0,0,ROW()-1,12),ROW()-1,FALSE))</f>
        <v>47.74867759</v>
      </c>
      <c r="R158">
        <f>12.8432924</f>
        <v>12.843292399999999</v>
      </c>
      <c r="S158">
        <f>3.810259716</f>
        <v>3.810259716</v>
      </c>
      <c r="T158">
        <f>58.25707811</f>
        <v>58.257078110000002</v>
      </c>
      <c r="U158">
        <f>21.50775703</f>
        <v>21.50775703</v>
      </c>
      <c r="V158">
        <f>20.37710946</f>
        <v>20.37710946</v>
      </c>
      <c r="W158">
        <f>19.90960634</f>
        <v>19.90960634</v>
      </c>
      <c r="X158">
        <f>19.24710173</f>
        <v>19.247101730000001</v>
      </c>
      <c r="Y158">
        <f>17.27677148</f>
        <v>17.276771480000001</v>
      </c>
      <c r="Z158">
        <f>15.98537657</f>
        <v>15.98537657</v>
      </c>
      <c r="AA158">
        <f>8.962855765</f>
        <v>8.9628557650000005</v>
      </c>
      <c r="AB158">
        <f>6.101200805</f>
        <v>6.1012008050000004</v>
      </c>
      <c r="AC158">
        <f>47.74867759</f>
        <v>47.74867759</v>
      </c>
    </row>
    <row r="159" spans="1:29" x14ac:dyDescent="0.25">
      <c r="A159" t="str">
        <f>"    Genpact Ltd"</f>
        <v xml:space="preserve">    Genpact Ltd</v>
      </c>
      <c r="B159" t="str">
        <f>"G US Equity"</f>
        <v>G US Equity</v>
      </c>
      <c r="C159" t="str">
        <f t="shared" si="24"/>
        <v>RR037</v>
      </c>
      <c r="D159" t="str">
        <f t="shared" si="25"/>
        <v>EFF_TAX_RATE</v>
      </c>
      <c r="E159" t="str">
        <f t="shared" si="26"/>
        <v>Dynamic</v>
      </c>
      <c r="F159">
        <f ca="1">IF(AND(ISNUMBER($F$385),$B$238=1),$F$385,HLOOKUP(INDIRECT(ADDRESS(2,COLUMN())),OFFSET($R$2,0,0,ROW()-1,12),ROW()-1,FALSE))</f>
        <v>23.668496829999999</v>
      </c>
      <c r="G159">
        <f ca="1">IF(AND(ISNUMBER($G$385),$B$238=1),$G$385,HLOOKUP(INDIRECT(ADDRESS(2,COLUMN())),OFFSET($R$2,0,0,ROW()-1,12),ROW()-1,FALSE))</f>
        <v>22.308926830000001</v>
      </c>
      <c r="H159">
        <f ca="1">IF(AND(ISNUMBER($H$385),$B$238=1),$H$385,HLOOKUP(INDIRECT(ADDRESS(2,COLUMN())),OFFSET($R$2,0,0,ROW()-1,12),ROW()-1,FALSE))</f>
        <v>18.635423589999998</v>
      </c>
      <c r="I159">
        <f ca="1">IF(AND(ISNUMBER($I$385),$B$238=1),$I$385,HLOOKUP(INDIRECT(ADDRESS(2,COLUMN())),OFFSET($R$2,0,0,ROW()-1,12),ROW()-1,FALSE))</f>
        <v>18.837840709999998</v>
      </c>
      <c r="J159">
        <f ca="1">IF(AND(ISNUMBER($J$385),$B$238=1),$J$385,HLOOKUP(INDIRECT(ADDRESS(2,COLUMN())),OFFSET($R$2,0,0,ROW()-1,12),ROW()-1,FALSE))</f>
        <v>20.52565997</v>
      </c>
      <c r="K159">
        <f ca="1">IF(AND(ISNUMBER($K$385),$B$238=1),$K$385,HLOOKUP(INDIRECT(ADDRESS(2,COLUMN())),OFFSET($R$2,0,0,ROW()-1,12),ROW()-1,FALSE))</f>
        <v>23.005328739999999</v>
      </c>
      <c r="L159">
        <f ca="1">IF(AND(ISNUMBER($L$385),$B$238=1),$L$385,HLOOKUP(INDIRECT(ADDRESS(2,COLUMN())),OFFSET($R$2,0,0,ROW()-1,12),ROW()-1,FALSE))</f>
        <v>23.223833989999999</v>
      </c>
      <c r="M159">
        <f ca="1">IF(AND(ISNUMBER($M$385),$B$238=1),$M$385,HLOOKUP(INDIRECT(ADDRESS(2,COLUMN())),OFFSET($R$2,0,0,ROW()-1,12),ROW()-1,FALSE))</f>
        <v>29.816089940000001</v>
      </c>
      <c r="N159">
        <f ca="1">IF(AND(ISNUMBER($N$385),$B$238=1),$N$385,HLOOKUP(INDIRECT(ADDRESS(2,COLUMN())),OFFSET($R$2,0,0,ROW()-1,12),ROW()-1,FALSE))</f>
        <v>26.995552700000001</v>
      </c>
      <c r="O159">
        <f ca="1">IF(AND(ISNUMBER($O$385),$B$238=1),$O$385,HLOOKUP(INDIRECT(ADDRESS(2,COLUMN())),OFFSET($R$2,0,0,ROW()-1,12),ROW()-1,FALSE))</f>
        <v>18.666295559999998</v>
      </c>
      <c r="P159">
        <f ca="1">IF(AND(ISNUMBER($P$385),$B$238=1),$P$385,HLOOKUP(INDIRECT(ADDRESS(2,COLUMN())),OFFSET($R$2,0,0,ROW()-1,12),ROW()-1,FALSE))</f>
        <v>15.874183410000001</v>
      </c>
      <c r="Q159">
        <f ca="1">IF(AND(ISNUMBER($Q$385),$B$238=1),$Q$385,HLOOKUP(INDIRECT(ADDRESS(2,COLUMN())),OFFSET($R$2,0,0,ROW()-1,12),ROW()-1,FALSE))</f>
        <v>6.1516900940000001</v>
      </c>
      <c r="R159">
        <f>23.66849683</f>
        <v>23.668496829999999</v>
      </c>
      <c r="S159">
        <f>22.30892683</f>
        <v>22.308926830000001</v>
      </c>
      <c r="T159">
        <f>18.63542359</f>
        <v>18.635423589999998</v>
      </c>
      <c r="U159">
        <f>18.83784071</f>
        <v>18.837840709999998</v>
      </c>
      <c r="V159">
        <f>20.52565997</f>
        <v>20.52565997</v>
      </c>
      <c r="W159">
        <f>23.00532874</f>
        <v>23.005328739999999</v>
      </c>
      <c r="X159">
        <f>23.22383399</f>
        <v>23.223833989999999</v>
      </c>
      <c r="Y159">
        <f>29.81608994</f>
        <v>29.816089940000001</v>
      </c>
      <c r="Z159">
        <f>26.9955527</f>
        <v>26.995552700000001</v>
      </c>
      <c r="AA159">
        <f>18.66629556</f>
        <v>18.666295559999998</v>
      </c>
      <c r="AB159">
        <f>15.87418341</f>
        <v>15.874183410000001</v>
      </c>
      <c r="AC159">
        <f>6.151690094</f>
        <v>6.1516900940000001</v>
      </c>
    </row>
    <row r="160" spans="1:29" x14ac:dyDescent="0.25">
      <c r="A160" t="str">
        <f>"    HCL Technologies Ltd"</f>
        <v xml:space="preserve">    HCL Technologies Ltd</v>
      </c>
      <c r="B160" t="str">
        <f>"HCLT IN Equity"</f>
        <v>HCLT IN Equity</v>
      </c>
      <c r="C160" t="str">
        <f t="shared" si="24"/>
        <v>RR037</v>
      </c>
      <c r="D160" t="str">
        <f t="shared" si="25"/>
        <v>EFF_TAX_RATE</v>
      </c>
      <c r="E160" t="str">
        <f t="shared" si="26"/>
        <v>Dynamic</v>
      </c>
      <c r="F160">
        <f ca="1">IF(AND(ISNUMBER($F$386),$B$238=1),$F$386,HLOOKUP(INDIRECT(ADDRESS(2,COLUMN())),OFFSET($R$2,0,0,ROW()-1,12),ROW()-1,FALSE))</f>
        <v>20.940734729999999</v>
      </c>
      <c r="G160">
        <f ca="1">IF(AND(ISNUMBER($G$386),$B$238=1),$G$386,HLOOKUP(INDIRECT(ADDRESS(2,COLUMN())),OFFSET($R$2,0,0,ROW()-1,12),ROW()-1,FALSE))</f>
        <v>19.737062000000002</v>
      </c>
      <c r="H160">
        <f ca="1">IF(AND(ISNUMBER($H$386),$B$238=1),$H$386,HLOOKUP(INDIRECT(ADDRESS(2,COLUMN())),OFFSET($R$2,0,0,ROW()-1,12),ROW()-1,FALSE))</f>
        <v>20.881712629999999</v>
      </c>
      <c r="I160">
        <f ca="1">IF(AND(ISNUMBER($I$386),$B$238=1),$I$386,HLOOKUP(INDIRECT(ADDRESS(2,COLUMN())),OFFSET($R$2,0,0,ROW()-1,12),ROW()-1,FALSE))</f>
        <v>18.365986100000001</v>
      </c>
      <c r="J160">
        <f ca="1">IF(AND(ISNUMBER($J$386),$B$238=1),$J$386,HLOOKUP(INDIRECT(ADDRESS(2,COLUMN())),OFFSET($R$2,0,0,ROW()-1,12),ROW()-1,FALSE))</f>
        <v>20.400028469999999</v>
      </c>
      <c r="K160" t="str">
        <f ca="1">IF(AND(ISNUMBER($K$386),$B$238=1),$K$386,HLOOKUP(INDIRECT(ADDRESS(2,COLUMN())),OFFSET($R$2,0,0,ROW()-1,12),ROW()-1,FALSE))</f>
        <v/>
      </c>
      <c r="L160">
        <f ca="1">IF(AND(ISNUMBER($L$386),$B$238=1),$L$386,HLOOKUP(INDIRECT(ADDRESS(2,COLUMN())),OFFSET($R$2,0,0,ROW()-1,12),ROW()-1,FALSE))</f>
        <v>19.557038129999999</v>
      </c>
      <c r="M160">
        <f ca="1">IF(AND(ISNUMBER($M$386),$B$238=1),$M$386,HLOOKUP(INDIRECT(ADDRESS(2,COLUMN())),OFFSET($R$2,0,0,ROW()-1,12),ROW()-1,FALSE))</f>
        <v>23.25114945</v>
      </c>
      <c r="N160">
        <f ca="1">IF(AND(ISNUMBER($N$386),$B$238=1),$N$386,HLOOKUP(INDIRECT(ADDRESS(2,COLUMN())),OFFSET($R$2,0,0,ROW()-1,12),ROW()-1,FALSE))</f>
        <v>24.38531996</v>
      </c>
      <c r="O160">
        <f ca="1">IF(AND(ISNUMBER($O$386),$B$238=1),$O$386,HLOOKUP(INDIRECT(ADDRESS(2,COLUMN())),OFFSET($R$2,0,0,ROW()-1,12),ROW()-1,FALSE))</f>
        <v>22.878446539999999</v>
      </c>
      <c r="P160">
        <f ca="1">IF(AND(ISNUMBER($P$386),$B$238=1),$P$386,HLOOKUP(INDIRECT(ADDRESS(2,COLUMN())),OFFSET($R$2,0,0,ROW()-1,12),ROW()-1,FALSE))</f>
        <v>14.495086349999999</v>
      </c>
      <c r="Q160">
        <f ca="1">IF(AND(ISNUMBER($Q$386),$B$238=1),$Q$386,HLOOKUP(INDIRECT(ADDRESS(2,COLUMN())),OFFSET($R$2,0,0,ROW()-1,12),ROW()-1,FALSE))</f>
        <v>17.729253830000001</v>
      </c>
      <c r="R160">
        <f>20.94073473</f>
        <v>20.940734729999999</v>
      </c>
      <c r="S160">
        <f>19.737062</f>
        <v>19.737062000000002</v>
      </c>
      <c r="T160">
        <f>20.88171263</f>
        <v>20.881712629999999</v>
      </c>
      <c r="U160">
        <f>18.3659861</f>
        <v>18.365986100000001</v>
      </c>
      <c r="V160">
        <f>20.40002847</f>
        <v>20.400028469999999</v>
      </c>
      <c r="W160" t="str">
        <f>""</f>
        <v/>
      </c>
      <c r="X160">
        <f>19.55703813</f>
        <v>19.557038129999999</v>
      </c>
      <c r="Y160">
        <f>23.25114945</f>
        <v>23.25114945</v>
      </c>
      <c r="Z160">
        <f>24.38531996</f>
        <v>24.38531996</v>
      </c>
      <c r="AA160">
        <f>22.87844654</f>
        <v>22.878446539999999</v>
      </c>
      <c r="AB160">
        <f>14.49508635</f>
        <v>14.495086349999999</v>
      </c>
      <c r="AC160">
        <f>17.72925383</f>
        <v>17.729253830000001</v>
      </c>
    </row>
    <row r="161" spans="1:29" x14ac:dyDescent="0.25">
      <c r="A161" t="str">
        <f>"    Indra Sistemas SA"</f>
        <v xml:space="preserve">    Indra Sistemas SA</v>
      </c>
      <c r="B161" t="str">
        <f>"IDR SM Equity"</f>
        <v>IDR SM Equity</v>
      </c>
      <c r="C161" t="str">
        <f t="shared" si="24"/>
        <v>RR037</v>
      </c>
      <c r="D161" t="str">
        <f t="shared" si="25"/>
        <v>EFF_TAX_RATE</v>
      </c>
      <c r="E161" t="str">
        <f t="shared" si="26"/>
        <v>Dynamic</v>
      </c>
      <c r="F161">
        <f ca="1">IF(AND(ISNUMBER($F$387),$B$238=1),$F$387,HLOOKUP(INDIRECT(ADDRESS(2,COLUMN())),OFFSET($R$2,0,0,ROW()-1,12),ROW()-1,FALSE))</f>
        <v>28.981826170000001</v>
      </c>
      <c r="G161">
        <f ca="1">IF(AND(ISNUMBER($G$387),$B$238=1),$G$387,HLOOKUP(INDIRECT(ADDRESS(2,COLUMN())),OFFSET($R$2,0,0,ROW()-1,12),ROW()-1,FALSE))</f>
        <v>25.41918871</v>
      </c>
      <c r="H161">
        <f ca="1">IF(AND(ISNUMBER($H$387),$B$238=1),$H$387,HLOOKUP(INDIRECT(ADDRESS(2,COLUMN())),OFFSET($R$2,0,0,ROW()-1,12),ROW()-1,FALSE))</f>
        <v>20.73131038</v>
      </c>
      <c r="I161">
        <f ca="1">IF(AND(ISNUMBER($I$387),$B$238=1),$I$387,HLOOKUP(INDIRECT(ADDRESS(2,COLUMN())),OFFSET($R$2,0,0,ROW()-1,12),ROW()-1,FALSE))</f>
        <v>43.188679550000003</v>
      </c>
      <c r="J161" t="str">
        <f ca="1">IF(AND(ISNUMBER($J$387),$B$238=1),$J$387,HLOOKUP(INDIRECT(ADDRESS(2,COLUMN())),OFFSET($R$2,0,0,ROW()-1,12),ROW()-1,FALSE))</f>
        <v/>
      </c>
      <c r="K161" t="str">
        <f ca="1">IF(AND(ISNUMBER($K$387),$B$238=1),$K$387,HLOOKUP(INDIRECT(ADDRESS(2,COLUMN())),OFFSET($R$2,0,0,ROW()-1,12),ROW()-1,FALSE))</f>
        <v/>
      </c>
      <c r="L161">
        <f ca="1">IF(AND(ISNUMBER($L$387),$B$238=1),$L$387,HLOOKUP(INDIRECT(ADDRESS(2,COLUMN())),OFFSET($R$2,0,0,ROW()-1,12),ROW()-1,FALSE))</f>
        <v>20.434213400000001</v>
      </c>
      <c r="M161">
        <f ca="1">IF(AND(ISNUMBER($M$387),$B$238=1),$M$387,HLOOKUP(INDIRECT(ADDRESS(2,COLUMN())),OFFSET($R$2,0,0,ROW()-1,12),ROW()-1,FALSE))</f>
        <v>21.878597849999998</v>
      </c>
      <c r="N161">
        <f ca="1">IF(AND(ISNUMBER($N$387),$B$238=1),$N$387,HLOOKUP(INDIRECT(ADDRESS(2,COLUMN())),OFFSET($R$2,0,0,ROW()-1,12),ROW()-1,FALSE))</f>
        <v>22.387439130000001</v>
      </c>
      <c r="O161">
        <f ca="1">IF(AND(ISNUMBER($O$387),$B$238=1),$O$387,HLOOKUP(INDIRECT(ADDRESS(2,COLUMN())),OFFSET($R$2,0,0,ROW()-1,12),ROW()-1,FALSE))</f>
        <v>19.560779140000001</v>
      </c>
      <c r="P161">
        <f ca="1">IF(AND(ISNUMBER($P$387),$B$238=1),$P$387,HLOOKUP(INDIRECT(ADDRESS(2,COLUMN())),OFFSET($R$2,0,0,ROW()-1,12),ROW()-1,FALSE))</f>
        <v>24.063832720000001</v>
      </c>
      <c r="Q161">
        <f ca="1">IF(AND(ISNUMBER($Q$387),$B$238=1),$Q$387,HLOOKUP(INDIRECT(ADDRESS(2,COLUMN())),OFFSET($R$2,0,0,ROW()-1,12),ROW()-1,FALSE))</f>
        <v>25.881565689999999</v>
      </c>
      <c r="R161">
        <f>28.98182617</f>
        <v>28.981826170000001</v>
      </c>
      <c r="S161">
        <f>25.41918871</f>
        <v>25.41918871</v>
      </c>
      <c r="T161">
        <f>20.73131038</f>
        <v>20.73131038</v>
      </c>
      <c r="U161">
        <f>43.18867955</f>
        <v>43.188679550000003</v>
      </c>
      <c r="V161" t="str">
        <f>""</f>
        <v/>
      </c>
      <c r="W161" t="str">
        <f>""</f>
        <v/>
      </c>
      <c r="X161">
        <f>20.4342134</f>
        <v>20.434213400000001</v>
      </c>
      <c r="Y161">
        <f>21.87859785</f>
        <v>21.878597849999998</v>
      </c>
      <c r="Z161">
        <f>22.38743913</f>
        <v>22.387439130000001</v>
      </c>
      <c r="AA161">
        <f>19.56077914</f>
        <v>19.560779140000001</v>
      </c>
      <c r="AB161">
        <f>24.06383272</f>
        <v>24.063832720000001</v>
      </c>
      <c r="AC161">
        <f>25.88156569</f>
        <v>25.881565689999999</v>
      </c>
    </row>
    <row r="162" spans="1:29" x14ac:dyDescent="0.25">
      <c r="A162" t="str">
        <f>"    Infosys Ltd"</f>
        <v xml:space="preserve">    Infosys Ltd</v>
      </c>
      <c r="B162" t="str">
        <f>"INFY US Equity"</f>
        <v>INFY US Equity</v>
      </c>
      <c r="C162" t="str">
        <f t="shared" si="24"/>
        <v>RR037</v>
      </c>
      <c r="D162" t="str">
        <f t="shared" si="25"/>
        <v>EFF_TAX_RATE</v>
      </c>
      <c r="E162" t="str">
        <f t="shared" si="26"/>
        <v>Dynamic</v>
      </c>
      <c r="F162">
        <f ca="1">IF(AND(ISNUMBER($F$388),$B$238=1),$F$388,HLOOKUP(INDIRECT(ADDRESS(2,COLUMN())),OFFSET($R$2,0,0,ROW()-1,12),ROW()-1,FALSE))</f>
        <v>24.39223883</v>
      </c>
      <c r="G162">
        <f ca="1">IF(AND(ISNUMBER($G$388),$B$238=1),$G$388,HLOOKUP(INDIRECT(ADDRESS(2,COLUMN())),OFFSET($R$2,0,0,ROW()-1,12),ROW()-1,FALSE))</f>
        <v>26.76203602</v>
      </c>
      <c r="H162">
        <f ca="1">IF(AND(ISNUMBER($H$388),$B$238=1),$H$388,HLOOKUP(INDIRECT(ADDRESS(2,COLUMN())),OFFSET($R$2,0,0,ROW()-1,12),ROW()-1,FALSE))</f>
        <v>20.922545629999998</v>
      </c>
      <c r="I162">
        <f ca="1">IF(AND(ISNUMBER($I$388),$B$238=1),$I$388,HLOOKUP(INDIRECT(ADDRESS(2,COLUMN())),OFFSET($R$2,0,0,ROW()-1,12),ROW()-1,FALSE))</f>
        <v>28.058743920000001</v>
      </c>
      <c r="J162">
        <f ca="1">IF(AND(ISNUMBER($J$388),$B$238=1),$J$388,HLOOKUP(INDIRECT(ADDRESS(2,COLUMN())),OFFSET($R$2,0,0,ROW()-1,12),ROW()-1,FALSE))</f>
        <v>28.020277480000001</v>
      </c>
      <c r="K162">
        <f ca="1">IF(AND(ISNUMBER($K$388),$B$238=1),$K$388,HLOOKUP(INDIRECT(ADDRESS(2,COLUMN())),OFFSET($R$2,0,0,ROW()-1,12),ROW()-1,FALSE))</f>
        <v>28.560667519999999</v>
      </c>
      <c r="L162">
        <f ca="1">IF(AND(ISNUMBER($L$388),$B$238=1),$L$388,HLOOKUP(INDIRECT(ADDRESS(2,COLUMN())),OFFSET($R$2,0,0,ROW()-1,12),ROW()-1,FALSE))</f>
        <v>27.613868119999999</v>
      </c>
      <c r="M162">
        <f ca="1">IF(AND(ISNUMBER($M$388),$B$238=1),$M$388,HLOOKUP(INDIRECT(ADDRESS(2,COLUMN())),OFFSET($R$2,0,0,ROW()-1,12),ROW()-1,FALSE))</f>
        <v>26.329371290000001</v>
      </c>
      <c r="N162">
        <f ca="1">IF(AND(ISNUMBER($N$388),$B$238=1),$N$388,HLOOKUP(INDIRECT(ADDRESS(2,COLUMN())),OFFSET($R$2,0,0,ROW()-1,12),ROW()-1,FALSE))</f>
        <v>28.819652489999999</v>
      </c>
      <c r="O162">
        <f ca="1">IF(AND(ISNUMBER($O$388),$B$238=1),$O$388,HLOOKUP(INDIRECT(ADDRESS(2,COLUMN())),OFFSET($R$2,0,0,ROW()-1,12),ROW()-1,FALSE))</f>
        <v>26.70241287</v>
      </c>
      <c r="P162">
        <f ca="1">IF(AND(ISNUMBER($P$388),$B$238=1),$P$388,HLOOKUP(INDIRECT(ADDRESS(2,COLUMN())),OFFSET($R$2,0,0,ROW()-1,12),ROW()-1,FALSE))</f>
        <v>21.27848101</v>
      </c>
      <c r="Q162">
        <f ca="1">IF(AND(ISNUMBER($Q$388),$B$238=1),$Q$388,HLOOKUP(INDIRECT(ADDRESS(2,COLUMN())),OFFSET($R$2,0,0,ROW()-1,12),ROW()-1,FALSE))</f>
        <v>13.30534241</v>
      </c>
      <c r="R162">
        <f>24.39223883</f>
        <v>24.39223883</v>
      </c>
      <c r="S162">
        <f>26.76203602</f>
        <v>26.76203602</v>
      </c>
      <c r="T162">
        <f>20.92254563</f>
        <v>20.922545629999998</v>
      </c>
      <c r="U162">
        <f>28.05874392</f>
        <v>28.058743920000001</v>
      </c>
      <c r="V162">
        <f>28.02027748</f>
        <v>28.020277480000001</v>
      </c>
      <c r="W162">
        <f>28.56066752</f>
        <v>28.560667519999999</v>
      </c>
      <c r="X162">
        <f>27.61386812</f>
        <v>27.613868119999999</v>
      </c>
      <c r="Y162">
        <f>26.32937129</f>
        <v>26.329371290000001</v>
      </c>
      <c r="Z162">
        <f>28.81965249</f>
        <v>28.819652489999999</v>
      </c>
      <c r="AA162">
        <f>26.70241287</f>
        <v>26.70241287</v>
      </c>
      <c r="AB162">
        <f>21.27848101</f>
        <v>21.27848101</v>
      </c>
      <c r="AC162">
        <f>13.30534241</f>
        <v>13.30534241</v>
      </c>
    </row>
    <row r="163" spans="1:29" x14ac:dyDescent="0.25">
      <c r="A163" t="str">
        <f>"    International Business Machines Corp"</f>
        <v xml:space="preserve">    International Business Machines Corp</v>
      </c>
      <c r="B163" t="str">
        <f>"IBM US Equity"</f>
        <v>IBM US Equity</v>
      </c>
      <c r="C163" t="str">
        <f t="shared" si="24"/>
        <v>RR037</v>
      </c>
      <c r="D163" t="str">
        <f t="shared" si="25"/>
        <v>EFF_TAX_RATE</v>
      </c>
      <c r="E163" t="str">
        <f t="shared" si="26"/>
        <v>Dynamic</v>
      </c>
      <c r="F163">
        <f ca="1">IF(AND(ISNUMBER($F$389),$B$238=1),$F$389,HLOOKUP(INDIRECT(ADDRESS(2,COLUMN())),OFFSET($R$2,0,0,ROW()-1,12),ROW()-1,FALSE))</f>
        <v>7.1906354520000004</v>
      </c>
      <c r="G163">
        <f ca="1">IF(AND(ISNUMBER($G$389),$B$238=1),$G$389,HLOOKUP(INDIRECT(ADDRESS(2,COLUMN())),OFFSET($R$2,0,0,ROW()-1,12),ROW()-1,FALSE))</f>
        <v>23.091165579999998</v>
      </c>
      <c r="H163">
        <f ca="1">IF(AND(ISNUMBER($H$389),$B$238=1),$H$389,HLOOKUP(INDIRECT(ADDRESS(2,COLUMN())),OFFSET($R$2,0,0,ROW()-1,12),ROW()-1,FALSE))</f>
        <v>49.491228069999998</v>
      </c>
      <c r="I163">
        <f ca="1">IF(AND(ISNUMBER($I$389),$B$238=1),$I$389,HLOOKUP(INDIRECT(ADDRESS(2,COLUMN())),OFFSET($R$2,0,0,ROW()-1,12),ROW()-1,FALSE))</f>
        <v>3.641524736</v>
      </c>
      <c r="J163">
        <f ca="1">IF(AND(ISNUMBER($J$389),$B$238=1),$J$389,HLOOKUP(INDIRECT(ADDRESS(2,COLUMN())),OFFSET($R$2,0,0,ROW()-1,12),ROW()-1,FALSE))</f>
        <v>16.186892440000001</v>
      </c>
      <c r="K163">
        <f ca="1">IF(AND(ISNUMBER($K$389),$B$238=1),$K$389,HLOOKUP(INDIRECT(ADDRESS(2,COLUMN())),OFFSET($R$2,0,0,ROW()-1,12),ROW()-1,FALSE))</f>
        <v>21.18482938</v>
      </c>
      <c r="L163">
        <f ca="1">IF(AND(ISNUMBER($L$389),$B$238=1),$L$389,HLOOKUP(INDIRECT(ADDRESS(2,COLUMN())),OFFSET($R$2,0,0,ROW()-1,12),ROW()-1,FALSE))</f>
        <v>16.608210249999999</v>
      </c>
      <c r="M163">
        <f ca="1">IF(AND(ISNUMBER($M$389),$B$238=1),$M$389,HLOOKUP(INDIRECT(ADDRESS(2,COLUMN())),OFFSET($R$2,0,0,ROW()-1,12),ROW()-1,FALSE))</f>
        <v>24.582963620000001</v>
      </c>
      <c r="N163">
        <f ca="1">IF(AND(ISNUMBER($N$389),$B$238=1),$N$389,HLOOKUP(INDIRECT(ADDRESS(2,COLUMN())),OFFSET($R$2,0,0,ROW()-1,12),ROW()-1,FALSE))</f>
        <v>24.510784170000001</v>
      </c>
      <c r="O163">
        <f ca="1">IF(AND(ISNUMBER($O$389),$B$238=1),$O$389,HLOOKUP(INDIRECT(ADDRESS(2,COLUMN())),OFFSET($R$2,0,0,ROW()-1,12),ROW()-1,FALSE))</f>
        <v>24.79338843</v>
      </c>
      <c r="P163">
        <f ca="1">IF(AND(ISNUMBER($P$389),$B$238=1),$P$389,HLOOKUP(INDIRECT(ADDRESS(2,COLUMN())),OFFSET($R$2,0,0,ROW()-1,12),ROW()-1,FALSE))</f>
        <v>25.984121729999998</v>
      </c>
      <c r="Q163">
        <f ca="1">IF(AND(ISNUMBER($Q$389),$B$238=1),$Q$389,HLOOKUP(INDIRECT(ADDRESS(2,COLUMN())),OFFSET($R$2,0,0,ROW()-1,12),ROW()-1,FALSE))</f>
        <v>26.209991030000001</v>
      </c>
      <c r="R163">
        <f>7.190635452</f>
        <v>7.1906354520000004</v>
      </c>
      <c r="S163">
        <f>23.09116558</f>
        <v>23.091165579999998</v>
      </c>
      <c r="T163">
        <f>49.49122807</f>
        <v>49.491228069999998</v>
      </c>
      <c r="U163">
        <f>3.641524736</f>
        <v>3.641524736</v>
      </c>
      <c r="V163">
        <f>16.18689244</f>
        <v>16.186892440000001</v>
      </c>
      <c r="W163">
        <f>21.18482938</f>
        <v>21.18482938</v>
      </c>
      <c r="X163">
        <f>16.60821025</f>
        <v>16.608210249999999</v>
      </c>
      <c r="Y163">
        <f>24.58296362</f>
        <v>24.582963620000001</v>
      </c>
      <c r="Z163">
        <f>24.51078417</f>
        <v>24.510784170000001</v>
      </c>
      <c r="AA163">
        <f>24.79338843</f>
        <v>24.79338843</v>
      </c>
      <c r="AB163">
        <f>25.98412173</f>
        <v>25.984121729999998</v>
      </c>
      <c r="AC163">
        <f>26.20999103</f>
        <v>26.209991030000001</v>
      </c>
    </row>
    <row r="164" spans="1:29" x14ac:dyDescent="0.25">
      <c r="A164" t="str">
        <f>"    Tata Consultancy Services Ltd"</f>
        <v xml:space="preserve">    Tata Consultancy Services Ltd</v>
      </c>
      <c r="B164" t="str">
        <f>"TCS IN Equity"</f>
        <v>TCS IN Equity</v>
      </c>
      <c r="C164" t="str">
        <f t="shared" si="24"/>
        <v>RR037</v>
      </c>
      <c r="D164" t="str">
        <f t="shared" si="25"/>
        <v>EFF_TAX_RATE</v>
      </c>
      <c r="E164" t="str">
        <f t="shared" si="26"/>
        <v>Dynamic</v>
      </c>
      <c r="F164">
        <f ca="1">IF(AND(ISNUMBER($F$390),$B$238=1),$F$390,HLOOKUP(INDIRECT(ADDRESS(2,COLUMN())),OFFSET($R$2,0,0,ROW()-1,12),ROW()-1,FALSE))</f>
        <v>23.198731299999999</v>
      </c>
      <c r="G164">
        <f ca="1">IF(AND(ISNUMBER($G$390),$B$238=1),$G$390,HLOOKUP(INDIRECT(ADDRESS(2,COLUMN())),OFFSET($R$2,0,0,ROW()-1,12),ROW()-1,FALSE))</f>
        <v>24.062266919999999</v>
      </c>
      <c r="H164">
        <f ca="1">IF(AND(ISNUMBER($H$390),$B$238=1),$H$390,HLOOKUP(INDIRECT(ADDRESS(2,COLUMN())),OFFSET($R$2,0,0,ROW()-1,12),ROW()-1,FALSE))</f>
        <v>24.087762519999998</v>
      </c>
      <c r="I164">
        <f ca="1">IF(AND(ISNUMBER($I$390),$B$238=1),$I$390,HLOOKUP(INDIRECT(ADDRESS(2,COLUMN())),OFFSET($R$2,0,0,ROW()-1,12),ROW()-1,FALSE))</f>
        <v>23.631675019999999</v>
      </c>
      <c r="J164">
        <f ca="1">IF(AND(ISNUMBER($J$390),$B$238=1),$J$390,HLOOKUP(INDIRECT(ADDRESS(2,COLUMN())),OFFSET($R$2,0,0,ROW()-1,12),ROW()-1,FALSE))</f>
        <v>23.563958419999999</v>
      </c>
      <c r="K164">
        <f ca="1">IF(AND(ISNUMBER($K$390),$B$238=1),$K$390,HLOOKUP(INDIRECT(ADDRESS(2,COLUMN())),OFFSET($R$2,0,0,ROW()-1,12),ROW()-1,FALSE))</f>
        <v>23.453605660000001</v>
      </c>
      <c r="L164">
        <f ca="1">IF(AND(ISNUMBER($L$390),$B$238=1),$L$390,HLOOKUP(INDIRECT(ADDRESS(2,COLUMN())),OFFSET($R$2,0,0,ROW()-1,12),ROW()-1,FALSE))</f>
        <v>23.905384250000001</v>
      </c>
      <c r="M164">
        <f ca="1">IF(AND(ISNUMBER($M$390),$B$238=1),$M$390,HLOOKUP(INDIRECT(ADDRESS(2,COLUMN())),OFFSET($R$2,0,0,ROW()-1,12),ROW()-1,FALSE))</f>
        <v>22.189607030000001</v>
      </c>
      <c r="N164">
        <f ca="1">IF(AND(ISNUMBER($N$390),$B$238=1),$N$390,HLOOKUP(INDIRECT(ADDRESS(2,COLUMN())),OFFSET($R$2,0,0,ROW()-1,12),ROW()-1,FALSE))</f>
        <v>24.4184752</v>
      </c>
      <c r="O164">
        <f ca="1">IF(AND(ISNUMBER($O$390),$B$238=1),$O$390,HLOOKUP(INDIRECT(ADDRESS(2,COLUMN())),OFFSET($R$2,0,0,ROW()-1,12),ROW()-1,FALSE))</f>
        <v>16.612767699999999</v>
      </c>
      <c r="P164">
        <f ca="1">IF(AND(ISNUMBER($P$390),$B$238=1),$P$390,HLOOKUP(INDIRECT(ADDRESS(2,COLUMN())),OFFSET($R$2,0,0,ROW()-1,12),ROW()-1,FALSE))</f>
        <v>14.43936581</v>
      </c>
      <c r="Q164">
        <f ca="1">IF(AND(ISNUMBER($Q$390),$B$238=1),$Q$390,HLOOKUP(INDIRECT(ADDRESS(2,COLUMN())),OFFSET($R$2,0,0,ROW()-1,12),ROW()-1,FALSE))</f>
        <v>13.64130815</v>
      </c>
      <c r="R164">
        <f>23.1987313</f>
        <v>23.198731299999999</v>
      </c>
      <c r="S164">
        <f>24.06226692</f>
        <v>24.062266919999999</v>
      </c>
      <c r="T164">
        <f>24.08776252</f>
        <v>24.087762519999998</v>
      </c>
      <c r="U164">
        <f>23.63167502</f>
        <v>23.631675019999999</v>
      </c>
      <c r="V164">
        <f>23.56395842</f>
        <v>23.563958419999999</v>
      </c>
      <c r="W164">
        <f>23.45360566</f>
        <v>23.453605660000001</v>
      </c>
      <c r="X164">
        <f>23.90538425</f>
        <v>23.905384250000001</v>
      </c>
      <c r="Y164">
        <f>22.18960703</f>
        <v>22.189607030000001</v>
      </c>
      <c r="Z164">
        <f>24.4184752</f>
        <v>24.4184752</v>
      </c>
      <c r="AA164">
        <f>16.6127677</f>
        <v>16.612767699999999</v>
      </c>
      <c r="AB164">
        <f>14.43936581</f>
        <v>14.43936581</v>
      </c>
      <c r="AC164">
        <f>13.64130815</f>
        <v>13.64130815</v>
      </c>
    </row>
    <row r="165" spans="1:29" x14ac:dyDescent="0.25">
      <c r="A165" t="str">
        <f>"    Tech Mahindra Ltd"</f>
        <v xml:space="preserve">    Tech Mahindra Ltd</v>
      </c>
      <c r="B165" t="str">
        <f>"TECHM IN Equity"</f>
        <v>TECHM IN Equity</v>
      </c>
      <c r="C165" t="str">
        <f t="shared" si="24"/>
        <v>RR037</v>
      </c>
      <c r="D165" t="str">
        <f t="shared" si="25"/>
        <v>EFF_TAX_RATE</v>
      </c>
      <c r="E165" t="str">
        <f t="shared" si="26"/>
        <v>Dynamic</v>
      </c>
      <c r="F165">
        <f ca="1">IF(AND(ISNUMBER($F$391),$B$238=1),$F$391,HLOOKUP(INDIRECT(ADDRESS(2,COLUMN())),OFFSET($R$2,0,0,ROW()-1,12),ROW()-1,FALSE))</f>
        <v>22.942875799999999</v>
      </c>
      <c r="G165">
        <f ca="1">IF(AND(ISNUMBER($G$391),$B$238=1),$G$391,HLOOKUP(INDIRECT(ADDRESS(2,COLUMN())),OFFSET($R$2,0,0,ROW()-1,12),ROW()-1,FALSE))</f>
        <v>22.629528069999999</v>
      </c>
      <c r="H165">
        <f ca="1">IF(AND(ISNUMBER($H$391),$B$238=1),$H$391,HLOOKUP(INDIRECT(ADDRESS(2,COLUMN())),OFFSET($R$2,0,0,ROW()-1,12),ROW()-1,FALSE))</f>
        <v>22.394851190000001</v>
      </c>
      <c r="I165">
        <f ca="1">IF(AND(ISNUMBER($I$391),$B$238=1),$I$391,HLOOKUP(INDIRECT(ADDRESS(2,COLUMN())),OFFSET($R$2,0,0,ROW()-1,12),ROW()-1,FALSE))</f>
        <v>26.00830522</v>
      </c>
      <c r="J165">
        <f ca="1">IF(AND(ISNUMBER($J$391),$B$238=1),$J$391,HLOOKUP(INDIRECT(ADDRESS(2,COLUMN())),OFFSET($R$2,0,0,ROW()-1,12),ROW()-1,FALSE))</f>
        <v>21.523582340000001</v>
      </c>
      <c r="K165">
        <f ca="1">IF(AND(ISNUMBER($K$391),$B$238=1),$K$391,HLOOKUP(INDIRECT(ADDRESS(2,COLUMN())),OFFSET($R$2,0,0,ROW()-1,12),ROW()-1,FALSE))</f>
        <v>26.51944391</v>
      </c>
      <c r="L165">
        <f ca="1">IF(AND(ISNUMBER($L$391),$B$238=1),$L$391,HLOOKUP(INDIRECT(ADDRESS(2,COLUMN())),OFFSET($R$2,0,0,ROW()-1,12),ROW()-1,FALSE))</f>
        <v>19.721078980000001</v>
      </c>
      <c r="M165">
        <f ca="1">IF(AND(ISNUMBER($M$391),$B$238=1),$M$391,HLOOKUP(INDIRECT(ADDRESS(2,COLUMN())),OFFSET($R$2,0,0,ROW()-1,12),ROW()-1,FALSE))</f>
        <v>22.503583370000001</v>
      </c>
      <c r="N165">
        <f ca="1">IF(AND(ISNUMBER($N$391),$B$238=1),$N$391,HLOOKUP(INDIRECT(ADDRESS(2,COLUMN())),OFFSET($R$2,0,0,ROW()-1,12),ROW()-1,FALSE))</f>
        <v>20.953630799999999</v>
      </c>
      <c r="O165">
        <f ca="1">IF(AND(ISNUMBER($O$391),$B$238=1),$O$391,HLOOKUP(INDIRECT(ADDRESS(2,COLUMN())),OFFSET($R$2,0,0,ROW()-1,12),ROW()-1,FALSE))</f>
        <v>14.99886027</v>
      </c>
      <c r="P165">
        <f ca="1">IF(AND(ISNUMBER($P$391),$B$238=1),$P$391,HLOOKUP(INDIRECT(ADDRESS(2,COLUMN())),OFFSET($R$2,0,0,ROW()-1,12),ROW()-1,FALSE))</f>
        <v>16.997167139999998</v>
      </c>
      <c r="Q165">
        <f ca="1">IF(AND(ISNUMBER($Q$391),$B$238=1),$Q$391,HLOOKUP(INDIRECT(ADDRESS(2,COLUMN())),OFFSET($R$2,0,0,ROW()-1,12),ROW()-1,FALSE))</f>
        <v>10.410596030000001</v>
      </c>
      <c r="R165">
        <f>22.9428758</f>
        <v>22.942875799999999</v>
      </c>
      <c r="S165">
        <f>22.62952807</f>
        <v>22.629528069999999</v>
      </c>
      <c r="T165">
        <f>22.39485119</f>
        <v>22.394851190000001</v>
      </c>
      <c r="U165">
        <f>26.00830522</f>
        <v>26.00830522</v>
      </c>
      <c r="V165">
        <f>21.52358234</f>
        <v>21.523582340000001</v>
      </c>
      <c r="W165">
        <f>26.51944391</f>
        <v>26.51944391</v>
      </c>
      <c r="X165">
        <f>19.72107898</f>
        <v>19.721078980000001</v>
      </c>
      <c r="Y165">
        <f>22.50358337</f>
        <v>22.503583370000001</v>
      </c>
      <c r="Z165">
        <f>20.9536308</f>
        <v>20.953630799999999</v>
      </c>
      <c r="AA165">
        <f>14.99886027</f>
        <v>14.99886027</v>
      </c>
      <c r="AB165">
        <f>16.99716714</f>
        <v>16.997167139999998</v>
      </c>
      <c r="AC165">
        <f>10.41059603</f>
        <v>10.410596030000001</v>
      </c>
    </row>
    <row r="166" spans="1:29" x14ac:dyDescent="0.25">
      <c r="A166" t="str">
        <f>"    Wipro Ltd"</f>
        <v xml:space="preserve">    Wipro Ltd</v>
      </c>
      <c r="B166" t="str">
        <f>"WIT US Equity"</f>
        <v>WIT US Equity</v>
      </c>
      <c r="C166" t="str">
        <f t="shared" si="24"/>
        <v>RR037</v>
      </c>
      <c r="D166" t="str">
        <f t="shared" si="25"/>
        <v>EFF_TAX_RATE</v>
      </c>
      <c r="E166" t="str">
        <f t="shared" si="26"/>
        <v>Dynamic</v>
      </c>
      <c r="F166">
        <f ca="1">IF(AND(ISNUMBER($F$392),$B$238=1),$F$392,HLOOKUP(INDIRECT(ADDRESS(2,COLUMN())),OFFSET($R$2,0,0,ROW()-1,12),ROW()-1,FALSE))</f>
        <v>20.242098729999999</v>
      </c>
      <c r="G166">
        <f ca="1">IF(AND(ISNUMBER($G$392),$B$238=1),$G$392,HLOOKUP(INDIRECT(ADDRESS(2,COLUMN())),OFFSET($R$2,0,0,ROW()-1,12),ROW()-1,FALSE))</f>
        <v>21.870640730000002</v>
      </c>
      <c r="H166">
        <f ca="1">IF(AND(ISNUMBER($H$392),$B$238=1),$H$392,HLOOKUP(INDIRECT(ADDRESS(2,COLUMN())),OFFSET($R$2,0,0,ROW()-1,12),ROW()-1,FALSE))</f>
        <v>21.849444739999999</v>
      </c>
      <c r="I166">
        <f ca="1">IF(AND(ISNUMBER($I$392),$B$238=1),$I$392,HLOOKUP(INDIRECT(ADDRESS(2,COLUMN())),OFFSET($R$2,0,0,ROW()-1,12),ROW()-1,FALSE))</f>
        <v>22.84696799</v>
      </c>
      <c r="J166">
        <f ca="1">IF(AND(ISNUMBER($J$392),$B$238=1),$J$392,HLOOKUP(INDIRECT(ADDRESS(2,COLUMN())),OFFSET($R$2,0,0,ROW()-1,12),ROW()-1,FALSE))</f>
        <v>22.070249619999998</v>
      </c>
      <c r="K166">
        <f ca="1">IF(AND(ISNUMBER($K$392),$B$238=1),$K$392,HLOOKUP(INDIRECT(ADDRESS(2,COLUMN())),OFFSET($R$2,0,0,ROW()-1,12),ROW()-1,FALSE))</f>
        <v>22.048118330000001</v>
      </c>
      <c r="L166">
        <f ca="1">IF(AND(ISNUMBER($L$392),$B$238=1),$L$392,HLOOKUP(INDIRECT(ADDRESS(2,COLUMN())),OFFSET($R$2,0,0,ROW()-1,12),ROW()-1,FALSE))</f>
        <v>22.375129940000001</v>
      </c>
      <c r="M166">
        <f ca="1">IF(AND(ISNUMBER($M$392),$B$238=1),$M$392,HLOOKUP(INDIRECT(ADDRESS(2,COLUMN())),OFFSET($R$2,0,0,ROW()-1,12),ROW()-1,FALSE))</f>
        <v>21.517634489999999</v>
      </c>
      <c r="N166">
        <f ca="1">IF(AND(ISNUMBER($N$392),$B$238=1),$N$392,HLOOKUP(INDIRECT(ADDRESS(2,COLUMN())),OFFSET($R$2,0,0,ROW()-1,12),ROW()-1,FALSE))</f>
        <v>19.731899640000002</v>
      </c>
      <c r="O166">
        <f ca="1">IF(AND(ISNUMBER($O$392),$B$238=1),$O$392,HLOOKUP(INDIRECT(ADDRESS(2,COLUMN())),OFFSET($R$2,0,0,ROW()-1,12),ROW()-1,FALSE))</f>
        <v>15.410486239999999</v>
      </c>
      <c r="P166">
        <f ca="1">IF(AND(ISNUMBER($P$392),$B$238=1),$P$392,HLOOKUP(INDIRECT(ADDRESS(2,COLUMN())),OFFSET($R$2,0,0,ROW()-1,12),ROW()-1,FALSE))</f>
        <v>16.63127326</v>
      </c>
      <c r="Q166">
        <f ca="1">IF(AND(ISNUMBER($Q$392),$B$238=1),$Q$392,HLOOKUP(INDIRECT(ADDRESS(2,COLUMN())),OFFSET($R$2,0,0,ROW()-1,12),ROW()-1,FALSE))</f>
        <v>14.293300289999999</v>
      </c>
      <c r="R166">
        <f>20.24209873</f>
        <v>20.242098729999999</v>
      </c>
      <c r="S166">
        <f>21.87064073</f>
        <v>21.870640730000002</v>
      </c>
      <c r="T166">
        <f>21.84944474</f>
        <v>21.849444739999999</v>
      </c>
      <c r="U166">
        <f>22.84696799</f>
        <v>22.84696799</v>
      </c>
      <c r="V166">
        <f>22.07024962</f>
        <v>22.070249619999998</v>
      </c>
      <c r="W166">
        <f>22.04811833</f>
        <v>22.048118330000001</v>
      </c>
      <c r="X166">
        <f>22.37512994</f>
        <v>22.375129940000001</v>
      </c>
      <c r="Y166">
        <f>21.51763449</f>
        <v>21.517634489999999</v>
      </c>
      <c r="Z166">
        <f>19.73189964</f>
        <v>19.731899640000002</v>
      </c>
      <c r="AA166">
        <f>15.41048624</f>
        <v>15.410486239999999</v>
      </c>
      <c r="AB166">
        <f>16.63127326</f>
        <v>16.63127326</v>
      </c>
      <c r="AC166">
        <f>14.29330029</f>
        <v>14.293300289999999</v>
      </c>
    </row>
    <row r="167" spans="1:29" x14ac:dyDescent="0.25">
      <c r="A167" t="str">
        <f>"Return Measures (%):"</f>
        <v>Return Measures (%):</v>
      </c>
      <c r="B167" t="str">
        <f>""</f>
        <v/>
      </c>
      <c r="E167" t="str">
        <f>"Heading"</f>
        <v>Heading</v>
      </c>
      <c r="R167" t="str">
        <f>""</f>
        <v/>
      </c>
      <c r="S167" t="str">
        <f>""</f>
        <v/>
      </c>
      <c r="T167" t="str">
        <f>""</f>
        <v/>
      </c>
      <c r="U167" t="str">
        <f>""</f>
        <v/>
      </c>
      <c r="V167" t="str">
        <f>""</f>
        <v/>
      </c>
      <c r="W167" t="str">
        <f>""</f>
        <v/>
      </c>
      <c r="X167" t="str">
        <f>""</f>
        <v/>
      </c>
      <c r="Y167" t="str">
        <f>""</f>
        <v/>
      </c>
      <c r="Z167" t="str">
        <f>""</f>
        <v/>
      </c>
      <c r="AA167" t="str">
        <f>""</f>
        <v/>
      </c>
      <c r="AB167" t="str">
        <f>""</f>
        <v/>
      </c>
      <c r="AC167" t="str">
        <f>""</f>
        <v/>
      </c>
    </row>
    <row r="168" spans="1:29" x14ac:dyDescent="0.25">
      <c r="A168" t="str">
        <f>"Return on Assets"</f>
        <v>Return on Assets</v>
      </c>
      <c r="B168" t="str">
        <f>"BRITBPOV Index"</f>
        <v>BRITBPOV Index</v>
      </c>
      <c r="E168" t="str">
        <f>"Average"</f>
        <v>Average</v>
      </c>
      <c r="F168">
        <f ca="1">IF(ISERROR(IF(AVERAGE($F$169:$F$185) = 0, "", AVERAGE($F$169:$F$185))), "", (IF(AVERAGE($F$169:$F$185) = 0, "", AVERAGE($F$169:$F$185))))</f>
        <v>7.7678355460588246</v>
      </c>
      <c r="G168">
        <f ca="1">IF(ISERROR(IF(AVERAGE($G$169:$G$185) = 0, "", AVERAGE($G$169:$G$185))), "", (IF(AVERAGE($G$169:$G$185) = 0, "", AVERAGE($G$169:$G$185))))</f>
        <v>10.461718123882353</v>
      </c>
      <c r="H168">
        <f ca="1">IF(ISERROR(IF(AVERAGE($H$169:$H$185) = 0, "", AVERAGE($H$169:$H$185))), "", (IF(AVERAGE($H$169:$H$185) = 0, "", AVERAGE($H$169:$H$185))))</f>
        <v>10.007528071882355</v>
      </c>
      <c r="I168">
        <f ca="1">IF(ISERROR(IF(AVERAGE($I$169:$I$185) = 0, "", AVERAGE($I$169:$I$185))), "", (IF(AVERAGE($I$169:$I$185) = 0, "", AVERAGE($I$169:$I$185))))</f>
        <v>10.5965194085625</v>
      </c>
      <c r="J168">
        <f ca="1">IF(ISERROR(IF(AVERAGE($J$169:$J$185) = 0, "", AVERAGE($J$169:$J$185))), "", (IF(AVERAGE($J$169:$J$185) = 0, "", AVERAGE($J$169:$J$185))))</f>
        <v>9.5943052664666677</v>
      </c>
      <c r="K168">
        <f ca="1">IF(ISERROR(IF(AVERAGE($K$169:$K$185) = 0, "", AVERAGE($K$169:$K$185))), "", (IF(AVERAGE($K$169:$K$185) = 0, "", AVERAGE($K$169:$K$185))))</f>
        <v>11.570949970428572</v>
      </c>
      <c r="L168">
        <f ca="1">IF(ISERROR(IF(AVERAGE($L$169:$L$185) = 0, "", AVERAGE($L$169:$L$185))), "", (IF(AVERAGE($L$169:$L$185) = 0, "", AVERAGE($L$169:$L$185))))</f>
        <v>14.300359223999999</v>
      </c>
      <c r="M168">
        <f ca="1">IF(ISERROR(IF(AVERAGE($M$169:$M$185) = 0, "", AVERAGE($M$169:$M$185))), "", (IF(AVERAGE($M$169:$M$185) = 0, "", AVERAGE($M$169:$M$185))))</f>
        <v>12.365481170625001</v>
      </c>
      <c r="N168">
        <f ca="1">IF(ISERROR(IF(AVERAGE($N$169:$N$185) = 0, "", AVERAGE($N$169:$N$185))), "", (IF(AVERAGE($N$169:$N$185) = 0, "", AVERAGE($N$169:$N$185))))</f>
        <v>13.644719223666668</v>
      </c>
      <c r="O168">
        <f ca="1">IF(ISERROR(IF(AVERAGE($O$169:$O$185) = 0, "", AVERAGE($O$169:$O$185))), "", (IF(AVERAGE($O$169:$O$185) = 0, "", AVERAGE($O$169:$O$185))))</f>
        <v>12.838841527200001</v>
      </c>
      <c r="P168">
        <f ca="1">IF(ISERROR(IF(AVERAGE($P$169:$P$185) = 0, "", AVERAGE($P$169:$P$185))), "", (IF(AVERAGE($P$169:$P$185) = 0, "", AVERAGE($P$169:$P$185))))</f>
        <v>12.257281821214287</v>
      </c>
      <c r="Q168">
        <f ca="1">IF(ISERROR(IF(AVERAGE($Q$169:$Q$185) = 0, "", AVERAGE($Q$169:$Q$185))), "", (IF(AVERAGE($Q$169:$Q$185) = 0, "", AVERAGE($Q$169:$Q$185))))</f>
        <v>15.505325020846154</v>
      </c>
      <c r="R168">
        <f>7.767835546</f>
        <v>7.7678355459999997</v>
      </c>
      <c r="S168">
        <f>10.46171812</f>
        <v>10.46171812</v>
      </c>
      <c r="T168">
        <f>10.00752807</f>
        <v>10.007528069999999</v>
      </c>
      <c r="U168">
        <f>10.59651941</f>
        <v>10.596519410000001</v>
      </c>
      <c r="V168">
        <f>9.594305267</f>
        <v>9.5943052669999993</v>
      </c>
      <c r="W168">
        <f>11.57094997</f>
        <v>11.570949969999999</v>
      </c>
      <c r="X168">
        <f>14.30035922</f>
        <v>14.300359220000001</v>
      </c>
      <c r="Y168">
        <f>12.36548117</f>
        <v>12.365481170000001</v>
      </c>
      <c r="Z168">
        <f>13.64471922</f>
        <v>13.644719220000001</v>
      </c>
      <c r="AA168">
        <f>12.83884153</f>
        <v>12.83884153</v>
      </c>
      <c r="AB168">
        <f>12.25728182</f>
        <v>12.257281819999999</v>
      </c>
      <c r="AC168">
        <f>15.50532502</f>
        <v>15.505325020000001</v>
      </c>
    </row>
    <row r="169" spans="1:29" x14ac:dyDescent="0.25">
      <c r="A169" t="str">
        <f>"    Accenture PLC"</f>
        <v xml:space="preserve">    Accenture PLC</v>
      </c>
      <c r="B169" t="str">
        <f>"ACN US Equity"</f>
        <v>ACN US Equity</v>
      </c>
      <c r="C169" t="str">
        <f t="shared" ref="C169:C185" si="27">"RR028"</f>
        <v>RR028</v>
      </c>
      <c r="D169" t="str">
        <f t="shared" ref="D169:D185" si="28">"RETURN_ON_ASSET"</f>
        <v>RETURN_ON_ASSET</v>
      </c>
      <c r="E169" t="str">
        <f t="shared" ref="E169:E185" si="29">"Dynamic"</f>
        <v>Dynamic</v>
      </c>
      <c r="F169">
        <f ca="1">IF(AND(ISNUMBER($F$393),$B$238=1),$F$393,HLOOKUP(INDIRECT(ADDRESS(2,COLUMN())),OFFSET($R$2,0,0,ROW()-1,12),ROW()-1,FALSE))</f>
        <v>17.62243131</v>
      </c>
      <c r="G169">
        <f ca="1">IF(AND(ISNUMBER($G$393),$B$238=1),$G$393,HLOOKUP(INDIRECT(ADDRESS(2,COLUMN())),OFFSET($R$2,0,0,ROW()-1,12),ROW()-1,FALSE))</f>
        <v>17.225267079999998</v>
      </c>
      <c r="H169">
        <f ca="1">IF(AND(ISNUMBER($H$393),$B$238=1),$H$393,HLOOKUP(INDIRECT(ADDRESS(2,COLUMN())),OFFSET($R$2,0,0,ROW()-1,12),ROW()-1,FALSE))</f>
        <v>15.913334880000001</v>
      </c>
      <c r="I169">
        <f ca="1">IF(AND(ISNUMBER($I$393),$B$238=1),$I$393,HLOOKUP(INDIRECT(ADDRESS(2,COLUMN())),OFFSET($R$2,0,0,ROW()-1,12),ROW()-1,FALSE))</f>
        <v>21.18895689</v>
      </c>
      <c r="J169">
        <f ca="1">IF(AND(ISNUMBER($J$393),$B$238=1),$J$393,HLOOKUP(INDIRECT(ADDRESS(2,COLUMN())),OFFSET($R$2,0,0,ROW()-1,12),ROW()-1,FALSE))</f>
        <v>16.901849460000001</v>
      </c>
      <c r="K169">
        <f ca="1">IF(AND(ISNUMBER($K$393),$B$238=1),$K$393,HLOOKUP(INDIRECT(ADDRESS(2,COLUMN())),OFFSET($R$2,0,0,ROW()-1,12),ROW()-1,FALSE))</f>
        <v>16.906374970000002</v>
      </c>
      <c r="L169">
        <f ca="1">IF(AND(ISNUMBER($L$393),$B$238=1),$L$393,HLOOKUP(INDIRECT(ADDRESS(2,COLUMN())),OFFSET($R$2,0,0,ROW()-1,12),ROW()-1,FALSE))</f>
        <v>19.574332500000001</v>
      </c>
      <c r="M169">
        <f ca="1">IF(AND(ISNUMBER($M$393),$B$238=1),$M$393,HLOOKUP(INDIRECT(ADDRESS(2,COLUMN())),OFFSET($R$2,0,0,ROW()-1,12),ROW()-1,FALSE))</f>
        <v>15.76390352</v>
      </c>
      <c r="N169">
        <f ca="1">IF(AND(ISNUMBER($N$393),$B$238=1),$N$393,HLOOKUP(INDIRECT(ADDRESS(2,COLUMN())),OFFSET($R$2,0,0,ROW()-1,12),ROW()-1,FALSE))</f>
        <v>15.946342960000001</v>
      </c>
      <c r="O169">
        <f ca="1">IF(AND(ISNUMBER($O$393),$B$238=1),$O$393,HLOOKUP(INDIRECT(ADDRESS(2,COLUMN())),OFFSET($R$2,0,0,ROW()-1,12),ROW()-1,FALSE))</f>
        <v>14.19359071</v>
      </c>
      <c r="P169">
        <f ca="1">IF(AND(ISNUMBER($P$393),$B$238=1),$P$393,HLOOKUP(INDIRECT(ADDRESS(2,COLUMN())),OFFSET($R$2,0,0,ROW()-1,12),ROW()-1,FALSE))</f>
        <v>12.8980798</v>
      </c>
      <c r="Q169">
        <f ca="1">IF(AND(ISNUMBER($Q$393),$B$238=1),$Q$393,HLOOKUP(INDIRECT(ADDRESS(2,COLUMN())),OFFSET($R$2,0,0,ROW()-1,12),ROW()-1,FALSE))</f>
        <v>14.618282880000001</v>
      </c>
      <c r="R169">
        <f>17.62243131</f>
        <v>17.62243131</v>
      </c>
      <c r="S169">
        <f>17.22526708</f>
        <v>17.225267079999998</v>
      </c>
      <c r="T169">
        <f>15.91333488</f>
        <v>15.913334880000001</v>
      </c>
      <c r="U169">
        <f>21.18895689</f>
        <v>21.18895689</v>
      </c>
      <c r="V169">
        <f>16.90184946</f>
        <v>16.901849460000001</v>
      </c>
      <c r="W169">
        <f>16.90637497</f>
        <v>16.906374970000002</v>
      </c>
      <c r="X169">
        <f>19.5743325</f>
        <v>19.574332500000001</v>
      </c>
      <c r="Y169">
        <f>15.76390352</f>
        <v>15.76390352</v>
      </c>
      <c r="Z169">
        <f>15.94634296</f>
        <v>15.946342960000001</v>
      </c>
      <c r="AA169">
        <f>14.19359071</f>
        <v>14.19359071</v>
      </c>
      <c r="AB169">
        <f>12.8980798</f>
        <v>12.8980798</v>
      </c>
      <c r="AC169">
        <f>14.61828288</f>
        <v>14.618282880000001</v>
      </c>
    </row>
    <row r="170" spans="1:29" x14ac:dyDescent="0.25">
      <c r="A170" t="str">
        <f>"    Amdocs Ltd"</f>
        <v xml:space="preserve">    Amdocs Ltd</v>
      </c>
      <c r="B170" t="str">
        <f>"DOX US Equity"</f>
        <v>DOX US Equity</v>
      </c>
      <c r="C170" t="str">
        <f t="shared" si="27"/>
        <v>RR028</v>
      </c>
      <c r="D170" t="str">
        <f t="shared" si="28"/>
        <v>RETURN_ON_ASSET</v>
      </c>
      <c r="E170" t="str">
        <f t="shared" si="29"/>
        <v>Dynamic</v>
      </c>
      <c r="F170">
        <f ca="1">IF(AND(ISNUMBER($F$394),$B$238=1),$F$394,HLOOKUP(INDIRECT(ADDRESS(2,COLUMN())),OFFSET($R$2,0,0,ROW()-1,12),ROW()-1,FALSE))</f>
        <v>9.0115999589999998</v>
      </c>
      <c r="G170">
        <f ca="1">IF(AND(ISNUMBER($G$394),$B$238=1),$G$394,HLOOKUP(INDIRECT(ADDRESS(2,COLUMN())),OFFSET($R$2,0,0,ROW()-1,12),ROW()-1,FALSE))</f>
        <v>6.6696056669999999</v>
      </c>
      <c r="H170">
        <f ca="1">IF(AND(ISNUMBER($H$394),$B$238=1),$H$394,HLOOKUP(INDIRECT(ADDRESS(2,COLUMN())),OFFSET($R$2,0,0,ROW()-1,12),ROW()-1,FALSE))</f>
        <v>8.233661476</v>
      </c>
      <c r="I170">
        <f ca="1">IF(AND(ISNUMBER($I$394),$B$238=1),$I$394,HLOOKUP(INDIRECT(ADDRESS(2,COLUMN())),OFFSET($R$2,0,0,ROW()-1,12),ROW()-1,FALSE))</f>
        <v>7.6826338420000004</v>
      </c>
      <c r="J170">
        <f ca="1">IF(AND(ISNUMBER($J$394),$B$238=1),$J$394,HLOOKUP(INDIRECT(ADDRESS(2,COLUMN())),OFFSET($R$2,0,0,ROW()-1,12),ROW()-1,FALSE))</f>
        <v>8.4903142539999994</v>
      </c>
      <c r="K170">
        <f ca="1">IF(AND(ISNUMBER($K$394),$B$238=1),$K$394,HLOOKUP(INDIRECT(ADDRESS(2,COLUMN())),OFFSET($R$2,0,0,ROW()-1,12),ROW()-1,FALSE))</f>
        <v>8.3496833670000008</v>
      </c>
      <c r="L170">
        <f ca="1">IF(AND(ISNUMBER($L$394),$B$238=1),$L$394,HLOOKUP(INDIRECT(ADDRESS(2,COLUMN())),OFFSET($R$2,0,0,ROW()-1,12),ROW()-1,FALSE))</f>
        <v>8.6184818449999998</v>
      </c>
      <c r="M170">
        <f ca="1">IF(AND(ISNUMBER($M$394),$B$238=1),$M$394,HLOOKUP(INDIRECT(ADDRESS(2,COLUMN())),OFFSET($R$2,0,0,ROW()-1,12),ROW()-1,FALSE))</f>
        <v>8.4330886429999996</v>
      </c>
      <c r="N170">
        <f ca="1">IF(AND(ISNUMBER($N$394),$B$238=1),$N$394,HLOOKUP(INDIRECT(ADDRESS(2,COLUMN())),OFFSET($R$2,0,0,ROW()-1,12),ROW()-1,FALSE))</f>
        <v>7.3312582949999996</v>
      </c>
      <c r="O170">
        <f ca="1">IF(AND(ISNUMBER($O$394),$B$238=1),$O$394,HLOOKUP(INDIRECT(ADDRESS(2,COLUMN())),OFFSET($R$2,0,0,ROW()-1,12),ROW()-1,FALSE))</f>
        <v>7.5178754100000003</v>
      </c>
      <c r="P170">
        <f ca="1">IF(AND(ISNUMBER($P$394),$B$238=1),$P$394,HLOOKUP(INDIRECT(ADDRESS(2,COLUMN())),OFFSET($R$2,0,0,ROW()-1,12),ROW()-1,FALSE))</f>
        <v>7.3236426010000004</v>
      </c>
      <c r="Q170">
        <f ca="1">IF(AND(ISNUMBER($Q$394),$B$238=1),$Q$394,HLOOKUP(INDIRECT(ADDRESS(2,COLUMN())),OFFSET($R$2,0,0,ROW()-1,12),ROW()-1,FALSE))</f>
        <v>8.4914492419999998</v>
      </c>
      <c r="R170">
        <f>9.011599959</f>
        <v>9.0115999589999998</v>
      </c>
      <c r="S170">
        <f>6.669605667</f>
        <v>6.6696056669999999</v>
      </c>
      <c r="T170">
        <f>8.233661476</f>
        <v>8.233661476</v>
      </c>
      <c r="U170">
        <f>7.682633842</f>
        <v>7.6826338420000004</v>
      </c>
      <c r="V170">
        <f>8.490314254</f>
        <v>8.4903142539999994</v>
      </c>
      <c r="W170">
        <f>8.349683367</f>
        <v>8.3496833670000008</v>
      </c>
      <c r="X170">
        <f>8.618481845</f>
        <v>8.6184818449999998</v>
      </c>
      <c r="Y170">
        <f>8.433088643</f>
        <v>8.4330886429999996</v>
      </c>
      <c r="Z170">
        <f>7.331258295</f>
        <v>7.3312582949999996</v>
      </c>
      <c r="AA170">
        <f>7.51787541</f>
        <v>7.5178754100000003</v>
      </c>
      <c r="AB170">
        <f>7.323642601</f>
        <v>7.3236426010000004</v>
      </c>
      <c r="AC170">
        <f>8.491449242</f>
        <v>8.4914492419999998</v>
      </c>
    </row>
    <row r="171" spans="1:29" x14ac:dyDescent="0.25">
      <c r="A171" t="str">
        <f>"    Atos SE"</f>
        <v xml:space="preserve">    Atos SE</v>
      </c>
      <c r="B171" t="str">
        <f>"ATO FP Equity"</f>
        <v>ATO FP Equity</v>
      </c>
      <c r="C171" t="str">
        <f t="shared" si="27"/>
        <v>RR028</v>
      </c>
      <c r="D171" t="str">
        <f t="shared" si="28"/>
        <v>RETURN_ON_ASSET</v>
      </c>
      <c r="E171" t="str">
        <f t="shared" si="29"/>
        <v>Dynamic</v>
      </c>
      <c r="F171">
        <f ca="1">IF(AND(ISNUMBER($F$395),$B$238=1),$F$395,HLOOKUP(INDIRECT(ADDRESS(2,COLUMN())),OFFSET($R$2,0,0,ROW()-1,12),ROW()-1,FALSE))</f>
        <v>16.899937850000001</v>
      </c>
      <c r="G171">
        <f ca="1">IF(AND(ISNUMBER($G$395),$B$238=1),$G$395,HLOOKUP(INDIRECT(ADDRESS(2,COLUMN())),OFFSET($R$2,0,0,ROW()-1,12),ROW()-1,FALSE))</f>
        <v>3.5938391329999999</v>
      </c>
      <c r="H171">
        <f ca="1">IF(AND(ISNUMBER($H$395),$B$238=1),$H$395,HLOOKUP(INDIRECT(ADDRESS(2,COLUMN())),OFFSET($R$2,0,0,ROW()-1,12),ROW()-1,FALSE))</f>
        <v>4.4710109620000003</v>
      </c>
      <c r="I171">
        <f ca="1">IF(AND(ISNUMBER($I$395),$B$238=1),$I$395,HLOOKUP(INDIRECT(ADDRESS(2,COLUMN())),OFFSET($R$2,0,0,ROW()-1,12),ROW()-1,FALSE))</f>
        <v>4.8070893769999996</v>
      </c>
      <c r="J171">
        <f ca="1">IF(AND(ISNUMBER($J$395),$B$238=1),$J$395,HLOOKUP(INDIRECT(ADDRESS(2,COLUMN())),OFFSET($R$2,0,0,ROW()-1,12),ROW()-1,FALSE))</f>
        <v>4.1197590210000001</v>
      </c>
      <c r="K171">
        <f ca="1">IF(AND(ISNUMBER($K$395),$B$238=1),$K$395,HLOOKUP(INDIRECT(ADDRESS(2,COLUMN())),OFFSET($R$2,0,0,ROW()-1,12),ROW()-1,FALSE))</f>
        <v>3.2658087560000002</v>
      </c>
      <c r="L171">
        <f ca="1">IF(AND(ISNUMBER($L$395),$B$238=1),$L$395,HLOOKUP(INDIRECT(ADDRESS(2,COLUMN())),OFFSET($R$2,0,0,ROW()-1,12),ROW()-1,FALSE))</f>
        <v>3.5714529509999999</v>
      </c>
      <c r="M171">
        <f ca="1">IF(AND(ISNUMBER($M$395),$B$238=1),$M$395,HLOOKUP(INDIRECT(ADDRESS(2,COLUMN())),OFFSET($R$2,0,0,ROW()-1,12),ROW()-1,FALSE))</f>
        <v>3.0192039180000001</v>
      </c>
      <c r="N171">
        <f ca="1">IF(AND(ISNUMBER($N$395),$B$238=1),$N$395,HLOOKUP(INDIRECT(ADDRESS(2,COLUMN())),OFFSET($R$2,0,0,ROW()-1,12),ROW()-1,FALSE))</f>
        <v>3.06319527</v>
      </c>
      <c r="O171">
        <f ca="1">IF(AND(ISNUMBER($O$395),$B$238=1),$O$395,HLOOKUP(INDIRECT(ADDRESS(2,COLUMN())),OFFSET($R$2,0,0,ROW()-1,12),ROW()-1,FALSE))</f>
        <v>2.5962699580000002</v>
      </c>
      <c r="P171">
        <f ca="1">IF(AND(ISNUMBER($P$395),$B$238=1),$P$395,HLOOKUP(INDIRECT(ADDRESS(2,COLUMN())),OFFSET($R$2,0,0,ROW()-1,12),ROW()-1,FALSE))</f>
        <v>8.9735624999999999E-2</v>
      </c>
      <c r="Q171">
        <f ca="1">IF(AND(ISNUMBER($Q$395),$B$238=1),$Q$395,HLOOKUP(INDIRECT(ADDRESS(2,COLUMN())),OFFSET($R$2,0,0,ROW()-1,12),ROW()-1,FALSE))</f>
        <v>0.48121965799999999</v>
      </c>
      <c r="R171">
        <f>16.89993785</f>
        <v>16.899937850000001</v>
      </c>
      <c r="S171">
        <f>3.593839133</f>
        <v>3.5938391329999999</v>
      </c>
      <c r="T171">
        <f>4.471010962</f>
        <v>4.4710109620000003</v>
      </c>
      <c r="U171">
        <f>4.807089377</f>
        <v>4.8070893769999996</v>
      </c>
      <c r="V171">
        <f>4.119759021</f>
        <v>4.1197590210000001</v>
      </c>
      <c r="W171">
        <f>3.265808756</f>
        <v>3.2658087560000002</v>
      </c>
      <c r="X171">
        <f>3.571452951</f>
        <v>3.5714529509999999</v>
      </c>
      <c r="Y171">
        <f>3.019203918</f>
        <v>3.0192039180000001</v>
      </c>
      <c r="Z171">
        <f>3.06319527</f>
        <v>3.06319527</v>
      </c>
      <c r="AA171">
        <f>2.596269958</f>
        <v>2.5962699580000002</v>
      </c>
      <c r="AB171">
        <f>0.089735625</f>
        <v>8.9735624999999999E-2</v>
      </c>
      <c r="AC171">
        <f>0.481219658</f>
        <v>0.48121965799999999</v>
      </c>
    </row>
    <row r="172" spans="1:29" x14ac:dyDescent="0.25">
      <c r="A172" t="str">
        <f>"    Capgemini SE"</f>
        <v xml:space="preserve">    Capgemini SE</v>
      </c>
      <c r="B172" t="str">
        <f>"CAP FP Equity"</f>
        <v>CAP FP Equity</v>
      </c>
      <c r="C172" t="str">
        <f t="shared" si="27"/>
        <v>RR028</v>
      </c>
      <c r="D172" t="str">
        <f t="shared" si="28"/>
        <v>RETURN_ON_ASSET</v>
      </c>
      <c r="E172" t="str">
        <f t="shared" si="29"/>
        <v>Dynamic</v>
      </c>
      <c r="F172">
        <f ca="1">IF(AND(ISNUMBER($F$396),$B$238=1),$F$396,HLOOKUP(INDIRECT(ADDRESS(2,COLUMN())),OFFSET($R$2,0,0,ROW()-1,12),ROW()-1,FALSE))</f>
        <v>4.9432622070000001</v>
      </c>
      <c r="G172">
        <f ca="1">IF(AND(ISNUMBER($G$396),$B$238=1),$G$396,HLOOKUP(INDIRECT(ADDRESS(2,COLUMN())),OFFSET($R$2,0,0,ROW()-1,12),ROW()-1,FALSE))</f>
        <v>4.5003390669999996</v>
      </c>
      <c r="H172">
        <f ca="1">IF(AND(ISNUMBER($H$396),$B$238=1),$H$396,HLOOKUP(INDIRECT(ADDRESS(2,COLUMN())),OFFSET($R$2,0,0,ROW()-1,12),ROW()-1,FALSE))</f>
        <v>5.0612597600000004</v>
      </c>
      <c r="I172">
        <f ca="1">IF(AND(ISNUMBER($I$396),$B$238=1),$I$396,HLOOKUP(INDIRECT(ADDRESS(2,COLUMN())),OFFSET($R$2,0,0,ROW()-1,12),ROW()-1,FALSE))</f>
        <v>5.629240266</v>
      </c>
      <c r="J172">
        <f ca="1">IF(AND(ISNUMBER($J$396),$B$238=1),$J$396,HLOOKUP(INDIRECT(ADDRESS(2,COLUMN())),OFFSET($R$2,0,0,ROW()-1,12),ROW()-1,FALSE))</f>
        <v>8.1090830389999997</v>
      </c>
      <c r="K172">
        <f ca="1">IF(AND(ISNUMBER($K$396),$B$238=1),$K$396,HLOOKUP(INDIRECT(ADDRESS(2,COLUMN())),OFFSET($R$2,0,0,ROW()-1,12),ROW()-1,FALSE))</f>
        <v>5.3616824589999998</v>
      </c>
      <c r="L172">
        <f ca="1">IF(AND(ISNUMBER($L$396),$B$238=1),$L$396,HLOOKUP(INDIRECT(ADDRESS(2,COLUMN())),OFFSET($R$2,0,0,ROW()-1,12),ROW()-1,FALSE))</f>
        <v>4.2434715819999997</v>
      </c>
      <c r="M172">
        <f ca="1">IF(AND(ISNUMBER($M$396),$B$238=1),$M$396,HLOOKUP(INDIRECT(ADDRESS(2,COLUMN())),OFFSET($R$2,0,0,ROW()-1,12),ROW()-1,FALSE))</f>
        <v>3.257960314</v>
      </c>
      <c r="N172">
        <f ca="1">IF(AND(ISNUMBER($N$396),$B$238=1),$N$396,HLOOKUP(INDIRECT(ADDRESS(2,COLUMN())),OFFSET($R$2,0,0,ROW()-1,12),ROW()-1,FALSE))</f>
        <v>3.8509198360000001</v>
      </c>
      <c r="O172">
        <f ca="1">IF(AND(ISNUMBER($O$396),$B$238=1),$O$396,HLOOKUP(INDIRECT(ADDRESS(2,COLUMN())),OFFSET($R$2,0,0,ROW()-1,12),ROW()-1,FALSE))</f>
        <v>2.9195558099999999</v>
      </c>
      <c r="P172">
        <f ca="1">IF(AND(ISNUMBER($P$396),$B$238=1),$P$396,HLOOKUP(INDIRECT(ADDRESS(2,COLUMN())),OFFSET($R$2,0,0,ROW()-1,12),ROW()-1,FALSE))</f>
        <v>1.984171218</v>
      </c>
      <c r="Q172">
        <f ca="1">IF(AND(ISNUMBER($Q$396),$B$238=1),$Q$396,HLOOKUP(INDIRECT(ADDRESS(2,COLUMN())),OFFSET($R$2,0,0,ROW()-1,12),ROW()-1,FALSE))</f>
        <v>5.0515232970000001</v>
      </c>
      <c r="R172">
        <f>4.943262207</f>
        <v>4.9432622070000001</v>
      </c>
      <c r="S172">
        <f>4.500339067</f>
        <v>4.5003390669999996</v>
      </c>
      <c r="T172">
        <f>5.06125976</f>
        <v>5.0612597600000004</v>
      </c>
      <c r="U172">
        <f>5.629240266</f>
        <v>5.629240266</v>
      </c>
      <c r="V172">
        <f>8.109083039</f>
        <v>8.1090830389999997</v>
      </c>
      <c r="W172">
        <f>5.361682459</f>
        <v>5.3616824589999998</v>
      </c>
      <c r="X172">
        <f>4.243471582</f>
        <v>4.2434715819999997</v>
      </c>
      <c r="Y172">
        <f>3.257960314</f>
        <v>3.257960314</v>
      </c>
      <c r="Z172">
        <f>3.850919836</f>
        <v>3.8509198360000001</v>
      </c>
      <c r="AA172">
        <f>2.91955581</f>
        <v>2.9195558099999999</v>
      </c>
      <c r="AB172">
        <f>1.984171218</f>
        <v>1.984171218</v>
      </c>
      <c r="AC172">
        <f>5.051523297</f>
        <v>5.0515232970000001</v>
      </c>
    </row>
    <row r="173" spans="1:29" x14ac:dyDescent="0.25">
      <c r="A173" t="str">
        <f>"    CGI Inc"</f>
        <v xml:space="preserve">    CGI Inc</v>
      </c>
      <c r="B173" t="str">
        <f>"GIB US Equity"</f>
        <v>GIB US Equity</v>
      </c>
      <c r="C173" t="str">
        <f t="shared" si="27"/>
        <v>RR028</v>
      </c>
      <c r="D173" t="str">
        <f t="shared" si="28"/>
        <v>RETURN_ON_ASSET</v>
      </c>
      <c r="E173" t="str">
        <f t="shared" si="29"/>
        <v>Dynamic</v>
      </c>
      <c r="F173">
        <f ca="1">IF(AND(ISNUMBER($F$397),$B$238=1),$F$397,HLOOKUP(INDIRECT(ADDRESS(2,COLUMN())),OFFSET($R$2,0,0,ROW()-1,12),ROW()-1,FALSE))</f>
        <v>10.29474493</v>
      </c>
      <c r="G173">
        <f ca="1">IF(AND(ISNUMBER($G$397),$B$238=1),$G$397,HLOOKUP(INDIRECT(ADDRESS(2,COLUMN())),OFFSET($R$2,0,0,ROW()-1,12),ROW()-1,FALSE))</f>
        <v>9.7910220070000005</v>
      </c>
      <c r="H173">
        <f ca="1">IF(AND(ISNUMBER($H$397),$B$238=1),$H$397,HLOOKUP(INDIRECT(ADDRESS(2,COLUMN())),OFFSET($R$2,0,0,ROW()-1,12),ROW()-1,FALSE))</f>
        <v>8.9667860049999994</v>
      </c>
      <c r="I173">
        <f ca="1">IF(AND(ISNUMBER($I$397),$B$238=1),$I$397,HLOOKUP(INDIRECT(ADDRESS(2,COLUMN())),OFFSET($R$2,0,0,ROW()-1,12),ROW()-1,FALSE))</f>
        <v>9.1029693359999992</v>
      </c>
      <c r="J173">
        <f ca="1">IF(AND(ISNUMBER($J$397),$B$238=1),$J$397,HLOOKUP(INDIRECT(ADDRESS(2,COLUMN())),OFFSET($R$2,0,0,ROW()-1,12),ROW()-1,FALSE))</f>
        <v>8.4926139339999995</v>
      </c>
      <c r="K173">
        <f ca="1">IF(AND(ISNUMBER($K$397),$B$238=1),$K$397,HLOOKUP(INDIRECT(ADDRESS(2,COLUMN())),OFFSET($R$2,0,0,ROW()-1,12),ROW()-1,FALSE))</f>
        <v>7.7730783490000004</v>
      </c>
      <c r="L173">
        <f ca="1">IF(AND(ISNUMBER($L$397),$B$238=1),$L$397,HLOOKUP(INDIRECT(ADDRESS(2,COLUMN())),OFFSET($R$2,0,0,ROW()-1,12),ROW()-1,FALSE))</f>
        <v>4.2265227799999998</v>
      </c>
      <c r="M173">
        <f ca="1">IF(AND(ISNUMBER($M$397),$B$238=1),$M$397,HLOOKUP(INDIRECT(ADDRESS(2,COLUMN())),OFFSET($R$2,0,0,ROW()-1,12),ROW()-1,FALSE))</f>
        <v>1.71400245</v>
      </c>
      <c r="N173">
        <f ca="1">IF(AND(ISNUMBER($N$397),$B$238=1),$N$397,HLOOKUP(INDIRECT(ADDRESS(2,COLUMN())),OFFSET($R$2,0,0,ROW()-1,12),ROW()-1,FALSE))</f>
        <v>9.4584029760000004</v>
      </c>
      <c r="O173">
        <f ca="1">IF(AND(ISNUMBER($O$397),$B$238=1),$O$397,HLOOKUP(INDIRECT(ADDRESS(2,COLUMN())),OFFSET($R$2,0,0,ROW()-1,12),ROW()-1,FALSE))</f>
        <v>8.5196120279999992</v>
      </c>
      <c r="P173">
        <f ca="1">IF(AND(ISNUMBER($P$397),$B$238=1),$P$397,HLOOKUP(INDIRECT(ADDRESS(2,COLUMN())),OFFSET($R$2,0,0,ROW()-1,12),ROW()-1,FALSE))</f>
        <v>8.349510875</v>
      </c>
      <c r="Q173">
        <f ca="1">IF(AND(ISNUMBER($Q$397),$B$238=1),$Q$397,HLOOKUP(INDIRECT(ADDRESS(2,COLUMN())),OFFSET($R$2,0,0,ROW()-1,12),ROW()-1,FALSE))</f>
        <v>8.1922025789999999</v>
      </c>
      <c r="R173">
        <f>10.29474493</f>
        <v>10.29474493</v>
      </c>
      <c r="S173">
        <f>9.791022007</f>
        <v>9.7910220070000005</v>
      </c>
      <c r="T173">
        <f>8.966786005</f>
        <v>8.9667860049999994</v>
      </c>
      <c r="U173">
        <f>9.102969336</f>
        <v>9.1029693359999992</v>
      </c>
      <c r="V173">
        <f>8.492613934</f>
        <v>8.4926139339999995</v>
      </c>
      <c r="W173">
        <f>7.773078349</f>
        <v>7.7730783490000004</v>
      </c>
      <c r="X173">
        <f>4.22652278</f>
        <v>4.2265227799999998</v>
      </c>
      <c r="Y173">
        <f>1.71400245</f>
        <v>1.71400245</v>
      </c>
      <c r="Z173">
        <f>9.458402976</f>
        <v>9.4584029760000004</v>
      </c>
      <c r="AA173">
        <f>8.519612028</f>
        <v>8.5196120279999992</v>
      </c>
      <c r="AB173">
        <f>8.349510875</f>
        <v>8.349510875</v>
      </c>
      <c r="AC173">
        <f>8.192202579</f>
        <v>8.1922025789999999</v>
      </c>
    </row>
    <row r="174" spans="1:29" x14ac:dyDescent="0.25">
      <c r="A174" t="str">
        <f>"    Cognizant Technology Solutions Corp"</f>
        <v xml:space="preserve">    Cognizant Technology Solutions Corp</v>
      </c>
      <c r="B174" t="str">
        <f>"CTSH US Equity"</f>
        <v>CTSH US Equity</v>
      </c>
      <c r="C174" t="str">
        <f t="shared" si="27"/>
        <v>RR028</v>
      </c>
      <c r="D174" t="str">
        <f t="shared" si="28"/>
        <v>RETURN_ON_ASSET</v>
      </c>
      <c r="E174" t="str">
        <f t="shared" si="29"/>
        <v>Dynamic</v>
      </c>
      <c r="F174">
        <f ca="1">IF(AND(ISNUMBER($F$398),$B$238=1),$F$398,HLOOKUP(INDIRECT(ADDRESS(2,COLUMN())),OFFSET($R$2,0,0,ROW()-1,12),ROW()-1,FALSE))</f>
        <v>11.49453978</v>
      </c>
      <c r="G174">
        <f ca="1">IF(AND(ISNUMBER($G$398),$B$238=1),$G$398,HLOOKUP(INDIRECT(ADDRESS(2,COLUMN())),OFFSET($R$2,0,0,ROW()-1,12),ROW()-1,FALSE))</f>
        <v>13.525605949999999</v>
      </c>
      <c r="H174">
        <f ca="1">IF(AND(ISNUMBER($H$398),$B$238=1),$H$398,HLOOKUP(INDIRECT(ADDRESS(2,COLUMN())),OFFSET($R$2,0,0,ROW()-1,12),ROW()-1,FALSE))</f>
        <v>10.202489569999999</v>
      </c>
      <c r="I174">
        <f ca="1">IF(AND(ISNUMBER($I$398),$B$238=1),$I$398,HLOOKUP(INDIRECT(ADDRESS(2,COLUMN())),OFFSET($R$2,0,0,ROW()-1,12),ROW()-1,FALSE))</f>
        <v>11.36771218</v>
      </c>
      <c r="J174">
        <f ca="1">IF(AND(ISNUMBER($J$398),$B$238=1),$J$398,HLOOKUP(INDIRECT(ADDRESS(2,COLUMN())),OFFSET($R$2,0,0,ROW()-1,12),ROW()-1,FALSE))</f>
        <v>13.235533820000001</v>
      </c>
      <c r="K174">
        <f ca="1">IF(AND(ISNUMBER($K$398),$B$238=1),$K$398,HLOOKUP(INDIRECT(ADDRESS(2,COLUMN())),OFFSET($R$2,0,0,ROW()-1,12),ROW()-1,FALSE))</f>
        <v>14.676462669999999</v>
      </c>
      <c r="L174">
        <f ca="1">IF(AND(ISNUMBER($L$398),$B$238=1),$L$398,HLOOKUP(INDIRECT(ADDRESS(2,COLUMN())),OFFSET($R$2,0,0,ROW()-1,12),ROW()-1,FALSE))</f>
        <v>16.76519888</v>
      </c>
      <c r="M174">
        <f ca="1">IF(AND(ISNUMBER($M$398),$B$238=1),$M$398,HLOOKUP(INDIRECT(ADDRESS(2,COLUMN())),OFFSET($R$2,0,0,ROW()-1,12),ROW()-1,FALSE))</f>
        <v>17.47807723</v>
      </c>
      <c r="N174">
        <f ca="1">IF(AND(ISNUMBER($N$398),$B$238=1),$N$398,HLOOKUP(INDIRECT(ADDRESS(2,COLUMN())),OFFSET($R$2,0,0,ROW()-1,12),ROW()-1,FALSE))</f>
        <v>17.51297963</v>
      </c>
      <c r="O174">
        <f ca="1">IF(AND(ISNUMBER($O$398),$B$238=1),$O$398,HLOOKUP(INDIRECT(ADDRESS(2,COLUMN())),OFFSET($R$2,0,0,ROW()-1,12),ROW()-1,FALSE))</f>
        <v>18.520664629999999</v>
      </c>
      <c r="P174">
        <f ca="1">IF(AND(ISNUMBER($P$398),$B$238=1),$P$398,HLOOKUP(INDIRECT(ADDRESS(2,COLUMN())),OFFSET($R$2,0,0,ROW()-1,12),ROW()-1,FALSE))</f>
        <v>18.728574429999998</v>
      </c>
      <c r="Q174">
        <f ca="1">IF(AND(ISNUMBER($Q$398),$B$238=1),$Q$398,HLOOKUP(INDIRECT(ADDRESS(2,COLUMN())),OFFSET($R$2,0,0,ROW()-1,12),ROW()-1,FALSE))</f>
        <v>20.453771849999999</v>
      </c>
      <c r="R174">
        <f>11.49453978</f>
        <v>11.49453978</v>
      </c>
      <c r="S174">
        <f>13.52560595</f>
        <v>13.525605949999999</v>
      </c>
      <c r="T174">
        <f>10.20248957</f>
        <v>10.202489569999999</v>
      </c>
      <c r="U174">
        <f>11.36771218</f>
        <v>11.36771218</v>
      </c>
      <c r="V174">
        <f>13.23553382</f>
        <v>13.235533820000001</v>
      </c>
      <c r="W174">
        <f>14.67646267</f>
        <v>14.676462669999999</v>
      </c>
      <c r="X174">
        <f>16.76519888</f>
        <v>16.76519888</v>
      </c>
      <c r="Y174">
        <f>17.47807723</f>
        <v>17.47807723</v>
      </c>
      <c r="Z174">
        <f>17.51297963</f>
        <v>17.51297963</v>
      </c>
      <c r="AA174">
        <f>18.52066463</f>
        <v>18.520664629999999</v>
      </c>
      <c r="AB174">
        <f>18.72857443</f>
        <v>18.728574429999998</v>
      </c>
      <c r="AC174">
        <f>20.45377185</f>
        <v>20.453771849999999</v>
      </c>
    </row>
    <row r="175" spans="1:29" x14ac:dyDescent="0.25">
      <c r="A175" t="str">
        <f>"    Conduent Inc"</f>
        <v xml:space="preserve">    Conduent Inc</v>
      </c>
      <c r="B175" t="str">
        <f>"CNDT US Equity"</f>
        <v>CNDT US Equity</v>
      </c>
      <c r="C175" t="str">
        <f t="shared" si="27"/>
        <v>RR028</v>
      </c>
      <c r="D175" t="str">
        <f t="shared" si="28"/>
        <v>RETURN_ON_ASSET</v>
      </c>
      <c r="E175" t="str">
        <f t="shared" si="29"/>
        <v>Dynamic</v>
      </c>
      <c r="F175">
        <f ca="1">IF(AND(ISNUMBER($F$399),$B$238=1),$F$399,HLOOKUP(INDIRECT(ADDRESS(2,COLUMN())),OFFSET($R$2,0,0,ROW()-1,12),ROW()-1,FALSE))</f>
        <v>-34.554225479999999</v>
      </c>
      <c r="G175">
        <f ca="1">IF(AND(ISNUMBER($G$399),$B$238=1),$G$399,HLOOKUP(INDIRECT(ADDRESS(2,COLUMN())),OFFSET($R$2,0,0,ROW()-1,12),ROW()-1,FALSE))</f>
        <v>-5.8476244030000002</v>
      </c>
      <c r="H175">
        <f ca="1">IF(AND(ISNUMBER($H$399),$B$238=1),$H$399,HLOOKUP(INDIRECT(ADDRESS(2,COLUMN())),OFFSET($R$2,0,0,ROW()-1,12),ROW()-1,FALSE))</f>
        <v>2.3726813920000001</v>
      </c>
      <c r="I175">
        <f ca="1">IF(AND(ISNUMBER($I$399),$B$238=1),$I$399,HLOOKUP(INDIRECT(ADDRESS(2,COLUMN())),OFFSET($R$2,0,0,ROW()-1,12),ROW()-1,FALSE))</f>
        <v>-11.72541301</v>
      </c>
      <c r="J175">
        <f ca="1">IF(AND(ISNUMBER($J$399),$B$238=1),$J$399,HLOOKUP(INDIRECT(ADDRESS(2,COLUMN())),OFFSET($R$2,0,0,ROW()-1,12),ROW()-1,FALSE))</f>
        <v>-4.1375174899999996</v>
      </c>
      <c r="K175" t="str">
        <f ca="1">IF(AND(ISNUMBER($K$399),$B$238=1),$K$399,HLOOKUP(INDIRECT(ADDRESS(2,COLUMN())),OFFSET($R$2,0,0,ROW()-1,12),ROW()-1,FALSE))</f>
        <v/>
      </c>
      <c r="L175" t="str">
        <f ca="1">IF(AND(ISNUMBER($L$399),$B$238=1),$L$399,HLOOKUP(INDIRECT(ADDRESS(2,COLUMN())),OFFSET($R$2,0,0,ROW()-1,12),ROW()-1,FALSE))</f>
        <v/>
      </c>
      <c r="M175">
        <f ca="1">IF(AND(ISNUMBER($M$399),$B$238=1),$M$399,HLOOKUP(INDIRECT(ADDRESS(2,COLUMN())),OFFSET($R$2,0,0,ROW()-1,12),ROW()-1,FALSE))</f>
        <v>1.5467904100000001</v>
      </c>
      <c r="N175" t="str">
        <f ca="1">IF(AND(ISNUMBER($N$399),$B$238=1),$N$399,HLOOKUP(INDIRECT(ADDRESS(2,COLUMN())),OFFSET($R$2,0,0,ROW()-1,12),ROW()-1,FALSE))</f>
        <v/>
      </c>
      <c r="O175" t="str">
        <f ca="1">IF(AND(ISNUMBER($O$399),$B$238=1),$O$399,HLOOKUP(INDIRECT(ADDRESS(2,COLUMN())),OFFSET($R$2,0,0,ROW()-1,12),ROW()-1,FALSE))</f>
        <v/>
      </c>
      <c r="P175" t="str">
        <f ca="1">IF(AND(ISNUMBER($P$399),$B$238=1),$P$399,HLOOKUP(INDIRECT(ADDRESS(2,COLUMN())),OFFSET($R$2,0,0,ROW()-1,12),ROW()-1,FALSE))</f>
        <v/>
      </c>
      <c r="Q175" t="str">
        <f ca="1">IF(AND(ISNUMBER($Q$399),$B$238=1),$Q$399,HLOOKUP(INDIRECT(ADDRESS(2,COLUMN())),OFFSET($R$2,0,0,ROW()-1,12),ROW()-1,FALSE))</f>
        <v/>
      </c>
      <c r="R175">
        <f>-34.55422548</f>
        <v>-34.554225479999999</v>
      </c>
      <c r="S175">
        <f>-5.847624403</f>
        <v>-5.8476244030000002</v>
      </c>
      <c r="T175">
        <f>2.372681392</f>
        <v>2.3726813920000001</v>
      </c>
      <c r="U175">
        <f>-11.72541301</f>
        <v>-11.72541301</v>
      </c>
      <c r="V175">
        <f>-4.13751749</f>
        <v>-4.1375174899999996</v>
      </c>
      <c r="W175" t="str">
        <f>""</f>
        <v/>
      </c>
      <c r="X175" t="str">
        <f>""</f>
        <v/>
      </c>
      <c r="Y175">
        <f>1.54679041</f>
        <v>1.5467904100000001</v>
      </c>
      <c r="Z175" t="str">
        <f>""</f>
        <v/>
      </c>
      <c r="AA175" t="str">
        <f>""</f>
        <v/>
      </c>
      <c r="AB175" t="str">
        <f>""</f>
        <v/>
      </c>
      <c r="AC175" t="str">
        <f>""</f>
        <v/>
      </c>
    </row>
    <row r="176" spans="1:29" x14ac:dyDescent="0.25">
      <c r="A176" t="str">
        <f>"    DXC Technology Co"</f>
        <v xml:space="preserve">    DXC Technology Co</v>
      </c>
      <c r="B176" t="str">
        <f>"DXC US Equity"</f>
        <v>DXC US Equity</v>
      </c>
      <c r="C176" t="str">
        <f t="shared" si="27"/>
        <v>RR028</v>
      </c>
      <c r="D176" t="str">
        <f t="shared" si="28"/>
        <v>RETURN_ON_ASSET</v>
      </c>
      <c r="E176" t="str">
        <f t="shared" si="29"/>
        <v>Dynamic</v>
      </c>
      <c r="F176">
        <f ca="1">IF(AND(ISNUMBER($F$400),$B$238=1),$F$400,HLOOKUP(INDIRECT(ADDRESS(2,COLUMN())),OFFSET($R$2,0,0,ROW()-1,12),ROW()-1,FALSE))</f>
        <v>-19.319899240000002</v>
      </c>
      <c r="G176">
        <f ca="1">IF(AND(ISNUMBER($G$400),$B$238=1),$G$400,HLOOKUP(INDIRECT(ADDRESS(2,COLUMN())),OFFSET($R$2,0,0,ROW()-1,12),ROW()-1,FALSE))</f>
        <v>3.9593668790000001</v>
      </c>
      <c r="H176">
        <f ca="1">IF(AND(ISNUMBER($H$400),$B$238=1),$H$400,HLOOKUP(INDIRECT(ADDRESS(2,COLUMN())),OFFSET($R$2,0,0,ROW()-1,12),ROW()-1,FALSE))</f>
        <v>5.4950572729999996</v>
      </c>
      <c r="I176" t="str">
        <f ca="1">IF(AND(ISNUMBER($I$400),$B$238=1),$I$400,HLOOKUP(INDIRECT(ADDRESS(2,COLUMN())),OFFSET($R$2,0,0,ROW()-1,12),ROW()-1,FALSE))</f>
        <v/>
      </c>
      <c r="J176" t="str">
        <f ca="1">IF(AND(ISNUMBER($J$400),$B$238=1),$J$400,HLOOKUP(INDIRECT(ADDRESS(2,COLUMN())),OFFSET($R$2,0,0,ROW()-1,12),ROW()-1,FALSE))</f>
        <v/>
      </c>
      <c r="K176" t="str">
        <f ca="1">IF(AND(ISNUMBER($K$400),$B$238=1),$K$400,HLOOKUP(INDIRECT(ADDRESS(2,COLUMN())),OFFSET($R$2,0,0,ROW()-1,12),ROW()-1,FALSE))</f>
        <v/>
      </c>
      <c r="L176" t="str">
        <f ca="1">IF(AND(ISNUMBER($L$400),$B$238=1),$L$400,HLOOKUP(INDIRECT(ADDRESS(2,COLUMN())),OFFSET($R$2,0,0,ROW()-1,12),ROW()-1,FALSE))</f>
        <v/>
      </c>
      <c r="M176" t="str">
        <f ca="1">IF(AND(ISNUMBER($M$400),$B$238=1),$M$400,HLOOKUP(INDIRECT(ADDRESS(2,COLUMN())),OFFSET($R$2,0,0,ROW()-1,12),ROW()-1,FALSE))</f>
        <v/>
      </c>
      <c r="N176" t="str">
        <f ca="1">IF(AND(ISNUMBER($N$400),$B$238=1),$N$400,HLOOKUP(INDIRECT(ADDRESS(2,COLUMN())),OFFSET($R$2,0,0,ROW()-1,12),ROW()-1,FALSE))</f>
        <v/>
      </c>
      <c r="O176" t="str">
        <f ca="1">IF(AND(ISNUMBER($O$400),$B$238=1),$O$400,HLOOKUP(INDIRECT(ADDRESS(2,COLUMN())),OFFSET($R$2,0,0,ROW()-1,12),ROW()-1,FALSE))</f>
        <v/>
      </c>
      <c r="P176" t="str">
        <f ca="1">IF(AND(ISNUMBER($P$400),$B$238=1),$P$400,HLOOKUP(INDIRECT(ADDRESS(2,COLUMN())),OFFSET($R$2,0,0,ROW()-1,12),ROW()-1,FALSE))</f>
        <v/>
      </c>
      <c r="Q176" t="str">
        <f ca="1">IF(AND(ISNUMBER($Q$400),$B$238=1),$Q$400,HLOOKUP(INDIRECT(ADDRESS(2,COLUMN())),OFFSET($R$2,0,0,ROW()-1,12),ROW()-1,FALSE))</f>
        <v/>
      </c>
      <c r="R176">
        <f>-19.31989924</f>
        <v>-19.319899240000002</v>
      </c>
      <c r="S176">
        <f>3.959366879</f>
        <v>3.9593668790000001</v>
      </c>
      <c r="T176">
        <f>5.495057273</f>
        <v>5.4950572729999996</v>
      </c>
      <c r="U176" t="str">
        <f>""</f>
        <v/>
      </c>
      <c r="V176" t="str">
        <f>""</f>
        <v/>
      </c>
      <c r="W176" t="str">
        <f>""</f>
        <v/>
      </c>
      <c r="X176" t="str">
        <f>""</f>
        <v/>
      </c>
      <c r="Y176" t="str">
        <f>""</f>
        <v/>
      </c>
      <c r="Z176" t="str">
        <f>""</f>
        <v/>
      </c>
      <c r="AA176" t="str">
        <f>""</f>
        <v/>
      </c>
      <c r="AB176" t="str">
        <f>""</f>
        <v/>
      </c>
      <c r="AC176" t="str">
        <f>""</f>
        <v/>
      </c>
    </row>
    <row r="177" spans="1:29" x14ac:dyDescent="0.25">
      <c r="A177" t="str">
        <f>"    EPAM Systems Inc"</f>
        <v xml:space="preserve">    EPAM Systems Inc</v>
      </c>
      <c r="B177" t="str">
        <f>"EPAM US Equity"</f>
        <v>EPAM US Equity</v>
      </c>
      <c r="C177" t="str">
        <f t="shared" si="27"/>
        <v>RR028</v>
      </c>
      <c r="D177" t="str">
        <f t="shared" si="28"/>
        <v>RETURN_ON_ASSET</v>
      </c>
      <c r="E177" t="str">
        <f t="shared" si="29"/>
        <v>Dynamic</v>
      </c>
      <c r="F177">
        <f ca="1">IF(AND(ISNUMBER($F$401),$B$238=1),$F$401,HLOOKUP(INDIRECT(ADDRESS(2,COLUMN())),OFFSET($R$2,0,0,ROW()-1,12),ROW()-1,FALSE))</f>
        <v>13.540265720000001</v>
      </c>
      <c r="G177">
        <f ca="1">IF(AND(ISNUMBER($G$401),$B$238=1),$G$401,HLOOKUP(INDIRECT(ADDRESS(2,COLUMN())),OFFSET($R$2,0,0,ROW()-1,12),ROW()-1,FALSE))</f>
        <v>16.789037820000001</v>
      </c>
      <c r="H177">
        <f ca="1">IF(AND(ISNUMBER($H$401),$B$238=1),$H$401,HLOOKUP(INDIRECT(ADDRESS(2,COLUMN())),OFFSET($R$2,0,0,ROW()-1,12),ROW()-1,FALSE))</f>
        <v>6.6872940950000004</v>
      </c>
      <c r="I177">
        <f ca="1">IF(AND(ISNUMBER($I$401),$B$238=1),$I$401,HLOOKUP(INDIRECT(ADDRESS(2,COLUMN())),OFFSET($R$2,0,0,ROW()-1,12),ROW()-1,FALSE))</f>
        <v>11.64856687</v>
      </c>
      <c r="J177">
        <f ca="1">IF(AND(ISNUMBER($J$401),$B$238=1),$J$401,HLOOKUP(INDIRECT(ADDRESS(2,COLUMN())),OFFSET($R$2,0,0,ROW()-1,12),ROW()-1,FALSE))</f>
        <v>12.306329330000001</v>
      </c>
      <c r="K177">
        <f ca="1">IF(AND(ISNUMBER($K$401),$B$238=1),$K$401,HLOOKUP(INDIRECT(ADDRESS(2,COLUMN())),OFFSET($R$2,0,0,ROW()-1,12),ROW()-1,FALSE))</f>
        <v>13.563306369999999</v>
      </c>
      <c r="L177">
        <f ca="1">IF(AND(ISNUMBER($L$401),$B$238=1),$L$401,HLOOKUP(INDIRECT(ADDRESS(2,COLUMN())),OFFSET($R$2,0,0,ROW()-1,12),ROW()-1,FALSE))</f>
        <v>15.8210315</v>
      </c>
      <c r="M177">
        <f ca="1">IF(AND(ISNUMBER($M$401),$B$238=1),$M$401,HLOOKUP(INDIRECT(ADDRESS(2,COLUMN())),OFFSET($R$2,0,0,ROW()-1,12),ROW()-1,FALSE))</f>
        <v>18.58168195</v>
      </c>
      <c r="N177">
        <f ca="1">IF(AND(ISNUMBER($N$401),$B$238=1),$N$401,HLOOKUP(INDIRECT(ADDRESS(2,COLUMN())),OFFSET($R$2,0,0,ROW()-1,12),ROW()-1,FALSE))</f>
        <v>21.823451120000001</v>
      </c>
      <c r="O177">
        <f ca="1">IF(AND(ISNUMBER($O$401),$B$238=1),$O$401,HLOOKUP(INDIRECT(ADDRESS(2,COLUMN())),OFFSET($R$2,0,0,ROW()-1,12),ROW()-1,FALSE))</f>
        <v>18.485951709999998</v>
      </c>
      <c r="P177" t="str">
        <f ca="1">IF(AND(ISNUMBER($P$401),$B$238=1),$P$401,HLOOKUP(INDIRECT(ADDRESS(2,COLUMN())),OFFSET($R$2,0,0,ROW()-1,12),ROW()-1,FALSE))</f>
        <v/>
      </c>
      <c r="Q177" t="str">
        <f ca="1">IF(AND(ISNUMBER($Q$401),$B$238=1),$Q$401,HLOOKUP(INDIRECT(ADDRESS(2,COLUMN())),OFFSET($R$2,0,0,ROW()-1,12),ROW()-1,FALSE))</f>
        <v/>
      </c>
      <c r="R177">
        <f>13.54026572</f>
        <v>13.540265720000001</v>
      </c>
      <c r="S177">
        <f>16.78903782</f>
        <v>16.789037820000001</v>
      </c>
      <c r="T177">
        <f>6.687294095</f>
        <v>6.6872940950000004</v>
      </c>
      <c r="U177">
        <f>11.64856687</f>
        <v>11.64856687</v>
      </c>
      <c r="V177">
        <f>12.30632933</f>
        <v>12.306329330000001</v>
      </c>
      <c r="W177">
        <f>13.56330637</f>
        <v>13.563306369999999</v>
      </c>
      <c r="X177">
        <f>15.8210315</f>
        <v>15.8210315</v>
      </c>
      <c r="Y177">
        <f>18.58168195</f>
        <v>18.58168195</v>
      </c>
      <c r="Z177">
        <f>21.82345112</f>
        <v>21.823451120000001</v>
      </c>
      <c r="AA177">
        <f>18.48595171</f>
        <v>18.485951709999998</v>
      </c>
      <c r="AB177" t="str">
        <f>""</f>
        <v/>
      </c>
      <c r="AC177" t="str">
        <f>""</f>
        <v/>
      </c>
    </row>
    <row r="178" spans="1:29" x14ac:dyDescent="0.25">
      <c r="A178" t="str">
        <f>"    Genpact Ltd"</f>
        <v xml:space="preserve">    Genpact Ltd</v>
      </c>
      <c r="B178" t="str">
        <f>"G US Equity"</f>
        <v>G US Equity</v>
      </c>
      <c r="C178" t="str">
        <f t="shared" si="27"/>
        <v>RR028</v>
      </c>
      <c r="D178" t="str">
        <f t="shared" si="28"/>
        <v>RETURN_ON_ASSET</v>
      </c>
      <c r="E178" t="str">
        <f t="shared" si="29"/>
        <v>Dynamic</v>
      </c>
      <c r="F178">
        <f ca="1">IF(AND(ISNUMBER($F$402),$B$238=1),$F$402,HLOOKUP(INDIRECT(ADDRESS(2,COLUMN())),OFFSET($R$2,0,0,ROW()-1,12),ROW()-1,FALSE))</f>
        <v>7.6376545050000004</v>
      </c>
      <c r="G178">
        <f ca="1">IF(AND(ISNUMBER($G$402),$B$238=1),$G$402,HLOOKUP(INDIRECT(ADDRESS(2,COLUMN())),OFFSET($R$2,0,0,ROW()-1,12),ROW()-1,FALSE))</f>
        <v>8.0818550790000003</v>
      </c>
      <c r="H178">
        <f ca="1">IF(AND(ISNUMBER($H$402),$B$238=1),$H$402,HLOOKUP(INDIRECT(ADDRESS(2,COLUMN())),OFFSET($R$2,0,0,ROW()-1,12),ROW()-1,FALSE))</f>
        <v>8.3059256090000009</v>
      </c>
      <c r="I178">
        <f ca="1">IF(AND(ISNUMBER($I$402),$B$238=1),$I$402,HLOOKUP(INDIRECT(ADDRESS(2,COLUMN())),OFFSET($R$2,0,0,ROW()-1,12),ROW()-1,FALSE))</f>
        <v>9.4969705260000001</v>
      </c>
      <c r="J178">
        <f ca="1">IF(AND(ISNUMBER($J$402),$B$238=1),$J$402,HLOOKUP(INDIRECT(ADDRESS(2,COLUMN())),OFFSET($R$2,0,0,ROW()-1,12),ROW()-1,FALSE))</f>
        <v>8.663868269</v>
      </c>
      <c r="K178">
        <f ca="1">IF(AND(ISNUMBER($K$402),$B$238=1),$K$402,HLOOKUP(INDIRECT(ADDRESS(2,COLUMN())),OFFSET($R$2,0,0,ROW()-1,12),ROW()-1,FALSE))</f>
        <v>7.0694180160000002</v>
      </c>
      <c r="L178">
        <f ca="1">IF(AND(ISNUMBER($L$402),$B$238=1),$L$402,HLOOKUP(INDIRECT(ADDRESS(2,COLUMN())),OFFSET($R$2,0,0,ROW()-1,12),ROW()-1,FALSE))</f>
        <v>8.6762699110000003</v>
      </c>
      <c r="M178">
        <f ca="1">IF(AND(ISNUMBER($M$402),$B$238=1),$M$402,HLOOKUP(INDIRECT(ADDRESS(2,COLUMN())),OFFSET($R$2,0,0,ROW()-1,12),ROW()-1,FALSE))</f>
        <v>7.1153854599999997</v>
      </c>
      <c r="N178">
        <f ca="1">IF(AND(ISNUMBER($N$402),$B$238=1),$N$402,HLOOKUP(INDIRECT(ADDRESS(2,COLUMN())),OFFSET($R$2,0,0,ROW()-1,12),ROW()-1,FALSE))</f>
        <v>8.5781019020000002</v>
      </c>
      <c r="O178">
        <f ca="1">IF(AND(ISNUMBER($O$402),$B$238=1),$O$402,HLOOKUP(INDIRECT(ADDRESS(2,COLUMN())),OFFSET($R$2,0,0,ROW()-1,12),ROW()-1,FALSE))</f>
        <v>7.8099414840000003</v>
      </c>
      <c r="P178">
        <f ca="1">IF(AND(ISNUMBER($P$402),$B$238=1),$P$402,HLOOKUP(INDIRECT(ADDRESS(2,COLUMN())),OFFSET($R$2,0,0,ROW()-1,12),ROW()-1,FALSE))</f>
        <v>7.392858833</v>
      </c>
      <c r="Q178" t="str">
        <f ca="1">IF(AND(ISNUMBER($Q$402),$B$238=1),$Q$402,HLOOKUP(INDIRECT(ADDRESS(2,COLUMN())),OFFSET($R$2,0,0,ROW()-1,12),ROW()-1,FALSE))</f>
        <v/>
      </c>
      <c r="R178">
        <f>7.637654505</f>
        <v>7.6376545050000004</v>
      </c>
      <c r="S178">
        <f>8.081855079</f>
        <v>8.0818550790000003</v>
      </c>
      <c r="T178">
        <f>8.305925609</f>
        <v>8.3059256090000009</v>
      </c>
      <c r="U178">
        <f>9.496970526</f>
        <v>9.4969705260000001</v>
      </c>
      <c r="V178">
        <f>8.663868269</f>
        <v>8.663868269</v>
      </c>
      <c r="W178">
        <f>7.069418016</f>
        <v>7.0694180160000002</v>
      </c>
      <c r="X178">
        <f>8.676269911</f>
        <v>8.6762699110000003</v>
      </c>
      <c r="Y178">
        <f>7.11538546</f>
        <v>7.1153854599999997</v>
      </c>
      <c r="Z178">
        <f>8.578101902</f>
        <v>8.5781019020000002</v>
      </c>
      <c r="AA178">
        <f>7.809941484</f>
        <v>7.8099414840000003</v>
      </c>
      <c r="AB178">
        <f>7.392858833</f>
        <v>7.392858833</v>
      </c>
      <c r="AC178" t="str">
        <f>""</f>
        <v/>
      </c>
    </row>
    <row r="179" spans="1:29" x14ac:dyDescent="0.25">
      <c r="A179" t="str">
        <f>"    HCL Technologies Ltd"</f>
        <v xml:space="preserve">    HCL Technologies Ltd</v>
      </c>
      <c r="B179" t="str">
        <f>"HCLT IN Equity"</f>
        <v>HCLT IN Equity</v>
      </c>
      <c r="C179" t="str">
        <f t="shared" si="27"/>
        <v>RR028</v>
      </c>
      <c r="D179" t="str">
        <f t="shared" si="28"/>
        <v>RETURN_ON_ASSET</v>
      </c>
      <c r="E179" t="str">
        <f t="shared" si="29"/>
        <v>Dynamic</v>
      </c>
      <c r="F179">
        <f ca="1">IF(AND(ISNUMBER($F$403),$B$238=1),$F$403,HLOOKUP(INDIRECT(ADDRESS(2,COLUMN())),OFFSET($R$2,0,0,ROW()-1,12),ROW()-1,FALSE))</f>
        <v>15.919597270000001</v>
      </c>
      <c r="G179">
        <f ca="1">IF(AND(ISNUMBER($G$403),$B$238=1),$G$403,HLOOKUP(INDIRECT(ADDRESS(2,COLUMN())),OFFSET($R$2,0,0,ROW()-1,12),ROW()-1,FALSE))</f>
        <v>18.130744979999999</v>
      </c>
      <c r="H179">
        <f ca="1">IF(AND(ISNUMBER($H$403),$B$238=1),$H$403,HLOOKUP(INDIRECT(ADDRESS(2,COLUMN())),OFFSET($R$2,0,0,ROW()-1,12),ROW()-1,FALSE))</f>
        <v>18.597856799999999</v>
      </c>
      <c r="I179">
        <f ca="1">IF(AND(ISNUMBER($I$403),$B$238=1),$I$403,HLOOKUP(INDIRECT(ADDRESS(2,COLUMN())),OFFSET($R$2,0,0,ROW()-1,12),ROW()-1,FALSE))</f>
        <v>20.140961770000001</v>
      </c>
      <c r="J179" t="str">
        <f ca="1">IF(AND(ISNUMBER($J$403),$B$238=1),$J$403,HLOOKUP(INDIRECT(ADDRESS(2,COLUMN())),OFFSET($R$2,0,0,ROW()-1,12),ROW()-1,FALSE))</f>
        <v/>
      </c>
      <c r="K179" t="str">
        <f ca="1">IF(AND(ISNUMBER($K$403),$B$238=1),$K$403,HLOOKUP(INDIRECT(ADDRESS(2,COLUMN())),OFFSET($R$2,0,0,ROW()-1,12),ROW()-1,FALSE))</f>
        <v/>
      </c>
      <c r="L179">
        <f ca="1">IF(AND(ISNUMBER($L$403),$B$238=1),$L$403,HLOOKUP(INDIRECT(ADDRESS(2,COLUMN())),OFFSET($R$2,0,0,ROW()-1,12),ROW()-1,FALSE))</f>
        <v>23.507222720000001</v>
      </c>
      <c r="M179">
        <f ca="1">IF(AND(ISNUMBER($M$403),$B$238=1),$M$403,HLOOKUP(INDIRECT(ADDRESS(2,COLUMN())),OFFSET($R$2,0,0,ROW()-1,12),ROW()-1,FALSE))</f>
        <v>19.83493674</v>
      </c>
      <c r="N179">
        <f ca="1">IF(AND(ISNUMBER($N$403),$B$238=1),$N$403,HLOOKUP(INDIRECT(ADDRESS(2,COLUMN())),OFFSET($R$2,0,0,ROW()-1,12),ROW()-1,FALSE))</f>
        <v>15.02988824</v>
      </c>
      <c r="O179">
        <f ca="1">IF(AND(ISNUMBER($O$403),$B$238=1),$O$403,HLOOKUP(INDIRECT(ADDRESS(2,COLUMN())),OFFSET($R$2,0,0,ROW()-1,12),ROW()-1,FALSE))</f>
        <v>12.424915179999999</v>
      </c>
      <c r="P179">
        <f ca="1">IF(AND(ISNUMBER($P$403),$B$238=1),$P$403,HLOOKUP(INDIRECT(ADDRESS(2,COLUMN())),OFFSET($R$2,0,0,ROW()-1,12),ROW()-1,FALSE))</f>
        <v>10.33555102</v>
      </c>
      <c r="Q179">
        <f ca="1">IF(AND(ISNUMBER($Q$403),$B$238=1),$Q$403,HLOOKUP(INDIRECT(ADDRESS(2,COLUMN())),OFFSET($R$2,0,0,ROW()-1,12),ROW()-1,FALSE))</f>
        <v>14.214429859999999</v>
      </c>
      <c r="R179">
        <f>15.91959727</f>
        <v>15.919597270000001</v>
      </c>
      <c r="S179">
        <f>18.13074498</f>
        <v>18.130744979999999</v>
      </c>
      <c r="T179">
        <f>18.5978568</f>
        <v>18.597856799999999</v>
      </c>
      <c r="U179">
        <f>20.14096177</f>
        <v>20.140961770000001</v>
      </c>
      <c r="V179" t="str">
        <f>""</f>
        <v/>
      </c>
      <c r="W179" t="str">
        <f>""</f>
        <v/>
      </c>
      <c r="X179">
        <f>23.50722272</f>
        <v>23.507222720000001</v>
      </c>
      <c r="Y179">
        <f>19.83493674</f>
        <v>19.83493674</v>
      </c>
      <c r="Z179">
        <f>15.02988824</f>
        <v>15.02988824</v>
      </c>
      <c r="AA179">
        <f>12.42491518</f>
        <v>12.424915179999999</v>
      </c>
      <c r="AB179">
        <f>10.33555102</f>
        <v>10.33555102</v>
      </c>
      <c r="AC179">
        <f>14.21442986</f>
        <v>14.214429859999999</v>
      </c>
    </row>
    <row r="180" spans="1:29" x14ac:dyDescent="0.25">
      <c r="A180" t="str">
        <f>"    Indra Sistemas SA"</f>
        <v xml:space="preserve">    Indra Sistemas SA</v>
      </c>
      <c r="B180" t="str">
        <f>"IDR SM Equity"</f>
        <v>IDR SM Equity</v>
      </c>
      <c r="C180" t="str">
        <f t="shared" si="27"/>
        <v>RR028</v>
      </c>
      <c r="D180" t="str">
        <f t="shared" si="28"/>
        <v>RETURN_ON_ASSET</v>
      </c>
      <c r="E180" t="str">
        <f t="shared" si="29"/>
        <v>Dynamic</v>
      </c>
      <c r="F180">
        <f ca="1">IF(AND(ISNUMBER($F$404),$B$238=1),$F$404,HLOOKUP(INDIRECT(ADDRESS(2,COLUMN())),OFFSET($R$2,0,0,ROW()-1,12),ROW()-1,FALSE))</f>
        <v>2.9042335659999998</v>
      </c>
      <c r="G180">
        <f ca="1">IF(AND(ISNUMBER($G$404),$B$238=1),$G$404,HLOOKUP(INDIRECT(ADDRESS(2,COLUMN())),OFFSET($R$2,0,0,ROW()-1,12),ROW()-1,FALSE))</f>
        <v>3.0288897810000002</v>
      </c>
      <c r="H180">
        <f ca="1">IF(AND(ISNUMBER($H$404),$B$238=1),$H$404,HLOOKUP(INDIRECT(ADDRESS(2,COLUMN())),OFFSET($R$2,0,0,ROW()-1,12),ROW()-1,FALSE))</f>
        <v>3.5258185879999999</v>
      </c>
      <c r="I180">
        <f ca="1">IF(AND(ISNUMBER($I$404),$B$238=1),$I$404,HLOOKUP(INDIRECT(ADDRESS(2,COLUMN())),OFFSET($R$2,0,0,ROW()-1,12),ROW()-1,FALSE))</f>
        <v>2.1866000200000002</v>
      </c>
      <c r="J180">
        <f ca="1">IF(AND(ISNUMBER($J$404),$B$238=1),$J$404,HLOOKUP(INDIRECT(ADDRESS(2,COLUMN())),OFFSET($R$2,0,0,ROW()-1,12),ROW()-1,FALSE))</f>
        <v>-19.591546520000001</v>
      </c>
      <c r="K180">
        <f ca="1">IF(AND(ISNUMBER($K$404),$B$238=1),$K$404,HLOOKUP(INDIRECT(ADDRESS(2,COLUMN())),OFFSET($R$2,0,0,ROW()-1,12),ROW()-1,FALSE))</f>
        <v>-2.5022120459999999</v>
      </c>
      <c r="L180">
        <f ca="1">IF(AND(ISNUMBER($L$404),$B$238=1),$L$404,HLOOKUP(INDIRECT(ADDRESS(2,COLUMN())),OFFSET($R$2,0,0,ROW()-1,12),ROW()-1,FALSE))</f>
        <v>3.0396228010000002</v>
      </c>
      <c r="M180">
        <f ca="1">IF(AND(ISNUMBER($M$404),$B$238=1),$M$404,HLOOKUP(INDIRECT(ADDRESS(2,COLUMN())),OFFSET($R$2,0,0,ROW()-1,12),ROW()-1,FALSE))</f>
        <v>3.644051105</v>
      </c>
      <c r="N180">
        <f ca="1">IF(AND(ISNUMBER($N$404),$B$238=1),$N$404,HLOOKUP(INDIRECT(ADDRESS(2,COLUMN())),OFFSET($R$2,0,0,ROW()-1,12),ROW()-1,FALSE))</f>
        <v>5.5685746060000003</v>
      </c>
      <c r="O180">
        <f ca="1">IF(AND(ISNUMBER($O$404),$B$238=1),$O$404,HLOOKUP(INDIRECT(ADDRESS(2,COLUMN())),OFFSET($R$2,0,0,ROW()-1,12),ROW()-1,FALSE))</f>
        <v>6.8987031879999998</v>
      </c>
      <c r="P180">
        <f ca="1">IF(AND(ISNUMBER($P$404),$B$238=1),$P$404,HLOOKUP(INDIRECT(ADDRESS(2,COLUMN())),OFFSET($R$2,0,0,ROW()-1,12),ROW()-1,FALSE))</f>
        <v>7.9007795549999997</v>
      </c>
      <c r="Q180">
        <f ca="1">IF(AND(ISNUMBER($Q$404),$B$238=1),$Q$404,HLOOKUP(INDIRECT(ADDRESS(2,COLUMN())),OFFSET($R$2,0,0,ROW()-1,12),ROW()-1,FALSE))</f>
        <v>7.5654593950000004</v>
      </c>
      <c r="R180">
        <f>2.904233566</f>
        <v>2.9042335659999998</v>
      </c>
      <c r="S180">
        <f>3.028889781</f>
        <v>3.0288897810000002</v>
      </c>
      <c r="T180">
        <f>3.525818588</f>
        <v>3.5258185879999999</v>
      </c>
      <c r="U180">
        <f>2.18660002</f>
        <v>2.1866000200000002</v>
      </c>
      <c r="V180">
        <f>-19.59154652</f>
        <v>-19.591546520000001</v>
      </c>
      <c r="W180">
        <f>-2.502212046</f>
        <v>-2.5022120459999999</v>
      </c>
      <c r="X180">
        <f>3.039622801</f>
        <v>3.0396228010000002</v>
      </c>
      <c r="Y180">
        <f>3.644051105</f>
        <v>3.644051105</v>
      </c>
      <c r="Z180">
        <f>5.568574606</f>
        <v>5.5685746060000003</v>
      </c>
      <c r="AA180">
        <f>6.898703188</f>
        <v>6.8987031879999998</v>
      </c>
      <c r="AB180">
        <f>7.900779555</f>
        <v>7.9007795549999997</v>
      </c>
      <c r="AC180">
        <f>7.565459395</f>
        <v>7.5654593950000004</v>
      </c>
    </row>
    <row r="181" spans="1:29" x14ac:dyDescent="0.25">
      <c r="A181" t="str">
        <f>"    Infosys Ltd"</f>
        <v xml:space="preserve">    Infosys Ltd</v>
      </c>
      <c r="B181" t="str">
        <f>"INFY US Equity"</f>
        <v>INFY US Equity</v>
      </c>
      <c r="C181" t="str">
        <f t="shared" si="27"/>
        <v>RR028</v>
      </c>
      <c r="D181" t="str">
        <f t="shared" si="28"/>
        <v>RETURN_ON_ASSET</v>
      </c>
      <c r="E181" t="str">
        <f t="shared" si="29"/>
        <v>Dynamic</v>
      </c>
      <c r="F181">
        <f ca="1">IF(AND(ISNUMBER($F$405),$B$238=1),$F$405,HLOOKUP(INDIRECT(ADDRESS(2,COLUMN())),OFFSET($R$2,0,0,ROW()-1,12),ROW()-1,FALSE))</f>
        <v>18.696832780000001</v>
      </c>
      <c r="G181">
        <f ca="1">IF(AND(ISNUMBER($G$405),$B$238=1),$G$405,HLOOKUP(INDIRECT(ADDRESS(2,COLUMN())),OFFSET($R$2,0,0,ROW()-1,12),ROW()-1,FALSE))</f>
        <v>18.713706049999999</v>
      </c>
      <c r="H181">
        <f ca="1">IF(AND(ISNUMBER($H$405),$B$238=1),$H$405,HLOOKUP(INDIRECT(ADDRESS(2,COLUMN())),OFFSET($R$2,0,0,ROW()-1,12),ROW()-1,FALSE))</f>
        <v>19.63796747</v>
      </c>
      <c r="I181">
        <f ca="1">IF(AND(ISNUMBER($I$405),$B$238=1),$I$405,HLOOKUP(INDIRECT(ADDRESS(2,COLUMN())),OFFSET($R$2,0,0,ROW()-1,12),ROW()-1,FALSE))</f>
        <v>18.087646889999998</v>
      </c>
      <c r="J181">
        <f ca="1">IF(AND(ISNUMBER($J$405),$B$238=1),$J$405,HLOOKUP(INDIRECT(ADDRESS(2,COLUMN())),OFFSET($R$2,0,0,ROW()-1,12),ROW()-1,FALSE))</f>
        <v>19.038545679999999</v>
      </c>
      <c r="K181">
        <f ca="1">IF(AND(ISNUMBER($K$405),$B$238=1),$K$405,HLOOKUP(INDIRECT(ADDRESS(2,COLUMN())),OFFSET($R$2,0,0,ROW()-1,12),ROW()-1,FALSE))</f>
        <v>19.981038349999999</v>
      </c>
      <c r="L181">
        <f ca="1">IF(AND(ISNUMBER($L$405),$B$238=1),$L$405,HLOOKUP(INDIRECT(ADDRESS(2,COLUMN())),OFFSET($R$2,0,0,ROW()-1,12),ROW()-1,FALSE))</f>
        <v>20.59454964</v>
      </c>
      <c r="M181">
        <f ca="1">IF(AND(ISNUMBER($M$405),$B$238=1),$M$405,HLOOKUP(INDIRECT(ADDRESS(2,COLUMN())),OFFSET($R$2,0,0,ROW()-1,12),ROW()-1,FALSE))</f>
        <v>22.245835249999999</v>
      </c>
      <c r="N181">
        <f ca="1">IF(AND(ISNUMBER($N$405),$B$238=1),$N$405,HLOOKUP(INDIRECT(ADDRESS(2,COLUMN())),OFFSET($R$2,0,0,ROW()-1,12),ROW()-1,FALSE))</f>
        <v>23.882483019999999</v>
      </c>
      <c r="O181">
        <f ca="1">IF(AND(ISNUMBER($O$405),$B$238=1),$O$405,HLOOKUP(INDIRECT(ADDRESS(2,COLUMN())),OFFSET($R$2,0,0,ROW()-1,12),ROW()-1,FALSE))</f>
        <v>23.206858499999999</v>
      </c>
      <c r="P181">
        <f ca="1">IF(AND(ISNUMBER($P$405),$B$238=1),$P$405,HLOOKUP(INDIRECT(ADDRESS(2,COLUMN())),OFFSET($R$2,0,0,ROW()-1,12),ROW()-1,FALSE))</f>
        <v>24.98844802</v>
      </c>
      <c r="Q181">
        <f ca="1">IF(AND(ISNUMBER($Q$405),$B$238=1),$Q$405,HLOOKUP(INDIRECT(ADDRESS(2,COLUMN())),OFFSET($R$2,0,0,ROW()-1,12),ROW()-1,FALSE))</f>
        <v>29.828887389999998</v>
      </c>
      <c r="R181">
        <f>18.69683278</f>
        <v>18.696832780000001</v>
      </c>
      <c r="S181">
        <f>18.71370605</f>
        <v>18.713706049999999</v>
      </c>
      <c r="T181">
        <f>19.63796747</f>
        <v>19.63796747</v>
      </c>
      <c r="U181">
        <f>18.08764689</f>
        <v>18.087646889999998</v>
      </c>
      <c r="V181">
        <f>19.03854568</f>
        <v>19.038545679999999</v>
      </c>
      <c r="W181">
        <f>19.98103835</f>
        <v>19.981038349999999</v>
      </c>
      <c r="X181">
        <f>20.59454964</f>
        <v>20.59454964</v>
      </c>
      <c r="Y181">
        <f>22.24583525</f>
        <v>22.245835249999999</v>
      </c>
      <c r="Z181">
        <f>23.88248302</f>
        <v>23.882483019999999</v>
      </c>
      <c r="AA181">
        <f>23.2068585</f>
        <v>23.206858499999999</v>
      </c>
      <c r="AB181">
        <f>24.98844802</f>
        <v>24.98844802</v>
      </c>
      <c r="AC181">
        <f>29.82888739</f>
        <v>29.828887389999998</v>
      </c>
    </row>
    <row r="182" spans="1:29" x14ac:dyDescent="0.25">
      <c r="A182" t="str">
        <f>"    International Business Machines Corp"</f>
        <v xml:space="preserve">    International Business Machines Corp</v>
      </c>
      <c r="B182" t="str">
        <f>"IBM US Equity"</f>
        <v>IBM US Equity</v>
      </c>
      <c r="C182" t="str">
        <f t="shared" si="27"/>
        <v>RR028</v>
      </c>
      <c r="D182" t="str">
        <f t="shared" si="28"/>
        <v>RETURN_ON_ASSET</v>
      </c>
      <c r="E182" t="str">
        <f t="shared" si="29"/>
        <v>Dynamic</v>
      </c>
      <c r="F182">
        <f ca="1">IF(AND(ISNUMBER($F$406),$B$238=1),$F$406,HLOOKUP(INDIRECT(ADDRESS(2,COLUMN())),OFFSET($R$2,0,0,ROW()-1,12),ROW()-1,FALSE))</f>
        <v>6.8447715259999997</v>
      </c>
      <c r="G182">
        <f ca="1">IF(AND(ISNUMBER($G$406),$B$238=1),$G$406,HLOOKUP(INDIRECT(ADDRESS(2,COLUMN())),OFFSET($R$2,0,0,ROW()-1,12),ROW()-1,FALSE))</f>
        <v>7.0178259860000001</v>
      </c>
      <c r="H182">
        <f ca="1">IF(AND(ISNUMBER($H$406),$B$238=1),$H$406,HLOOKUP(INDIRECT(ADDRESS(2,COLUMN())),OFFSET($R$2,0,0,ROW()-1,12),ROW()-1,FALSE))</f>
        <v>4.738372332</v>
      </c>
      <c r="I182">
        <f ca="1">IF(AND(ISNUMBER($I$406),$B$238=1),$I$406,HLOOKUP(INDIRECT(ADDRESS(2,COLUMN())),OFFSET($R$2,0,0,ROW()-1,12),ROW()-1,FALSE))</f>
        <v>10.415633980000001</v>
      </c>
      <c r="J182">
        <f ca="1">IF(AND(ISNUMBER($J$406),$B$238=1),$J$406,HLOOKUP(INDIRECT(ADDRESS(2,COLUMN())),OFFSET($R$2,0,0,ROW()-1,12),ROW()-1,FALSE))</f>
        <v>11.58206229</v>
      </c>
      <c r="K182">
        <f ca="1">IF(AND(ISNUMBER($K$406),$B$238=1),$K$406,HLOOKUP(INDIRECT(ADDRESS(2,COLUMN())),OFFSET($R$2,0,0,ROW()-1,12),ROW()-1,FALSE))</f>
        <v>9.874575965</v>
      </c>
      <c r="L182">
        <f ca="1">IF(AND(ISNUMBER($L$406),$B$238=1),$L$406,HLOOKUP(INDIRECT(ADDRESS(2,COLUMN())),OFFSET($R$2,0,0,ROW()-1,12),ROW()-1,FALSE))</f>
        <v>13.43160743</v>
      </c>
      <c r="M182">
        <f ca="1">IF(AND(ISNUMBER($M$406),$B$238=1),$M$406,HLOOKUP(INDIRECT(ADDRESS(2,COLUMN())),OFFSET($R$2,0,0,ROW()-1,12),ROW()-1,FALSE))</f>
        <v>14.09232493</v>
      </c>
      <c r="N182">
        <f ca="1">IF(AND(ISNUMBER($N$406),$B$238=1),$N$406,HLOOKUP(INDIRECT(ADDRESS(2,COLUMN())),OFFSET($R$2,0,0,ROW()-1,12),ROW()-1,FALSE))</f>
        <v>13.79385345</v>
      </c>
      <c r="O182">
        <f ca="1">IF(AND(ISNUMBER($O$406),$B$238=1),$O$406,HLOOKUP(INDIRECT(ADDRESS(2,COLUMN())),OFFSET($R$2,0,0,ROW()-1,12),ROW()-1,FALSE))</f>
        <v>13.33459191</v>
      </c>
      <c r="P182">
        <f ca="1">IF(AND(ISNUMBER($P$406),$B$238=1),$P$406,HLOOKUP(INDIRECT(ADDRESS(2,COLUMN())),OFFSET($R$2,0,0,ROW()-1,12),ROW()-1,FALSE))</f>
        <v>12.285743050000001</v>
      </c>
      <c r="Q182">
        <f ca="1">IF(AND(ISNUMBER($Q$406),$B$238=1),$Q$406,HLOOKUP(INDIRECT(ADDRESS(2,COLUMN())),OFFSET($R$2,0,0,ROW()-1,12),ROW()-1,FALSE))</f>
        <v>10.72731621</v>
      </c>
      <c r="R182">
        <f>6.844771526</f>
        <v>6.8447715259999997</v>
      </c>
      <c r="S182">
        <f>7.017825986</f>
        <v>7.0178259860000001</v>
      </c>
      <c r="T182">
        <f>4.738372332</f>
        <v>4.738372332</v>
      </c>
      <c r="U182">
        <f>10.41563398</f>
        <v>10.415633980000001</v>
      </c>
      <c r="V182">
        <f>11.58206229</f>
        <v>11.58206229</v>
      </c>
      <c r="W182">
        <f>9.874575965</f>
        <v>9.874575965</v>
      </c>
      <c r="X182">
        <f>13.43160743</f>
        <v>13.43160743</v>
      </c>
      <c r="Y182">
        <f>14.09232493</f>
        <v>14.09232493</v>
      </c>
      <c r="Z182">
        <f>13.79385345</f>
        <v>13.79385345</v>
      </c>
      <c r="AA182">
        <f>13.33459191</f>
        <v>13.33459191</v>
      </c>
      <c r="AB182">
        <f>12.28574305</f>
        <v>12.285743050000001</v>
      </c>
      <c r="AC182">
        <f>10.72731621</f>
        <v>10.72731621</v>
      </c>
    </row>
    <row r="183" spans="1:29" x14ac:dyDescent="0.25">
      <c r="A183" t="str">
        <f>"    Tata Consultancy Services Ltd"</f>
        <v xml:space="preserve">    Tata Consultancy Services Ltd</v>
      </c>
      <c r="B183" t="str">
        <f>"TCS IN Equity"</f>
        <v>TCS IN Equity</v>
      </c>
      <c r="C183" t="str">
        <f t="shared" si="27"/>
        <v>RR028</v>
      </c>
      <c r="D183" t="str">
        <f t="shared" si="28"/>
        <v>RETURN_ON_ASSET</v>
      </c>
      <c r="E183" t="str">
        <f t="shared" si="29"/>
        <v>Dynamic</v>
      </c>
      <c r="F183">
        <f ca="1">IF(AND(ISNUMBER($F$407),$B$238=1),$F$407,HLOOKUP(INDIRECT(ADDRESS(2,COLUMN())),OFFSET($R$2,0,0,ROW()-1,12),ROW()-1,FALSE))</f>
        <v>26.942590790000001</v>
      </c>
      <c r="G183">
        <f ca="1">IF(AND(ISNUMBER($G$407),$B$238=1),$G$407,HLOOKUP(INDIRECT(ADDRESS(2,COLUMN())),OFFSET($R$2,0,0,ROW()-1,12),ROW()-1,FALSE))</f>
        <v>27.917786589999999</v>
      </c>
      <c r="H183">
        <f ca="1">IF(AND(ISNUMBER($H$407),$B$238=1),$H$407,HLOOKUP(INDIRECT(ADDRESS(2,COLUMN())),OFFSET($R$2,0,0,ROW()-1,12),ROW()-1,FALSE))</f>
        <v>24.163321830000001</v>
      </c>
      <c r="I183">
        <f ca="1">IF(AND(ISNUMBER($I$407),$B$238=1),$I$407,HLOOKUP(INDIRECT(ADDRESS(2,COLUMN())),OFFSET($R$2,0,0,ROW()-1,12),ROW()-1,FALSE))</f>
        <v>26.748267760000001</v>
      </c>
      <c r="J183">
        <f ca="1">IF(AND(ISNUMBER($J$407),$B$238=1),$J$407,HLOOKUP(INDIRECT(ADDRESS(2,COLUMN())),OFFSET($R$2,0,0,ROW()-1,12),ROW()-1,FALSE))</f>
        <v>29.12209657</v>
      </c>
      <c r="K183">
        <f ca="1">IF(AND(ISNUMBER($K$407),$B$238=1),$K$407,HLOOKUP(INDIRECT(ADDRESS(2,COLUMN())),OFFSET($R$2,0,0,ROW()-1,12),ROW()-1,FALSE))</f>
        <v>27.28956384</v>
      </c>
      <c r="L183">
        <f ca="1">IF(AND(ISNUMBER($L$407),$B$238=1),$L$407,HLOOKUP(INDIRECT(ADDRESS(2,COLUMN())),OFFSET($R$2,0,0,ROW()-1,12),ROW()-1,FALSE))</f>
        <v>31.577067799999998</v>
      </c>
      <c r="M183">
        <f ca="1">IF(AND(ISNUMBER($M$407),$B$238=1),$M$407,HLOOKUP(INDIRECT(ADDRESS(2,COLUMN())),OFFSET($R$2,0,0,ROW()-1,12),ROW()-1,FALSE))</f>
        <v>29.77016923</v>
      </c>
      <c r="N183">
        <f ca="1">IF(AND(ISNUMBER($N$407),$B$238=1),$N$407,HLOOKUP(INDIRECT(ADDRESS(2,COLUMN())),OFFSET($R$2,0,0,ROW()-1,12),ROW()-1,FALSE))</f>
        <v>28.140183019999998</v>
      </c>
      <c r="O183">
        <f ca="1">IF(AND(ISNUMBER($O$407),$B$238=1),$O$407,HLOOKUP(INDIRECT(ADDRESS(2,COLUMN())),OFFSET($R$2,0,0,ROW()-1,12),ROW()-1,FALSE))</f>
        <v>30.18893302</v>
      </c>
      <c r="P183">
        <f ca="1">IF(AND(ISNUMBER($P$407),$B$238=1),$P$407,HLOOKUP(INDIRECT(ADDRESS(2,COLUMN())),OFFSET($R$2,0,0,ROW()-1,12),ROW()-1,FALSE))</f>
        <v>27.98489593</v>
      </c>
      <c r="Q183">
        <f ca="1">IF(AND(ISNUMBER($Q$407),$B$238=1),$Q$407,HLOOKUP(INDIRECT(ADDRESS(2,COLUMN())),OFFSET($R$2,0,0,ROW()-1,12),ROW()-1,FALSE))</f>
        <v>26.149619489999999</v>
      </c>
      <c r="R183">
        <f>26.94259079</f>
        <v>26.942590790000001</v>
      </c>
      <c r="S183">
        <f>27.91778659</f>
        <v>27.917786589999999</v>
      </c>
      <c r="T183">
        <f>24.16332183</f>
        <v>24.163321830000001</v>
      </c>
      <c r="U183">
        <f>26.74826776</f>
        <v>26.748267760000001</v>
      </c>
      <c r="V183">
        <f>29.12209657</f>
        <v>29.12209657</v>
      </c>
      <c r="W183">
        <f>27.28956384</f>
        <v>27.28956384</v>
      </c>
      <c r="X183">
        <f>31.5770678</f>
        <v>31.577067799999998</v>
      </c>
      <c r="Y183">
        <f>29.77016923</f>
        <v>29.77016923</v>
      </c>
      <c r="Z183">
        <f>28.14018302</f>
        <v>28.140183019999998</v>
      </c>
      <c r="AA183">
        <f>30.18893302</f>
        <v>30.18893302</v>
      </c>
      <c r="AB183">
        <f>27.98489593</f>
        <v>27.98489593</v>
      </c>
      <c r="AC183">
        <f>26.14961949</f>
        <v>26.149619489999999</v>
      </c>
    </row>
    <row r="184" spans="1:29" x14ac:dyDescent="0.25">
      <c r="A184" t="str">
        <f>"    Tech Mahindra Ltd"</f>
        <v xml:space="preserve">    Tech Mahindra Ltd</v>
      </c>
      <c r="B184" t="str">
        <f>"TECHM IN Equity"</f>
        <v>TECHM IN Equity</v>
      </c>
      <c r="C184" t="str">
        <f t="shared" si="27"/>
        <v>RR028</v>
      </c>
      <c r="D184" t="str">
        <f t="shared" si="28"/>
        <v>RETURN_ON_ASSET</v>
      </c>
      <c r="E184" t="str">
        <f t="shared" si="29"/>
        <v>Dynamic</v>
      </c>
      <c r="F184">
        <f ca="1">IF(AND(ISNUMBER($F$408),$B$238=1),$F$408,HLOOKUP(INDIRECT(ADDRESS(2,COLUMN())),OFFSET($R$2,0,0,ROW()-1,12),ROW()-1,FALSE))</f>
        <v>11.39253062</v>
      </c>
      <c r="G184">
        <f ca="1">IF(AND(ISNUMBER($G$408),$B$238=1),$G$408,HLOOKUP(INDIRECT(ADDRESS(2,COLUMN())),OFFSET($R$2,0,0,ROW()-1,12),ROW()-1,FALSE))</f>
        <v>13.45436501</v>
      </c>
      <c r="H184">
        <f ca="1">IF(AND(ISNUMBER($H$408),$B$238=1),$H$408,HLOOKUP(INDIRECT(ADDRESS(2,COLUMN())),OFFSET($R$2,0,0,ROW()-1,12),ROW()-1,FALSE))</f>
        <v>13.44973869</v>
      </c>
      <c r="I184">
        <f ca="1">IF(AND(ISNUMBER($I$408),$B$238=1),$I$408,HLOOKUP(INDIRECT(ADDRESS(2,COLUMN())),OFFSET($R$2,0,0,ROW()-1,12),ROW()-1,FALSE))</f>
        <v>11.57781656</v>
      </c>
      <c r="J184">
        <f ca="1">IF(AND(ISNUMBER($J$408),$B$238=1),$J$408,HLOOKUP(INDIRECT(ADDRESS(2,COLUMN())),OFFSET($R$2,0,0,ROW()-1,12),ROW()-1,FALSE))</f>
        <v>14.126515120000001</v>
      </c>
      <c r="K184">
        <f ca="1">IF(AND(ISNUMBER($K$408),$B$238=1),$K$408,HLOOKUP(INDIRECT(ADDRESS(2,COLUMN())),OFFSET($R$2,0,0,ROW()-1,12),ROW()-1,FALSE))</f>
        <v>14.68550814</v>
      </c>
      <c r="L184">
        <f ca="1">IF(AND(ISNUMBER($L$408),$B$238=1),$L$408,HLOOKUP(INDIRECT(ADDRESS(2,COLUMN())),OFFSET($R$2,0,0,ROW()-1,12),ROW()-1,FALSE))</f>
        <v>24.305650289999999</v>
      </c>
      <c r="M184">
        <f ca="1">IF(AND(ISNUMBER($M$408),$B$238=1),$M$408,HLOOKUP(INDIRECT(ADDRESS(2,COLUMN())),OFFSET($R$2,0,0,ROW()-1,12),ROW()-1,FALSE))</f>
        <v>16.19517716</v>
      </c>
      <c r="N184">
        <f ca="1">IF(AND(ISNUMBER($N$408),$B$238=1),$N$408,HLOOKUP(INDIRECT(ADDRESS(2,COLUMN())),OFFSET($R$2,0,0,ROW()-1,12),ROW()-1,FALSE))</f>
        <v>16.887100749999998</v>
      </c>
      <c r="O184">
        <f ca="1">IF(AND(ISNUMBER($O$408),$B$238=1),$O$408,HLOOKUP(INDIRECT(ADDRESS(2,COLUMN())),OFFSET($R$2,0,0,ROW()-1,12),ROW()-1,FALSE))</f>
        <v>10.77518796</v>
      </c>
      <c r="P184">
        <f ca="1">IF(AND(ISNUMBER($P$408),$B$238=1),$P$408,HLOOKUP(INDIRECT(ADDRESS(2,COLUMN())),OFFSET($R$2,0,0,ROW()-1,12),ROW()-1,FALSE))</f>
        <v>16.02058319</v>
      </c>
      <c r="Q184">
        <f ca="1">IF(AND(ISNUMBER($Q$408),$B$238=1),$Q$408,HLOOKUP(INDIRECT(ADDRESS(2,COLUMN())),OFFSET($R$2,0,0,ROW()-1,12),ROW()-1,FALSE))</f>
        <v>40.033147210000003</v>
      </c>
      <c r="R184">
        <f>11.39253062</f>
        <v>11.39253062</v>
      </c>
      <c r="S184">
        <f>13.45436501</f>
        <v>13.45436501</v>
      </c>
      <c r="T184">
        <f>13.44973869</f>
        <v>13.44973869</v>
      </c>
      <c r="U184">
        <f>11.57781656</f>
        <v>11.57781656</v>
      </c>
      <c r="V184">
        <f>14.12651512</f>
        <v>14.126515120000001</v>
      </c>
      <c r="W184">
        <f>14.68550814</f>
        <v>14.68550814</v>
      </c>
      <c r="X184">
        <f>24.30565029</f>
        <v>24.305650289999999</v>
      </c>
      <c r="Y184">
        <f>16.19517716</f>
        <v>16.19517716</v>
      </c>
      <c r="Z184">
        <f>16.88710075</f>
        <v>16.887100749999998</v>
      </c>
      <c r="AA184">
        <f>10.77518796</f>
        <v>10.77518796</v>
      </c>
      <c r="AB184">
        <f>16.02058319</f>
        <v>16.02058319</v>
      </c>
      <c r="AC184">
        <f>40.03314721</f>
        <v>40.033147210000003</v>
      </c>
    </row>
    <row r="185" spans="1:29" x14ac:dyDescent="0.25">
      <c r="A185" t="str">
        <f>"    Wipro Ltd"</f>
        <v xml:space="preserve">    Wipro Ltd</v>
      </c>
      <c r="B185" t="str">
        <f>"WIT US Equity"</f>
        <v>WIT US Equity</v>
      </c>
      <c r="C185" t="str">
        <f t="shared" si="27"/>
        <v>RR028</v>
      </c>
      <c r="D185" t="str">
        <f t="shared" si="28"/>
        <v>RETURN_ON_ASSET</v>
      </c>
      <c r="E185" t="str">
        <f t="shared" si="29"/>
        <v>Dynamic</v>
      </c>
      <c r="F185">
        <f ca="1">IF(AND(ISNUMBER($F$409),$B$238=1),$F$409,HLOOKUP(INDIRECT(ADDRESS(2,COLUMN())),OFFSET($R$2,0,0,ROW()-1,12),ROW()-1,FALSE))</f>
        <v>11.782336190000001</v>
      </c>
      <c r="G185">
        <f ca="1">IF(AND(ISNUMBER($G$409),$B$238=1),$G$409,HLOOKUP(INDIRECT(ADDRESS(2,COLUMN())),OFFSET($R$2,0,0,ROW()-1,12),ROW()-1,FALSE))</f>
        <v>11.29757543</v>
      </c>
      <c r="H185">
        <f ca="1">IF(AND(ISNUMBER($H$409),$B$238=1),$H$409,HLOOKUP(INDIRECT(ADDRESS(2,COLUMN())),OFFSET($R$2,0,0,ROW()-1,12),ROW()-1,FALSE))</f>
        <v>10.30540049</v>
      </c>
      <c r="I185">
        <f ca="1">IF(AND(ISNUMBER($I$409),$B$238=1),$I$409,HLOOKUP(INDIRECT(ADDRESS(2,COLUMN())),OFFSET($R$2,0,0,ROW()-1,12),ROW()-1,FALSE))</f>
        <v>11.188657279999999</v>
      </c>
      <c r="J185">
        <f ca="1">IF(AND(ISNUMBER($J$409),$B$238=1),$J$409,HLOOKUP(INDIRECT(ADDRESS(2,COLUMN())),OFFSET($R$2,0,0,ROW()-1,12),ROW()-1,FALSE))</f>
        <v>13.45507222</v>
      </c>
      <c r="K185">
        <f ca="1">IF(AND(ISNUMBER($K$409),$B$238=1),$K$409,HLOOKUP(INDIRECT(ADDRESS(2,COLUMN())),OFFSET($R$2,0,0,ROW()-1,12),ROW()-1,FALSE))</f>
        <v>15.699010380000001</v>
      </c>
      <c r="L185">
        <f ca="1">IF(AND(ISNUMBER($L$409),$B$238=1),$L$409,HLOOKUP(INDIRECT(ADDRESS(2,COLUMN())),OFFSET($R$2,0,0,ROW()-1,12),ROW()-1,FALSE))</f>
        <v>16.552905729999999</v>
      </c>
      <c r="M185">
        <f ca="1">IF(AND(ISNUMBER($M$409),$B$238=1),$M$409,HLOOKUP(INDIRECT(ADDRESS(2,COLUMN())),OFFSET($R$2,0,0,ROW()-1,12),ROW()-1,FALSE))</f>
        <v>15.15511042</v>
      </c>
      <c r="N185">
        <f ca="1">IF(AND(ISNUMBER($N$409),$B$238=1),$N$409,HLOOKUP(INDIRECT(ADDRESS(2,COLUMN())),OFFSET($R$2,0,0,ROW()-1,12),ROW()-1,FALSE))</f>
        <v>13.80405328</v>
      </c>
      <c r="O185">
        <f ca="1">IF(AND(ISNUMBER($O$409),$B$238=1),$O$409,HLOOKUP(INDIRECT(ADDRESS(2,COLUMN())),OFFSET($R$2,0,0,ROW()-1,12),ROW()-1,FALSE))</f>
        <v>15.18997141</v>
      </c>
      <c r="P185">
        <f ca="1">IF(AND(ISNUMBER($P$409),$B$238=1),$P$409,HLOOKUP(INDIRECT(ADDRESS(2,COLUMN())),OFFSET($R$2,0,0,ROW()-1,12),ROW()-1,FALSE))</f>
        <v>15.319371350000001</v>
      </c>
      <c r="Q185">
        <f ca="1">IF(AND(ISNUMBER($Q$409),$B$238=1),$Q$409,HLOOKUP(INDIRECT(ADDRESS(2,COLUMN())),OFFSET($R$2,0,0,ROW()-1,12),ROW()-1,FALSE))</f>
        <v>15.761916210000001</v>
      </c>
      <c r="R185">
        <f>11.78233619</f>
        <v>11.782336190000001</v>
      </c>
      <c r="S185">
        <f>11.29757543</f>
        <v>11.29757543</v>
      </c>
      <c r="T185">
        <f>10.30540049</f>
        <v>10.30540049</v>
      </c>
      <c r="U185">
        <f>11.18865728</f>
        <v>11.188657279999999</v>
      </c>
      <c r="V185">
        <f>13.45507222</f>
        <v>13.45507222</v>
      </c>
      <c r="W185">
        <f>15.69901038</f>
        <v>15.699010380000001</v>
      </c>
      <c r="X185">
        <f>16.55290573</f>
        <v>16.552905729999999</v>
      </c>
      <c r="Y185">
        <f>15.15511042</f>
        <v>15.15511042</v>
      </c>
      <c r="Z185">
        <f>13.80405328</f>
        <v>13.80405328</v>
      </c>
      <c r="AA185">
        <f>15.18997141</f>
        <v>15.18997141</v>
      </c>
      <c r="AB185">
        <f>15.31937135</f>
        <v>15.319371350000001</v>
      </c>
      <c r="AC185">
        <f>15.76191621</f>
        <v>15.761916210000001</v>
      </c>
    </row>
    <row r="186" spans="1:29" x14ac:dyDescent="0.25">
      <c r="A186" t="str">
        <f>"Return on Equity"</f>
        <v>Return on Equity</v>
      </c>
      <c r="B186" t="str">
        <f>"BRITBPOV Index"</f>
        <v>BRITBPOV Index</v>
      </c>
      <c r="E186" t="str">
        <f>"Average"</f>
        <v>Average</v>
      </c>
      <c r="F186">
        <f ca="1">IF(ISERROR(IF(AVERAGE($F$187:$F$203) = 0, "", AVERAGE($F$187:$F$203))), "", (IF(AVERAGE($F$187:$F$203) = 0, "", AVERAGE($F$187:$F$203))))</f>
        <v>13.279618085294119</v>
      </c>
      <c r="G186">
        <f ca="1">IF(ISERROR(IF(AVERAGE($G$187:$G$203) = 0, "", AVERAGE($G$187:$G$203))), "", (IF(AVERAGE($G$187:$G$203) = 0, "", AVERAGE($G$187:$G$203))))</f>
        <v>20.119610658823529</v>
      </c>
      <c r="H186">
        <f ca="1">IF(ISERROR(IF(AVERAGE($H$187:$H$203) = 0, "", AVERAGE($H$187:$H$203))), "", (IF(AVERAGE($H$187:$H$203) = 0, "", AVERAGE($H$187:$H$203))))</f>
        <v>19.400879276647061</v>
      </c>
      <c r="I186">
        <f ca="1">IF(ISERROR(IF(AVERAGE($I$187:$I$203) = 0, "", AVERAGE($I$187:$I$203))), "", (IF(AVERAGE($I$187:$I$203) = 0, "", AVERAGE($I$187:$I$203))))</f>
        <v>22.243941550624999</v>
      </c>
      <c r="J186">
        <f ca="1">IF(ISERROR(IF(AVERAGE($J$187:$J$203) = 0, "", AVERAGE($J$187:$J$203))), "", (IF(AVERAGE($J$187:$J$203) = 0, "", AVERAGE($J$187:$J$203))))</f>
        <v>17.198353859000001</v>
      </c>
      <c r="K186">
        <f ca="1">IF(ISERROR(IF(AVERAGE($K$187:$K$203) = 0, "", AVERAGE($K$187:$K$203))), "", (IF(AVERAGE($K$187:$K$203) = 0, "", AVERAGE($K$187:$K$203))))</f>
        <v>23.326623281499998</v>
      </c>
      <c r="L186">
        <f ca="1">IF(ISERROR(IF(AVERAGE($L$187:$L$203) = 0, "", AVERAGE($L$187:$L$203))), "", (IF(AVERAGE($L$187:$L$203) = 0, "", AVERAGE($L$187:$L$203))))</f>
        <v>29.011064345200001</v>
      </c>
      <c r="M186">
        <f ca="1">IF(ISERROR(IF(AVERAGE($M$187:$M$203) = 0, "", AVERAGE($M$187:$M$203))), "", (IF(AVERAGE($M$187:$M$203) = 0, "", AVERAGE($M$187:$M$203))))</f>
        <v>27.53051872193334</v>
      </c>
      <c r="N186">
        <f ca="1">IF(ISERROR(IF(AVERAGE($N$187:$N$203) = 0, "", AVERAGE($N$187:$N$203))), "", (IF(AVERAGE($N$187:$N$203) = 0, "", AVERAGE($N$187:$N$203))))</f>
        <v>26.930163457066666</v>
      </c>
      <c r="O186">
        <f ca="1">IF(ISERROR(IF(AVERAGE($O$187:$O$203) = 0, "", AVERAGE($O$187:$O$203))), "", (IF(AVERAGE($O$187:$O$203) = 0, "", AVERAGE($O$187:$O$203))))</f>
        <v>26.319912330200001</v>
      </c>
      <c r="P186">
        <f ca="1">IF(ISERROR(IF(AVERAGE($P$187:$P$203) = 0, "", AVERAGE($P$187:$P$203))), "", (IF(AVERAGE($P$187:$P$203) = 0, "", AVERAGE($P$187:$P$203))))</f>
        <v>26.621421876357147</v>
      </c>
      <c r="Q186">
        <f ca="1">IF(ISERROR(IF(AVERAGE($Q$187:$Q$203) = 0, "", AVERAGE($Q$187:$Q$203))), "", (IF(AVERAGE($Q$187:$Q$203) = 0, "", AVERAGE($Q$187:$Q$203))))</f>
        <v>32.516317488461539</v>
      </c>
      <c r="R186">
        <f>13.27961809</f>
        <v>13.27961809</v>
      </c>
      <c r="S186">
        <f>20.11961066</f>
        <v>20.119610659999999</v>
      </c>
      <c r="T186">
        <f>19.40087928</f>
        <v>19.400879280000002</v>
      </c>
      <c r="U186">
        <f>22.24394155</f>
        <v>22.243941549999999</v>
      </c>
      <c r="V186">
        <f>17.19835386</f>
        <v>17.198353860000001</v>
      </c>
      <c r="W186">
        <f>23.32662328</f>
        <v>23.32662328</v>
      </c>
      <c r="X186">
        <f>29.01106435</f>
        <v>29.011064350000002</v>
      </c>
      <c r="Y186">
        <f>27.53051872</f>
        <v>27.53051872</v>
      </c>
      <c r="Z186">
        <f>26.93016346</f>
        <v>26.930163459999999</v>
      </c>
      <c r="AA186">
        <f>26.31991233</f>
        <v>26.319912330000001</v>
      </c>
      <c r="AB186">
        <f>26.62142188</f>
        <v>26.62142188</v>
      </c>
      <c r="AC186">
        <f>32.51631749</f>
        <v>32.516317489999999</v>
      </c>
    </row>
    <row r="187" spans="1:29" x14ac:dyDescent="0.25">
      <c r="A187" t="str">
        <f>"    Accenture PLC"</f>
        <v xml:space="preserve">    Accenture PLC</v>
      </c>
      <c r="B187" t="str">
        <f>"ACN US Equity"</f>
        <v>ACN US Equity</v>
      </c>
      <c r="C187" t="str">
        <f t="shared" ref="C187:C203" si="30">"RR029"</f>
        <v>RR029</v>
      </c>
      <c r="D187" t="str">
        <f t="shared" ref="D187:D203" si="31">"RETURN_COM_EQY"</f>
        <v>RETURN_COM_EQY</v>
      </c>
      <c r="E187" t="str">
        <f t="shared" ref="E187:E203" si="32">"Dynamic"</f>
        <v>Dynamic</v>
      </c>
      <c r="F187">
        <f ca="1">IF(AND(ISNUMBER($F$410),$B$238=1),$F$410,HLOOKUP(INDIRECT(ADDRESS(2,COLUMN())),OFFSET($R$2,0,0,ROW()-1,12),ROW()-1,FALSE))</f>
        <v>38.582046550000001</v>
      </c>
      <c r="G187">
        <f ca="1">IF(AND(ISNUMBER($G$410),$B$238=1),$G$410,HLOOKUP(INDIRECT(ADDRESS(2,COLUMN())),OFFSET($R$2,0,0,ROW()-1,12),ROW()-1,FALSE))</f>
        <v>42.040578369999999</v>
      </c>
      <c r="H187">
        <f ca="1">IF(AND(ISNUMBER($H$410),$B$238=1),$H$410,HLOOKUP(INDIRECT(ADDRESS(2,COLUMN())),OFFSET($R$2,0,0,ROW()-1,12),ROW()-1,FALSE))</f>
        <v>41.747391460000003</v>
      </c>
      <c r="I187">
        <f ca="1">IF(AND(ISNUMBER($I$410),$B$238=1),$I$410,HLOOKUP(INDIRECT(ADDRESS(2,COLUMN())),OFFSET($R$2,0,0,ROW()-1,12),ROW()-1,FALSE))</f>
        <v>60.075913579999998</v>
      </c>
      <c r="J187">
        <f ca="1">IF(AND(ISNUMBER($J$410),$B$238=1),$J$410,HLOOKUP(INDIRECT(ADDRESS(2,COLUMN())),OFFSET($R$2,0,0,ROW()-1,12),ROW()-1,FALSE))</f>
        <v>51.468780760000001</v>
      </c>
      <c r="K187">
        <f ca="1">IF(AND(ISNUMBER($K$410),$B$238=1),$K$410,HLOOKUP(INDIRECT(ADDRESS(2,COLUMN())),OFFSET($R$2,0,0,ROW()-1,12),ROW()-1,FALSE))</f>
        <v>55.021272009999997</v>
      </c>
      <c r="L187">
        <f ca="1">IF(AND(ISNUMBER($L$410),$B$238=1),$L$410,HLOOKUP(INDIRECT(ADDRESS(2,COLUMN())),OFFSET($R$2,0,0,ROW()-1,12),ROW()-1,FALSE))</f>
        <v>72.081510039999998</v>
      </c>
      <c r="M187">
        <f ca="1">IF(AND(ISNUMBER($M$410),$B$238=1),$M$410,HLOOKUP(INDIRECT(ADDRESS(2,COLUMN())),OFFSET($R$2,0,0,ROW()-1,12),ROW()-1,FALSE))</f>
        <v>63.640591450000002</v>
      </c>
      <c r="N187">
        <f ca="1">IF(AND(ISNUMBER($N$410),$B$238=1),$N$410,HLOOKUP(INDIRECT(ADDRESS(2,COLUMN())),OFFSET($R$2,0,0,ROW()-1,12),ROW()-1,FALSE))</f>
        <v>67.841542219999994</v>
      </c>
      <c r="O187">
        <f ca="1">IF(AND(ISNUMBER($O$410),$B$238=1),$O$410,HLOOKUP(INDIRECT(ADDRESS(2,COLUMN())),OFFSET($R$2,0,0,ROW()-1,12),ROW()-1,FALSE))</f>
        <v>62.235250309999998</v>
      </c>
      <c r="P187">
        <f ca="1">IF(AND(ISNUMBER($P$410),$B$238=1),$P$410,HLOOKUP(INDIRECT(ADDRESS(2,COLUMN())),OFFSET($R$2,0,0,ROW()-1,12),ROW()-1,FALSE))</f>
        <v>58.593476920000001</v>
      </c>
      <c r="Q187">
        <f ca="1">IF(AND(ISNUMBER($Q$410),$B$238=1),$Q$410,HLOOKUP(INDIRECT(ADDRESS(2,COLUMN())),OFFSET($R$2,0,0,ROW()-1,12),ROW()-1,FALSE))</f>
        <v>73.493072519999998</v>
      </c>
      <c r="R187">
        <f>38.58204655</f>
        <v>38.582046550000001</v>
      </c>
      <c r="S187">
        <f>42.04057837</f>
        <v>42.040578369999999</v>
      </c>
      <c r="T187">
        <f>41.74739146</f>
        <v>41.747391460000003</v>
      </c>
      <c r="U187">
        <f>60.07591358</f>
        <v>60.075913579999998</v>
      </c>
      <c r="V187">
        <f>51.46878076</f>
        <v>51.468780760000001</v>
      </c>
      <c r="W187">
        <f>55.02127201</f>
        <v>55.021272009999997</v>
      </c>
      <c r="X187">
        <f>72.08151004</f>
        <v>72.081510039999998</v>
      </c>
      <c r="Y187">
        <f>63.64059145</f>
        <v>63.640591450000002</v>
      </c>
      <c r="Z187">
        <f>67.84154222</f>
        <v>67.841542219999994</v>
      </c>
      <c r="AA187">
        <f>62.23525031</f>
        <v>62.235250309999998</v>
      </c>
      <c r="AB187">
        <f>58.59347692</f>
        <v>58.593476920000001</v>
      </c>
      <c r="AC187">
        <f>73.49307252</f>
        <v>73.493072519999998</v>
      </c>
    </row>
    <row r="188" spans="1:29" x14ac:dyDescent="0.25">
      <c r="A188" t="str">
        <f>"    Amdocs Ltd"</f>
        <v xml:space="preserve">    Amdocs Ltd</v>
      </c>
      <c r="B188" t="str">
        <f>"DOX US Equity"</f>
        <v>DOX US Equity</v>
      </c>
      <c r="C188" t="str">
        <f t="shared" si="30"/>
        <v>RR029</v>
      </c>
      <c r="D188" t="str">
        <f t="shared" si="31"/>
        <v>RETURN_COM_EQY</v>
      </c>
      <c r="E188" t="str">
        <f t="shared" si="32"/>
        <v>Dynamic</v>
      </c>
      <c r="F188">
        <f ca="1">IF(AND(ISNUMBER($F$411),$B$238=1),$F$411,HLOOKUP(INDIRECT(ADDRESS(2,COLUMN())),OFFSET($R$2,0,0,ROW()-1,12),ROW()-1,FALSE))</f>
        <v>13.7044823</v>
      </c>
      <c r="G188">
        <f ca="1">IF(AND(ISNUMBER($G$411),$B$238=1),$G$411,HLOOKUP(INDIRECT(ADDRESS(2,COLUMN())),OFFSET($R$2,0,0,ROW()-1,12),ROW()-1,FALSE))</f>
        <v>10.017045550000001</v>
      </c>
      <c r="H188">
        <f ca="1">IF(AND(ISNUMBER($H$411),$B$238=1),$H$411,HLOOKUP(INDIRECT(ADDRESS(2,COLUMN())),OFFSET($R$2,0,0,ROW()-1,12),ROW()-1,FALSE))</f>
        <v>12.33158087</v>
      </c>
      <c r="I188">
        <f ca="1">IF(AND(ISNUMBER($I$411),$B$238=1),$I$411,HLOOKUP(INDIRECT(ADDRESS(2,COLUMN())),OFFSET($R$2,0,0,ROW()-1,12),ROW()-1,FALSE))</f>
        <v>11.828430490000001</v>
      </c>
      <c r="J188">
        <f ca="1">IF(AND(ISNUMBER($J$411),$B$238=1),$J$411,HLOOKUP(INDIRECT(ADDRESS(2,COLUMN())),OFFSET($R$2,0,0,ROW()-1,12),ROW()-1,FALSE))</f>
        <v>12.98300463</v>
      </c>
      <c r="K188">
        <f ca="1">IF(AND(ISNUMBER($K$411),$B$238=1),$K$411,HLOOKUP(INDIRECT(ADDRESS(2,COLUMN())),OFFSET($R$2,0,0,ROW()-1,12),ROW()-1,FALSE))</f>
        <v>12.6561568</v>
      </c>
      <c r="L188">
        <f ca="1">IF(AND(ISNUMBER($L$411),$B$238=1),$L$411,HLOOKUP(INDIRECT(ADDRESS(2,COLUMN())),OFFSET($R$2,0,0,ROW()-1,12),ROW()-1,FALSE))</f>
        <v>13.076727350000001</v>
      </c>
      <c r="M188">
        <f ca="1">IF(AND(ISNUMBER($M$411),$B$238=1),$M$411,HLOOKUP(INDIRECT(ADDRESS(2,COLUMN())),OFFSET($R$2,0,0,ROW()-1,12),ROW()-1,FALSE))</f>
        <v>12.923992610000001</v>
      </c>
      <c r="N188">
        <f ca="1">IF(AND(ISNUMBER($N$411),$B$238=1),$N$411,HLOOKUP(INDIRECT(ADDRESS(2,COLUMN())),OFFSET($R$2,0,0,ROW()-1,12),ROW()-1,FALSE))</f>
        <v>11.08852347</v>
      </c>
      <c r="O188">
        <f ca="1">IF(AND(ISNUMBER($O$411),$B$238=1),$O$411,HLOOKUP(INDIRECT(ADDRESS(2,COLUMN())),OFFSET($R$2,0,0,ROW()-1,12),ROW()-1,FALSE))</f>
        <v>10.676277109999999</v>
      </c>
      <c r="P188">
        <f ca="1">IF(AND(ISNUMBER($P$411),$B$238=1),$P$411,HLOOKUP(INDIRECT(ADDRESS(2,COLUMN())),OFFSET($R$2,0,0,ROW()-1,12),ROW()-1,FALSE))</f>
        <v>10.8395738</v>
      </c>
      <c r="Q188">
        <f ca="1">IF(AND(ISNUMBER($Q$411),$B$238=1),$Q$411,HLOOKUP(INDIRECT(ADDRESS(2,COLUMN())),OFFSET($R$2,0,0,ROW()-1,12),ROW()-1,FALSE))</f>
        <v>14.01944784</v>
      </c>
      <c r="R188">
        <f>13.7044823</f>
        <v>13.7044823</v>
      </c>
      <c r="S188">
        <f>10.01704555</f>
        <v>10.017045550000001</v>
      </c>
      <c r="T188">
        <f>12.33158087</f>
        <v>12.33158087</v>
      </c>
      <c r="U188">
        <f>11.82843049</f>
        <v>11.828430490000001</v>
      </c>
      <c r="V188">
        <f>12.98300463</f>
        <v>12.98300463</v>
      </c>
      <c r="W188">
        <f>12.6561568</f>
        <v>12.6561568</v>
      </c>
      <c r="X188">
        <f>13.07672735</f>
        <v>13.076727350000001</v>
      </c>
      <c r="Y188">
        <f>12.92399261</f>
        <v>12.923992610000001</v>
      </c>
      <c r="Z188">
        <f>11.08852347</f>
        <v>11.08852347</v>
      </c>
      <c r="AA188">
        <f>10.67627711</f>
        <v>10.676277109999999</v>
      </c>
      <c r="AB188">
        <f>10.8395738</f>
        <v>10.8395738</v>
      </c>
      <c r="AC188">
        <f>14.01944784</f>
        <v>14.01944784</v>
      </c>
    </row>
    <row r="189" spans="1:29" x14ac:dyDescent="0.25">
      <c r="A189" t="str">
        <f>"    Atos SE"</f>
        <v xml:space="preserve">    Atos SE</v>
      </c>
      <c r="B189" t="str">
        <f>"ATO FP Equity"</f>
        <v>ATO FP Equity</v>
      </c>
      <c r="C189" t="str">
        <f t="shared" si="30"/>
        <v>RR029</v>
      </c>
      <c r="D189" t="str">
        <f t="shared" si="31"/>
        <v>RETURN_COM_EQY</v>
      </c>
      <c r="E189" t="str">
        <f t="shared" si="32"/>
        <v>Dynamic</v>
      </c>
      <c r="F189">
        <f ca="1">IF(AND(ISNUMBER($F$412),$B$238=1),$F$412,HLOOKUP(INDIRECT(ADDRESS(2,COLUMN())),OFFSET($R$2,0,0,ROW()-1,12),ROW()-1,FALSE))</f>
        <v>51.69974903</v>
      </c>
      <c r="G189">
        <f ca="1">IF(AND(ISNUMBER($G$412),$B$238=1),$G$412,HLOOKUP(INDIRECT(ADDRESS(2,COLUMN())),OFFSET($R$2,0,0,ROW()-1,12),ROW()-1,FALSE))</f>
        <v>11.736214609999999</v>
      </c>
      <c r="H189">
        <f ca="1">IF(AND(ISNUMBER($H$412),$B$238=1),$H$412,HLOOKUP(INDIRECT(ADDRESS(2,COLUMN())),OFFSET($R$2,0,0,ROW()-1,12),ROW()-1,FALSE))</f>
        <v>13.38858072</v>
      </c>
      <c r="I189">
        <f ca="1">IF(AND(ISNUMBER($I$412),$B$238=1),$I$412,HLOOKUP(INDIRECT(ADDRESS(2,COLUMN())),OFFSET($R$2,0,0,ROW()-1,12),ROW()-1,FALSE))</f>
        <v>14.18888276</v>
      </c>
      <c r="J189">
        <f ca="1">IF(AND(ISNUMBER($J$412),$B$238=1),$J$412,HLOOKUP(INDIRECT(ADDRESS(2,COLUMN())),OFFSET($R$2,0,0,ROW()-1,12),ROW()-1,FALSE))</f>
        <v>11.54633314</v>
      </c>
      <c r="K189">
        <f ca="1">IF(AND(ISNUMBER($K$412),$B$238=1),$K$412,HLOOKUP(INDIRECT(ADDRESS(2,COLUMN())),OFFSET($R$2,0,0,ROW()-1,12),ROW()-1,FALSE))</f>
        <v>8.6915198690000004</v>
      </c>
      <c r="L189">
        <f ca="1">IF(AND(ISNUMBER($L$412),$B$238=1),$L$412,HLOOKUP(INDIRECT(ADDRESS(2,COLUMN())),OFFSET($R$2,0,0,ROW()-1,12),ROW()-1,FALSE))</f>
        <v>9.9511193109999994</v>
      </c>
      <c r="M189">
        <f ca="1">IF(AND(ISNUMBER($M$412),$B$238=1),$M$412,HLOOKUP(INDIRECT(ADDRESS(2,COLUMN())),OFFSET($R$2,0,0,ROW()-1,12),ROW()-1,FALSE))</f>
        <v>9.5776094490000006</v>
      </c>
      <c r="N189">
        <f ca="1">IF(AND(ISNUMBER($N$412),$B$238=1),$N$412,HLOOKUP(INDIRECT(ADDRESS(2,COLUMN())),OFFSET($R$2,0,0,ROW()-1,12),ROW()-1,FALSE))</f>
        <v>9.1926094660000004</v>
      </c>
      <c r="O189">
        <f ca="1">IF(AND(ISNUMBER($O$412),$B$238=1),$O$412,HLOOKUP(INDIRECT(ADDRESS(2,COLUMN())),OFFSET($R$2,0,0,ROW()-1,12),ROW()-1,FALSE))</f>
        <v>7.3090119299999996</v>
      </c>
      <c r="P189">
        <f ca="1">IF(AND(ISNUMBER($P$412),$B$238=1),$P$412,HLOOKUP(INDIRECT(ADDRESS(2,COLUMN())),OFFSET($R$2,0,0,ROW()-1,12),ROW()-1,FALSE))</f>
        <v>0.25306599200000002</v>
      </c>
      <c r="Q189">
        <f ca="1">IF(AND(ISNUMBER($Q$412),$B$238=1),$Q$412,HLOOKUP(INDIRECT(ADDRESS(2,COLUMN())),OFFSET($R$2,0,0,ROW()-1,12),ROW()-1,FALSE))</f>
        <v>1.40246362</v>
      </c>
      <c r="R189">
        <f>51.69974903</f>
        <v>51.69974903</v>
      </c>
      <c r="S189">
        <f>11.73621461</f>
        <v>11.736214609999999</v>
      </c>
      <c r="T189">
        <f>13.38858072</f>
        <v>13.38858072</v>
      </c>
      <c r="U189">
        <f>14.18888276</f>
        <v>14.18888276</v>
      </c>
      <c r="V189">
        <f>11.54633314</f>
        <v>11.54633314</v>
      </c>
      <c r="W189">
        <f>8.691519869</f>
        <v>8.6915198690000004</v>
      </c>
      <c r="X189">
        <f>9.951119311</f>
        <v>9.9511193109999994</v>
      </c>
      <c r="Y189">
        <f>9.577609449</f>
        <v>9.5776094490000006</v>
      </c>
      <c r="Z189">
        <f>9.192609466</f>
        <v>9.1926094660000004</v>
      </c>
      <c r="AA189">
        <f>7.30901193</f>
        <v>7.3090119299999996</v>
      </c>
      <c r="AB189">
        <f>0.253065992</f>
        <v>0.25306599200000002</v>
      </c>
      <c r="AC189">
        <f>1.40246362</f>
        <v>1.40246362</v>
      </c>
    </row>
    <row r="190" spans="1:29" x14ac:dyDescent="0.25">
      <c r="A190" t="str">
        <f>"    Capgemini SE"</f>
        <v xml:space="preserve">    Capgemini SE</v>
      </c>
      <c r="B190" t="str">
        <f>"CAP FP Equity"</f>
        <v>CAP FP Equity</v>
      </c>
      <c r="C190" t="str">
        <f t="shared" si="30"/>
        <v>RR029</v>
      </c>
      <c r="D190" t="str">
        <f t="shared" si="31"/>
        <v>RETURN_COM_EQY</v>
      </c>
      <c r="E190" t="str">
        <f t="shared" si="32"/>
        <v>Dynamic</v>
      </c>
      <c r="F190">
        <f ca="1">IF(AND(ISNUMBER($F$413),$B$238=1),$F$413,HLOOKUP(INDIRECT(ADDRESS(2,COLUMN())),OFFSET($R$2,0,0,ROW()-1,12),ROW()-1,FALSE))</f>
        <v>10.76458753</v>
      </c>
      <c r="G190">
        <f ca="1">IF(AND(ISNUMBER($G$413),$B$238=1),$G$413,HLOOKUP(INDIRECT(ADDRESS(2,COLUMN())),OFFSET($R$2,0,0,ROW()-1,12),ROW()-1,FALSE))</f>
        <v>10.11360488</v>
      </c>
      <c r="H190">
        <f ca="1">IF(AND(ISNUMBER($H$413),$B$238=1),$H$413,HLOOKUP(INDIRECT(ADDRESS(2,COLUMN())),OFFSET($R$2,0,0,ROW()-1,12),ROW()-1,FALSE))</f>
        <v>11.526567330000001</v>
      </c>
      <c r="I190">
        <f ca="1">IF(AND(ISNUMBER($I$413),$B$238=1),$I$413,HLOOKUP(INDIRECT(ADDRESS(2,COLUMN())),OFFSET($R$2,0,0,ROW()-1,12),ROW()-1,FALSE))</f>
        <v>13.009393319999999</v>
      </c>
      <c r="J190">
        <f ca="1">IF(AND(ISNUMBER($J$413),$B$238=1),$J$413,HLOOKUP(INDIRECT(ADDRESS(2,COLUMN())),OFFSET($R$2,0,0,ROW()-1,12),ROW()-1,FALSE))</f>
        <v>18.821165440000001</v>
      </c>
      <c r="K190">
        <f ca="1">IF(AND(ISNUMBER($K$413),$B$238=1),$K$413,HLOOKUP(INDIRECT(ADDRESS(2,COLUMN())),OFFSET($R$2,0,0,ROW()-1,12),ROW()-1,FALSE))</f>
        <v>12.191276930000001</v>
      </c>
      <c r="L190">
        <f ca="1">IF(AND(ISNUMBER($L$413),$B$238=1),$L$413,HLOOKUP(INDIRECT(ADDRESS(2,COLUMN())),OFFSET($R$2,0,0,ROW()-1,12),ROW()-1,FALSE))</f>
        <v>9.8881431769999999</v>
      </c>
      <c r="M190">
        <f ca="1">IF(AND(ISNUMBER($M$413),$B$238=1),$M$413,HLOOKUP(INDIRECT(ADDRESS(2,COLUMN())),OFFSET($R$2,0,0,ROW()-1,12),ROW()-1,FALSE))</f>
        <v>8.0796520940000001</v>
      </c>
      <c r="N190">
        <f ca="1">IF(AND(ISNUMBER($N$413),$B$238=1),$N$413,HLOOKUP(INDIRECT(ADDRESS(2,COLUMN())),OFFSET($R$2,0,0,ROW()-1,12),ROW()-1,FALSE))</f>
        <v>9.4282380400000001</v>
      </c>
      <c r="O190">
        <f ca="1">IF(AND(ISNUMBER($O$413),$B$238=1),$O$413,HLOOKUP(INDIRECT(ADDRESS(2,COLUMN())),OFFSET($R$2,0,0,ROW()-1,12),ROW()-1,FALSE))</f>
        <v>6.5673742229999998</v>
      </c>
      <c r="P190">
        <f ca="1">IF(AND(ISNUMBER($P$413),$B$238=1),$P$413,HLOOKUP(INDIRECT(ADDRESS(2,COLUMN())),OFFSET($R$2,0,0,ROW()-1,12),ROW()-1,FALSE))</f>
        <v>4.3670264970000003</v>
      </c>
      <c r="Q190">
        <f ca="1">IF(AND(ISNUMBER($Q$413),$B$238=1),$Q$413,HLOOKUP(INDIRECT(ADDRESS(2,COLUMN())),OFFSET($R$2,0,0,ROW()-1,12),ROW()-1,FALSE))</f>
        <v>11.57894737</v>
      </c>
      <c r="R190">
        <f>10.76458753</f>
        <v>10.76458753</v>
      </c>
      <c r="S190">
        <f>10.11360488</f>
        <v>10.11360488</v>
      </c>
      <c r="T190">
        <f>11.52656733</f>
        <v>11.526567330000001</v>
      </c>
      <c r="U190">
        <f>13.00939332</f>
        <v>13.009393319999999</v>
      </c>
      <c r="V190">
        <f>18.82116544</f>
        <v>18.821165440000001</v>
      </c>
      <c r="W190">
        <f>12.19127693</f>
        <v>12.191276930000001</v>
      </c>
      <c r="X190">
        <f>9.888143177</f>
        <v>9.8881431769999999</v>
      </c>
      <c r="Y190">
        <f>8.079652094</f>
        <v>8.0796520940000001</v>
      </c>
      <c r="Z190">
        <f>9.42823804</f>
        <v>9.4282380400000001</v>
      </c>
      <c r="AA190">
        <f>6.567374223</f>
        <v>6.5673742229999998</v>
      </c>
      <c r="AB190">
        <f>4.367026497</f>
        <v>4.3670264970000003</v>
      </c>
      <c r="AC190">
        <f>11.57894737</f>
        <v>11.57894737</v>
      </c>
    </row>
    <row r="191" spans="1:29" x14ac:dyDescent="0.25">
      <c r="A191" t="str">
        <f>"    CGI Inc"</f>
        <v xml:space="preserve">    CGI Inc</v>
      </c>
      <c r="B191" t="str">
        <f>"GIB US Equity"</f>
        <v>GIB US Equity</v>
      </c>
      <c r="C191" t="str">
        <f t="shared" si="30"/>
        <v>RR029</v>
      </c>
      <c r="D191" t="str">
        <f t="shared" si="31"/>
        <v>RETURN_COM_EQY</v>
      </c>
      <c r="E191" t="str">
        <f t="shared" si="32"/>
        <v>Dynamic</v>
      </c>
      <c r="F191">
        <f ca="1">IF(AND(ISNUMBER($F$414),$B$238=1),$F$414,HLOOKUP(INDIRECT(ADDRESS(2,COLUMN())),OFFSET($R$2,0,0,ROW()-1,12),ROW()-1,FALSE))</f>
        <v>18.619137429999999</v>
      </c>
      <c r="G191">
        <f ca="1">IF(AND(ISNUMBER($G$414),$B$238=1),$G$414,HLOOKUP(INDIRECT(ADDRESS(2,COLUMN())),OFFSET($R$2,0,0,ROW()-1,12),ROW()-1,FALSE))</f>
        <v>17.713411199999999</v>
      </c>
      <c r="H191">
        <f ca="1">IF(AND(ISNUMBER($H$414),$B$238=1),$H$414,HLOOKUP(INDIRECT(ADDRESS(2,COLUMN())),OFFSET($R$2,0,0,ROW()-1,12),ROW()-1,FALSE))</f>
        <v>16.344452149999999</v>
      </c>
      <c r="I191">
        <f ca="1">IF(AND(ISNUMBER($I$414),$B$238=1),$I$414,HLOOKUP(INDIRECT(ADDRESS(2,COLUMN())),OFFSET($R$2,0,0,ROW()-1,12),ROW()-1,FALSE))</f>
        <v>17.035705660000001</v>
      </c>
      <c r="J191">
        <f ca="1">IF(AND(ISNUMBER($J$414),$B$238=1),$J$414,HLOOKUP(INDIRECT(ADDRESS(2,COLUMN())),OFFSET($R$2,0,0,ROW()-1,12),ROW()-1,FALSE))</f>
        <v>17.659928820000001</v>
      </c>
      <c r="K191">
        <f ca="1">IF(AND(ISNUMBER($K$414),$B$238=1),$K$414,HLOOKUP(INDIRECT(ADDRESS(2,COLUMN())),OFFSET($R$2,0,0,ROW()-1,12),ROW()-1,FALSE))</f>
        <v>19.004929229999998</v>
      </c>
      <c r="L191">
        <f ca="1">IF(AND(ISNUMBER($L$414),$B$238=1),$L$414,HLOOKUP(INDIRECT(ADDRESS(2,COLUMN())),OFFSET($R$2,0,0,ROW()-1,12),ROW()-1,FALSE))</f>
        <v>12.18998208</v>
      </c>
      <c r="M191">
        <f ca="1">IF(AND(ISNUMBER($M$414),$B$238=1),$M$414,HLOOKUP(INDIRECT(ADDRESS(2,COLUMN())),OFFSET($R$2,0,0,ROW()-1,12),ROW()-1,FALSE))</f>
        <v>4.5573786060000003</v>
      </c>
      <c r="N191">
        <f ca="1">IF(AND(ISNUMBER($N$414),$B$238=1),$N$414,HLOOKUP(INDIRECT(ADDRESS(2,COLUMN())),OFFSET($R$2,0,0,ROW()-1,12),ROW()-1,FALSE))</f>
        <v>19.464790350000001</v>
      </c>
      <c r="O191">
        <f ca="1">IF(AND(ISNUMBER($O$414),$B$238=1),$O$414,HLOOKUP(INDIRECT(ADDRESS(2,COLUMN())),OFFSET($R$2,0,0,ROW()-1,12),ROW()-1,FALSE))</f>
        <v>16.36835645</v>
      </c>
      <c r="P191">
        <f ca="1">IF(AND(ISNUMBER($P$414),$B$238=1),$P$414,HLOOKUP(INDIRECT(ADDRESS(2,COLUMN())),OFFSET($R$2,0,0,ROW()-1,12),ROW()-1,FALSE))</f>
        <v>14.814939649999999</v>
      </c>
      <c r="Q191">
        <f ca="1">IF(AND(ISNUMBER($Q$414),$B$238=1),$Q$414,HLOOKUP(INDIRECT(ADDRESS(2,COLUMN())),OFFSET($R$2,0,0,ROW()-1,12),ROW()-1,FALSE))</f>
        <v>15.36625596</v>
      </c>
      <c r="R191">
        <f>18.61913743</f>
        <v>18.619137429999999</v>
      </c>
      <c r="S191">
        <f>17.7134112</f>
        <v>17.713411199999999</v>
      </c>
      <c r="T191">
        <f>16.34445215</f>
        <v>16.344452149999999</v>
      </c>
      <c r="U191">
        <f>17.03570566</f>
        <v>17.035705660000001</v>
      </c>
      <c r="V191">
        <f>17.65992882</f>
        <v>17.659928820000001</v>
      </c>
      <c r="W191">
        <f>19.00492923</f>
        <v>19.004929229999998</v>
      </c>
      <c r="X191">
        <f>12.18998208</f>
        <v>12.18998208</v>
      </c>
      <c r="Y191">
        <f>4.557378606</f>
        <v>4.5573786060000003</v>
      </c>
      <c r="Z191">
        <f>19.46479035</f>
        <v>19.464790350000001</v>
      </c>
      <c r="AA191">
        <f>16.36835645</f>
        <v>16.36835645</v>
      </c>
      <c r="AB191">
        <f>14.81493965</f>
        <v>14.814939649999999</v>
      </c>
      <c r="AC191">
        <f>15.36625596</f>
        <v>15.36625596</v>
      </c>
    </row>
    <row r="192" spans="1:29" x14ac:dyDescent="0.25">
      <c r="A192" t="str">
        <f>"    Cognizant Technology Solutions Corp"</f>
        <v xml:space="preserve">    Cognizant Technology Solutions Corp</v>
      </c>
      <c r="B192" t="str">
        <f>"CTSH US Equity"</f>
        <v>CTSH US Equity</v>
      </c>
      <c r="C192" t="str">
        <f t="shared" si="30"/>
        <v>RR029</v>
      </c>
      <c r="D192" t="str">
        <f t="shared" si="31"/>
        <v>RETURN_COM_EQY</v>
      </c>
      <c r="E192" t="str">
        <f t="shared" si="32"/>
        <v>Dynamic</v>
      </c>
      <c r="F192">
        <f ca="1">IF(AND(ISNUMBER($F$415),$B$238=1),$F$415,HLOOKUP(INDIRECT(ADDRESS(2,COLUMN())),OFFSET($R$2,0,0,ROW()-1,12),ROW()-1,FALSE))</f>
        <v>16.412723870000001</v>
      </c>
      <c r="G192">
        <f ca="1">IF(AND(ISNUMBER($G$415),$B$238=1),$G$415,HLOOKUP(INDIRECT(ADDRESS(2,COLUMN())),OFFSET($R$2,0,0,ROW()-1,12),ROW()-1,FALSE))</f>
        <v>19.019598970000001</v>
      </c>
      <c r="H192">
        <f ca="1">IF(AND(ISNUMBER($H$415),$B$238=1),$H$415,HLOOKUP(INDIRECT(ADDRESS(2,COLUMN())),OFFSET($R$2,0,0,ROW()-1,12),ROW()-1,FALSE))</f>
        <v>14.05804552</v>
      </c>
      <c r="I192">
        <f ca="1">IF(AND(ISNUMBER($I$415),$B$238=1),$I$415,HLOOKUP(INDIRECT(ADDRESS(2,COLUMN())),OFFSET($R$2,0,0,ROW()-1,12),ROW()-1,FALSE))</f>
        <v>15.5253424</v>
      </c>
      <c r="J192">
        <f ca="1">IF(AND(ISNUMBER($J$415),$B$238=1),$J$415,HLOOKUP(INDIRECT(ADDRESS(2,COLUMN())),OFFSET($R$2,0,0,ROW()-1,12),ROW()-1,FALSE))</f>
        <v>19.085449700000002</v>
      </c>
      <c r="K192">
        <f ca="1">IF(AND(ISNUMBER($K$415),$B$238=1),$K$415,HLOOKUP(INDIRECT(ADDRESS(2,COLUMN())),OFFSET($R$2,0,0,ROW()-1,12),ROW()-1,FALSE))</f>
        <v>20.74518497</v>
      </c>
      <c r="L192">
        <f ca="1">IF(AND(ISNUMBER($L$415),$B$238=1),$L$415,HLOOKUP(INDIRECT(ADDRESS(2,COLUMN())),OFFSET($R$2,0,0,ROW()-1,12),ROW()-1,FALSE))</f>
        <v>22.357753389999999</v>
      </c>
      <c r="M192">
        <f ca="1">IF(AND(ISNUMBER($M$415),$B$238=1),$M$415,HLOOKUP(INDIRECT(ADDRESS(2,COLUMN())),OFFSET($R$2,0,0,ROW()-1,12),ROW()-1,FALSE))</f>
        <v>23.872621580000001</v>
      </c>
      <c r="N192">
        <f ca="1">IF(AND(ISNUMBER($N$415),$B$238=1),$N$415,HLOOKUP(INDIRECT(ADDRESS(2,COLUMN())),OFFSET($R$2,0,0,ROW()-1,12),ROW()-1,FALSE))</f>
        <v>23.446486329999999</v>
      </c>
      <c r="O192">
        <f ca="1">IF(AND(ISNUMBER($O$415),$B$238=1),$O$415,HLOOKUP(INDIRECT(ADDRESS(2,COLUMN())),OFFSET($R$2,0,0,ROW()-1,12),ROW()-1,FALSE))</f>
        <v>23.5199134</v>
      </c>
      <c r="P192">
        <f ca="1">IF(AND(ISNUMBER($P$415),$B$238=1),$P$415,HLOOKUP(INDIRECT(ADDRESS(2,COLUMN())),OFFSET($R$2,0,0,ROW()-1,12),ROW()-1,FALSE))</f>
        <v>23.164813890000001</v>
      </c>
      <c r="Q192">
        <f ca="1">IF(AND(ISNUMBER($Q$415),$B$238=1),$Q$415,HLOOKUP(INDIRECT(ADDRESS(2,COLUMN())),OFFSET($R$2,0,0,ROW()-1,12),ROW()-1,FALSE))</f>
        <v>25.094443800000001</v>
      </c>
      <c r="R192">
        <f>16.41272387</f>
        <v>16.412723870000001</v>
      </c>
      <c r="S192">
        <f>19.01959897</f>
        <v>19.019598970000001</v>
      </c>
      <c r="T192">
        <f>14.05804552</f>
        <v>14.05804552</v>
      </c>
      <c r="U192">
        <f>15.5253424</f>
        <v>15.5253424</v>
      </c>
      <c r="V192">
        <f>19.0854497</f>
        <v>19.085449700000002</v>
      </c>
      <c r="W192">
        <f>20.74518497</f>
        <v>20.74518497</v>
      </c>
      <c r="X192">
        <f>22.35775339</f>
        <v>22.357753389999999</v>
      </c>
      <c r="Y192">
        <f>23.87262158</f>
        <v>23.872621580000001</v>
      </c>
      <c r="Z192">
        <f>23.44648633</f>
        <v>23.446486329999999</v>
      </c>
      <c r="AA192">
        <f>23.5199134</f>
        <v>23.5199134</v>
      </c>
      <c r="AB192">
        <f>23.16481389</f>
        <v>23.164813890000001</v>
      </c>
      <c r="AC192">
        <f>25.0944438</f>
        <v>25.094443800000001</v>
      </c>
    </row>
    <row r="193" spans="1:29" x14ac:dyDescent="0.25">
      <c r="A193" t="str">
        <f>"    Conduent Inc"</f>
        <v xml:space="preserve">    Conduent Inc</v>
      </c>
      <c r="B193" t="str">
        <f>"CNDT US Equity"</f>
        <v>CNDT US Equity</v>
      </c>
      <c r="C193" t="str">
        <f t="shared" si="30"/>
        <v>RR029</v>
      </c>
      <c r="D193" t="str">
        <f t="shared" si="31"/>
        <v>RETURN_COM_EQY</v>
      </c>
      <c r="E193" t="str">
        <f t="shared" si="32"/>
        <v>Dynamic</v>
      </c>
      <c r="F193">
        <f ca="1">IF(AND(ISNUMBER($F$416),$B$238=1),$F$416,HLOOKUP(INDIRECT(ADDRESS(2,COLUMN())),OFFSET($R$2,0,0,ROW()-1,12),ROW()-1,FALSE))</f>
        <v>-85.123239440000006</v>
      </c>
      <c r="G193">
        <f ca="1">IF(AND(ISNUMBER($G$416),$B$238=1),$G$416,HLOOKUP(INDIRECT(ADDRESS(2,COLUMN())),OFFSET($R$2,0,0,ROW()-1,12),ROW()-1,FALSE))</f>
        <v>-12.2840691</v>
      </c>
      <c r="H193">
        <f ca="1">IF(AND(ISNUMBER($H$416),$B$238=1),$H$416,HLOOKUP(INDIRECT(ADDRESS(2,COLUMN())),OFFSET($R$2,0,0,ROW()-1,12),ROW()-1,FALSE))</f>
        <v>5.2761988049999999</v>
      </c>
      <c r="I193">
        <f ca="1">IF(AND(ISNUMBER($I$416),$B$238=1),$I$416,HLOOKUP(INDIRECT(ADDRESS(2,COLUMN())),OFFSET($R$2,0,0,ROW()-1,12),ROW()-1,FALSE))</f>
        <v>-23.20585458</v>
      </c>
      <c r="J193">
        <f ca="1">IF(AND(ISNUMBER($J$416),$B$238=1),$J$416,HLOOKUP(INDIRECT(ADDRESS(2,COLUMN())),OFFSET($R$2,0,0,ROW()-1,12),ROW()-1,FALSE))</f>
        <v>-7.8312683249999999</v>
      </c>
      <c r="K193" t="str">
        <f ca="1">IF(AND(ISNUMBER($K$416),$B$238=1),$K$416,HLOOKUP(INDIRECT(ADDRESS(2,COLUMN())),OFFSET($R$2,0,0,ROW()-1,12),ROW()-1,FALSE))</f>
        <v/>
      </c>
      <c r="L193" t="str">
        <f ca="1">IF(AND(ISNUMBER($L$416),$B$238=1),$L$416,HLOOKUP(INDIRECT(ADDRESS(2,COLUMN())),OFFSET($R$2,0,0,ROW()-1,12),ROW()-1,FALSE))</f>
        <v/>
      </c>
      <c r="M193" t="str">
        <f ca="1">IF(AND(ISNUMBER($M$416),$B$238=1),$M$416,HLOOKUP(INDIRECT(ADDRESS(2,COLUMN())),OFFSET($R$2,0,0,ROW()-1,12),ROW()-1,FALSE))</f>
        <v/>
      </c>
      <c r="N193" t="str">
        <f ca="1">IF(AND(ISNUMBER($N$416),$B$238=1),$N$416,HLOOKUP(INDIRECT(ADDRESS(2,COLUMN())),OFFSET($R$2,0,0,ROW()-1,12),ROW()-1,FALSE))</f>
        <v/>
      </c>
      <c r="O193" t="str">
        <f ca="1">IF(AND(ISNUMBER($O$416),$B$238=1),$O$416,HLOOKUP(INDIRECT(ADDRESS(2,COLUMN())),OFFSET($R$2,0,0,ROW()-1,12),ROW()-1,FALSE))</f>
        <v/>
      </c>
      <c r="P193" t="str">
        <f ca="1">IF(AND(ISNUMBER($P$416),$B$238=1),$P$416,HLOOKUP(INDIRECT(ADDRESS(2,COLUMN())),OFFSET($R$2,0,0,ROW()-1,12),ROW()-1,FALSE))</f>
        <v/>
      </c>
      <c r="Q193" t="str">
        <f ca="1">IF(AND(ISNUMBER($Q$416),$B$238=1),$Q$416,HLOOKUP(INDIRECT(ADDRESS(2,COLUMN())),OFFSET($R$2,0,0,ROW()-1,12),ROW()-1,FALSE))</f>
        <v/>
      </c>
      <c r="R193">
        <f>-85.12323944</f>
        <v>-85.123239440000006</v>
      </c>
      <c r="S193">
        <f>-12.2840691</f>
        <v>-12.2840691</v>
      </c>
      <c r="T193">
        <f>5.276198805</f>
        <v>5.2761988049999999</v>
      </c>
      <c r="U193">
        <f>-23.20585458</f>
        <v>-23.20585458</v>
      </c>
      <c r="V193">
        <f>-7.831268325</f>
        <v>-7.8312683249999999</v>
      </c>
      <c r="W193" t="str">
        <f>""</f>
        <v/>
      </c>
      <c r="X193" t="str">
        <f>""</f>
        <v/>
      </c>
      <c r="Y193" t="str">
        <f>""</f>
        <v/>
      </c>
      <c r="Z193" t="str">
        <f>""</f>
        <v/>
      </c>
      <c r="AA193" t="str">
        <f>""</f>
        <v/>
      </c>
      <c r="AB193" t="str">
        <f>""</f>
        <v/>
      </c>
      <c r="AC193" t="str">
        <f>""</f>
        <v/>
      </c>
    </row>
    <row r="194" spans="1:29" x14ac:dyDescent="0.25">
      <c r="A194" t="str">
        <f>"    DXC Technology Co"</f>
        <v xml:space="preserve">    DXC Technology Co</v>
      </c>
      <c r="B194" t="str">
        <f>"DXC US Equity"</f>
        <v>DXC US Equity</v>
      </c>
      <c r="C194" t="str">
        <f t="shared" si="30"/>
        <v>RR029</v>
      </c>
      <c r="D194" t="str">
        <f t="shared" si="31"/>
        <v>RETURN_COM_EQY</v>
      </c>
      <c r="E194" t="str">
        <f t="shared" si="32"/>
        <v>Dynamic</v>
      </c>
      <c r="F194">
        <f ca="1">IF(AND(ISNUMBER($F$417),$B$238=1),$F$417,HLOOKUP(INDIRECT(ADDRESS(2,COLUMN())),OFFSET($R$2,0,0,ROW()-1,12),ROW()-1,FALSE))</f>
        <v>-66.337184160000007</v>
      </c>
      <c r="G194">
        <f ca="1">IF(AND(ISNUMBER($G$417),$B$238=1),$G$417,HLOOKUP(INDIRECT(ADDRESS(2,COLUMN())),OFFSET($R$2,0,0,ROW()-1,12),ROW()-1,FALSE))</f>
        <v>10.100847760000001</v>
      </c>
      <c r="H194">
        <f ca="1">IF(AND(ISNUMBER($H$417),$B$238=1),$H$417,HLOOKUP(INDIRECT(ADDRESS(2,COLUMN())),OFFSET($R$2,0,0,ROW()-1,12),ROW()-1,FALSE))</f>
        <v>13.8402561</v>
      </c>
      <c r="I194" t="str">
        <f ca="1">IF(AND(ISNUMBER($I$417),$B$238=1),$I$417,HLOOKUP(INDIRECT(ADDRESS(2,COLUMN())),OFFSET($R$2,0,0,ROW()-1,12),ROW()-1,FALSE))</f>
        <v/>
      </c>
      <c r="J194" t="str">
        <f ca="1">IF(AND(ISNUMBER($J$417),$B$238=1),$J$417,HLOOKUP(INDIRECT(ADDRESS(2,COLUMN())),OFFSET($R$2,0,0,ROW()-1,12),ROW()-1,FALSE))</f>
        <v/>
      </c>
      <c r="K194" t="str">
        <f ca="1">IF(AND(ISNUMBER($K$417),$B$238=1),$K$417,HLOOKUP(INDIRECT(ADDRESS(2,COLUMN())),OFFSET($R$2,0,0,ROW()-1,12),ROW()-1,FALSE))</f>
        <v/>
      </c>
      <c r="L194" t="str">
        <f ca="1">IF(AND(ISNUMBER($L$417),$B$238=1),$L$417,HLOOKUP(INDIRECT(ADDRESS(2,COLUMN())),OFFSET($R$2,0,0,ROW()-1,12),ROW()-1,FALSE))</f>
        <v/>
      </c>
      <c r="M194" t="str">
        <f ca="1">IF(AND(ISNUMBER($M$417),$B$238=1),$M$417,HLOOKUP(INDIRECT(ADDRESS(2,COLUMN())),OFFSET($R$2,0,0,ROW()-1,12),ROW()-1,FALSE))</f>
        <v/>
      </c>
      <c r="N194" t="str">
        <f ca="1">IF(AND(ISNUMBER($N$417),$B$238=1),$N$417,HLOOKUP(INDIRECT(ADDRESS(2,COLUMN())),OFFSET($R$2,0,0,ROW()-1,12),ROW()-1,FALSE))</f>
        <v/>
      </c>
      <c r="O194" t="str">
        <f ca="1">IF(AND(ISNUMBER($O$417),$B$238=1),$O$417,HLOOKUP(INDIRECT(ADDRESS(2,COLUMN())),OFFSET($R$2,0,0,ROW()-1,12),ROW()-1,FALSE))</f>
        <v/>
      </c>
      <c r="P194" t="str">
        <f ca="1">IF(AND(ISNUMBER($P$417),$B$238=1),$P$417,HLOOKUP(INDIRECT(ADDRESS(2,COLUMN())),OFFSET($R$2,0,0,ROW()-1,12),ROW()-1,FALSE))</f>
        <v/>
      </c>
      <c r="Q194" t="str">
        <f ca="1">IF(AND(ISNUMBER($Q$417),$B$238=1),$Q$417,HLOOKUP(INDIRECT(ADDRESS(2,COLUMN())),OFFSET($R$2,0,0,ROW()-1,12),ROW()-1,FALSE))</f>
        <v/>
      </c>
      <c r="R194">
        <f>-66.33718416</f>
        <v>-66.337184160000007</v>
      </c>
      <c r="S194">
        <f>10.10084776</f>
        <v>10.100847760000001</v>
      </c>
      <c r="T194">
        <f>13.8402561</f>
        <v>13.8402561</v>
      </c>
      <c r="U194" t="str">
        <f>""</f>
        <v/>
      </c>
      <c r="V194" t="str">
        <f>""</f>
        <v/>
      </c>
      <c r="W194" t="str">
        <f>""</f>
        <v/>
      </c>
      <c r="X194" t="str">
        <f>""</f>
        <v/>
      </c>
      <c r="Y194" t="str">
        <f>""</f>
        <v/>
      </c>
      <c r="Z194" t="str">
        <f>""</f>
        <v/>
      </c>
      <c r="AA194" t="str">
        <f>""</f>
        <v/>
      </c>
      <c r="AB194" t="str">
        <f>""</f>
        <v/>
      </c>
      <c r="AC194" t="str">
        <f>""</f>
        <v/>
      </c>
    </row>
    <row r="195" spans="1:29" x14ac:dyDescent="0.25">
      <c r="A195" t="str">
        <f>"    EPAM Systems Inc"</f>
        <v xml:space="preserve">    EPAM Systems Inc</v>
      </c>
      <c r="B195" t="str">
        <f>"EPAM US Equity"</f>
        <v>EPAM US Equity</v>
      </c>
      <c r="C195" t="str">
        <f t="shared" si="30"/>
        <v>RR029</v>
      </c>
      <c r="D195" t="str">
        <f t="shared" si="31"/>
        <v>RETURN_COM_EQY</v>
      </c>
      <c r="E195" t="str">
        <f t="shared" si="32"/>
        <v>Dynamic</v>
      </c>
      <c r="F195">
        <f ca="1">IF(AND(ISNUMBER($F$418),$B$238=1),$F$418,HLOOKUP(INDIRECT(ADDRESS(2,COLUMN())),OFFSET($R$2,0,0,ROW()-1,12),ROW()-1,FALSE))</f>
        <v>18.263774160000001</v>
      </c>
      <c r="G195">
        <f ca="1">IF(AND(ISNUMBER($G$418),$B$238=1),$G$418,HLOOKUP(INDIRECT(ADDRESS(2,COLUMN())),OFFSET($R$2,0,0,ROW()-1,12),ROW()-1,FALSE))</f>
        <v>21.474983940000001</v>
      </c>
      <c r="H195">
        <f ca="1">IF(AND(ISNUMBER($H$418),$B$238=1),$H$418,HLOOKUP(INDIRECT(ADDRESS(2,COLUMN())),OFFSET($R$2,0,0,ROW()-1,12),ROW()-1,FALSE))</f>
        <v>8.2853220780000001</v>
      </c>
      <c r="I195">
        <f ca="1">IF(AND(ISNUMBER($I$418),$B$238=1),$I$418,HLOOKUP(INDIRECT(ADDRESS(2,COLUMN())),OFFSET($R$2,0,0,ROW()-1,12),ROW()-1,FALSE))</f>
        <v>14.235409260000001</v>
      </c>
      <c r="J195">
        <f ca="1">IF(AND(ISNUMBER($J$418),$B$238=1),$J$418,HLOOKUP(INDIRECT(ADDRESS(2,COLUMN())),OFFSET($R$2,0,0,ROW()-1,12),ROW()-1,FALSE))</f>
        <v>15.67959097</v>
      </c>
      <c r="K195">
        <f ca="1">IF(AND(ISNUMBER($K$418),$B$238=1),$K$418,HLOOKUP(INDIRECT(ADDRESS(2,COLUMN())),OFFSET($R$2,0,0,ROW()-1,12),ROW()-1,FALSE))</f>
        <v>16.578210349999999</v>
      </c>
      <c r="L195">
        <f ca="1">IF(AND(ISNUMBER($L$418),$B$238=1),$L$418,HLOOKUP(INDIRECT(ADDRESS(2,COLUMN())),OFFSET($R$2,0,0,ROW()-1,12),ROW()-1,FALSE))</f>
        <v>18.718532079999999</v>
      </c>
      <c r="M195">
        <f ca="1">IF(AND(ISNUMBER($M$418),$B$238=1),$M$418,HLOOKUP(INDIRECT(ADDRESS(2,COLUMN())),OFFSET($R$2,0,0,ROW()-1,12),ROW()-1,FALSE))</f>
        <v>26.822853160000001</v>
      </c>
      <c r="N195">
        <f ca="1">IF(AND(ISNUMBER($N$418),$B$238=1),$N$418,HLOOKUP(INDIRECT(ADDRESS(2,COLUMN())),OFFSET($R$2,0,0,ROW()-1,12),ROW()-1,FALSE))</f>
        <v>14.55704034</v>
      </c>
      <c r="O195">
        <f ca="1">IF(AND(ISNUMBER($O$418),$B$238=1),$O$418,HLOOKUP(INDIRECT(ADDRESS(2,COLUMN())),OFFSET($R$2,0,0,ROW()-1,12),ROW()-1,FALSE))</f>
        <v>33.918392019999999</v>
      </c>
      <c r="P195" t="str">
        <f ca="1">IF(AND(ISNUMBER($P$418),$B$238=1),$P$418,HLOOKUP(INDIRECT(ADDRESS(2,COLUMN())),OFFSET($R$2,0,0,ROW()-1,12),ROW()-1,FALSE))</f>
        <v/>
      </c>
      <c r="Q195" t="str">
        <f ca="1">IF(AND(ISNUMBER($Q$418),$B$238=1),$Q$418,HLOOKUP(INDIRECT(ADDRESS(2,COLUMN())),OFFSET($R$2,0,0,ROW()-1,12),ROW()-1,FALSE))</f>
        <v/>
      </c>
      <c r="R195">
        <f>18.26377416</f>
        <v>18.263774160000001</v>
      </c>
      <c r="S195">
        <f>21.47498394</f>
        <v>21.474983940000001</v>
      </c>
      <c r="T195">
        <f>8.285322078</f>
        <v>8.2853220780000001</v>
      </c>
      <c r="U195">
        <f>14.23540926</f>
        <v>14.235409260000001</v>
      </c>
      <c r="V195">
        <f>15.67959097</f>
        <v>15.67959097</v>
      </c>
      <c r="W195">
        <f>16.57821035</f>
        <v>16.578210349999999</v>
      </c>
      <c r="X195">
        <f>18.71853208</f>
        <v>18.718532079999999</v>
      </c>
      <c r="Y195">
        <f>26.82285316</f>
        <v>26.822853160000001</v>
      </c>
      <c r="Z195">
        <f>14.55704034</f>
        <v>14.55704034</v>
      </c>
      <c r="AA195">
        <f>33.91839202</f>
        <v>33.918392019999999</v>
      </c>
      <c r="AB195" t="str">
        <f>""</f>
        <v/>
      </c>
      <c r="AC195" t="str">
        <f>""</f>
        <v/>
      </c>
    </row>
    <row r="196" spans="1:29" x14ac:dyDescent="0.25">
      <c r="A196" t="str">
        <f>"    Genpact Ltd"</f>
        <v xml:space="preserve">    Genpact Ltd</v>
      </c>
      <c r="B196" t="str">
        <f>"G US Equity"</f>
        <v>G US Equity</v>
      </c>
      <c r="C196" t="str">
        <f t="shared" si="30"/>
        <v>RR029</v>
      </c>
      <c r="D196" t="str">
        <f t="shared" si="31"/>
        <v>RETURN_COM_EQY</v>
      </c>
      <c r="E196" t="str">
        <f t="shared" si="32"/>
        <v>Dynamic</v>
      </c>
      <c r="F196">
        <f ca="1">IF(AND(ISNUMBER($F$419),$B$238=1),$F$419,HLOOKUP(INDIRECT(ADDRESS(2,COLUMN())),OFFSET($R$2,0,0,ROW()-1,12),ROW()-1,FALSE))</f>
        <v>19.712008300000001</v>
      </c>
      <c r="G196">
        <f ca="1">IF(AND(ISNUMBER($G$419),$B$238=1),$G$419,HLOOKUP(INDIRECT(ADDRESS(2,COLUMN())),OFFSET($R$2,0,0,ROW()-1,12),ROW()-1,FALSE))</f>
        <v>19.943172860000001</v>
      </c>
      <c r="H196">
        <f ca="1">IF(AND(ISNUMBER($H$419),$B$238=1),$H$419,HLOOKUP(INDIRECT(ADDRESS(2,COLUMN())),OFFSET($R$2,0,0,ROW()-1,12),ROW()-1,FALSE))</f>
        <v>19.412828900000001</v>
      </c>
      <c r="I196">
        <f ca="1">IF(AND(ISNUMBER($I$419),$B$238=1),$I$419,HLOOKUP(INDIRECT(ADDRESS(2,COLUMN())),OFFSET($R$2,0,0,ROW()-1,12),ROW()-1,FALSE))</f>
        <v>20.81694972</v>
      </c>
      <c r="J196">
        <f ca="1">IF(AND(ISNUMBER($J$419),$B$238=1),$J$419,HLOOKUP(INDIRECT(ADDRESS(2,COLUMN())),OFFSET($R$2,0,0,ROW()-1,12),ROW()-1,FALSE))</f>
        <v>18.52232021</v>
      </c>
      <c r="K196">
        <f ca="1">IF(AND(ISNUMBER($K$419),$B$238=1),$K$419,HLOOKUP(INDIRECT(ADDRESS(2,COLUMN())),OFFSET($R$2,0,0,ROW()-1,12),ROW()-1,FALSE))</f>
        <v>14.72478551</v>
      </c>
      <c r="L196">
        <f ca="1">IF(AND(ISNUMBER($L$419),$B$238=1),$L$419,HLOOKUP(INDIRECT(ADDRESS(2,COLUMN())),OFFSET($R$2,0,0,ROW()-1,12),ROW()-1,FALSE))</f>
        <v>18.442646969999998</v>
      </c>
      <c r="M196">
        <f ca="1">IF(AND(ISNUMBER($M$419),$B$238=1),$M$419,HLOOKUP(INDIRECT(ADDRESS(2,COLUMN())),OFFSET($R$2,0,0,ROW()-1,12),ROW()-1,FALSE))</f>
        <v>13.701181910000001</v>
      </c>
      <c r="N196">
        <f ca="1">IF(AND(ISNUMBER($N$419),$B$238=1),$N$419,HLOOKUP(INDIRECT(ADDRESS(2,COLUMN())),OFFSET($R$2,0,0,ROW()-1,12),ROW()-1,FALSE))</f>
        <v>12.65872866</v>
      </c>
      <c r="O196">
        <f ca="1">IF(AND(ISNUMBER($O$419),$B$238=1),$O$419,HLOOKUP(INDIRECT(ADDRESS(2,COLUMN())),OFFSET($R$2,0,0,ROW()-1,12),ROW()-1,FALSE))</f>
        <v>10.626112640000001</v>
      </c>
      <c r="P196">
        <f ca="1">IF(AND(ISNUMBER($P$419),$B$238=1),$P$419,HLOOKUP(INDIRECT(ADDRESS(2,COLUMN())),OFFSET($R$2,0,0,ROW()-1,12),ROW()-1,FALSE))</f>
        <v>12.48545378</v>
      </c>
      <c r="Q196" t="str">
        <f ca="1">IF(AND(ISNUMBER($Q$419),$B$238=1),$Q$419,HLOOKUP(INDIRECT(ADDRESS(2,COLUMN())),OFFSET($R$2,0,0,ROW()-1,12),ROW()-1,FALSE))</f>
        <v/>
      </c>
      <c r="R196">
        <f>19.7120083</f>
        <v>19.712008300000001</v>
      </c>
      <c r="S196">
        <f>19.94317286</f>
        <v>19.943172860000001</v>
      </c>
      <c r="T196">
        <f>19.4128289</f>
        <v>19.412828900000001</v>
      </c>
      <c r="U196">
        <f>20.81694972</f>
        <v>20.81694972</v>
      </c>
      <c r="V196">
        <f>18.52232021</f>
        <v>18.52232021</v>
      </c>
      <c r="W196">
        <f>14.72478551</f>
        <v>14.72478551</v>
      </c>
      <c r="X196">
        <f>18.44264697</f>
        <v>18.442646969999998</v>
      </c>
      <c r="Y196">
        <f>13.70118191</f>
        <v>13.701181910000001</v>
      </c>
      <c r="Z196">
        <f>12.65872866</f>
        <v>12.65872866</v>
      </c>
      <c r="AA196">
        <f>10.62611264</f>
        <v>10.626112640000001</v>
      </c>
      <c r="AB196">
        <f>12.48545378</f>
        <v>12.48545378</v>
      </c>
      <c r="AC196" t="str">
        <f>""</f>
        <v/>
      </c>
    </row>
    <row r="197" spans="1:29" x14ac:dyDescent="0.25">
      <c r="A197" t="str">
        <f>"    HCL Technologies Ltd"</f>
        <v xml:space="preserve">    HCL Technologies Ltd</v>
      </c>
      <c r="B197" t="str">
        <f>"HCLT IN Equity"</f>
        <v>HCLT IN Equity</v>
      </c>
      <c r="C197" t="str">
        <f t="shared" si="30"/>
        <v>RR029</v>
      </c>
      <c r="D197" t="str">
        <f t="shared" si="31"/>
        <v>RETURN_COM_EQY</v>
      </c>
      <c r="E197" t="str">
        <f t="shared" si="32"/>
        <v>Dynamic</v>
      </c>
      <c r="F197">
        <f ca="1">IF(AND(ISNUMBER($F$420),$B$238=1),$F$420,HLOOKUP(INDIRECT(ADDRESS(2,COLUMN())),OFFSET($R$2,0,0,ROW()-1,12),ROW()-1,FALSE))</f>
        <v>24.146477130000001</v>
      </c>
      <c r="G197">
        <f ca="1">IF(AND(ISNUMBER($G$420),$B$238=1),$G$420,HLOOKUP(INDIRECT(ADDRESS(2,COLUMN())),OFFSET($R$2,0,0,ROW()-1,12),ROW()-1,FALSE))</f>
        <v>24.778918990000001</v>
      </c>
      <c r="H197">
        <f ca="1">IF(AND(ISNUMBER($H$420),$B$238=1),$H$420,HLOOKUP(INDIRECT(ADDRESS(2,COLUMN())),OFFSET($R$2,0,0,ROW()-1,12),ROW()-1,FALSE))</f>
        <v>25.156126050000001</v>
      </c>
      <c r="I197">
        <f ca="1">IF(AND(ISNUMBER($I$420),$B$238=1),$I$420,HLOOKUP(INDIRECT(ADDRESS(2,COLUMN())),OFFSET($R$2,0,0,ROW()-1,12),ROW()-1,FALSE))</f>
        <v>28.252974739999999</v>
      </c>
      <c r="J197" t="str">
        <f ca="1">IF(AND(ISNUMBER($J$420),$B$238=1),$J$420,HLOOKUP(INDIRECT(ADDRESS(2,COLUMN())),OFFSET($R$2,0,0,ROW()-1,12),ROW()-1,FALSE))</f>
        <v/>
      </c>
      <c r="K197" t="str">
        <f ca="1">IF(AND(ISNUMBER($K$420),$B$238=1),$K$420,HLOOKUP(INDIRECT(ADDRESS(2,COLUMN())),OFFSET($R$2,0,0,ROW()-1,12),ROW()-1,FALSE))</f>
        <v/>
      </c>
      <c r="L197">
        <f ca="1">IF(AND(ISNUMBER($L$420),$B$238=1),$L$420,HLOOKUP(INDIRECT(ADDRESS(2,COLUMN())),OFFSET($R$2,0,0,ROW()-1,12),ROW()-1,FALSE))</f>
        <v>37.406698489999997</v>
      </c>
      <c r="M197">
        <f ca="1">IF(AND(ISNUMBER($M$420),$B$238=1),$M$420,HLOOKUP(INDIRECT(ADDRESS(2,COLUMN())),OFFSET($R$2,0,0,ROW()-1,12),ROW()-1,FALSE))</f>
        <v>35.12839185</v>
      </c>
      <c r="N197">
        <f ca="1">IF(AND(ISNUMBER($N$420),$B$238=1),$N$420,HLOOKUP(INDIRECT(ADDRESS(2,COLUMN())),OFFSET($R$2,0,0,ROW()-1,12),ROW()-1,FALSE))</f>
        <v>27.702484439999999</v>
      </c>
      <c r="O197">
        <f ca="1">IF(AND(ISNUMBER($O$420),$B$238=1),$O$420,HLOOKUP(INDIRECT(ADDRESS(2,COLUMN())),OFFSET($R$2,0,0,ROW()-1,12),ROW()-1,FALSE))</f>
        <v>23.61972827</v>
      </c>
      <c r="P197">
        <f ca="1">IF(AND(ISNUMBER($P$420),$B$238=1),$P$420,HLOOKUP(INDIRECT(ADDRESS(2,COLUMN())),OFFSET($R$2,0,0,ROW()-1,12),ROW()-1,FALSE))</f>
        <v>22.422212980000001</v>
      </c>
      <c r="Q197">
        <f ca="1">IF(AND(ISNUMBER($Q$420),$B$238=1),$Q$420,HLOOKUP(INDIRECT(ADDRESS(2,COLUMN())),OFFSET($R$2,0,0,ROW()-1,12),ROW()-1,FALSE))</f>
        <v>28.927137980000001</v>
      </c>
      <c r="R197">
        <f>24.14647713</f>
        <v>24.146477130000001</v>
      </c>
      <c r="S197">
        <f>24.77891899</f>
        <v>24.778918990000001</v>
      </c>
      <c r="T197">
        <f>25.15612605</f>
        <v>25.156126050000001</v>
      </c>
      <c r="U197">
        <f>28.25297474</f>
        <v>28.252974739999999</v>
      </c>
      <c r="V197" t="str">
        <f>""</f>
        <v/>
      </c>
      <c r="W197" t="str">
        <f>""</f>
        <v/>
      </c>
      <c r="X197">
        <f>37.40669849</f>
        <v>37.406698489999997</v>
      </c>
      <c r="Y197">
        <f>35.12839185</f>
        <v>35.12839185</v>
      </c>
      <c r="Z197">
        <f>27.70248444</f>
        <v>27.702484439999999</v>
      </c>
      <c r="AA197">
        <f>23.61972827</f>
        <v>23.61972827</v>
      </c>
      <c r="AB197">
        <f>22.42221298</f>
        <v>22.422212980000001</v>
      </c>
      <c r="AC197">
        <f>28.92713798</f>
        <v>28.927137980000001</v>
      </c>
    </row>
    <row r="198" spans="1:29" x14ac:dyDescent="0.25">
      <c r="A198" t="str">
        <f>"    Indra Sistemas SA"</f>
        <v xml:space="preserve">    Indra Sistemas SA</v>
      </c>
      <c r="B198" t="str">
        <f>"IDR SM Equity"</f>
        <v>IDR SM Equity</v>
      </c>
      <c r="C198" t="str">
        <f t="shared" si="30"/>
        <v>RR029</v>
      </c>
      <c r="D198" t="str">
        <f t="shared" si="31"/>
        <v>RETURN_COM_EQY</v>
      </c>
      <c r="E198" t="str">
        <f t="shared" si="32"/>
        <v>Dynamic</v>
      </c>
      <c r="F198">
        <f ca="1">IF(AND(ISNUMBER($F$421),$B$238=1),$F$421,HLOOKUP(INDIRECT(ADDRESS(2,COLUMN())),OFFSET($R$2,0,0,ROW()-1,12),ROW()-1,FALSE))</f>
        <v>16.925328650000001</v>
      </c>
      <c r="G198">
        <f ca="1">IF(AND(ISNUMBER($G$421),$B$238=1),$G$421,HLOOKUP(INDIRECT(ADDRESS(2,COLUMN())),OFFSET($R$2,0,0,ROW()-1,12),ROW()-1,FALSE))</f>
        <v>18.592765499999999</v>
      </c>
      <c r="H198">
        <f ca="1">IF(AND(ISNUMBER($H$421),$B$238=1),$H$421,HLOOKUP(INDIRECT(ADDRESS(2,COLUMN())),OFFSET($R$2,0,0,ROW()-1,12),ROW()-1,FALSE))</f>
        <v>25.474363539999999</v>
      </c>
      <c r="I198">
        <f ca="1">IF(AND(ISNUMBER($I$421),$B$238=1),$I$421,HLOOKUP(INDIRECT(ADDRESS(2,COLUMN())),OFFSET($R$2,0,0,ROW()-1,12),ROW()-1,FALSE))</f>
        <v>21.224753660000001</v>
      </c>
      <c r="J198">
        <f ca="1">IF(AND(ISNUMBER($J$421),$B$238=1),$J$421,HLOOKUP(INDIRECT(ADDRESS(2,COLUMN())),OFFSET($R$2,0,0,ROW()-1,12),ROW()-1,FALSE))</f>
        <v>-103.8414884</v>
      </c>
      <c r="K198">
        <f ca="1">IF(AND(ISNUMBER($K$421),$B$238=1),$K$421,HLOOKUP(INDIRECT(ADDRESS(2,COLUMN())),OFFSET($R$2,0,0,ROW()-1,12),ROW()-1,FALSE))</f>
        <v>-8.9020142080000007</v>
      </c>
      <c r="L198">
        <f ca="1">IF(AND(ISNUMBER($L$421),$B$238=1),$L$421,HLOOKUP(INDIRECT(ADDRESS(2,COLUMN())),OFFSET($R$2,0,0,ROW()-1,12),ROW()-1,FALSE))</f>
        <v>10.46806784</v>
      </c>
      <c r="M198">
        <f ca="1">IF(AND(ISNUMBER($M$421),$B$238=1),$M$421,HLOOKUP(INDIRECT(ADDRESS(2,COLUMN())),OFFSET($R$2,0,0,ROW()-1,12),ROW()-1,FALSE))</f>
        <v>12.429051400000001</v>
      </c>
      <c r="N198">
        <f ca="1">IF(AND(ISNUMBER($N$421),$B$238=1),$N$421,HLOOKUP(INDIRECT(ADDRESS(2,COLUMN())),OFFSET($R$2,0,0,ROW()-1,12),ROW()-1,FALSE))</f>
        <v>17.773262970000001</v>
      </c>
      <c r="O198">
        <f ca="1">IF(AND(ISNUMBER($O$421),$B$238=1),$O$421,HLOOKUP(INDIRECT(ADDRESS(2,COLUMN())),OFFSET($R$2,0,0,ROW()-1,12),ROW()-1,FALSE))</f>
        <v>19.609099480000001</v>
      </c>
      <c r="P198">
        <f ca="1">IF(AND(ISNUMBER($P$421),$B$238=1),$P$421,HLOOKUP(INDIRECT(ADDRESS(2,COLUMN())),OFFSET($R$2,0,0,ROW()-1,12),ROW()-1,FALSE))</f>
        <v>22.833427700000001</v>
      </c>
      <c r="Q198">
        <f ca="1">IF(AND(ISNUMBER($Q$421),$B$238=1),$Q$421,HLOOKUP(INDIRECT(ADDRESS(2,COLUMN())),OFFSET($R$2,0,0,ROW()-1,12),ROW()-1,FALSE))</f>
        <v>24.684557049999999</v>
      </c>
      <c r="R198">
        <f>16.92532865</f>
        <v>16.925328650000001</v>
      </c>
      <c r="S198">
        <f>18.5927655</f>
        <v>18.592765499999999</v>
      </c>
      <c r="T198">
        <f>25.47436354</f>
        <v>25.474363539999999</v>
      </c>
      <c r="U198">
        <f>21.22475366</f>
        <v>21.224753660000001</v>
      </c>
      <c r="V198">
        <f>-103.8414884</f>
        <v>-103.8414884</v>
      </c>
      <c r="W198">
        <f>-8.902014208</f>
        <v>-8.9020142080000007</v>
      </c>
      <c r="X198">
        <f>10.46806784</f>
        <v>10.46806784</v>
      </c>
      <c r="Y198">
        <f>12.4290514</f>
        <v>12.429051400000001</v>
      </c>
      <c r="Z198">
        <f>17.77326297</f>
        <v>17.773262970000001</v>
      </c>
      <c r="AA198">
        <f>19.60909948</f>
        <v>19.609099480000001</v>
      </c>
      <c r="AB198">
        <f>22.8334277</f>
        <v>22.833427700000001</v>
      </c>
      <c r="AC198">
        <f>24.68455705</f>
        <v>24.684557049999999</v>
      </c>
    </row>
    <row r="199" spans="1:29" x14ac:dyDescent="0.25">
      <c r="A199" t="str">
        <f>"    Infosys Ltd"</f>
        <v xml:space="preserve">    Infosys Ltd</v>
      </c>
      <c r="B199" t="str">
        <f>"INFY US Equity"</f>
        <v>INFY US Equity</v>
      </c>
      <c r="C199" t="str">
        <f t="shared" si="30"/>
        <v>RR029</v>
      </c>
      <c r="D199" t="str">
        <f t="shared" si="31"/>
        <v>RETURN_COM_EQY</v>
      </c>
      <c r="E199" t="str">
        <f t="shared" si="32"/>
        <v>Dynamic</v>
      </c>
      <c r="F199">
        <f ca="1">IF(AND(ISNUMBER($F$422),$B$238=1),$F$422,HLOOKUP(INDIRECT(ADDRESS(2,COLUMN())),OFFSET($R$2,0,0,ROW()-1,12),ROW()-1,FALSE))</f>
        <v>25.451310599999999</v>
      </c>
      <c r="G199">
        <f ca="1">IF(AND(ISNUMBER($G$422),$B$238=1),$G$422,HLOOKUP(INDIRECT(ADDRESS(2,COLUMN())),OFFSET($R$2,0,0,ROW()-1,12),ROW()-1,FALSE))</f>
        <v>23.72200106</v>
      </c>
      <c r="H199">
        <f ca="1">IF(AND(ISNUMBER($H$422),$B$238=1),$H$422,HLOOKUP(INDIRECT(ADDRESS(2,COLUMN())),OFFSET($R$2,0,0,ROW()-1,12),ROW()-1,FALSE))</f>
        <v>23.94085359</v>
      </c>
      <c r="I199">
        <f ca="1">IF(AND(ISNUMBER($I$422),$B$238=1),$I$422,HLOOKUP(INDIRECT(ADDRESS(2,COLUMN())),OFFSET($R$2,0,0,ROW()-1,12),ROW()-1,FALSE))</f>
        <v>21.958906410000001</v>
      </c>
      <c r="J199">
        <f ca="1">IF(AND(ISNUMBER($J$422),$B$238=1),$J$422,HLOOKUP(INDIRECT(ADDRESS(2,COLUMN())),OFFSET($R$2,0,0,ROW()-1,12),ROW()-1,FALSE))</f>
        <v>23.15569022</v>
      </c>
      <c r="K199">
        <f ca="1">IF(AND(ISNUMBER($K$422),$B$238=1),$K$422,HLOOKUP(INDIRECT(ADDRESS(2,COLUMN())),OFFSET($R$2,0,0,ROW()-1,12),ROW()-1,FALSE))</f>
        <v>24.10526625</v>
      </c>
      <c r="L199">
        <f ca="1">IF(AND(ISNUMBER($L$422),$B$238=1),$L$422,HLOOKUP(INDIRECT(ADDRESS(2,COLUMN())),OFFSET($R$2,0,0,ROW()-1,12),ROW()-1,FALSE))</f>
        <v>24.38650131</v>
      </c>
      <c r="M199">
        <f ca="1">IF(AND(ISNUMBER($M$422),$B$238=1),$M$422,HLOOKUP(INDIRECT(ADDRESS(2,COLUMN())),OFFSET($R$2,0,0,ROW()-1,12),ROW()-1,FALSE))</f>
        <v>25.720057879999999</v>
      </c>
      <c r="N199">
        <f ca="1">IF(AND(ISNUMBER($N$422),$B$238=1),$N$422,HLOOKUP(INDIRECT(ADDRESS(2,COLUMN())),OFFSET($R$2,0,0,ROW()-1,12),ROW()-1,FALSE))</f>
        <v>27.982569779999999</v>
      </c>
      <c r="O199">
        <f ca="1">IF(AND(ISNUMBER($O$422),$B$238=1),$O$422,HLOOKUP(INDIRECT(ADDRESS(2,COLUMN())),OFFSET($R$2,0,0,ROW()-1,12),ROW()-1,FALSE))</f>
        <v>27.313233029999999</v>
      </c>
      <c r="P199">
        <f ca="1">IF(AND(ISNUMBER($P$422),$B$238=1),$P$422,HLOOKUP(INDIRECT(ADDRESS(2,COLUMN())),OFFSET($R$2,0,0,ROW()-1,12),ROW()-1,FALSE))</f>
        <v>29.38549862</v>
      </c>
      <c r="Q199">
        <f ca="1">IF(AND(ISNUMBER($Q$422),$B$238=1),$Q$422,HLOOKUP(INDIRECT(ADDRESS(2,COLUMN())),OFFSET($R$2,0,0,ROW()-1,12),ROW()-1,FALSE))</f>
        <v>37.367780590000002</v>
      </c>
      <c r="R199">
        <f>25.4513106</f>
        <v>25.451310599999999</v>
      </c>
      <c r="S199">
        <f>23.72200106</f>
        <v>23.72200106</v>
      </c>
      <c r="T199">
        <f>23.94085359</f>
        <v>23.94085359</v>
      </c>
      <c r="U199">
        <f>21.95890641</f>
        <v>21.958906410000001</v>
      </c>
      <c r="V199">
        <f>23.15569022</f>
        <v>23.15569022</v>
      </c>
      <c r="W199">
        <f>24.10526625</f>
        <v>24.10526625</v>
      </c>
      <c r="X199">
        <f>24.38650131</f>
        <v>24.38650131</v>
      </c>
      <c r="Y199">
        <f>25.72005788</f>
        <v>25.720057879999999</v>
      </c>
      <c r="Z199">
        <f>27.98256978</f>
        <v>27.982569779999999</v>
      </c>
      <c r="AA199">
        <f>27.31323303</f>
        <v>27.313233029999999</v>
      </c>
      <c r="AB199">
        <f>29.38549862</f>
        <v>29.38549862</v>
      </c>
      <c r="AC199">
        <f>37.36778059</f>
        <v>37.367780590000002</v>
      </c>
    </row>
    <row r="200" spans="1:29" x14ac:dyDescent="0.25">
      <c r="A200" t="str">
        <f>"    International Business Machines Corp"</f>
        <v xml:space="preserve">    International Business Machines Corp</v>
      </c>
      <c r="B200" t="str">
        <f>"IBM US Equity"</f>
        <v>IBM US Equity</v>
      </c>
      <c r="C200" t="str">
        <f t="shared" si="30"/>
        <v>RR029</v>
      </c>
      <c r="D200" t="str">
        <f t="shared" si="31"/>
        <v>RETURN_COM_EQY</v>
      </c>
      <c r="E200" t="str">
        <f t="shared" si="32"/>
        <v>Dynamic</v>
      </c>
      <c r="F200">
        <f ca="1">IF(AND(ISNUMBER($F$423),$B$238=1),$F$423,HLOOKUP(INDIRECT(ADDRESS(2,COLUMN())),OFFSET($R$2,0,0,ROW()-1,12),ROW()-1,FALSE))</f>
        <v>50.118906850000002</v>
      </c>
      <c r="G200">
        <f ca="1">IF(AND(ISNUMBER($G$423),$B$238=1),$G$423,HLOOKUP(INDIRECT(ADDRESS(2,COLUMN())),OFFSET($R$2,0,0,ROW()-1,12),ROW()-1,FALSE))</f>
        <v>50.761155619999997</v>
      </c>
      <c r="H200">
        <f ca="1">IF(AND(ISNUMBER($H$423),$B$238=1),$H$423,HLOOKUP(INDIRECT(ADDRESS(2,COLUMN())),OFFSET($R$2,0,0,ROW()-1,12),ROW()-1,FALSE))</f>
        <v>32.105138330000003</v>
      </c>
      <c r="I200">
        <f ca="1">IF(AND(ISNUMBER($I$423),$B$238=1),$I$423,HLOOKUP(INDIRECT(ADDRESS(2,COLUMN())),OFFSET($R$2,0,0,ROW()-1,12),ROW()-1,FALSE))</f>
        <v>73.040482339999997</v>
      </c>
      <c r="J200">
        <f ca="1">IF(AND(ISNUMBER($J$423),$B$238=1),$J$423,HLOOKUP(INDIRECT(ADDRESS(2,COLUMN())),OFFSET($R$2,0,0,ROW()-1,12),ROW()-1,FALSE))</f>
        <v>100.9567547</v>
      </c>
      <c r="K200">
        <f ca="1">IF(AND(ISNUMBER($K$423),$B$238=1),$K$423,HLOOKUP(INDIRECT(ADDRESS(2,COLUMN())),OFFSET($R$2,0,0,ROW()-1,12),ROW()-1,FALSE))</f>
        <v>69.371032889999995</v>
      </c>
      <c r="L200">
        <f ca="1">IF(AND(ISNUMBER($L$423),$B$238=1),$L$423,HLOOKUP(INDIRECT(ADDRESS(2,COLUMN())),OFFSET($R$2,0,0,ROW()-1,12),ROW()-1,FALSE))</f>
        <v>79.146259479999998</v>
      </c>
      <c r="M200">
        <f ca="1">IF(AND(ISNUMBER($M$423),$B$238=1),$M$423,HLOOKUP(INDIRECT(ADDRESS(2,COLUMN())),OFFSET($R$2,0,0,ROW()-1,12),ROW()-1,FALSE))</f>
        <v>85.153084770000007</v>
      </c>
      <c r="N200">
        <f ca="1">IF(AND(ISNUMBER($N$423),$B$238=1),$N$423,HLOOKUP(INDIRECT(ADDRESS(2,COLUMN())),OFFSET($R$2,0,0,ROW()-1,12),ROW()-1,FALSE))</f>
        <v>73.429974060000006</v>
      </c>
      <c r="O200">
        <f ca="1">IF(AND(ISNUMBER($O$423),$B$238=1),$O$423,HLOOKUP(INDIRECT(ADDRESS(2,COLUMN())),OFFSET($R$2,0,0,ROW()-1,12),ROW()-1,FALSE))</f>
        <v>64.938817499999999</v>
      </c>
      <c r="P200">
        <f ca="1">IF(AND(ISNUMBER($P$423),$B$238=1),$P$423,HLOOKUP(INDIRECT(ADDRESS(2,COLUMN())),OFFSET($R$2,0,0,ROW()-1,12),ROW()-1,FALSE))</f>
        <v>74.370550919999999</v>
      </c>
      <c r="Q200">
        <f ca="1">IF(AND(ISNUMBER($Q$423),$B$238=1),$Q$423,HLOOKUP(INDIRECT(ADDRESS(2,COLUMN())),OFFSET($R$2,0,0,ROW()-1,12),ROW()-1,FALSE))</f>
        <v>58.824371050000003</v>
      </c>
      <c r="R200">
        <f>50.11890685</f>
        <v>50.118906850000002</v>
      </c>
      <c r="S200">
        <f>50.76115562</f>
        <v>50.761155619999997</v>
      </c>
      <c r="T200">
        <f>32.10513833</f>
        <v>32.105138330000003</v>
      </c>
      <c r="U200">
        <f>73.04048234</f>
        <v>73.040482339999997</v>
      </c>
      <c r="V200">
        <f>100.9567547</f>
        <v>100.9567547</v>
      </c>
      <c r="W200">
        <f>69.37103289</f>
        <v>69.371032889999995</v>
      </c>
      <c r="X200">
        <f>79.14625948</f>
        <v>79.146259479999998</v>
      </c>
      <c r="Y200">
        <f>85.15308477</f>
        <v>85.153084770000007</v>
      </c>
      <c r="Z200">
        <f>73.42997406</f>
        <v>73.429974060000006</v>
      </c>
      <c r="AA200">
        <f>64.9388175</f>
        <v>64.938817499999999</v>
      </c>
      <c r="AB200">
        <f>74.37055092</f>
        <v>74.370550919999999</v>
      </c>
      <c r="AC200">
        <f>58.82437105</f>
        <v>58.824371050000003</v>
      </c>
    </row>
    <row r="201" spans="1:29" x14ac:dyDescent="0.25">
      <c r="A201" t="str">
        <f>"    Tata Consultancy Services Ltd"</f>
        <v xml:space="preserve">    Tata Consultancy Services Ltd</v>
      </c>
      <c r="B201" t="str">
        <f>"TCS IN Equity"</f>
        <v>TCS IN Equity</v>
      </c>
      <c r="C201" t="str">
        <f t="shared" si="30"/>
        <v>RR029</v>
      </c>
      <c r="D201" t="str">
        <f t="shared" si="31"/>
        <v>RETURN_COM_EQY</v>
      </c>
      <c r="E201" t="str">
        <f t="shared" si="32"/>
        <v>Dynamic</v>
      </c>
      <c r="F201">
        <f ca="1">IF(AND(ISNUMBER($F$424),$B$238=1),$F$424,HLOOKUP(INDIRECT(ADDRESS(2,COLUMN())),OFFSET($R$2,0,0,ROW()-1,12),ROW()-1,FALSE))</f>
        <v>36.378771180000001</v>
      </c>
      <c r="G201">
        <f ca="1">IF(AND(ISNUMBER($G$424),$B$238=1),$G$424,HLOOKUP(INDIRECT(ADDRESS(2,COLUMN())),OFFSET($R$2,0,0,ROW()-1,12),ROW()-1,FALSE))</f>
        <v>35.204170089999998</v>
      </c>
      <c r="H201">
        <f ca="1">IF(AND(ISNUMBER($H$424),$B$238=1),$H$424,HLOOKUP(INDIRECT(ADDRESS(2,COLUMN())),OFFSET($R$2,0,0,ROW()-1,12),ROW()-1,FALSE))</f>
        <v>29.42195083</v>
      </c>
      <c r="I201">
        <f ca="1">IF(AND(ISNUMBER($I$424),$B$238=1),$I$424,HLOOKUP(INDIRECT(ADDRESS(2,COLUMN())),OFFSET($R$2,0,0,ROW()-1,12),ROW()-1,FALSE))</f>
        <v>32.555230829999999</v>
      </c>
      <c r="J201">
        <f ca="1">IF(AND(ISNUMBER($J$424),$B$238=1),$J$424,HLOOKUP(INDIRECT(ADDRESS(2,COLUMN())),OFFSET($R$2,0,0,ROW()-1,12),ROW()-1,FALSE))</f>
        <v>37.064046869999999</v>
      </c>
      <c r="K201">
        <f ca="1">IF(AND(ISNUMBER($K$424),$B$238=1),$K$424,HLOOKUP(INDIRECT(ADDRESS(2,COLUMN())),OFFSET($R$2,0,0,ROW()-1,12),ROW()-1,FALSE))</f>
        <v>34.833910709999998</v>
      </c>
      <c r="L201">
        <f ca="1">IF(AND(ISNUMBER($L$424),$B$238=1),$L$424,HLOOKUP(INDIRECT(ADDRESS(2,COLUMN())),OFFSET($R$2,0,0,ROW()-1,12),ROW()-1,FALSE))</f>
        <v>40.725672400000001</v>
      </c>
      <c r="M201">
        <f ca="1">IF(AND(ISNUMBER($M$424),$B$238=1),$M$424,HLOOKUP(INDIRECT(ADDRESS(2,COLUMN())),OFFSET($R$2,0,0,ROW()-1,12),ROW()-1,FALSE))</f>
        <v>40.852886939999998</v>
      </c>
      <c r="N201">
        <f ca="1">IF(AND(ISNUMBER($N$424),$B$238=1),$N$424,HLOOKUP(INDIRECT(ADDRESS(2,COLUMN())),OFFSET($R$2,0,0,ROW()-1,12),ROW()-1,FALSE))</f>
        <v>38.556574449999999</v>
      </c>
      <c r="O201">
        <f ca="1">IF(AND(ISNUMBER($O$424),$B$238=1),$O$424,HLOOKUP(INDIRECT(ADDRESS(2,COLUMN())),OFFSET($R$2,0,0,ROW()-1,12),ROW()-1,FALSE))</f>
        <v>42.342464720000002</v>
      </c>
      <c r="P201">
        <f ca="1">IF(AND(ISNUMBER($P$424),$B$238=1),$P$424,HLOOKUP(INDIRECT(ADDRESS(2,COLUMN())),OFFSET($R$2,0,0,ROW()-1,12),ROW()-1,FALSE))</f>
        <v>41.103868400000003</v>
      </c>
      <c r="Q201">
        <f ca="1">IF(AND(ISNUMBER($Q$424),$B$238=1),$Q$424,HLOOKUP(INDIRECT(ADDRESS(2,COLUMN())),OFFSET($R$2,0,0,ROW()-1,12),ROW()-1,FALSE))</f>
        <v>37.756873800000001</v>
      </c>
      <c r="R201">
        <f>36.37877118</f>
        <v>36.378771180000001</v>
      </c>
      <c r="S201">
        <f>35.20417009</f>
        <v>35.204170089999998</v>
      </c>
      <c r="T201">
        <f>29.42195083</f>
        <v>29.42195083</v>
      </c>
      <c r="U201">
        <f>32.55523083</f>
        <v>32.555230829999999</v>
      </c>
      <c r="V201">
        <f>37.06404687</f>
        <v>37.064046869999999</v>
      </c>
      <c r="W201">
        <f>34.83391071</f>
        <v>34.833910709999998</v>
      </c>
      <c r="X201">
        <f>40.7256724</f>
        <v>40.725672400000001</v>
      </c>
      <c r="Y201">
        <f>40.85288694</f>
        <v>40.852886939999998</v>
      </c>
      <c r="Z201">
        <f>38.55657445</f>
        <v>38.556574449999999</v>
      </c>
      <c r="AA201">
        <f>42.34246472</f>
        <v>42.342464720000002</v>
      </c>
      <c r="AB201">
        <f>41.1038684</f>
        <v>41.103868400000003</v>
      </c>
      <c r="AC201">
        <f>37.7568738</f>
        <v>37.756873800000001</v>
      </c>
    </row>
    <row r="202" spans="1:29" x14ac:dyDescent="0.25">
      <c r="A202" t="str">
        <f>"    Tech Mahindra Ltd"</f>
        <v xml:space="preserve">    Tech Mahindra Ltd</v>
      </c>
      <c r="B202" t="str">
        <f>"TECHM IN Equity"</f>
        <v>TECHM IN Equity</v>
      </c>
      <c r="C202" t="str">
        <f t="shared" si="30"/>
        <v>RR029</v>
      </c>
      <c r="D202" t="str">
        <f t="shared" si="31"/>
        <v>RETURN_COM_EQY</v>
      </c>
      <c r="E202" t="str">
        <f t="shared" si="32"/>
        <v>Dynamic</v>
      </c>
      <c r="F202">
        <f ca="1">IF(AND(ISNUMBER($F$425),$B$238=1),$F$425,HLOOKUP(INDIRECT(ADDRESS(2,COLUMN())),OFFSET($R$2,0,0,ROW()-1,12),ROW()-1,FALSE))</f>
        <v>19.160241249999999</v>
      </c>
      <c r="G202">
        <f ca="1">IF(AND(ISNUMBER($G$425),$B$238=1),$G$425,HLOOKUP(INDIRECT(ADDRESS(2,COLUMN())),OFFSET($R$2,0,0,ROW()-1,12),ROW()-1,FALSE))</f>
        <v>21.967383219999999</v>
      </c>
      <c r="H202">
        <f ca="1">IF(AND(ISNUMBER($H$425),$B$238=1),$H$425,HLOOKUP(INDIRECT(ADDRESS(2,COLUMN())),OFFSET($R$2,0,0,ROW()-1,12),ROW()-1,FALSE))</f>
        <v>21.540816329999998</v>
      </c>
      <c r="I202">
        <f ca="1">IF(AND(ISNUMBER($I$425),$B$238=1),$I$425,HLOOKUP(INDIRECT(ADDRESS(2,COLUMN())),OFFSET($R$2,0,0,ROW()-1,12),ROW()-1,FALSE))</f>
        <v>18.131306779999999</v>
      </c>
      <c r="J202">
        <f ca="1">IF(AND(ISNUMBER($J$425),$B$238=1),$J$425,HLOOKUP(INDIRECT(ADDRESS(2,COLUMN())),OFFSET($R$2,0,0,ROW()-1,12),ROW()-1,FALSE))</f>
        <v>22.301954559999999</v>
      </c>
      <c r="K202">
        <f ca="1">IF(AND(ISNUMBER($K$425),$B$238=1),$K$425,HLOOKUP(INDIRECT(ADDRESS(2,COLUMN())),OFFSET($R$2,0,0,ROW()-1,12),ROW()-1,FALSE))</f>
        <v>24.522535220000002</v>
      </c>
      <c r="L202">
        <f ca="1">IF(AND(ISNUMBER($L$425),$B$238=1),$L$425,HLOOKUP(INDIRECT(ADDRESS(2,COLUMN())),OFFSET($R$2,0,0,ROW()-1,12),ROW()-1,FALSE))</f>
        <v>41.46882445</v>
      </c>
      <c r="M202">
        <f ca="1">IF(AND(ISNUMBER($M$425),$B$238=1),$M$425,HLOOKUP(INDIRECT(ADDRESS(2,COLUMN())),OFFSET($R$2,0,0,ROW()-1,12),ROW()-1,FALSE))</f>
        <v>27.178810739999999</v>
      </c>
      <c r="N202">
        <f ca="1">IF(AND(ISNUMBER($N$425),$B$238=1),$N$425,HLOOKUP(INDIRECT(ADDRESS(2,COLUMN())),OFFSET($R$2,0,0,ROW()-1,12),ROW()-1,FALSE))</f>
        <v>29.59890845</v>
      </c>
      <c r="O202">
        <f ca="1">IF(AND(ISNUMBER($O$425),$B$238=1),$O$425,HLOOKUP(INDIRECT(ADDRESS(2,COLUMN())),OFFSET($R$2,0,0,ROW()-1,12),ROW()-1,FALSE))</f>
        <v>20.654386890000001</v>
      </c>
      <c r="P202">
        <f ca="1">IF(AND(ISNUMBER($P$425),$B$238=1),$P$425,HLOOKUP(INDIRECT(ADDRESS(2,COLUMN())),OFFSET($R$2,0,0,ROW()-1,12),ROW()-1,FALSE))</f>
        <v>29.008012919999999</v>
      </c>
      <c r="Q202">
        <f ca="1">IF(AND(ISNUMBER($Q$425),$B$238=1),$Q$425,HLOOKUP(INDIRECT(ADDRESS(2,COLUMN())),OFFSET($R$2,0,0,ROW()-1,12),ROW()-1,FALSE))</f>
        <v>63.398325210000003</v>
      </c>
      <c r="R202">
        <f>19.16024125</f>
        <v>19.160241249999999</v>
      </c>
      <c r="S202">
        <f>21.96738322</f>
        <v>21.967383219999999</v>
      </c>
      <c r="T202">
        <f>21.54081633</f>
        <v>21.540816329999998</v>
      </c>
      <c r="U202">
        <f>18.13130678</f>
        <v>18.131306779999999</v>
      </c>
      <c r="V202">
        <f>22.30195456</f>
        <v>22.301954559999999</v>
      </c>
      <c r="W202">
        <f>24.52253522</f>
        <v>24.522535220000002</v>
      </c>
      <c r="X202">
        <f>41.46882445</f>
        <v>41.46882445</v>
      </c>
      <c r="Y202">
        <f>27.17881074</f>
        <v>27.178810739999999</v>
      </c>
      <c r="Z202">
        <f>29.59890845</f>
        <v>29.59890845</v>
      </c>
      <c r="AA202">
        <f>20.65438689</f>
        <v>20.654386890000001</v>
      </c>
      <c r="AB202">
        <f>29.00801292</f>
        <v>29.008012919999999</v>
      </c>
      <c r="AC202">
        <f>63.39832521</f>
        <v>63.398325210000003</v>
      </c>
    </row>
    <row r="203" spans="1:29" x14ac:dyDescent="0.25">
      <c r="A203" t="str">
        <f>"    Wipro Ltd"</f>
        <v xml:space="preserve">    Wipro Ltd</v>
      </c>
      <c r="B203" t="str">
        <f>"WIT US Equity"</f>
        <v>WIT US Equity</v>
      </c>
      <c r="C203" t="str">
        <f t="shared" si="30"/>
        <v>RR029</v>
      </c>
      <c r="D203" t="str">
        <f t="shared" si="31"/>
        <v>RETURN_COM_EQY</v>
      </c>
      <c r="E203" t="str">
        <f t="shared" si="32"/>
        <v>Dynamic</v>
      </c>
      <c r="F203">
        <f ca="1">IF(AND(ISNUMBER($F$426),$B$238=1),$F$426,HLOOKUP(INDIRECT(ADDRESS(2,COLUMN())),OFFSET($R$2,0,0,ROW()-1,12),ROW()-1,FALSE))</f>
        <v>17.27438622</v>
      </c>
      <c r="G203">
        <f ca="1">IF(AND(ISNUMBER($G$426),$B$238=1),$G$426,HLOOKUP(INDIRECT(ADDRESS(2,COLUMN())),OFFSET($R$2,0,0,ROW()-1,12),ROW()-1,FALSE))</f>
        <v>17.131597679999999</v>
      </c>
      <c r="H203">
        <f ca="1">IF(AND(ISNUMBER($H$426),$B$238=1),$H$426,HLOOKUP(INDIRECT(ADDRESS(2,COLUMN())),OFFSET($R$2,0,0,ROW()-1,12),ROW()-1,FALSE))</f>
        <v>15.9644751</v>
      </c>
      <c r="I203">
        <f ca="1">IF(AND(ISNUMBER($I$426),$B$238=1),$I$426,HLOOKUP(INDIRECT(ADDRESS(2,COLUMN())),OFFSET($R$2,0,0,ROW()-1,12),ROW()-1,FALSE))</f>
        <v>17.229237439999999</v>
      </c>
      <c r="J203">
        <f ca="1">IF(AND(ISNUMBER($J$426),$B$238=1),$J$426,HLOOKUP(INDIRECT(ADDRESS(2,COLUMN())),OFFSET($R$2,0,0,ROW()-1,12),ROW()-1,FALSE))</f>
        <v>20.40304459</v>
      </c>
      <c r="K203">
        <f ca="1">IF(AND(ISNUMBER($K$426),$B$238=1),$K$426,HLOOKUP(INDIRECT(ADDRESS(2,COLUMN())),OFFSET($R$2,0,0,ROW()-1,12),ROW()-1,FALSE))</f>
        <v>23.028659409999999</v>
      </c>
      <c r="L203">
        <f ca="1">IF(AND(ISNUMBER($L$426),$B$238=1),$L$426,HLOOKUP(INDIRECT(ADDRESS(2,COLUMN())),OFFSET($R$2,0,0,ROW()-1,12),ROW()-1,FALSE))</f>
        <v>24.85752681</v>
      </c>
      <c r="M203">
        <f ca="1">IF(AND(ISNUMBER($M$426),$B$238=1),$M$426,HLOOKUP(INDIRECT(ADDRESS(2,COLUMN())),OFFSET($R$2,0,0,ROW()-1,12),ROW()-1,FALSE))</f>
        <v>23.31961639</v>
      </c>
      <c r="N203">
        <f ca="1">IF(AND(ISNUMBER($N$426),$B$238=1),$N$426,HLOOKUP(INDIRECT(ADDRESS(2,COLUMN())),OFFSET($R$2,0,0,ROW()-1,12),ROW()-1,FALSE))</f>
        <v>21.230718830000001</v>
      </c>
      <c r="O203">
        <f ca="1">IF(AND(ISNUMBER($O$426),$B$238=1),$O$426,HLOOKUP(INDIRECT(ADDRESS(2,COLUMN())),OFFSET($R$2,0,0,ROW()-1,12),ROW()-1,FALSE))</f>
        <v>25.100266980000001</v>
      </c>
      <c r="P203">
        <f ca="1">IF(AND(ISNUMBER($P$426),$B$238=1),$P$426,HLOOKUP(INDIRECT(ADDRESS(2,COLUMN())),OFFSET($R$2,0,0,ROW()-1,12),ROW()-1,FALSE))</f>
        <v>29.0579842</v>
      </c>
      <c r="Q203">
        <f ca="1">IF(AND(ISNUMBER($Q$426),$B$238=1),$Q$426,HLOOKUP(INDIRECT(ADDRESS(2,COLUMN())),OFFSET($R$2,0,0,ROW()-1,12),ROW()-1,FALSE))</f>
        <v>30.798450559999999</v>
      </c>
      <c r="R203">
        <f>17.27438622</f>
        <v>17.27438622</v>
      </c>
      <c r="S203">
        <f>17.13159768</f>
        <v>17.131597679999999</v>
      </c>
      <c r="T203">
        <f>15.9644751</f>
        <v>15.9644751</v>
      </c>
      <c r="U203">
        <f>17.22923744</f>
        <v>17.229237439999999</v>
      </c>
      <c r="V203">
        <f>20.40304459</f>
        <v>20.40304459</v>
      </c>
      <c r="W203">
        <f>23.02865941</f>
        <v>23.028659409999999</v>
      </c>
      <c r="X203">
        <f>24.85752681</f>
        <v>24.85752681</v>
      </c>
      <c r="Y203">
        <f>23.31961639</f>
        <v>23.31961639</v>
      </c>
      <c r="Z203">
        <f>21.23071883</f>
        <v>21.230718830000001</v>
      </c>
      <c r="AA203">
        <f>25.10026698</f>
        <v>25.100266980000001</v>
      </c>
      <c r="AB203">
        <f>29.0579842</f>
        <v>29.0579842</v>
      </c>
      <c r="AC203">
        <f>30.79845056</f>
        <v>30.798450559999999</v>
      </c>
    </row>
    <row r="204" spans="1:29" x14ac:dyDescent="0.25">
      <c r="A204" t="str">
        <f>"Return on Invested Capital"</f>
        <v>Return on Invested Capital</v>
      </c>
      <c r="B204" t="str">
        <f>"BRITBPOV Index"</f>
        <v>BRITBPOV Index</v>
      </c>
      <c r="E204" t="str">
        <f>"Average"</f>
        <v>Average</v>
      </c>
      <c r="F204">
        <f ca="1">IF(ISERROR(IF(AVERAGE($F$205:$F$221) = 0, "", AVERAGE($F$205:$F$221))), "", (IF(AVERAGE($F$205:$F$221) = 0, "", AVERAGE($F$205:$F$221))))</f>
        <v>10.008666566764706</v>
      </c>
      <c r="G204">
        <f ca="1">IF(ISERROR(IF(AVERAGE($G$205:$G$221) = 0, "", AVERAGE($G$205:$G$221))), "", (IF(AVERAGE($G$205:$G$221) = 0, "", AVERAGE($G$205:$G$221))))</f>
        <v>15.36776284758824</v>
      </c>
      <c r="H204">
        <f ca="1">IF(ISERROR(IF(AVERAGE($H$205:$H$221) = 0, "", AVERAGE($H$205:$H$221))), "", (IF(AVERAGE($H$205:$H$221) = 0, "", AVERAGE($H$205:$H$221))))</f>
        <v>14.89705881364706</v>
      </c>
      <c r="I204">
        <f ca="1">IF(ISERROR(IF(AVERAGE($I$205:$I$221) = 0, "", AVERAGE($I$205:$I$221))), "", (IF(AVERAGE($I$205:$I$221) = 0, "", AVERAGE($I$205:$I$221))))</f>
        <v>16.254831846187503</v>
      </c>
      <c r="J204">
        <f ca="1">IF(ISERROR(IF(AVERAGE($J$205:$J$221) = 0, "", AVERAGE($J$205:$J$221))), "", (IF(AVERAGE($J$205:$J$221) = 0, "", AVERAGE($J$205:$J$221))))</f>
        <v>15.081097037933331</v>
      </c>
      <c r="K204">
        <f ca="1">IF(ISERROR(IF(AVERAGE($K$205:$K$221) = 0, "", AVERAGE($K$205:$K$221))), "", (IF(AVERAGE($K$205:$K$221) = 0, "", AVERAGE($K$205:$K$221))))</f>
        <v>18.487316874214287</v>
      </c>
      <c r="L204">
        <f ca="1">IF(ISERROR(IF(AVERAGE($L$205:$L$221) = 0, "", AVERAGE($L$205:$L$221))), "", (IF(AVERAGE($L$205:$L$221) = 0, "", AVERAGE($L$205:$L$221))))</f>
        <v>23.158489745199997</v>
      </c>
      <c r="M204">
        <f ca="1">IF(ISERROR(IF(AVERAGE($M$205:$M$221) = 0, "", AVERAGE($M$205:$M$221))), "", (IF(AVERAGE($M$205:$M$221) = 0, "", AVERAGE($M$205:$M$221))))</f>
        <v>20.874883065533329</v>
      </c>
      <c r="N204">
        <f ca="1">IF(ISERROR(IF(AVERAGE($N$205:$N$221) = 0, "", AVERAGE($N$205:$N$221))), "", (IF(AVERAGE($N$205:$N$221) = 0, "", AVERAGE($N$205:$N$221))))</f>
        <v>22.168851445533335</v>
      </c>
      <c r="O204">
        <f ca="1">IF(ISERROR(IF(AVERAGE($O$205:$O$221) = 0, "", AVERAGE($O$205:$O$221))), "", (IF(AVERAGE($O$205:$O$221) = 0, "", AVERAGE($O$205:$O$221))))</f>
        <v>31.701443810066664</v>
      </c>
      <c r="P204">
        <f ca="1">IF(ISERROR(IF(AVERAGE($P$205:$P$221) = 0, "", AVERAGE($P$205:$P$221))), "", (IF(AVERAGE($P$205:$P$221) = 0, "", AVERAGE($P$205:$P$221))))</f>
        <v>34.230057476142861</v>
      </c>
      <c r="Q204">
        <f ca="1">IF(ISERROR(IF(AVERAGE($Q$205:$Q$221) = 0, "", AVERAGE($Q$205:$Q$221))), "", (IF(AVERAGE($Q$205:$Q$221) = 0, "", AVERAGE($Q$205:$Q$221))))</f>
        <v>42.568756184999998</v>
      </c>
      <c r="R204">
        <f>10.00866657</f>
        <v>10.008666570000001</v>
      </c>
      <c r="S204">
        <f>15.36776285</f>
        <v>15.36776285</v>
      </c>
      <c r="T204">
        <f>14.89705881</f>
        <v>14.897058810000001</v>
      </c>
      <c r="U204">
        <f>16.25483185</f>
        <v>16.254831849999999</v>
      </c>
      <c r="V204">
        <f>15.08109704</f>
        <v>15.08109704</v>
      </c>
      <c r="W204">
        <f>18.48731687</f>
        <v>18.487316870000001</v>
      </c>
      <c r="X204">
        <f>23.15848975</f>
        <v>23.158489750000001</v>
      </c>
      <c r="Y204">
        <f>20.87488307</f>
        <v>20.874883069999999</v>
      </c>
      <c r="Z204">
        <f>22.16885145</f>
        <v>22.168851449999998</v>
      </c>
      <c r="AA204">
        <f>31.70144381</f>
        <v>31.701443810000001</v>
      </c>
      <c r="AB204">
        <f>34.23005748</f>
        <v>34.230057479999999</v>
      </c>
      <c r="AC204">
        <f>42.56875618</f>
        <v>42.568756180000001</v>
      </c>
    </row>
    <row r="205" spans="1:29" x14ac:dyDescent="0.25">
      <c r="A205" t="str">
        <f>"    Accenture PLC"</f>
        <v xml:space="preserve">    Accenture PLC</v>
      </c>
      <c r="B205" t="str">
        <f>"ACN US Equity"</f>
        <v>ACN US Equity</v>
      </c>
      <c r="C205" t="str">
        <f t="shared" ref="C205:C221" si="33">"RR710"</f>
        <v>RR710</v>
      </c>
      <c r="D205" t="str">
        <f t="shared" ref="D205:D221" si="34">"RETURN_ON_INV_CAPITAL"</f>
        <v>RETURN_ON_INV_CAPITAL</v>
      </c>
      <c r="E205" t="str">
        <f t="shared" ref="E205:E221" si="35">"Dynamic"</f>
        <v>Dynamic</v>
      </c>
      <c r="F205">
        <f ca="1">IF(AND(ISNUMBER($F$427),$B$238=1),$F$427,HLOOKUP(INDIRECT(ADDRESS(2,COLUMN())),OFFSET($R$2,0,0,ROW()-1,12),ROW()-1,FALSE))</f>
        <v>48.595242169999999</v>
      </c>
      <c r="G205">
        <f ca="1">IF(AND(ISNUMBER($G$427),$B$238=1),$G$427,HLOOKUP(INDIRECT(ADDRESS(2,COLUMN())),OFFSET($R$2,0,0,ROW()-1,12),ROW()-1,FALSE))</f>
        <v>48.910323409999997</v>
      </c>
      <c r="H205">
        <f ca="1">IF(AND(ISNUMBER($H$427),$B$238=1),$H$427,HLOOKUP(INDIRECT(ADDRESS(2,COLUMN())),OFFSET($R$2,0,0,ROW()-1,12),ROW()-1,FALSE))</f>
        <v>55.718440149999999</v>
      </c>
      <c r="I205">
        <f ca="1">IF(AND(ISNUMBER($I$427),$B$238=1),$I$427,HLOOKUP(INDIRECT(ADDRESS(2,COLUMN())),OFFSET($R$2,0,0,ROW()-1,12),ROW()-1,FALSE))</f>
        <v>63.369137790000003</v>
      </c>
      <c r="J205">
        <f ca="1">IF(AND(ISNUMBER($J$427),$B$238=1),$J$427,HLOOKUP(INDIRECT(ADDRESS(2,COLUMN())),OFFSET($R$2,0,0,ROW()-1,12),ROW()-1,FALSE))</f>
        <v>61.348834439999997</v>
      </c>
      <c r="K205">
        <f ca="1">IF(AND(ISNUMBER($K$427),$B$238=1),$K$427,HLOOKUP(INDIRECT(ADDRESS(2,COLUMN())),OFFSET($R$2,0,0,ROW()-1,12),ROW()-1,FALSE))</f>
        <v>59.843898709999998</v>
      </c>
      <c r="L205">
        <f ca="1">IF(AND(ISNUMBER($L$427),$B$238=1),$L$427,HLOOKUP(INDIRECT(ADDRESS(2,COLUMN())),OFFSET($R$2,0,0,ROW()-1,12),ROW()-1,FALSE))</f>
        <v>78.299355719999994</v>
      </c>
      <c r="M205">
        <f ca="1">IF(AND(ISNUMBER($M$427),$B$238=1),$M$427,HLOOKUP(INDIRECT(ADDRESS(2,COLUMN())),OFFSET($R$2,0,0,ROW()-1,12),ROW()-1,FALSE))</f>
        <v>69.563401729999995</v>
      </c>
      <c r="N205">
        <f ca="1">IF(AND(ISNUMBER($N$427),$B$238=1),$N$427,HLOOKUP(INDIRECT(ADDRESS(2,COLUMN())),OFFSET($R$2,0,0,ROW()-1,12),ROW()-1,FALSE))</f>
        <v>72.672751860000005</v>
      </c>
      <c r="O205">
        <f ca="1">IF(AND(ISNUMBER($O$427),$B$238=1),$O$427,HLOOKUP(INDIRECT(ADDRESS(2,COLUMN())),OFFSET($R$2,0,0,ROW()-1,12),ROW()-1,FALSE))</f>
        <v>67.210468349999999</v>
      </c>
      <c r="P205">
        <f ca="1">IF(AND(ISNUMBER($P$427),$B$238=1),$P$427,HLOOKUP(INDIRECT(ADDRESS(2,COLUMN())),OFFSET($R$2,0,0,ROW()-1,12),ROW()-1,FALSE))</f>
        <v>63.762273440000001</v>
      </c>
      <c r="Q205">
        <f ca="1">IF(AND(ISNUMBER($Q$427),$B$238=1),$Q$427,HLOOKUP(INDIRECT(ADDRESS(2,COLUMN())),OFFSET($R$2,0,0,ROW()-1,12),ROW()-1,FALSE))</f>
        <v>65.86554932</v>
      </c>
      <c r="R205">
        <f>48.59524217</f>
        <v>48.595242169999999</v>
      </c>
      <c r="S205">
        <f>48.91032341</f>
        <v>48.910323409999997</v>
      </c>
      <c r="T205">
        <f>55.71844015</f>
        <v>55.718440149999999</v>
      </c>
      <c r="U205">
        <f>63.36913779</f>
        <v>63.369137790000003</v>
      </c>
      <c r="V205">
        <f>61.34883444</f>
        <v>61.348834439999997</v>
      </c>
      <c r="W205">
        <f>59.84389871</f>
        <v>59.843898709999998</v>
      </c>
      <c r="X205">
        <f>78.29935572</f>
        <v>78.299355719999994</v>
      </c>
      <c r="Y205">
        <f>69.56340173</f>
        <v>69.563401729999995</v>
      </c>
      <c r="Z205">
        <f>72.67275186</f>
        <v>72.672751860000005</v>
      </c>
      <c r="AA205">
        <f>67.21046835</f>
        <v>67.210468349999999</v>
      </c>
      <c r="AB205">
        <f>63.76227344</f>
        <v>63.762273440000001</v>
      </c>
      <c r="AC205">
        <f>65.86554932</f>
        <v>65.86554932</v>
      </c>
    </row>
    <row r="206" spans="1:29" x14ac:dyDescent="0.25">
      <c r="A206" t="str">
        <f>"    Amdocs Ltd"</f>
        <v xml:space="preserve">    Amdocs Ltd</v>
      </c>
      <c r="B206" t="str">
        <f>"DOX US Equity"</f>
        <v>DOX US Equity</v>
      </c>
      <c r="C206" t="str">
        <f t="shared" si="33"/>
        <v>RR710</v>
      </c>
      <c r="D206" t="str">
        <f t="shared" si="34"/>
        <v>RETURN_ON_INV_CAPITAL</v>
      </c>
      <c r="E206" t="str">
        <f t="shared" si="35"/>
        <v>Dynamic</v>
      </c>
      <c r="F206">
        <f ca="1">IF(AND(ISNUMBER($F$428),$B$238=1),$F$428,HLOOKUP(INDIRECT(ADDRESS(2,COLUMN())),OFFSET($R$2,0,0,ROW()-1,12),ROW()-1,FALSE))</f>
        <v>13.458709389999999</v>
      </c>
      <c r="G206">
        <f ca="1">IF(AND(ISNUMBER($G$428),$B$238=1),$G$428,HLOOKUP(INDIRECT(ADDRESS(2,COLUMN())),OFFSET($R$2,0,0,ROW()-1,12),ROW()-1,FALSE))</f>
        <v>10.032948579999999</v>
      </c>
      <c r="H206">
        <f ca="1">IF(AND(ISNUMBER($H$428),$B$238=1),$H$428,HLOOKUP(INDIRECT(ADDRESS(2,COLUMN())),OFFSET($R$2,0,0,ROW()-1,12),ROW()-1,FALSE))</f>
        <v>12.29347973</v>
      </c>
      <c r="I206">
        <f ca="1">IF(AND(ISNUMBER($I$428),$B$238=1),$I$428,HLOOKUP(INDIRECT(ADDRESS(2,COLUMN())),OFFSET($R$2,0,0,ROW()-1,12),ROW()-1,FALSE))</f>
        <v>10.99586101</v>
      </c>
      <c r="J206">
        <f ca="1">IF(AND(ISNUMBER($J$428),$B$238=1),$J$428,HLOOKUP(INDIRECT(ADDRESS(2,COLUMN())),OFFSET($R$2,0,0,ROW()-1,12),ROW()-1,FALSE))</f>
        <v>11.50728024</v>
      </c>
      <c r="K206">
        <f ca="1">IF(AND(ISNUMBER($K$428),$B$238=1),$K$428,HLOOKUP(INDIRECT(ADDRESS(2,COLUMN())),OFFSET($R$2,0,0,ROW()-1,12),ROW()-1,FALSE))</f>
        <v>11.18936218</v>
      </c>
      <c r="L206">
        <f ca="1">IF(AND(ISNUMBER($L$428),$B$238=1),$L$428,HLOOKUP(INDIRECT(ADDRESS(2,COLUMN())),OFFSET($R$2,0,0,ROW()-1,12),ROW()-1,FALSE))</f>
        <v>11.618573870000001</v>
      </c>
      <c r="M206">
        <f ca="1">IF(AND(ISNUMBER($M$428),$B$238=1),$M$428,HLOOKUP(INDIRECT(ADDRESS(2,COLUMN())),OFFSET($R$2,0,0,ROW()-1,12),ROW()-1,FALSE))</f>
        <v>11.295128739999999</v>
      </c>
      <c r="N206">
        <f ca="1">IF(AND(ISNUMBER($N$428),$B$238=1),$N$428,HLOOKUP(INDIRECT(ADDRESS(2,COLUMN())),OFFSET($R$2,0,0,ROW()-1,12),ROW()-1,FALSE))</f>
        <v>9.9631788530000005</v>
      </c>
      <c r="O206">
        <f ca="1">IF(AND(ISNUMBER($O$428),$B$238=1),$O$428,HLOOKUP(INDIRECT(ADDRESS(2,COLUMN())),OFFSET($R$2,0,0,ROW()-1,12),ROW()-1,FALSE))</f>
        <v>10.48338038</v>
      </c>
      <c r="P206">
        <f ca="1">IF(AND(ISNUMBER($P$428),$B$238=1),$P$428,HLOOKUP(INDIRECT(ADDRESS(2,COLUMN())),OFFSET($R$2,0,0,ROW()-1,12),ROW()-1,FALSE))</f>
        <v>9.6669318499999992</v>
      </c>
      <c r="Q206">
        <f ca="1">IF(AND(ISNUMBER($Q$428),$B$238=1),$Q$428,HLOOKUP(INDIRECT(ADDRESS(2,COLUMN())),OFFSET($R$2,0,0,ROW()-1,12),ROW()-1,FALSE))</f>
        <v>11.543801439999999</v>
      </c>
      <c r="R206">
        <f>13.45870939</f>
        <v>13.458709389999999</v>
      </c>
      <c r="S206">
        <f>10.03294858</f>
        <v>10.032948579999999</v>
      </c>
      <c r="T206">
        <f>12.29347973</f>
        <v>12.29347973</v>
      </c>
      <c r="U206">
        <f>10.99586101</f>
        <v>10.99586101</v>
      </c>
      <c r="V206">
        <f>11.50728024</f>
        <v>11.50728024</v>
      </c>
      <c r="W206">
        <f>11.18936218</f>
        <v>11.18936218</v>
      </c>
      <c r="X206">
        <f>11.61857387</f>
        <v>11.618573870000001</v>
      </c>
      <c r="Y206">
        <f>11.29512874</f>
        <v>11.295128739999999</v>
      </c>
      <c r="Z206">
        <f>9.963178853</f>
        <v>9.9631788530000005</v>
      </c>
      <c r="AA206">
        <f>10.48338038</f>
        <v>10.48338038</v>
      </c>
      <c r="AB206">
        <f>9.66693185</f>
        <v>9.6669318499999992</v>
      </c>
      <c r="AC206">
        <f>11.54380144</f>
        <v>11.543801439999999</v>
      </c>
    </row>
    <row r="207" spans="1:29" x14ac:dyDescent="0.25">
      <c r="A207" t="str">
        <f>"    Atos SE"</f>
        <v xml:space="preserve">    Atos SE</v>
      </c>
      <c r="B207" t="str">
        <f>"ATO FP Equity"</f>
        <v>ATO FP Equity</v>
      </c>
      <c r="C207" t="str">
        <f t="shared" si="33"/>
        <v>RR710</v>
      </c>
      <c r="D207" t="str">
        <f t="shared" si="34"/>
        <v>RETURN_ON_INV_CAPITAL</v>
      </c>
      <c r="E207" t="str">
        <f t="shared" si="35"/>
        <v>Dynamic</v>
      </c>
      <c r="F207">
        <f ca="1">IF(AND(ISNUMBER($F$429),$B$238=1),$F$429,HLOOKUP(INDIRECT(ADDRESS(2,COLUMN())),OFFSET($R$2,0,0,ROW()-1,12),ROW()-1,FALSE))</f>
        <v>4.2382832590000001</v>
      </c>
      <c r="G207">
        <f ca="1">IF(AND(ISNUMBER($G$429),$B$238=1),$G$429,HLOOKUP(INDIRECT(ADDRESS(2,COLUMN())),OFFSET($R$2,0,0,ROW()-1,12),ROW()-1,FALSE))</f>
        <v>5.6058217350000001</v>
      </c>
      <c r="H207">
        <f ca="1">IF(AND(ISNUMBER($H$429),$B$238=1),$H$429,HLOOKUP(INDIRECT(ADDRESS(2,COLUMN())),OFFSET($R$2,0,0,ROW()-1,12),ROW()-1,FALSE))</f>
        <v>8.3195333229999999</v>
      </c>
      <c r="I207">
        <f ca="1">IF(AND(ISNUMBER($I$429),$B$238=1),$I$429,HLOOKUP(INDIRECT(ADDRESS(2,COLUMN())),OFFSET($R$2,0,0,ROW()-1,12),ROW()-1,FALSE))</f>
        <v>10.263433879999999</v>
      </c>
      <c r="J207">
        <f ca="1">IF(AND(ISNUMBER($J$429),$B$238=1),$J$429,HLOOKUP(INDIRECT(ADDRESS(2,COLUMN())),OFFSET($R$2,0,0,ROW()-1,12),ROW()-1,FALSE))</f>
        <v>8.4593196190000004</v>
      </c>
      <c r="K207">
        <f ca="1">IF(AND(ISNUMBER($K$429),$B$238=1),$K$429,HLOOKUP(INDIRECT(ADDRESS(2,COLUMN())),OFFSET($R$2,0,0,ROW()-1,12),ROW()-1,FALSE))</f>
        <v>6.5522723510000001</v>
      </c>
      <c r="L207">
        <f ca="1">IF(AND(ISNUMBER($L$429),$B$238=1),$L$429,HLOOKUP(INDIRECT(ADDRESS(2,COLUMN())),OFFSET($R$2,0,0,ROW()-1,12),ROW()-1,FALSE))</f>
        <v>5.4264752950000004</v>
      </c>
      <c r="M207">
        <f ca="1">IF(AND(ISNUMBER($M$429),$B$238=1),$M$429,HLOOKUP(INDIRECT(ADDRESS(2,COLUMN())),OFFSET($R$2,0,0,ROW()-1,12),ROW()-1,FALSE))</f>
        <v>3.420308409</v>
      </c>
      <c r="N207">
        <f ca="1">IF(AND(ISNUMBER($N$429),$B$238=1),$N$429,HLOOKUP(INDIRECT(ADDRESS(2,COLUMN())),OFFSET($R$2,0,0,ROW()-1,12),ROW()-1,FALSE))</f>
        <v>6.7517647050000003</v>
      </c>
      <c r="O207">
        <f ca="1">IF(AND(ISNUMBER($O$429),$B$238=1),$O$429,HLOOKUP(INDIRECT(ADDRESS(2,COLUMN())),OFFSET($R$2,0,0,ROW()-1,12),ROW()-1,FALSE))</f>
        <v>6.6695109270000001</v>
      </c>
      <c r="P207">
        <f ca="1">IF(AND(ISNUMBER($P$429),$B$238=1),$P$429,HLOOKUP(INDIRECT(ADDRESS(2,COLUMN())),OFFSET($R$2,0,0,ROW()-1,12),ROW()-1,FALSE))</f>
        <v>1.318967097</v>
      </c>
      <c r="Q207">
        <f ca="1">IF(AND(ISNUMBER($Q$429),$B$238=1),$Q$429,HLOOKUP(INDIRECT(ADDRESS(2,COLUMN())),OFFSET($R$2,0,0,ROW()-1,12),ROW()-1,FALSE))</f>
        <v>3.2375664049999999</v>
      </c>
      <c r="R207">
        <f>4.238283259</f>
        <v>4.2382832590000001</v>
      </c>
      <c r="S207">
        <f>5.605821735</f>
        <v>5.6058217350000001</v>
      </c>
      <c r="T207">
        <f>8.319533323</f>
        <v>8.3195333229999999</v>
      </c>
      <c r="U207">
        <f>10.26343388</f>
        <v>10.263433879999999</v>
      </c>
      <c r="V207">
        <f>8.459319619</f>
        <v>8.4593196190000004</v>
      </c>
      <c r="W207">
        <f>6.552272351</f>
        <v>6.5522723510000001</v>
      </c>
      <c r="X207">
        <f>5.426475295</f>
        <v>5.4264752950000004</v>
      </c>
      <c r="Y207">
        <f>3.420308409</f>
        <v>3.420308409</v>
      </c>
      <c r="Z207">
        <f>6.751764705</f>
        <v>6.7517647050000003</v>
      </c>
      <c r="AA207">
        <f>6.669510927</f>
        <v>6.6695109270000001</v>
      </c>
      <c r="AB207">
        <f>1.318967097</f>
        <v>1.318967097</v>
      </c>
      <c r="AC207">
        <f>3.237566405</f>
        <v>3.2375664049999999</v>
      </c>
    </row>
    <row r="208" spans="1:29" x14ac:dyDescent="0.25">
      <c r="A208" t="str">
        <f>"    Capgemini SE"</f>
        <v xml:space="preserve">    Capgemini SE</v>
      </c>
      <c r="B208" t="str">
        <f>"CAP FP Equity"</f>
        <v>CAP FP Equity</v>
      </c>
      <c r="C208" t="str">
        <f t="shared" si="33"/>
        <v>RR710</v>
      </c>
      <c r="D208" t="str">
        <f t="shared" si="34"/>
        <v>RETURN_ON_INV_CAPITAL</v>
      </c>
      <c r="E208" t="str">
        <f t="shared" si="35"/>
        <v>Dynamic</v>
      </c>
      <c r="F208">
        <f ca="1">IF(AND(ISNUMBER($F$430),$B$238=1),$F$430,HLOOKUP(INDIRECT(ADDRESS(2,COLUMN())),OFFSET($R$2,0,0,ROW()-1,12),ROW()-1,FALSE))</f>
        <v>8.1720312150000005</v>
      </c>
      <c r="G208">
        <f ca="1">IF(AND(ISNUMBER($G$430),$B$238=1),$G$430,HLOOKUP(INDIRECT(ADDRESS(2,COLUMN())),OFFSET($R$2,0,0,ROW()-1,12),ROW()-1,FALSE))</f>
        <v>7.8572263040000001</v>
      </c>
      <c r="H208">
        <f ca="1">IF(AND(ISNUMBER($H$430),$B$238=1),$H$430,HLOOKUP(INDIRECT(ADDRESS(2,COLUMN())),OFFSET($R$2,0,0,ROW()-1,12),ROW()-1,FALSE))</f>
        <v>9.2450241510000009</v>
      </c>
      <c r="I208">
        <f ca="1">IF(AND(ISNUMBER($I$430),$B$238=1),$I$430,HLOOKUP(INDIRECT(ADDRESS(2,COLUMN())),OFFSET($R$2,0,0,ROW()-1,12),ROW()-1,FALSE))</f>
        <v>11.258853459999999</v>
      </c>
      <c r="J208">
        <f ca="1">IF(AND(ISNUMBER($J$430),$B$238=1),$J$430,HLOOKUP(INDIRECT(ADDRESS(2,COLUMN())),OFFSET($R$2,0,0,ROW()-1,12),ROW()-1,FALSE))</f>
        <v>16.165289260000002</v>
      </c>
      <c r="K208">
        <f ca="1">IF(AND(ISNUMBER($K$430),$B$238=1),$K$430,HLOOKUP(INDIRECT(ADDRESS(2,COLUMN())),OFFSET($R$2,0,0,ROW()-1,12),ROW()-1,FALSE))</f>
        <v>13.357990020000001</v>
      </c>
      <c r="L208">
        <f ca="1">IF(AND(ISNUMBER($L$430),$B$238=1),$L$430,HLOOKUP(INDIRECT(ADDRESS(2,COLUMN())),OFFSET($R$2,0,0,ROW()-1,12),ROW()-1,FALSE))</f>
        <v>9.1670692759999994</v>
      </c>
      <c r="M208">
        <f ca="1">IF(AND(ISNUMBER($M$430),$B$238=1),$M$430,HLOOKUP(INDIRECT(ADDRESS(2,COLUMN())),OFFSET($R$2,0,0,ROW()-1,12),ROW()-1,FALSE))</f>
        <v>7.3622851679999997</v>
      </c>
      <c r="N208">
        <f ca="1">IF(AND(ISNUMBER($N$430),$B$238=1),$N$430,HLOOKUP(INDIRECT(ADDRESS(2,COLUMN())),OFFSET($R$2,0,0,ROW()-1,12),ROW()-1,FALSE))</f>
        <v>9.8953816890000006</v>
      </c>
      <c r="O208">
        <f ca="1">IF(AND(ISNUMBER($O$430),$B$238=1),$O$430,HLOOKUP(INDIRECT(ADDRESS(2,COLUMN())),OFFSET($R$2,0,0,ROW()-1,12),ROW()-1,FALSE))</f>
        <v>7.664157704</v>
      </c>
      <c r="P208">
        <f ca="1">IF(AND(ISNUMBER($P$430),$B$238=1),$P$430,HLOOKUP(INDIRECT(ADDRESS(2,COLUMN())),OFFSET($R$2,0,0,ROW()-1,12),ROW()-1,FALSE))</f>
        <v>4.7662720890000001</v>
      </c>
      <c r="Q208">
        <f ca="1">IF(AND(ISNUMBER($Q$430),$B$238=1),$Q$430,HLOOKUP(INDIRECT(ADDRESS(2,COLUMN())),OFFSET($R$2,0,0,ROW()-1,12),ROW()-1,FALSE))</f>
        <v>12.69354405</v>
      </c>
      <c r="R208">
        <f>8.172031215</f>
        <v>8.1720312150000005</v>
      </c>
      <c r="S208">
        <f>7.857226304</f>
        <v>7.8572263040000001</v>
      </c>
      <c r="T208">
        <f>9.245024151</f>
        <v>9.2450241510000009</v>
      </c>
      <c r="U208">
        <f>11.25885346</f>
        <v>11.258853459999999</v>
      </c>
      <c r="V208">
        <f>16.16528926</f>
        <v>16.165289260000002</v>
      </c>
      <c r="W208">
        <f>13.35799002</f>
        <v>13.357990020000001</v>
      </c>
      <c r="X208">
        <f>9.167069276</f>
        <v>9.1670692759999994</v>
      </c>
      <c r="Y208">
        <f>7.362285168</f>
        <v>7.3622851679999997</v>
      </c>
      <c r="Z208">
        <f>9.895381689</f>
        <v>9.8953816890000006</v>
      </c>
      <c r="AA208">
        <f>7.664157704</f>
        <v>7.664157704</v>
      </c>
      <c r="AB208">
        <f>4.766272089</f>
        <v>4.7662720890000001</v>
      </c>
      <c r="AC208">
        <f>12.69354405</f>
        <v>12.69354405</v>
      </c>
    </row>
    <row r="209" spans="1:29" x14ac:dyDescent="0.25">
      <c r="A209" t="str">
        <f>"    CGI Inc"</f>
        <v xml:space="preserve">    CGI Inc</v>
      </c>
      <c r="B209" t="str">
        <f>"GIB US Equity"</f>
        <v>GIB US Equity</v>
      </c>
      <c r="C209" t="str">
        <f t="shared" si="33"/>
        <v>RR710</v>
      </c>
      <c r="D209" t="str">
        <f t="shared" si="34"/>
        <v>RETURN_ON_INV_CAPITAL</v>
      </c>
      <c r="E209" t="str">
        <f t="shared" si="35"/>
        <v>Dynamic</v>
      </c>
      <c r="F209">
        <f ca="1">IF(AND(ISNUMBER($F$431),$B$238=1),$F$431,HLOOKUP(INDIRECT(ADDRESS(2,COLUMN())),OFFSET($R$2,0,0,ROW()-1,12),ROW()-1,FALSE))</f>
        <v>14.62322904</v>
      </c>
      <c r="G209">
        <f ca="1">IF(AND(ISNUMBER($G$431),$B$238=1),$G$431,HLOOKUP(INDIRECT(ADDRESS(2,COLUMN())),OFFSET($R$2,0,0,ROW()-1,12),ROW()-1,FALSE))</f>
        <v>14.192945</v>
      </c>
      <c r="H209">
        <f ca="1">IF(AND(ISNUMBER($H$431),$B$238=1),$H$431,HLOOKUP(INDIRECT(ADDRESS(2,COLUMN())),OFFSET($R$2,0,0,ROW()-1,12),ROW()-1,FALSE))</f>
        <v>12.95472681</v>
      </c>
      <c r="I209">
        <f ca="1">IF(AND(ISNUMBER($I$431),$B$238=1),$I$431,HLOOKUP(INDIRECT(ADDRESS(2,COLUMN())),OFFSET($R$2,0,0,ROW()-1,12),ROW()-1,FALSE))</f>
        <v>13.521724239999999</v>
      </c>
      <c r="J209">
        <f ca="1">IF(AND(ISNUMBER($J$431),$B$238=1),$J$431,HLOOKUP(INDIRECT(ADDRESS(2,COLUMN())),OFFSET($R$2,0,0,ROW()-1,12),ROW()-1,FALSE))</f>
        <v>13.270909</v>
      </c>
      <c r="K209">
        <f ca="1">IF(AND(ISNUMBER($K$431),$B$238=1),$K$431,HLOOKUP(INDIRECT(ADDRESS(2,COLUMN())),OFFSET($R$2,0,0,ROW()-1,12),ROW()-1,FALSE))</f>
        <v>12.96784175</v>
      </c>
      <c r="L209">
        <f ca="1">IF(AND(ISNUMBER($L$431),$B$238=1),$L$431,HLOOKUP(INDIRECT(ADDRESS(2,COLUMN())),OFFSET($R$2,0,0,ROW()-1,12),ROW()-1,FALSE))</f>
        <v>7.8903736069999999</v>
      </c>
      <c r="M209">
        <f ca="1">IF(AND(ISNUMBER($M$431),$B$238=1),$M$431,HLOOKUP(INDIRECT(ADDRESS(2,COLUMN())),OFFSET($R$2,0,0,ROW()-1,12),ROW()-1,FALSE))</f>
        <v>2.84468122</v>
      </c>
      <c r="N209">
        <f ca="1">IF(AND(ISNUMBER($N$431),$B$238=1),$N$431,HLOOKUP(INDIRECT(ADDRESS(2,COLUMN())),OFFSET($R$2,0,0,ROW()-1,12),ROW()-1,FALSE))</f>
        <v>11.93799699</v>
      </c>
      <c r="O209">
        <f ca="1">IF(AND(ISNUMBER($O$431),$B$238=1),$O$431,HLOOKUP(INDIRECT(ADDRESS(2,COLUMN())),OFFSET($R$2,0,0,ROW()-1,12),ROW()-1,FALSE))</f>
        <v>176.60918369999999</v>
      </c>
      <c r="P209">
        <f ca="1">IF(AND(ISNUMBER($P$431),$B$238=1),$P$431,HLOOKUP(INDIRECT(ADDRESS(2,COLUMN())),OFFSET($R$2,0,0,ROW()-1,12),ROW()-1,FALSE))</f>
        <v>193.47619270000001</v>
      </c>
      <c r="Q209">
        <f ca="1">IF(AND(ISNUMBER($Q$431),$B$238=1),$Q$431,HLOOKUP(INDIRECT(ADDRESS(2,COLUMN())),OFFSET($R$2,0,0,ROW()-1,12),ROW()-1,FALSE))</f>
        <v>212.0426531</v>
      </c>
      <c r="R209">
        <f>14.62322904</f>
        <v>14.62322904</v>
      </c>
      <c r="S209">
        <f>14.192945</f>
        <v>14.192945</v>
      </c>
      <c r="T209">
        <f>12.95472681</f>
        <v>12.95472681</v>
      </c>
      <c r="U209">
        <f>13.52172424</f>
        <v>13.521724239999999</v>
      </c>
      <c r="V209">
        <f>13.270909</f>
        <v>13.270909</v>
      </c>
      <c r="W209">
        <f>12.96784175</f>
        <v>12.96784175</v>
      </c>
      <c r="X209">
        <f>7.890373607</f>
        <v>7.8903736069999999</v>
      </c>
      <c r="Y209">
        <f>2.84468122</f>
        <v>2.84468122</v>
      </c>
      <c r="Z209">
        <f>11.93799699</f>
        <v>11.93799699</v>
      </c>
      <c r="AA209">
        <f>176.6091837</f>
        <v>176.60918369999999</v>
      </c>
      <c r="AB209">
        <f>193.4761927</f>
        <v>193.47619270000001</v>
      </c>
      <c r="AC209">
        <f>212.0426531</f>
        <v>212.0426531</v>
      </c>
    </row>
    <row r="210" spans="1:29" x14ac:dyDescent="0.25">
      <c r="A210" t="str">
        <f>"    Cognizant Technology Solutions Corp"</f>
        <v xml:space="preserve">    Cognizant Technology Solutions Corp</v>
      </c>
      <c r="B210" t="str">
        <f>"CTSH US Equity"</f>
        <v>CTSH US Equity</v>
      </c>
      <c r="C210" t="str">
        <f t="shared" si="33"/>
        <v>RR710</v>
      </c>
      <c r="D210" t="str">
        <f t="shared" si="34"/>
        <v>RETURN_ON_INV_CAPITAL</v>
      </c>
      <c r="E210" t="str">
        <f t="shared" si="35"/>
        <v>Dynamic</v>
      </c>
      <c r="F210">
        <f ca="1">IF(AND(ISNUMBER($F$432),$B$238=1),$F$432,HLOOKUP(INDIRECT(ADDRESS(2,COLUMN())),OFFSET($R$2,0,0,ROW()-1,12),ROW()-1,FALSE))</f>
        <v>14.45712436</v>
      </c>
      <c r="G210">
        <f ca="1">IF(AND(ISNUMBER($G$432),$B$238=1),$G$432,HLOOKUP(INDIRECT(ADDRESS(2,COLUMN())),OFFSET($R$2,0,0,ROW()-1,12),ROW()-1,FALSE))</f>
        <v>17.881288300000001</v>
      </c>
      <c r="H210">
        <f ca="1">IF(AND(ISNUMBER($H$432),$B$238=1),$H$432,HLOOKUP(INDIRECT(ADDRESS(2,COLUMN())),OFFSET($R$2,0,0,ROW()-1,12),ROW()-1,FALSE))</f>
        <v>12.42322646</v>
      </c>
      <c r="I210">
        <f ca="1">IF(AND(ISNUMBER($I$432),$B$238=1),$I$432,HLOOKUP(INDIRECT(ADDRESS(2,COLUMN())),OFFSET($R$2,0,0,ROW()-1,12),ROW()-1,FALSE))</f>
        <v>14.018910050000001</v>
      </c>
      <c r="J210">
        <f ca="1">IF(AND(ISNUMBER($J$432),$B$238=1),$J$432,HLOOKUP(INDIRECT(ADDRESS(2,COLUMN())),OFFSET($R$2,0,0,ROW()-1,12),ROW()-1,FALSE))</f>
        <v>16.49722736</v>
      </c>
      <c r="K210">
        <f ca="1">IF(AND(ISNUMBER($K$432),$B$238=1),$K$432,HLOOKUP(INDIRECT(ADDRESS(2,COLUMN())),OFFSET($R$2,0,0,ROW()-1,12),ROW()-1,FALSE))</f>
        <v>18.459841489999999</v>
      </c>
      <c r="L210">
        <f ca="1">IF(AND(ISNUMBER($L$432),$B$238=1),$L$432,HLOOKUP(INDIRECT(ADDRESS(2,COLUMN())),OFFSET($R$2,0,0,ROW()-1,12),ROW()-1,FALSE))</f>
        <v>22.627727230000001</v>
      </c>
      <c r="M210">
        <f ca="1">IF(AND(ISNUMBER($M$432),$B$238=1),$M$432,HLOOKUP(INDIRECT(ADDRESS(2,COLUMN())),OFFSET($R$2,0,0,ROW()-1,12),ROW()-1,FALSE))</f>
        <v>24.04939512</v>
      </c>
      <c r="N210">
        <f ca="1">IF(AND(ISNUMBER($N$432),$B$238=1),$N$432,HLOOKUP(INDIRECT(ADDRESS(2,COLUMN())),OFFSET($R$2,0,0,ROW()-1,12),ROW()-1,FALSE))</f>
        <v>23.340408419999999</v>
      </c>
      <c r="O210">
        <f ca="1">IF(AND(ISNUMBER($O$432),$B$238=1),$O$432,HLOOKUP(INDIRECT(ADDRESS(2,COLUMN())),OFFSET($R$2,0,0,ROW()-1,12),ROW()-1,FALSE))</f>
        <v>23.53515299</v>
      </c>
      <c r="P210">
        <f ca="1">IF(AND(ISNUMBER($P$432),$B$238=1),$P$432,HLOOKUP(INDIRECT(ADDRESS(2,COLUMN())),OFFSET($R$2,0,0,ROW()-1,12),ROW()-1,FALSE))</f>
        <v>22.919853140000001</v>
      </c>
      <c r="Q210">
        <f ca="1">IF(AND(ISNUMBER($Q$432),$B$238=1),$Q$432,HLOOKUP(INDIRECT(ADDRESS(2,COLUMN())),OFFSET($R$2,0,0,ROW()-1,12),ROW()-1,FALSE))</f>
        <v>25.33188363</v>
      </c>
      <c r="R210">
        <f>14.45712436</f>
        <v>14.45712436</v>
      </c>
      <c r="S210">
        <f>17.8812883</f>
        <v>17.881288300000001</v>
      </c>
      <c r="T210">
        <f>12.42322646</f>
        <v>12.42322646</v>
      </c>
      <c r="U210">
        <f>14.01891005</f>
        <v>14.018910050000001</v>
      </c>
      <c r="V210">
        <f>16.49722736</f>
        <v>16.49722736</v>
      </c>
      <c r="W210">
        <f>18.45984149</f>
        <v>18.459841489999999</v>
      </c>
      <c r="X210">
        <f>22.62772723</f>
        <v>22.627727230000001</v>
      </c>
      <c r="Y210">
        <f>24.04939512</f>
        <v>24.04939512</v>
      </c>
      <c r="Z210">
        <f>23.34040842</f>
        <v>23.340408419999999</v>
      </c>
      <c r="AA210">
        <f>23.53515299</f>
        <v>23.53515299</v>
      </c>
      <c r="AB210">
        <f>22.91985314</f>
        <v>22.919853140000001</v>
      </c>
      <c r="AC210">
        <f>25.33188363</f>
        <v>25.33188363</v>
      </c>
    </row>
    <row r="211" spans="1:29" x14ac:dyDescent="0.25">
      <c r="A211" t="str">
        <f>"    Conduent Inc"</f>
        <v xml:space="preserve">    Conduent Inc</v>
      </c>
      <c r="B211" t="str">
        <f>"CNDT US Equity"</f>
        <v>CNDT US Equity</v>
      </c>
      <c r="C211" t="str">
        <f t="shared" si="33"/>
        <v>RR710</v>
      </c>
      <c r="D211" t="str">
        <f t="shared" si="34"/>
        <v>RETURN_ON_INV_CAPITAL</v>
      </c>
      <c r="E211" t="str">
        <f t="shared" si="35"/>
        <v>Dynamic</v>
      </c>
      <c r="F211">
        <f ca="1">IF(AND(ISNUMBER($F$433),$B$238=1),$F$433,HLOOKUP(INDIRECT(ADDRESS(2,COLUMN())),OFFSET($R$2,0,0,ROW()-1,12),ROW()-1,FALSE))</f>
        <v>-45.578870500000001</v>
      </c>
      <c r="G211">
        <f ca="1">IF(AND(ISNUMBER($G$433),$B$238=1),$G$433,HLOOKUP(INDIRECT(ADDRESS(2,COLUMN())),OFFSET($R$2,0,0,ROW()-1,12),ROW()-1,FALSE))</f>
        <v>-6.067885607</v>
      </c>
      <c r="H211">
        <f ca="1">IF(AND(ISNUMBER($H$433),$B$238=1),$H$433,HLOOKUP(INDIRECT(ADDRESS(2,COLUMN())),OFFSET($R$2,0,0,ROW()-1,12),ROW()-1,FALSE))</f>
        <v>4.6685256810000002</v>
      </c>
      <c r="I211">
        <f ca="1">IF(AND(ISNUMBER($I$433),$B$238=1),$I$433,HLOOKUP(INDIRECT(ADDRESS(2,COLUMN())),OFFSET($R$2,0,0,ROW()-1,12),ROW()-1,FALSE))</f>
        <v>-15.54156386</v>
      </c>
      <c r="J211">
        <f ca="1">IF(AND(ISNUMBER($J$433),$B$238=1),$J$433,HLOOKUP(INDIRECT(ADDRESS(2,COLUMN())),OFFSET($R$2,0,0,ROW()-1,12),ROW()-1,FALSE))</f>
        <v>-3.8031803599999998</v>
      </c>
      <c r="K211" t="str">
        <f ca="1">IF(AND(ISNUMBER($K$433),$B$238=1),$K$433,HLOOKUP(INDIRECT(ADDRESS(2,COLUMN())),OFFSET($R$2,0,0,ROW()-1,12),ROW()-1,FALSE))</f>
        <v/>
      </c>
      <c r="L211" t="str">
        <f ca="1">IF(AND(ISNUMBER($L$433),$B$238=1),$L$433,HLOOKUP(INDIRECT(ADDRESS(2,COLUMN())),OFFSET($R$2,0,0,ROW()-1,12),ROW()-1,FALSE))</f>
        <v/>
      </c>
      <c r="M211" t="str">
        <f ca="1">IF(AND(ISNUMBER($M$433),$B$238=1),$M$433,HLOOKUP(INDIRECT(ADDRESS(2,COLUMN())),OFFSET($R$2,0,0,ROW()-1,12),ROW()-1,FALSE))</f>
        <v/>
      </c>
      <c r="N211" t="str">
        <f ca="1">IF(AND(ISNUMBER($N$433),$B$238=1),$N$433,HLOOKUP(INDIRECT(ADDRESS(2,COLUMN())),OFFSET($R$2,0,0,ROW()-1,12),ROW()-1,FALSE))</f>
        <v/>
      </c>
      <c r="O211" t="str">
        <f ca="1">IF(AND(ISNUMBER($O$433),$B$238=1),$O$433,HLOOKUP(INDIRECT(ADDRESS(2,COLUMN())),OFFSET($R$2,0,0,ROW()-1,12),ROW()-1,FALSE))</f>
        <v/>
      </c>
      <c r="P211" t="str">
        <f ca="1">IF(AND(ISNUMBER($P$433),$B$238=1),$P$433,HLOOKUP(INDIRECT(ADDRESS(2,COLUMN())),OFFSET($R$2,0,0,ROW()-1,12),ROW()-1,FALSE))</f>
        <v/>
      </c>
      <c r="Q211" t="str">
        <f ca="1">IF(AND(ISNUMBER($Q$433),$B$238=1),$Q$433,HLOOKUP(INDIRECT(ADDRESS(2,COLUMN())),OFFSET($R$2,0,0,ROW()-1,12),ROW()-1,FALSE))</f>
        <v/>
      </c>
      <c r="R211">
        <f>-45.5788705</f>
        <v>-45.578870500000001</v>
      </c>
      <c r="S211">
        <f>-6.067885607</f>
        <v>-6.067885607</v>
      </c>
      <c r="T211">
        <f>4.668525681</f>
        <v>4.6685256810000002</v>
      </c>
      <c r="U211">
        <f>-15.54156386</f>
        <v>-15.54156386</v>
      </c>
      <c r="V211">
        <f>-3.80318036</f>
        <v>-3.8031803599999998</v>
      </c>
      <c r="W211" t="str">
        <f>""</f>
        <v/>
      </c>
      <c r="X211" t="str">
        <f>""</f>
        <v/>
      </c>
      <c r="Y211" t="str">
        <f>""</f>
        <v/>
      </c>
      <c r="Z211" t="str">
        <f>""</f>
        <v/>
      </c>
      <c r="AA211" t="str">
        <f>""</f>
        <v/>
      </c>
      <c r="AB211" t="str">
        <f>""</f>
        <v/>
      </c>
      <c r="AC211" t="str">
        <f>""</f>
        <v/>
      </c>
    </row>
    <row r="212" spans="1:29" x14ac:dyDescent="0.25">
      <c r="A212" t="str">
        <f>"    DXC Technology Co"</f>
        <v xml:space="preserve">    DXC Technology Co</v>
      </c>
      <c r="B212" t="str">
        <f>"DXC US Equity"</f>
        <v>DXC US Equity</v>
      </c>
      <c r="C212" t="str">
        <f t="shared" si="33"/>
        <v>RR710</v>
      </c>
      <c r="D212" t="str">
        <f t="shared" si="34"/>
        <v>RETURN_ON_INV_CAPITAL</v>
      </c>
      <c r="E212" t="str">
        <f t="shared" si="35"/>
        <v>Dynamic</v>
      </c>
      <c r="F212">
        <f ca="1">IF(AND(ISNUMBER($F$434),$B$238=1),$F$434,HLOOKUP(INDIRECT(ADDRESS(2,COLUMN())),OFFSET($R$2,0,0,ROW()-1,12),ROW()-1,FALSE))</f>
        <v>-33.831438439999999</v>
      </c>
      <c r="G212">
        <f ca="1">IF(AND(ISNUMBER($G$434),$B$238=1),$G$434,HLOOKUP(INDIRECT(ADDRESS(2,COLUMN())),OFFSET($R$2,0,0,ROW()-1,12),ROW()-1,FALSE))</f>
        <v>5.6125071630000001</v>
      </c>
      <c r="H212">
        <f ca="1">IF(AND(ISNUMBER($H$434),$B$238=1),$H$434,HLOOKUP(INDIRECT(ADDRESS(2,COLUMN())),OFFSET($R$2,0,0,ROW()-1,12),ROW()-1,FALSE))</f>
        <v>5.3932946780000002</v>
      </c>
      <c r="I212" t="str">
        <f ca="1">IF(AND(ISNUMBER($I$434),$B$238=1),$I$434,HLOOKUP(INDIRECT(ADDRESS(2,COLUMN())),OFFSET($R$2,0,0,ROW()-1,12),ROW()-1,FALSE))</f>
        <v/>
      </c>
      <c r="J212" t="str">
        <f ca="1">IF(AND(ISNUMBER($J$434),$B$238=1),$J$434,HLOOKUP(INDIRECT(ADDRESS(2,COLUMN())),OFFSET($R$2,0,0,ROW()-1,12),ROW()-1,FALSE))</f>
        <v/>
      </c>
      <c r="K212" t="str">
        <f ca="1">IF(AND(ISNUMBER($K$434),$B$238=1),$K$434,HLOOKUP(INDIRECT(ADDRESS(2,COLUMN())),OFFSET($R$2,0,0,ROW()-1,12),ROW()-1,FALSE))</f>
        <v/>
      </c>
      <c r="L212" t="str">
        <f ca="1">IF(AND(ISNUMBER($L$434),$B$238=1),$L$434,HLOOKUP(INDIRECT(ADDRESS(2,COLUMN())),OFFSET($R$2,0,0,ROW()-1,12),ROW()-1,FALSE))</f>
        <v/>
      </c>
      <c r="M212" t="str">
        <f ca="1">IF(AND(ISNUMBER($M$434),$B$238=1),$M$434,HLOOKUP(INDIRECT(ADDRESS(2,COLUMN())),OFFSET($R$2,0,0,ROW()-1,12),ROW()-1,FALSE))</f>
        <v/>
      </c>
      <c r="N212" t="str">
        <f ca="1">IF(AND(ISNUMBER($N$434),$B$238=1),$N$434,HLOOKUP(INDIRECT(ADDRESS(2,COLUMN())),OFFSET($R$2,0,0,ROW()-1,12),ROW()-1,FALSE))</f>
        <v/>
      </c>
      <c r="O212" t="str">
        <f ca="1">IF(AND(ISNUMBER($O$434),$B$238=1),$O$434,HLOOKUP(INDIRECT(ADDRESS(2,COLUMN())),OFFSET($R$2,0,0,ROW()-1,12),ROW()-1,FALSE))</f>
        <v/>
      </c>
      <c r="P212" t="str">
        <f ca="1">IF(AND(ISNUMBER($P$434),$B$238=1),$P$434,HLOOKUP(INDIRECT(ADDRESS(2,COLUMN())),OFFSET($R$2,0,0,ROW()-1,12),ROW()-1,FALSE))</f>
        <v/>
      </c>
      <c r="Q212" t="str">
        <f ca="1">IF(AND(ISNUMBER($Q$434),$B$238=1),$Q$434,HLOOKUP(INDIRECT(ADDRESS(2,COLUMN())),OFFSET($R$2,0,0,ROW()-1,12),ROW()-1,FALSE))</f>
        <v/>
      </c>
      <c r="R212">
        <f>-33.83143844</f>
        <v>-33.831438439999999</v>
      </c>
      <c r="S212">
        <f>5.612507163</f>
        <v>5.6125071630000001</v>
      </c>
      <c r="T212">
        <f>5.393294678</f>
        <v>5.3932946780000002</v>
      </c>
      <c r="U212" t="str">
        <f>""</f>
        <v/>
      </c>
      <c r="V212" t="str">
        <f>""</f>
        <v/>
      </c>
      <c r="W212" t="str">
        <f>""</f>
        <v/>
      </c>
      <c r="X212" t="str">
        <f>""</f>
        <v/>
      </c>
      <c r="Y212" t="str">
        <f>""</f>
        <v/>
      </c>
      <c r="Z212" t="str">
        <f>""</f>
        <v/>
      </c>
      <c r="AA212" t="str">
        <f>""</f>
        <v/>
      </c>
      <c r="AB212" t="str">
        <f>""</f>
        <v/>
      </c>
      <c r="AC212" t="str">
        <f>""</f>
        <v/>
      </c>
    </row>
    <row r="213" spans="1:29" x14ac:dyDescent="0.25">
      <c r="A213" t="str">
        <f>"    EPAM Systems Inc"</f>
        <v xml:space="preserve">    EPAM Systems Inc</v>
      </c>
      <c r="B213" t="str">
        <f>"EPAM US Equity"</f>
        <v>EPAM US Equity</v>
      </c>
      <c r="C213" t="str">
        <f t="shared" si="33"/>
        <v>RR710</v>
      </c>
      <c r="D213" t="str">
        <f t="shared" si="34"/>
        <v>RETURN_ON_INV_CAPITAL</v>
      </c>
      <c r="E213" t="str">
        <f t="shared" si="35"/>
        <v>Dynamic</v>
      </c>
      <c r="F213">
        <f ca="1">IF(AND(ISNUMBER($F$435),$B$238=1),$F$435,HLOOKUP(INDIRECT(ADDRESS(2,COLUMN())),OFFSET($R$2,0,0,ROW()-1,12),ROW()-1,FALSE))</f>
        <v>17.078294240000002</v>
      </c>
      <c r="G213">
        <f ca="1">IF(AND(ISNUMBER($G$435),$B$238=1),$G$435,HLOOKUP(INDIRECT(ADDRESS(2,COLUMN())),OFFSET($R$2,0,0,ROW()-1,12),ROW()-1,FALSE))</f>
        <v>20.415799920000001</v>
      </c>
      <c r="H213">
        <f ca="1">IF(AND(ISNUMBER($H$435),$B$238=1),$H$435,HLOOKUP(INDIRECT(ADDRESS(2,COLUMN())),OFFSET($R$2,0,0,ROW()-1,12),ROW()-1,FALSE))</f>
        <v>7.8996180760000003</v>
      </c>
      <c r="I213">
        <f ca="1">IF(AND(ISNUMBER($I$435),$B$238=1),$I$435,HLOOKUP(INDIRECT(ADDRESS(2,COLUMN())),OFFSET($R$2,0,0,ROW()-1,12),ROW()-1,FALSE))</f>
        <v>14.31883032</v>
      </c>
      <c r="J213">
        <f ca="1">IF(AND(ISNUMBER($J$435),$B$238=1),$J$435,HLOOKUP(INDIRECT(ADDRESS(2,COLUMN())),OFFSET($R$2,0,0,ROW()-1,12),ROW()-1,FALSE))</f>
        <v>14.687965289999999</v>
      </c>
      <c r="K213">
        <f ca="1">IF(AND(ISNUMBER($K$435),$B$238=1),$K$435,HLOOKUP(INDIRECT(ADDRESS(2,COLUMN())),OFFSET($R$2,0,0,ROW()-1,12),ROW()-1,FALSE))</f>
        <v>15.81044771</v>
      </c>
      <c r="L213">
        <f ca="1">IF(AND(ISNUMBER($L$435),$B$238=1),$L$435,HLOOKUP(INDIRECT(ADDRESS(2,COLUMN())),OFFSET($R$2,0,0,ROW()-1,12),ROW()-1,FALSE))</f>
        <v>17.949442650000002</v>
      </c>
      <c r="M213">
        <f ca="1">IF(AND(ISNUMBER($M$435),$B$238=1),$M$435,HLOOKUP(INDIRECT(ADDRESS(2,COLUMN())),OFFSET($R$2,0,0,ROW()-1,12),ROW()-1,FALSE))</f>
        <v>22.185502920000001</v>
      </c>
      <c r="N213">
        <f ca="1">IF(AND(ISNUMBER($N$435),$B$238=1),$N$435,HLOOKUP(INDIRECT(ADDRESS(2,COLUMN())),OFFSET($R$2,0,0,ROW()-1,12),ROW()-1,FALSE))</f>
        <v>27.634459119999999</v>
      </c>
      <c r="O213">
        <f ca="1">IF(AND(ISNUMBER($O$435),$B$238=1),$O$435,HLOOKUP(INDIRECT(ADDRESS(2,COLUMN())),OFFSET($R$2,0,0,ROW()-1,12),ROW()-1,FALSE))</f>
        <v>22.709507290000001</v>
      </c>
      <c r="P213" t="str">
        <f ca="1">IF(AND(ISNUMBER($P$435),$B$238=1),$P$435,HLOOKUP(INDIRECT(ADDRESS(2,COLUMN())),OFFSET($R$2,0,0,ROW()-1,12),ROW()-1,FALSE))</f>
        <v/>
      </c>
      <c r="Q213" t="str">
        <f ca="1">IF(AND(ISNUMBER($Q$435),$B$238=1),$Q$435,HLOOKUP(INDIRECT(ADDRESS(2,COLUMN())),OFFSET($R$2,0,0,ROW()-1,12),ROW()-1,FALSE))</f>
        <v/>
      </c>
      <c r="R213">
        <f>17.07829424</f>
        <v>17.078294240000002</v>
      </c>
      <c r="S213">
        <f>20.41579992</f>
        <v>20.415799920000001</v>
      </c>
      <c r="T213">
        <f>7.899618076</f>
        <v>7.8996180760000003</v>
      </c>
      <c r="U213">
        <f>14.31883032</f>
        <v>14.31883032</v>
      </c>
      <c r="V213">
        <f>14.68796529</f>
        <v>14.687965289999999</v>
      </c>
      <c r="W213">
        <f>15.81044771</f>
        <v>15.81044771</v>
      </c>
      <c r="X213">
        <f>17.94944265</f>
        <v>17.949442650000002</v>
      </c>
      <c r="Y213">
        <f>22.18550292</f>
        <v>22.185502920000001</v>
      </c>
      <c r="Z213">
        <f>27.63445912</f>
        <v>27.634459119999999</v>
      </c>
      <c r="AA213">
        <f>22.70950729</f>
        <v>22.709507290000001</v>
      </c>
      <c r="AB213" t="str">
        <f>""</f>
        <v/>
      </c>
      <c r="AC213" t="str">
        <f>""</f>
        <v/>
      </c>
    </row>
    <row r="214" spans="1:29" x14ac:dyDescent="0.25">
      <c r="A214" t="str">
        <f>"    Genpact Ltd"</f>
        <v xml:space="preserve">    Genpact Ltd</v>
      </c>
      <c r="B214" t="str">
        <f>"G US Equity"</f>
        <v>G US Equity</v>
      </c>
      <c r="C214" t="str">
        <f t="shared" si="33"/>
        <v>RR710</v>
      </c>
      <c r="D214" t="str">
        <f t="shared" si="34"/>
        <v>RETURN_ON_INV_CAPITAL</v>
      </c>
      <c r="E214" t="str">
        <f t="shared" si="35"/>
        <v>Dynamic</v>
      </c>
      <c r="F214">
        <f ca="1">IF(AND(ISNUMBER($F$436),$B$238=1),$F$436,HLOOKUP(INDIRECT(ADDRESS(2,COLUMN())),OFFSET($R$2,0,0,ROW()-1,12),ROW()-1,FALSE))</f>
        <v>10.67333595</v>
      </c>
      <c r="G214">
        <f ca="1">IF(AND(ISNUMBER($G$436),$B$238=1),$G$436,HLOOKUP(INDIRECT(ADDRESS(2,COLUMN())),OFFSET($R$2,0,0,ROW()-1,12),ROW()-1,FALSE))</f>
        <v>10.235797850000001</v>
      </c>
      <c r="H214">
        <f ca="1">IF(AND(ISNUMBER($H$436),$B$238=1),$H$436,HLOOKUP(INDIRECT(ADDRESS(2,COLUMN())),OFFSET($R$2,0,0,ROW()-1,12),ROW()-1,FALSE))</f>
        <v>11.36834277</v>
      </c>
      <c r="I214">
        <f ca="1">IF(AND(ISNUMBER($I$436),$B$238=1),$I$436,HLOOKUP(INDIRECT(ADDRESS(2,COLUMN())),OFFSET($R$2,0,0,ROW()-1,12),ROW()-1,FALSE))</f>
        <v>13.2040484</v>
      </c>
      <c r="J214">
        <f ca="1">IF(AND(ISNUMBER($J$436),$B$238=1),$J$436,HLOOKUP(INDIRECT(ADDRESS(2,COLUMN())),OFFSET($R$2,0,0,ROW()-1,12),ROW()-1,FALSE))</f>
        <v>13.007695010000001</v>
      </c>
      <c r="K214">
        <f ca="1">IF(AND(ISNUMBER($K$436),$B$238=1),$K$436,HLOOKUP(INDIRECT(ADDRESS(2,COLUMN())),OFFSET($R$2,0,0,ROW()-1,12),ROW()-1,FALSE))</f>
        <v>11.40705517</v>
      </c>
      <c r="L214">
        <f ca="1">IF(AND(ISNUMBER($L$436),$B$238=1),$L$436,HLOOKUP(INDIRECT(ADDRESS(2,COLUMN())),OFFSET($R$2,0,0,ROW()-1,12),ROW()-1,FALSE))</f>
        <v>12.60529603</v>
      </c>
      <c r="M214">
        <f ca="1">IF(AND(ISNUMBER($M$436),$B$238=1),$M$436,HLOOKUP(INDIRECT(ADDRESS(2,COLUMN())),OFFSET($R$2,0,0,ROW()-1,12),ROW()-1,FALSE))</f>
        <v>10.432108380000001</v>
      </c>
      <c r="N214">
        <f ca="1">IF(AND(ISNUMBER($N$436),$B$238=1),$N$436,HLOOKUP(INDIRECT(ADDRESS(2,COLUMN())),OFFSET($R$2,0,0,ROW()-1,12),ROW()-1,FALSE))</f>
        <v>9.8900044460000007</v>
      </c>
      <c r="O214">
        <f ca="1">IF(AND(ISNUMBER($O$436),$B$238=1),$O$436,HLOOKUP(INDIRECT(ADDRESS(2,COLUMN())),OFFSET($R$2,0,0,ROW()-1,12),ROW()-1,FALSE))</f>
        <v>10.62234273</v>
      </c>
      <c r="P214">
        <f ca="1">IF(AND(ISNUMBER($P$436),$B$238=1),$P$436,HLOOKUP(INDIRECT(ADDRESS(2,COLUMN())),OFFSET($R$2,0,0,ROW()-1,12),ROW()-1,FALSE))</f>
        <v>12.62086247</v>
      </c>
      <c r="Q214" t="str">
        <f ca="1">IF(AND(ISNUMBER($Q$436),$B$238=1),$Q$436,HLOOKUP(INDIRECT(ADDRESS(2,COLUMN())),OFFSET($R$2,0,0,ROW()-1,12),ROW()-1,FALSE))</f>
        <v/>
      </c>
      <c r="R214">
        <f>10.67333595</f>
        <v>10.67333595</v>
      </c>
      <c r="S214">
        <f>10.23579785</f>
        <v>10.235797850000001</v>
      </c>
      <c r="T214">
        <f>11.36834277</f>
        <v>11.36834277</v>
      </c>
      <c r="U214">
        <f>13.2040484</f>
        <v>13.2040484</v>
      </c>
      <c r="V214">
        <f>13.00769501</f>
        <v>13.007695010000001</v>
      </c>
      <c r="W214">
        <f>11.40705517</f>
        <v>11.40705517</v>
      </c>
      <c r="X214">
        <f>12.60529603</f>
        <v>12.60529603</v>
      </c>
      <c r="Y214">
        <f>10.43210838</f>
        <v>10.432108380000001</v>
      </c>
      <c r="Z214">
        <f>9.890004446</f>
        <v>9.8900044460000007</v>
      </c>
      <c r="AA214">
        <f>10.62234273</f>
        <v>10.62234273</v>
      </c>
      <c r="AB214">
        <f>12.62086247</f>
        <v>12.62086247</v>
      </c>
      <c r="AC214" t="str">
        <f>""</f>
        <v/>
      </c>
    </row>
    <row r="215" spans="1:29" x14ac:dyDescent="0.25">
      <c r="A215" t="str">
        <f>"    HCL Technologies Ltd"</f>
        <v xml:space="preserve">    HCL Technologies Ltd</v>
      </c>
      <c r="B215" t="str">
        <f>"HCLT IN Equity"</f>
        <v>HCLT IN Equity</v>
      </c>
      <c r="C215" t="str">
        <f t="shared" si="33"/>
        <v>RR710</v>
      </c>
      <c r="D215" t="str">
        <f t="shared" si="34"/>
        <v>RETURN_ON_INV_CAPITAL</v>
      </c>
      <c r="E215" t="str">
        <f t="shared" si="35"/>
        <v>Dynamic</v>
      </c>
      <c r="F215">
        <f ca="1">IF(AND(ISNUMBER($F$437),$B$238=1),$F$437,HLOOKUP(INDIRECT(ADDRESS(2,COLUMN())),OFFSET($R$2,0,0,ROW()-1,12),ROW()-1,FALSE))</f>
        <v>21.450927759999999</v>
      </c>
      <c r="G215">
        <f ca="1">IF(AND(ISNUMBER($G$437),$B$238=1),$G$437,HLOOKUP(INDIRECT(ADDRESS(2,COLUMN())),OFFSET($R$2,0,0,ROW()-1,12),ROW()-1,FALSE))</f>
        <v>22.586966889999999</v>
      </c>
      <c r="H215">
        <f ca="1">IF(AND(ISNUMBER($H$437),$B$238=1),$H$437,HLOOKUP(INDIRECT(ADDRESS(2,COLUMN())),OFFSET($R$2,0,0,ROW()-1,12),ROW()-1,FALSE))</f>
        <v>23.332406020000001</v>
      </c>
      <c r="I215">
        <f ca="1">IF(AND(ISNUMBER($I$437),$B$238=1),$I$437,HLOOKUP(INDIRECT(ADDRESS(2,COLUMN())),OFFSET($R$2,0,0,ROW()-1,12),ROW()-1,FALSE))</f>
        <v>25.60693947</v>
      </c>
      <c r="J215" t="str">
        <f ca="1">IF(AND(ISNUMBER($J$437),$B$238=1),$J$437,HLOOKUP(INDIRECT(ADDRESS(2,COLUMN())),OFFSET($R$2,0,0,ROW()-1,12),ROW()-1,FALSE))</f>
        <v/>
      </c>
      <c r="K215" t="str">
        <f ca="1">IF(AND(ISNUMBER($K$437),$B$238=1),$K$437,HLOOKUP(INDIRECT(ADDRESS(2,COLUMN())),OFFSET($R$2,0,0,ROW()-1,12),ROW()-1,FALSE))</f>
        <v/>
      </c>
      <c r="L215">
        <f ca="1">IF(AND(ISNUMBER($L$437),$B$238=1),$L$437,HLOOKUP(INDIRECT(ADDRESS(2,COLUMN())),OFFSET($R$2,0,0,ROW()-1,12),ROW()-1,FALSE))</f>
        <v>35.100862429999999</v>
      </c>
      <c r="M215">
        <f ca="1">IF(AND(ISNUMBER($M$437),$B$238=1),$M$437,HLOOKUP(INDIRECT(ADDRESS(2,COLUMN())),OFFSET($R$2,0,0,ROW()-1,12),ROW()-1,FALSE))</f>
        <v>28.544308149999999</v>
      </c>
      <c r="N215">
        <f ca="1">IF(AND(ISNUMBER($N$437),$B$238=1),$N$437,HLOOKUP(INDIRECT(ADDRESS(2,COLUMN())),OFFSET($R$2,0,0,ROW()-1,12),ROW()-1,FALSE))</f>
        <v>21.384975730000001</v>
      </c>
      <c r="O215">
        <f ca="1">IF(AND(ISNUMBER($O$437),$B$238=1),$O$437,HLOOKUP(INDIRECT(ADDRESS(2,COLUMN())),OFFSET($R$2,0,0,ROW()-1,12),ROW()-1,FALSE))</f>
        <v>16.206045700000001</v>
      </c>
      <c r="P215">
        <f ca="1">IF(AND(ISNUMBER($P$437),$B$238=1),$P$437,HLOOKUP(INDIRECT(ADDRESS(2,COLUMN())),OFFSET($R$2,0,0,ROW()-1,12),ROW()-1,FALSE))</f>
        <v>15.4475578</v>
      </c>
      <c r="Q215">
        <f ca="1">IF(AND(ISNUMBER($Q$437),$B$238=1),$Q$437,HLOOKUP(INDIRECT(ADDRESS(2,COLUMN())),OFFSET($R$2,0,0,ROW()-1,12),ROW()-1,FALSE))</f>
        <v>23.232610940000001</v>
      </c>
      <c r="R215">
        <f>21.45092776</f>
        <v>21.450927759999999</v>
      </c>
      <c r="S215">
        <f>22.58696689</f>
        <v>22.586966889999999</v>
      </c>
      <c r="T215">
        <f>23.33240602</f>
        <v>23.332406020000001</v>
      </c>
      <c r="U215">
        <f>25.60693947</f>
        <v>25.60693947</v>
      </c>
      <c r="V215" t="str">
        <f>""</f>
        <v/>
      </c>
      <c r="W215" t="str">
        <f>""</f>
        <v/>
      </c>
      <c r="X215">
        <f>35.10086243</f>
        <v>35.100862429999999</v>
      </c>
      <c r="Y215">
        <f>28.54430815</f>
        <v>28.544308149999999</v>
      </c>
      <c r="Z215">
        <f>21.38497573</f>
        <v>21.384975730000001</v>
      </c>
      <c r="AA215">
        <f>16.2060457</f>
        <v>16.206045700000001</v>
      </c>
      <c r="AB215">
        <f>15.4475578</f>
        <v>15.4475578</v>
      </c>
      <c r="AC215">
        <f>23.23261094</f>
        <v>23.232610940000001</v>
      </c>
    </row>
    <row r="216" spans="1:29" x14ac:dyDescent="0.25">
      <c r="A216" t="str">
        <f>"    Indra Sistemas SA"</f>
        <v xml:space="preserve">    Indra Sistemas SA</v>
      </c>
      <c r="B216" t="str">
        <f>"IDR SM Equity"</f>
        <v>IDR SM Equity</v>
      </c>
      <c r="C216" t="str">
        <f t="shared" si="33"/>
        <v>RR710</v>
      </c>
      <c r="D216" t="str">
        <f t="shared" si="34"/>
        <v>RETURN_ON_INV_CAPITAL</v>
      </c>
      <c r="E216" t="str">
        <f t="shared" si="35"/>
        <v>Dynamic</v>
      </c>
      <c r="F216">
        <f ca="1">IF(AND(ISNUMBER($F$438),$B$238=1),$F$438,HLOOKUP(INDIRECT(ADDRESS(2,COLUMN())),OFFSET($R$2,0,0,ROW()-1,12),ROW()-1,FALSE))</f>
        <v>7.1832695009999998</v>
      </c>
      <c r="G216">
        <f ca="1">IF(AND(ISNUMBER($G$438),$B$238=1),$G$438,HLOOKUP(INDIRECT(ADDRESS(2,COLUMN())),OFFSET($R$2,0,0,ROW()-1,12),ROW()-1,FALSE))</f>
        <v>7.5439391340000004</v>
      </c>
      <c r="H216">
        <f ca="1">IF(AND(ISNUMBER($H$438),$B$238=1),$H$438,HLOOKUP(INDIRECT(ADDRESS(2,COLUMN())),OFFSET($R$2,0,0,ROW()-1,12),ROW()-1,FALSE))</f>
        <v>8.7402828059999997</v>
      </c>
      <c r="I216">
        <f ca="1">IF(AND(ISNUMBER($I$438),$B$238=1),$I$438,HLOOKUP(INDIRECT(ADDRESS(2,COLUMN())),OFFSET($R$2,0,0,ROW()-1,12),ROW()-1,FALSE))</f>
        <v>6.1418126690000001</v>
      </c>
      <c r="J216">
        <f ca="1">IF(AND(ISNUMBER($J$438),$B$238=1),$J$438,HLOOKUP(INDIRECT(ADDRESS(2,COLUMN())),OFFSET($R$2,0,0,ROW()-1,12),ROW()-1,FALSE))</f>
        <v>-36.456593900000001</v>
      </c>
      <c r="K216">
        <f ca="1">IF(AND(ISNUMBER($K$438),$B$238=1),$K$438,HLOOKUP(INDIRECT(ADDRESS(2,COLUMN())),OFFSET($R$2,0,0,ROW()-1,12),ROW()-1,FALSE))</f>
        <v>-2.6007919820000001</v>
      </c>
      <c r="L216">
        <f ca="1">IF(AND(ISNUMBER($L$438),$B$238=1),$L$438,HLOOKUP(INDIRECT(ADDRESS(2,COLUMN())),OFFSET($R$2,0,0,ROW()-1,12),ROW()-1,FALSE))</f>
        <v>7.9035478100000001</v>
      </c>
      <c r="M216">
        <f ca="1">IF(AND(ISNUMBER($M$438),$B$238=1),$M$438,HLOOKUP(INDIRECT(ADDRESS(2,COLUMN())),OFFSET($R$2,0,0,ROW()-1,12),ROW()-1,FALSE))</f>
        <v>9.407336656</v>
      </c>
      <c r="N216">
        <f ca="1">IF(AND(ISNUMBER($N$438),$B$238=1),$N$438,HLOOKUP(INDIRECT(ADDRESS(2,COLUMN())),OFFSET($R$2,0,0,ROW()-1,12),ROW()-1,FALSE))</f>
        <v>13.10966075</v>
      </c>
      <c r="O216">
        <f ca="1">IF(AND(ISNUMBER($O$438),$B$238=1),$O$438,HLOOKUP(INDIRECT(ADDRESS(2,COLUMN())),OFFSET($R$2,0,0,ROW()-1,12),ROW()-1,FALSE))</f>
        <v>15.24602215</v>
      </c>
      <c r="P216">
        <f ca="1">IF(AND(ISNUMBER($P$438),$B$238=1),$P$438,HLOOKUP(INDIRECT(ADDRESS(2,COLUMN())),OFFSET($R$2,0,0,ROW()-1,12),ROW()-1,FALSE))</f>
        <v>19.65751225</v>
      </c>
      <c r="Q216">
        <f ca="1">IF(AND(ISNUMBER($Q$438),$B$238=1),$Q$438,HLOOKUP(INDIRECT(ADDRESS(2,COLUMN())),OFFSET($R$2,0,0,ROW()-1,12),ROW()-1,FALSE))</f>
        <v>21.044040899999999</v>
      </c>
      <c r="R216">
        <f>7.183269501</f>
        <v>7.1832695009999998</v>
      </c>
      <c r="S216">
        <f>7.543939134</f>
        <v>7.5439391340000004</v>
      </c>
      <c r="T216">
        <f>8.740282806</f>
        <v>8.7402828059999997</v>
      </c>
      <c r="U216">
        <f>6.141812669</f>
        <v>6.1418126690000001</v>
      </c>
      <c r="V216">
        <f>-36.4565939</f>
        <v>-36.456593900000001</v>
      </c>
      <c r="W216">
        <f>-2.600791982</f>
        <v>-2.6007919820000001</v>
      </c>
      <c r="X216">
        <f>7.90354781</f>
        <v>7.9035478100000001</v>
      </c>
      <c r="Y216">
        <f>9.407336656</f>
        <v>9.407336656</v>
      </c>
      <c r="Z216">
        <f>13.10966075</f>
        <v>13.10966075</v>
      </c>
      <c r="AA216">
        <f>15.24602215</f>
        <v>15.24602215</v>
      </c>
      <c r="AB216">
        <f>19.65751225</f>
        <v>19.65751225</v>
      </c>
      <c r="AC216">
        <f>21.0440409</f>
        <v>21.044040899999999</v>
      </c>
    </row>
    <row r="217" spans="1:29" x14ac:dyDescent="0.25">
      <c r="A217" t="str">
        <f>"    Infosys Ltd"</f>
        <v xml:space="preserve">    Infosys Ltd</v>
      </c>
      <c r="B217" t="str">
        <f>"INFY US Equity"</f>
        <v>INFY US Equity</v>
      </c>
      <c r="C217" t="str">
        <f t="shared" si="33"/>
        <v>RR710</v>
      </c>
      <c r="D217" t="str">
        <f t="shared" si="34"/>
        <v>RETURN_ON_INV_CAPITAL</v>
      </c>
      <c r="E217" t="str">
        <f t="shared" si="35"/>
        <v>Dynamic</v>
      </c>
      <c r="F217">
        <f ca="1">IF(AND(ISNUMBER($F$439),$B$238=1),$F$439,HLOOKUP(INDIRECT(ADDRESS(2,COLUMN())),OFFSET($R$2,0,0,ROW()-1,12),ROW()-1,FALSE))</f>
        <v>21.526345589999998</v>
      </c>
      <c r="G217">
        <f ca="1">IF(AND(ISNUMBER($G$439),$B$238=1),$G$439,HLOOKUP(INDIRECT(ADDRESS(2,COLUMN())),OFFSET($R$2,0,0,ROW()-1,12),ROW()-1,FALSE))</f>
        <v>20.934795260000001</v>
      </c>
      <c r="H217">
        <f ca="1">IF(AND(ISNUMBER($H$439),$B$238=1),$H$439,HLOOKUP(INDIRECT(ADDRESS(2,COLUMN())),OFFSET($R$2,0,0,ROW()-1,12),ROW()-1,FALSE))</f>
        <v>19.544828299999999</v>
      </c>
      <c r="I217">
        <f ca="1">IF(AND(ISNUMBER($I$439),$B$238=1),$I$439,HLOOKUP(INDIRECT(ADDRESS(2,COLUMN())),OFFSET($R$2,0,0,ROW()-1,12),ROW()-1,FALSE))</f>
        <v>17.66072595</v>
      </c>
      <c r="J217">
        <f ca="1">IF(AND(ISNUMBER($J$439),$B$238=1),$J$439,HLOOKUP(INDIRECT(ADDRESS(2,COLUMN())),OFFSET($R$2,0,0,ROW()-1,12),ROW()-1,FALSE))</f>
        <v>18.352852370000001</v>
      </c>
      <c r="K217">
        <f ca="1">IF(AND(ISNUMBER($K$439),$B$238=1),$K$439,HLOOKUP(INDIRECT(ADDRESS(2,COLUMN())),OFFSET($R$2,0,0,ROW()-1,12),ROW()-1,FALSE))</f>
        <v>17.91062033</v>
      </c>
      <c r="L217">
        <f ca="1">IF(AND(ISNUMBER($L$439),$B$238=1),$L$439,HLOOKUP(INDIRECT(ADDRESS(2,COLUMN())),OFFSET($R$2,0,0,ROW()-1,12),ROW()-1,FALSE))</f>
        <v>19.01352378</v>
      </c>
      <c r="M217">
        <f ca="1">IF(AND(ISNUMBER($M$439),$B$238=1),$M$439,HLOOKUP(INDIRECT(ADDRESS(2,COLUMN())),OFFSET($R$2,0,0,ROW()-1,12),ROW()-1,FALSE))</f>
        <v>19.99396861</v>
      </c>
      <c r="N217">
        <f ca="1">IF(AND(ISNUMBER($N$439),$B$238=1),$N$439,HLOOKUP(INDIRECT(ADDRESS(2,COLUMN())),OFFSET($R$2,0,0,ROW()-1,12),ROW()-1,FALSE))</f>
        <v>23.09751936</v>
      </c>
      <c r="O217">
        <f ca="1">IF(AND(ISNUMBER($O$439),$B$238=1),$O$439,HLOOKUP(INDIRECT(ADDRESS(2,COLUMN())),OFFSET($R$2,0,0,ROW()-1,12),ROW()-1,FALSE))</f>
        <v>23.52236804</v>
      </c>
      <c r="P217">
        <f ca="1">IF(AND(ISNUMBER($P$439),$B$238=1),$P$439,HLOOKUP(INDIRECT(ADDRESS(2,COLUMN())),OFFSET($R$2,0,0,ROW()-1,12),ROW()-1,FALSE))</f>
        <v>25.30919183</v>
      </c>
      <c r="Q217">
        <f ca="1">IF(AND(ISNUMBER($Q$439),$B$238=1),$Q$439,HLOOKUP(INDIRECT(ADDRESS(2,COLUMN())),OFFSET($R$2,0,0,ROW()-1,12),ROW()-1,FALSE))</f>
        <v>36.834443890000003</v>
      </c>
      <c r="R217">
        <f>21.52634559</f>
        <v>21.526345589999998</v>
      </c>
      <c r="S217">
        <f>20.93479526</f>
        <v>20.934795260000001</v>
      </c>
      <c r="T217">
        <f>19.5448283</f>
        <v>19.544828299999999</v>
      </c>
      <c r="U217">
        <f>17.66072595</f>
        <v>17.66072595</v>
      </c>
      <c r="V217">
        <f>18.35285237</f>
        <v>18.352852370000001</v>
      </c>
      <c r="W217">
        <f>17.91062033</f>
        <v>17.91062033</v>
      </c>
      <c r="X217">
        <f>19.01352378</f>
        <v>19.01352378</v>
      </c>
      <c r="Y217">
        <f>19.99396861</f>
        <v>19.99396861</v>
      </c>
      <c r="Z217">
        <f>23.09751936</f>
        <v>23.09751936</v>
      </c>
      <c r="AA217">
        <f>23.52236804</f>
        <v>23.52236804</v>
      </c>
      <c r="AB217">
        <f>25.30919183</f>
        <v>25.30919183</v>
      </c>
      <c r="AC217">
        <f>36.83444389</f>
        <v>36.834443890000003</v>
      </c>
    </row>
    <row r="218" spans="1:29" x14ac:dyDescent="0.25">
      <c r="A218" t="str">
        <f>"    International Business Machines Corp"</f>
        <v xml:space="preserve">    International Business Machines Corp</v>
      </c>
      <c r="B218" t="str">
        <f>"IBM US Equity"</f>
        <v>IBM US Equity</v>
      </c>
      <c r="C218" t="str">
        <f t="shared" si="33"/>
        <v>RR710</v>
      </c>
      <c r="D218" t="str">
        <f t="shared" si="34"/>
        <v>RETURN_ON_INV_CAPITAL</v>
      </c>
      <c r="E218" t="str">
        <f t="shared" si="35"/>
        <v>Dynamic</v>
      </c>
      <c r="F218">
        <f ca="1">IF(AND(ISNUMBER($F$440),$B$238=1),$F$440,HLOOKUP(INDIRECT(ADDRESS(2,COLUMN())),OFFSET($R$2,0,0,ROW()-1,12),ROW()-1,FALSE))</f>
        <v>11.98375961</v>
      </c>
      <c r="G218">
        <f ca="1">IF(AND(ISNUMBER($G$440),$B$238=1),$G$440,HLOOKUP(INDIRECT(ADDRESS(2,COLUMN())),OFFSET($R$2,0,0,ROW()-1,12),ROW()-1,FALSE))</f>
        <v>14.57262802</v>
      </c>
      <c r="H218">
        <f ca="1">IF(AND(ISNUMBER($H$440),$B$238=1),$H$440,HLOOKUP(INDIRECT(ADDRESS(2,COLUMN())),OFFSET($R$2,0,0,ROW()-1,12),ROW()-1,FALSE))</f>
        <v>11.80399265</v>
      </c>
      <c r="I218">
        <f ca="1">IF(AND(ISNUMBER($I$440),$B$238=1),$I$440,HLOOKUP(INDIRECT(ADDRESS(2,COLUMN())),OFFSET($R$2,0,0,ROW()-1,12),ROW()-1,FALSE))</f>
        <v>21.280145860000001</v>
      </c>
      <c r="J218">
        <f ca="1">IF(AND(ISNUMBER($J$440),$B$238=1),$J$440,HLOOKUP(INDIRECT(ADDRESS(2,COLUMN())),OFFSET($R$2,0,0,ROW()-1,12),ROW()-1,FALSE))</f>
        <v>26.29837079</v>
      </c>
      <c r="K218">
        <f ca="1">IF(AND(ISNUMBER($K$440),$B$238=1),$K$440,HLOOKUP(INDIRECT(ADDRESS(2,COLUMN())),OFFSET($R$2,0,0,ROW()-1,12),ROW()-1,FALSE))</f>
        <v>24.88127209</v>
      </c>
      <c r="L218">
        <f ca="1">IF(AND(ISNUMBER($L$440),$B$238=1),$L$440,HLOOKUP(INDIRECT(ADDRESS(2,COLUMN())),OFFSET($R$2,0,0,ROW()-1,12),ROW()-1,FALSE))</f>
        <v>29.08445863</v>
      </c>
      <c r="M218">
        <f ca="1">IF(AND(ISNUMBER($M$440),$B$238=1),$M$440,HLOOKUP(INDIRECT(ADDRESS(2,COLUMN())),OFFSET($R$2,0,0,ROW()-1,12),ROW()-1,FALSE))</f>
        <v>29.531286219999998</v>
      </c>
      <c r="N218">
        <f ca="1">IF(AND(ISNUMBER($N$440),$B$238=1),$N$440,HLOOKUP(INDIRECT(ADDRESS(2,COLUMN())),OFFSET($R$2,0,0,ROW()-1,12),ROW()-1,FALSE))</f>
        <v>27.250133309999999</v>
      </c>
      <c r="O218">
        <f ca="1">IF(AND(ISNUMBER($O$440),$B$238=1),$O$440,HLOOKUP(INDIRECT(ADDRESS(2,COLUMN())),OFFSET($R$2,0,0,ROW()-1,12),ROW()-1,FALSE))</f>
        <v>24.126803880000001</v>
      </c>
      <c r="P218">
        <f ca="1">IF(AND(ISNUMBER($P$440),$B$238=1),$P$440,HLOOKUP(INDIRECT(ADDRESS(2,COLUMN())),OFFSET($R$2,0,0,ROW()-1,12),ROW()-1,FALSE))</f>
        <v>24.932310860000001</v>
      </c>
      <c r="Q218">
        <f ca="1">IF(AND(ISNUMBER($Q$440),$B$238=1),$Q$440,HLOOKUP(INDIRECT(ADDRESS(2,COLUMN())),OFFSET($R$2,0,0,ROW()-1,12),ROW()-1,FALSE))</f>
        <v>19.41513608</v>
      </c>
      <c r="R218">
        <f>11.98375961</f>
        <v>11.98375961</v>
      </c>
      <c r="S218">
        <f>14.57262802</f>
        <v>14.57262802</v>
      </c>
      <c r="T218">
        <f>11.80399265</f>
        <v>11.80399265</v>
      </c>
      <c r="U218">
        <f>21.28014586</f>
        <v>21.280145860000001</v>
      </c>
      <c r="V218">
        <f>26.29837079</f>
        <v>26.29837079</v>
      </c>
      <c r="W218">
        <f>24.88127209</f>
        <v>24.88127209</v>
      </c>
      <c r="X218">
        <f>29.08445863</f>
        <v>29.08445863</v>
      </c>
      <c r="Y218">
        <f>29.53128622</f>
        <v>29.531286219999998</v>
      </c>
      <c r="Z218">
        <f>27.25013331</f>
        <v>27.250133309999999</v>
      </c>
      <c r="AA218">
        <f>24.12680388</f>
        <v>24.126803880000001</v>
      </c>
      <c r="AB218">
        <f>24.93231086</f>
        <v>24.932310860000001</v>
      </c>
      <c r="AC218">
        <f>19.41513608</f>
        <v>19.41513608</v>
      </c>
    </row>
    <row r="219" spans="1:29" x14ac:dyDescent="0.25">
      <c r="A219" t="str">
        <f>"    Tata Consultancy Services Ltd"</f>
        <v xml:space="preserve">    Tata Consultancy Services Ltd</v>
      </c>
      <c r="B219" t="str">
        <f>"TCS IN Equity"</f>
        <v>TCS IN Equity</v>
      </c>
      <c r="C219" t="str">
        <f t="shared" si="33"/>
        <v>RR710</v>
      </c>
      <c r="D219" t="str">
        <f t="shared" si="34"/>
        <v>RETURN_ON_INV_CAPITAL</v>
      </c>
      <c r="E219" t="str">
        <f t="shared" si="35"/>
        <v>Dynamic</v>
      </c>
      <c r="F219">
        <f ca="1">IF(AND(ISNUMBER($F$441),$B$238=1),$F$441,HLOOKUP(INDIRECT(ADDRESS(2,COLUMN())),OFFSET($R$2,0,0,ROW()-1,12),ROW()-1,FALSE))</f>
        <v>31.210096660000001</v>
      </c>
      <c r="G219">
        <f ca="1">IF(AND(ISNUMBER($G$441),$B$238=1),$G$441,HLOOKUP(INDIRECT(ADDRESS(2,COLUMN())),OFFSET($R$2,0,0,ROW()-1,12),ROW()-1,FALSE))</f>
        <v>31.562413060000001</v>
      </c>
      <c r="H219">
        <f ca="1">IF(AND(ISNUMBER($H$441),$B$238=1),$H$441,HLOOKUP(INDIRECT(ADDRESS(2,COLUMN())),OFFSET($R$2,0,0,ROW()-1,12),ROW()-1,FALSE))</f>
        <v>26.37906362</v>
      </c>
      <c r="I219">
        <f ca="1">IF(AND(ISNUMBER($I$441),$B$238=1),$I$441,HLOOKUP(INDIRECT(ADDRESS(2,COLUMN())),OFFSET($R$2,0,0,ROW()-1,12),ROW()-1,FALSE))</f>
        <v>28.765293320000001</v>
      </c>
      <c r="J219">
        <f ca="1">IF(AND(ISNUMBER($J$441),$B$238=1),$J$441,HLOOKUP(INDIRECT(ADDRESS(2,COLUMN())),OFFSET($R$2,0,0,ROW()-1,12),ROW()-1,FALSE))</f>
        <v>33.922374740000002</v>
      </c>
      <c r="K219">
        <f ca="1">IF(AND(ISNUMBER($K$441),$B$238=1),$K$441,HLOOKUP(INDIRECT(ADDRESS(2,COLUMN())),OFFSET($R$2,0,0,ROW()-1,12),ROW()-1,FALSE))</f>
        <v>31.030772639999999</v>
      </c>
      <c r="L219">
        <f ca="1">IF(AND(ISNUMBER($L$441),$B$238=1),$L$441,HLOOKUP(INDIRECT(ADDRESS(2,COLUMN())),OFFSET($R$2,0,0,ROW()-1,12),ROW()-1,FALSE))</f>
        <v>38.167848990000003</v>
      </c>
      <c r="M219">
        <f ca="1">IF(AND(ISNUMBER($M$441),$B$238=1),$M$441,HLOOKUP(INDIRECT(ADDRESS(2,COLUMN())),OFFSET($R$2,0,0,ROW()-1,12),ROW()-1,FALSE))</f>
        <v>35.390740549999997</v>
      </c>
      <c r="N219">
        <f ca="1">IF(AND(ISNUMBER($N$441),$B$238=1),$N$441,HLOOKUP(INDIRECT(ADDRESS(2,COLUMN())),OFFSET($R$2,0,0,ROW()-1,12),ROW()-1,FALSE))</f>
        <v>36.68721189</v>
      </c>
      <c r="O219">
        <f ca="1">IF(AND(ISNUMBER($O$441),$B$238=1),$O$441,HLOOKUP(INDIRECT(ADDRESS(2,COLUMN())),OFFSET($R$2,0,0,ROW()-1,12),ROW()-1,FALSE))</f>
        <v>38.79088462</v>
      </c>
      <c r="P219">
        <f ca="1">IF(AND(ISNUMBER($P$441),$B$238=1),$P$441,HLOOKUP(INDIRECT(ADDRESS(2,COLUMN())),OFFSET($R$2,0,0,ROW()-1,12),ROW()-1,FALSE))</f>
        <v>39.204556150000002</v>
      </c>
      <c r="Q219">
        <f ca="1">IF(AND(ISNUMBER($Q$441),$B$238=1),$Q$441,HLOOKUP(INDIRECT(ADDRESS(2,COLUMN())),OFFSET($R$2,0,0,ROW()-1,12),ROW()-1,FALSE))</f>
        <v>38.636016929999997</v>
      </c>
      <c r="R219">
        <f>31.21009666</f>
        <v>31.210096660000001</v>
      </c>
      <c r="S219">
        <f>31.56241306</f>
        <v>31.562413060000001</v>
      </c>
      <c r="T219">
        <f>26.37906362</f>
        <v>26.37906362</v>
      </c>
      <c r="U219">
        <f>28.76529332</f>
        <v>28.765293320000001</v>
      </c>
      <c r="V219">
        <f>33.92237474</f>
        <v>33.922374740000002</v>
      </c>
      <c r="W219">
        <f>31.03077264</f>
        <v>31.030772639999999</v>
      </c>
      <c r="X219">
        <f>38.16784899</f>
        <v>38.167848990000003</v>
      </c>
      <c r="Y219">
        <f>35.39074055</f>
        <v>35.390740549999997</v>
      </c>
      <c r="Z219">
        <f>36.68721189</f>
        <v>36.68721189</v>
      </c>
      <c r="AA219">
        <f>38.79088462</f>
        <v>38.79088462</v>
      </c>
      <c r="AB219">
        <f>39.20455615</f>
        <v>39.204556150000002</v>
      </c>
      <c r="AC219">
        <f>38.63601693</f>
        <v>38.636016929999997</v>
      </c>
    </row>
    <row r="220" spans="1:29" x14ac:dyDescent="0.25">
      <c r="A220" t="str">
        <f>"    Tech Mahindra Ltd"</f>
        <v xml:space="preserve">    Tech Mahindra Ltd</v>
      </c>
      <c r="B220" t="str">
        <f>"TECHM IN Equity"</f>
        <v>TECHM IN Equity</v>
      </c>
      <c r="C220" t="str">
        <f t="shared" si="33"/>
        <v>RR710</v>
      </c>
      <c r="D220" t="str">
        <f t="shared" si="34"/>
        <v>RETURN_ON_INV_CAPITAL</v>
      </c>
      <c r="E220" t="str">
        <f t="shared" si="35"/>
        <v>Dynamic</v>
      </c>
      <c r="F220">
        <f ca="1">IF(AND(ISNUMBER($F$442),$B$238=1),$F$442,HLOOKUP(INDIRECT(ADDRESS(2,COLUMN())),OFFSET($R$2,0,0,ROW()-1,12),ROW()-1,FALSE))</f>
        <v>12.85554793</v>
      </c>
      <c r="G220">
        <f ca="1">IF(AND(ISNUMBER($G$442),$B$238=1),$G$442,HLOOKUP(INDIRECT(ADDRESS(2,COLUMN())),OFFSET($R$2,0,0,ROW()-1,12),ROW()-1,FALSE))</f>
        <v>18.103691560000001</v>
      </c>
      <c r="H220">
        <f ca="1">IF(AND(ISNUMBER($H$442),$B$238=1),$H$442,HLOOKUP(INDIRECT(ADDRESS(2,COLUMN())),OFFSET($R$2,0,0,ROW()-1,12),ROW()-1,FALSE))</f>
        <v>13.49220566</v>
      </c>
      <c r="I220">
        <f ca="1">IF(AND(ISNUMBER($I$442),$B$238=1),$I$442,HLOOKUP(INDIRECT(ADDRESS(2,COLUMN())),OFFSET($R$2,0,0,ROW()-1,12),ROW()-1,FALSE))</f>
        <v>14.581662919999999</v>
      </c>
      <c r="J220">
        <f ca="1">IF(AND(ISNUMBER($J$442),$B$238=1),$J$442,HLOOKUP(INDIRECT(ADDRESS(2,COLUMN())),OFFSET($R$2,0,0,ROW()-1,12),ROW()-1,FALSE))</f>
        <v>19.77408866</v>
      </c>
      <c r="K220">
        <f ca="1">IF(AND(ISNUMBER($K$442),$B$238=1),$K$442,HLOOKUP(INDIRECT(ADDRESS(2,COLUMN())),OFFSET($R$2,0,0,ROW()-1,12),ROW()-1,FALSE))</f>
        <v>21.819700789999999</v>
      </c>
      <c r="L220">
        <f ca="1">IF(AND(ISNUMBER($L$442),$B$238=1),$L$442,HLOOKUP(INDIRECT(ADDRESS(2,COLUMN())),OFFSET($R$2,0,0,ROW()-1,12),ROW()-1,FALSE))</f>
        <v>34.48914955</v>
      </c>
      <c r="M220">
        <f ca="1">IF(AND(ISNUMBER($M$442),$B$238=1),$M$442,HLOOKUP(INDIRECT(ADDRESS(2,COLUMN())),OFFSET($R$2,0,0,ROW()-1,12),ROW()-1,FALSE))</f>
        <v>23.744452639999999</v>
      </c>
      <c r="N220">
        <f ca="1">IF(AND(ISNUMBER($N$442),$B$238=1),$N$442,HLOOKUP(INDIRECT(ADDRESS(2,COLUMN())),OFFSET($R$2,0,0,ROW()-1,12),ROW()-1,FALSE))</f>
        <v>23.559926749999999</v>
      </c>
      <c r="O220">
        <f ca="1">IF(AND(ISNUMBER($O$442),$B$238=1),$O$442,HLOOKUP(INDIRECT(ADDRESS(2,COLUMN())),OFFSET($R$2,0,0,ROW()-1,12),ROW()-1,FALSE))</f>
        <v>14.102923390000001</v>
      </c>
      <c r="P220">
        <f ca="1">IF(AND(ISNUMBER($P$442),$B$238=1),$P$442,HLOOKUP(INDIRECT(ADDRESS(2,COLUMN())),OFFSET($R$2,0,0,ROW()-1,12),ROW()-1,FALSE))</f>
        <v>26.099185859999999</v>
      </c>
      <c r="Q220">
        <f ca="1">IF(AND(ISNUMBER($Q$442),$B$238=1),$Q$442,HLOOKUP(INDIRECT(ADDRESS(2,COLUMN())),OFFSET($R$2,0,0,ROW()-1,12),ROW()-1,FALSE))</f>
        <v>61.610445050000003</v>
      </c>
      <c r="R220">
        <f>12.85554793</f>
        <v>12.85554793</v>
      </c>
      <c r="S220">
        <f>18.10369156</f>
        <v>18.103691560000001</v>
      </c>
      <c r="T220">
        <f>13.49220566</f>
        <v>13.49220566</v>
      </c>
      <c r="U220">
        <f>14.58166292</f>
        <v>14.581662919999999</v>
      </c>
      <c r="V220">
        <f>19.77408866</f>
        <v>19.77408866</v>
      </c>
      <c r="W220">
        <f>21.81970079</f>
        <v>21.819700789999999</v>
      </c>
      <c r="X220">
        <f>34.48914955</f>
        <v>34.48914955</v>
      </c>
      <c r="Y220">
        <f>23.74445264</f>
        <v>23.744452639999999</v>
      </c>
      <c r="Z220">
        <f>23.55992675</f>
        <v>23.559926749999999</v>
      </c>
      <c r="AA220">
        <f>14.10292339</f>
        <v>14.102923390000001</v>
      </c>
      <c r="AB220">
        <f>26.09918586</f>
        <v>26.099185859999999</v>
      </c>
      <c r="AC220">
        <f>61.61044505</f>
        <v>61.610445050000003</v>
      </c>
    </row>
    <row r="221" spans="1:29" x14ac:dyDescent="0.25">
      <c r="A221" t="str">
        <f>"    Wipro Ltd"</f>
        <v xml:space="preserve">    Wipro Ltd</v>
      </c>
      <c r="B221" t="str">
        <f>"WIT US Equity"</f>
        <v>WIT US Equity</v>
      </c>
      <c r="C221" t="str">
        <f t="shared" si="33"/>
        <v>RR710</v>
      </c>
      <c r="D221" t="str">
        <f t="shared" si="34"/>
        <v>RETURN_ON_INV_CAPITAL</v>
      </c>
      <c r="E221" t="str">
        <f t="shared" si="35"/>
        <v>Dynamic</v>
      </c>
      <c r="F221">
        <f ca="1">IF(AND(ISNUMBER($F$443),$B$238=1),$F$443,HLOOKUP(INDIRECT(ADDRESS(2,COLUMN())),OFFSET($R$2,0,0,ROW()-1,12),ROW()-1,FALSE))</f>
        <v>12.051443900000001</v>
      </c>
      <c r="G221">
        <f ca="1">IF(AND(ISNUMBER($G$443),$B$238=1),$G$443,HLOOKUP(INDIRECT(ADDRESS(2,COLUMN())),OFFSET($R$2,0,0,ROW()-1,12),ROW()-1,FALSE))</f>
        <v>11.27076183</v>
      </c>
      <c r="H221">
        <f ca="1">IF(AND(ISNUMBER($H$443),$B$238=1),$H$443,HLOOKUP(INDIRECT(ADDRESS(2,COLUMN())),OFFSET($R$2,0,0,ROW()-1,12),ROW()-1,FALSE))</f>
        <v>9.6730089469999996</v>
      </c>
      <c r="I221">
        <f ca="1">IF(AND(ISNUMBER($I$443),$B$238=1),$I$443,HLOOKUP(INDIRECT(ADDRESS(2,COLUMN())),OFFSET($R$2,0,0,ROW()-1,12),ROW()-1,FALSE))</f>
        <v>10.63149406</v>
      </c>
      <c r="J221">
        <f ca="1">IF(AND(ISNUMBER($J$443),$B$238=1),$J$443,HLOOKUP(INDIRECT(ADDRESS(2,COLUMN())),OFFSET($R$2,0,0,ROW()-1,12),ROW()-1,FALSE))</f>
        <v>13.18402305</v>
      </c>
      <c r="K221">
        <f ca="1">IF(AND(ISNUMBER($K$443),$B$238=1),$K$443,HLOOKUP(INDIRECT(ADDRESS(2,COLUMN())),OFFSET($R$2,0,0,ROW()-1,12),ROW()-1,FALSE))</f>
        <v>16.19215299</v>
      </c>
      <c r="L221">
        <f ca="1">IF(AND(ISNUMBER($L$443),$B$238=1),$L$443,HLOOKUP(INDIRECT(ADDRESS(2,COLUMN())),OFFSET($R$2,0,0,ROW()-1,12),ROW()-1,FALSE))</f>
        <v>18.03364131</v>
      </c>
      <c r="M221">
        <f ca="1">IF(AND(ISNUMBER($M$443),$B$238=1),$M$443,HLOOKUP(INDIRECT(ADDRESS(2,COLUMN())),OFFSET($R$2,0,0,ROW()-1,12),ROW()-1,FALSE))</f>
        <v>15.358341469999999</v>
      </c>
      <c r="N221">
        <f ca="1">IF(AND(ISNUMBER($N$443),$B$238=1),$N$443,HLOOKUP(INDIRECT(ADDRESS(2,COLUMN())),OFFSET($R$2,0,0,ROW()-1,12),ROW()-1,FALSE))</f>
        <v>15.35739781</v>
      </c>
      <c r="O221">
        <f ca="1">IF(AND(ISNUMBER($O$443),$B$238=1),$O$443,HLOOKUP(INDIRECT(ADDRESS(2,COLUMN())),OFFSET($R$2,0,0,ROW()-1,12),ROW()-1,FALSE))</f>
        <v>18.022905300000001</v>
      </c>
      <c r="P221">
        <f ca="1">IF(AND(ISNUMBER($P$443),$B$238=1),$P$443,HLOOKUP(INDIRECT(ADDRESS(2,COLUMN())),OFFSET($R$2,0,0,ROW()-1,12),ROW()-1,FALSE))</f>
        <v>20.03913713</v>
      </c>
      <c r="Q221">
        <f ca="1">IF(AND(ISNUMBER($Q$443),$B$238=1),$Q$443,HLOOKUP(INDIRECT(ADDRESS(2,COLUMN())),OFFSET($R$2,0,0,ROW()-1,12),ROW()-1,FALSE))</f>
        <v>21.906138670000001</v>
      </c>
      <c r="R221">
        <f>12.0514439</f>
        <v>12.051443900000001</v>
      </c>
      <c r="S221">
        <f>11.27076183</f>
        <v>11.27076183</v>
      </c>
      <c r="T221">
        <f>9.673008947</f>
        <v>9.6730089469999996</v>
      </c>
      <c r="U221">
        <f>10.63149406</f>
        <v>10.63149406</v>
      </c>
      <c r="V221">
        <f>13.18402305</f>
        <v>13.18402305</v>
      </c>
      <c r="W221">
        <f>16.19215299</f>
        <v>16.19215299</v>
      </c>
      <c r="X221">
        <f>18.03364131</f>
        <v>18.03364131</v>
      </c>
      <c r="Y221">
        <f>15.35834147</f>
        <v>15.358341469999999</v>
      </c>
      <c r="Z221">
        <f>15.35739781</f>
        <v>15.35739781</v>
      </c>
      <c r="AA221">
        <f>18.0229053</f>
        <v>18.022905300000001</v>
      </c>
      <c r="AB221">
        <f>20.03913713</f>
        <v>20.03913713</v>
      </c>
      <c r="AC221">
        <f>21.90613867</f>
        <v>21.906138670000001</v>
      </c>
    </row>
    <row r="222" spans="1:29" x14ac:dyDescent="0.25">
      <c r="A222" t="str">
        <f>"Source: Company Filings"</f>
        <v>Source: Company Filings</v>
      </c>
      <c r="B222" t="str">
        <f>""</f>
        <v/>
      </c>
      <c r="E222" t="str">
        <f>"Heading"</f>
        <v>Heading</v>
      </c>
      <c r="R222" t="str">
        <f>""</f>
        <v/>
      </c>
      <c r="S222" t="str">
        <f>""</f>
        <v/>
      </c>
      <c r="T222" t="str">
        <f>""</f>
        <v/>
      </c>
      <c r="U222" t="str">
        <f>""</f>
        <v/>
      </c>
      <c r="V222" t="str">
        <f>""</f>
        <v/>
      </c>
      <c r="W222" t="str">
        <f>""</f>
        <v/>
      </c>
      <c r="X222" t="str">
        <f>""</f>
        <v/>
      </c>
      <c r="Y222" t="str">
        <f>""</f>
        <v/>
      </c>
      <c r="Z222" t="str">
        <f>""</f>
        <v/>
      </c>
      <c r="AA222" t="str">
        <f>""</f>
        <v/>
      </c>
      <c r="AB222" t="str">
        <f>""</f>
        <v/>
      </c>
      <c r="AC222" t="str">
        <f>""</f>
        <v/>
      </c>
    </row>
    <row r="223" spans="1:29" x14ac:dyDescent="0.25">
      <c r="R223" t="str">
        <f>""</f>
        <v/>
      </c>
      <c r="S223" t="str">
        <f>""</f>
        <v/>
      </c>
      <c r="T223" t="str">
        <f>""</f>
        <v/>
      </c>
      <c r="U223" t="str">
        <f>""</f>
        <v/>
      </c>
      <c r="V223" t="str">
        <f>""</f>
        <v/>
      </c>
      <c r="W223" t="str">
        <f>""</f>
        <v/>
      </c>
      <c r="X223" t="str">
        <f>""</f>
        <v/>
      </c>
      <c r="Y223" t="str">
        <f>""</f>
        <v/>
      </c>
      <c r="Z223" t="str">
        <f>""</f>
        <v/>
      </c>
      <c r="AA223" t="str">
        <f>""</f>
        <v/>
      </c>
      <c r="AB223" t="str">
        <f>""</f>
        <v/>
      </c>
      <c r="AC223" t="str">
        <f>""</f>
        <v/>
      </c>
    </row>
    <row r="224" spans="1:29" x14ac:dyDescent="0.25">
      <c r="R224" t="str">
        <f>""</f>
        <v/>
      </c>
      <c r="S224" t="str">
        <f>""</f>
        <v/>
      </c>
      <c r="T224" t="str">
        <f>""</f>
        <v/>
      </c>
      <c r="U224" t="str">
        <f>""</f>
        <v/>
      </c>
      <c r="V224" t="str">
        <f>""</f>
        <v/>
      </c>
      <c r="W224" t="str">
        <f>""</f>
        <v/>
      </c>
      <c r="X224" t="str">
        <f>""</f>
        <v/>
      </c>
      <c r="Y224" t="str">
        <f>""</f>
        <v/>
      </c>
      <c r="Z224" t="str">
        <f>""</f>
        <v/>
      </c>
      <c r="AA224" t="str">
        <f>""</f>
        <v/>
      </c>
      <c r="AB224" t="str">
        <f>""</f>
        <v/>
      </c>
      <c r="AC224" t="str">
        <f>""</f>
        <v/>
      </c>
    </row>
    <row r="225" spans="1:29" x14ac:dyDescent="0.25">
      <c r="R225" t="str">
        <f>""</f>
        <v/>
      </c>
      <c r="S225" t="str">
        <f>""</f>
        <v/>
      </c>
      <c r="T225" t="str">
        <f>""</f>
        <v/>
      </c>
      <c r="U225" t="str">
        <f>""</f>
        <v/>
      </c>
      <c r="V225" t="str">
        <f>""</f>
        <v/>
      </c>
      <c r="W225" t="str">
        <f>""</f>
        <v/>
      </c>
      <c r="X225" t="str">
        <f>""</f>
        <v/>
      </c>
      <c r="Y225" t="str">
        <f>""</f>
        <v/>
      </c>
      <c r="Z225" t="str">
        <f>""</f>
        <v/>
      </c>
      <c r="AA225" t="str">
        <f>""</f>
        <v/>
      </c>
      <c r="AB225" t="str">
        <f>""</f>
        <v/>
      </c>
      <c r="AC225" t="str">
        <f>""</f>
        <v/>
      </c>
    </row>
    <row r="226" spans="1:29" x14ac:dyDescent="0.25">
      <c r="R226" t="str">
        <f>""</f>
        <v/>
      </c>
      <c r="S226" t="str">
        <f>""</f>
        <v/>
      </c>
      <c r="T226" t="str">
        <f>""</f>
        <v/>
      </c>
      <c r="U226" t="str">
        <f>""</f>
        <v/>
      </c>
      <c r="V226" t="str">
        <f>""</f>
        <v/>
      </c>
      <c r="W226" t="str">
        <f>""</f>
        <v/>
      </c>
      <c r="X226" t="str">
        <f>""</f>
        <v/>
      </c>
      <c r="Y226" t="str">
        <f>""</f>
        <v/>
      </c>
      <c r="Z226" t="str">
        <f>""</f>
        <v/>
      </c>
      <c r="AA226" t="str">
        <f>""</f>
        <v/>
      </c>
      <c r="AB226" t="str">
        <f>""</f>
        <v/>
      </c>
      <c r="AC226" t="str">
        <f>""</f>
        <v/>
      </c>
    </row>
    <row r="227" spans="1:29" x14ac:dyDescent="0.25">
      <c r="R227" t="str">
        <f>""</f>
        <v/>
      </c>
      <c r="S227" t="str">
        <f>""</f>
        <v/>
      </c>
      <c r="T227" t="str">
        <f>""</f>
        <v/>
      </c>
      <c r="U227" t="str">
        <f>""</f>
        <v/>
      </c>
      <c r="V227" t="str">
        <f>""</f>
        <v/>
      </c>
      <c r="W227" t="str">
        <f>""</f>
        <v/>
      </c>
      <c r="X227" t="str">
        <f>""</f>
        <v/>
      </c>
      <c r="Y227" t="str">
        <f>""</f>
        <v/>
      </c>
      <c r="Z227" t="str">
        <f>""</f>
        <v/>
      </c>
      <c r="AA227" t="str">
        <f>""</f>
        <v/>
      </c>
      <c r="AB227" t="str">
        <f>""</f>
        <v/>
      </c>
      <c r="AC227" t="str">
        <f>""</f>
        <v/>
      </c>
    </row>
    <row r="228" spans="1:29" x14ac:dyDescent="0.25">
      <c r="R228" t="str">
        <f>""</f>
        <v/>
      </c>
      <c r="S228" t="str">
        <f>""</f>
        <v/>
      </c>
      <c r="T228" t="str">
        <f>""</f>
        <v/>
      </c>
      <c r="U228" t="str">
        <f>""</f>
        <v/>
      </c>
      <c r="V228" t="str">
        <f>""</f>
        <v/>
      </c>
      <c r="W228" t="str">
        <f>""</f>
        <v/>
      </c>
      <c r="X228" t="str">
        <f>""</f>
        <v/>
      </c>
      <c r="Y228" t="str">
        <f>""</f>
        <v/>
      </c>
      <c r="Z228" t="str">
        <f>""</f>
        <v/>
      </c>
      <c r="AA228" t="str">
        <f>""</f>
        <v/>
      </c>
      <c r="AB228" t="str">
        <f>""</f>
        <v/>
      </c>
      <c r="AC228" t="str">
        <f>""</f>
        <v/>
      </c>
    </row>
    <row r="229" spans="1:29" x14ac:dyDescent="0.25">
      <c r="R229" t="str">
        <f>""</f>
        <v/>
      </c>
      <c r="S229" t="str">
        <f>""</f>
        <v/>
      </c>
      <c r="T229" t="str">
        <f>""</f>
        <v/>
      </c>
      <c r="U229" t="str">
        <f>""</f>
        <v/>
      </c>
      <c r="V229" t="str">
        <f>""</f>
        <v/>
      </c>
      <c r="W229" t="str">
        <f>""</f>
        <v/>
      </c>
      <c r="X229" t="str">
        <f>""</f>
        <v/>
      </c>
      <c r="Y229" t="str">
        <f>""</f>
        <v/>
      </c>
      <c r="Z229" t="str">
        <f>""</f>
        <v/>
      </c>
      <c r="AA229" t="str">
        <f>""</f>
        <v/>
      </c>
      <c r="AB229" t="str">
        <f>""</f>
        <v/>
      </c>
      <c r="AC229" t="str">
        <f>""</f>
        <v/>
      </c>
    </row>
    <row r="230" spans="1:29" x14ac:dyDescent="0.25">
      <c r="A230" t="str">
        <f t="shared" ref="A230:Q230" si="36">"~~~~~~~~~~"</f>
        <v>~~~~~~~~~~</v>
      </c>
      <c r="B230" t="str">
        <f t="shared" si="36"/>
        <v>~~~~~~~~~~</v>
      </c>
      <c r="C230" t="str">
        <f t="shared" si="36"/>
        <v>~~~~~~~~~~</v>
      </c>
      <c r="D230" t="str">
        <f t="shared" si="36"/>
        <v>~~~~~~~~~~</v>
      </c>
      <c r="E230" t="str">
        <f t="shared" si="36"/>
        <v>~~~~~~~~~~</v>
      </c>
      <c r="F230" t="str">
        <f t="shared" si="36"/>
        <v>~~~~~~~~~~</v>
      </c>
      <c r="G230" t="str">
        <f t="shared" si="36"/>
        <v>~~~~~~~~~~</v>
      </c>
      <c r="H230" t="str">
        <f t="shared" si="36"/>
        <v>~~~~~~~~~~</v>
      </c>
      <c r="I230" t="str">
        <f t="shared" si="36"/>
        <v>~~~~~~~~~~</v>
      </c>
      <c r="J230" t="str">
        <f t="shared" si="36"/>
        <v>~~~~~~~~~~</v>
      </c>
      <c r="K230" t="str">
        <f t="shared" si="36"/>
        <v>~~~~~~~~~~</v>
      </c>
      <c r="L230" t="str">
        <f t="shared" si="36"/>
        <v>~~~~~~~~~~</v>
      </c>
      <c r="M230" t="str">
        <f t="shared" si="36"/>
        <v>~~~~~~~~~~</v>
      </c>
      <c r="N230" t="str">
        <f t="shared" si="36"/>
        <v>~~~~~~~~~~</v>
      </c>
      <c r="O230" t="str">
        <f t="shared" si="36"/>
        <v>~~~~~~~~~~</v>
      </c>
      <c r="P230" t="str">
        <f t="shared" si="36"/>
        <v>~~~~~~~~~~</v>
      </c>
      <c r="Q230" t="str">
        <f t="shared" si="36"/>
        <v>~~~~~~~~~~</v>
      </c>
      <c r="R230" t="str">
        <f>""</f>
        <v/>
      </c>
      <c r="S230" t="str">
        <f>""</f>
        <v/>
      </c>
      <c r="T230" t="str">
        <f>""</f>
        <v/>
      </c>
      <c r="U230" t="str">
        <f>""</f>
        <v/>
      </c>
      <c r="V230" t="str">
        <f>""</f>
        <v/>
      </c>
      <c r="W230" t="str">
        <f>""</f>
        <v/>
      </c>
      <c r="X230" t="str">
        <f>""</f>
        <v/>
      </c>
      <c r="Y230" t="str">
        <f>""</f>
        <v/>
      </c>
      <c r="Z230" t="str">
        <f>""</f>
        <v/>
      </c>
      <c r="AA230" t="str">
        <f>""</f>
        <v/>
      </c>
      <c r="AB230" t="str">
        <f>""</f>
        <v/>
      </c>
      <c r="AC230" t="str">
        <f>""</f>
        <v/>
      </c>
    </row>
    <row r="231" spans="1:29" x14ac:dyDescent="0.25">
      <c r="A231" t="str">
        <f>"All rows below have been added for reference by formula rows above."</f>
        <v>All rows below have been added for reference by formula rows above.</v>
      </c>
      <c r="R231" t="str">
        <f>""</f>
        <v/>
      </c>
      <c r="S231" t="str">
        <f>""</f>
        <v/>
      </c>
      <c r="T231" t="str">
        <f>""</f>
        <v/>
      </c>
      <c r="U231" t="str">
        <f>""</f>
        <v/>
      </c>
      <c r="V231" t="str">
        <f>""</f>
        <v/>
      </c>
      <c r="W231" t="str">
        <f>""</f>
        <v/>
      </c>
      <c r="X231" t="str">
        <f>""</f>
        <v/>
      </c>
      <c r="Y231" t="str">
        <f>""</f>
        <v/>
      </c>
      <c r="Z231" t="str">
        <f>""</f>
        <v/>
      </c>
      <c r="AA231" t="str">
        <f>""</f>
        <v/>
      </c>
      <c r="AB231" t="str">
        <f>""</f>
        <v/>
      </c>
      <c r="AC231" t="str">
        <f>""</f>
        <v/>
      </c>
    </row>
    <row r="232" spans="1:29" x14ac:dyDescent="0.25">
      <c r="A232" t="e">
        <f>RTD("bloomberg.ccyreader", "", "#track", "DBG", "BIHITX", "1.0","RepeatHit")</f>
        <v>#N/A</v>
      </c>
      <c r="R232" t="str">
        <f>""</f>
        <v/>
      </c>
      <c r="S232" t="str">
        <f>""</f>
        <v/>
      </c>
      <c r="T232" t="str">
        <f>""</f>
        <v/>
      </c>
      <c r="U232" t="str">
        <f>""</f>
        <v/>
      </c>
      <c r="V232" t="str">
        <f>""</f>
        <v/>
      </c>
      <c r="W232" t="str">
        <f>""</f>
        <v/>
      </c>
      <c r="X232" t="str">
        <f>""</f>
        <v/>
      </c>
      <c r="Y232" t="str">
        <f>""</f>
        <v/>
      </c>
      <c r="Z232" t="str">
        <f>""</f>
        <v/>
      </c>
      <c r="AA232" t="str">
        <f>""</f>
        <v/>
      </c>
      <c r="AB232" t="str">
        <f>""</f>
        <v/>
      </c>
      <c r="AC232" t="str">
        <f>""</f>
        <v/>
      </c>
    </row>
    <row r="233" spans="1:29" x14ac:dyDescent="0.25">
      <c r="A233" t="str">
        <f>"Currency"</f>
        <v>Currency</v>
      </c>
      <c r="B233" t="str">
        <f>"USD"</f>
        <v>USD</v>
      </c>
      <c r="R233" t="str">
        <f>""</f>
        <v/>
      </c>
      <c r="S233" t="str">
        <f>""</f>
        <v/>
      </c>
      <c r="T233" t="str">
        <f>""</f>
        <v/>
      </c>
      <c r="U233" t="str">
        <f>""</f>
        <v/>
      </c>
      <c r="V233" t="str">
        <f>""</f>
        <v/>
      </c>
      <c r="W233" t="str">
        <f>""</f>
        <v/>
      </c>
      <c r="X233" t="str">
        <f>""</f>
        <v/>
      </c>
      <c r="Y233" t="str">
        <f>""</f>
        <v/>
      </c>
      <c r="Z233" t="str">
        <f>""</f>
        <v/>
      </c>
      <c r="AA233" t="str">
        <f>""</f>
        <v/>
      </c>
      <c r="AB233" t="str">
        <f>""</f>
        <v/>
      </c>
      <c r="AC233" t="str">
        <f>""</f>
        <v/>
      </c>
    </row>
    <row r="234" spans="1:29" x14ac:dyDescent="0.25">
      <c r="A234" t="str">
        <f>"Periodicity"</f>
        <v>Periodicity</v>
      </c>
      <c r="B234" t="str">
        <f>"CY"</f>
        <v>CY</v>
      </c>
      <c r="C234" t="str">
        <f>"AY"</f>
        <v>AY</v>
      </c>
      <c r="R234" t="str">
        <f>""</f>
        <v/>
      </c>
      <c r="S234" t="str">
        <f>""</f>
        <v/>
      </c>
      <c r="T234" t="str">
        <f>""</f>
        <v/>
      </c>
      <c r="U234" t="str">
        <f>""</f>
        <v/>
      </c>
      <c r="V234" t="str">
        <f>""</f>
        <v/>
      </c>
      <c r="W234" t="str">
        <f>""</f>
        <v/>
      </c>
      <c r="X234" t="str">
        <f>""</f>
        <v/>
      </c>
      <c r="Y234" t="str">
        <f>""</f>
        <v/>
      </c>
      <c r="Z234" t="str">
        <f>""</f>
        <v/>
      </c>
      <c r="AA234" t="str">
        <f>""</f>
        <v/>
      </c>
      <c r="AB234" t="str">
        <f>""</f>
        <v/>
      </c>
      <c r="AC234" t="str">
        <f>""</f>
        <v/>
      </c>
    </row>
    <row r="235" spans="1:29" x14ac:dyDescent="0.25">
      <c r="A235" t="str">
        <f>"Number of Periods"</f>
        <v>Number of Periods</v>
      </c>
      <c r="B235">
        <f>12</f>
        <v>12</v>
      </c>
      <c r="R235" t="str">
        <f>""</f>
        <v/>
      </c>
      <c r="S235" t="str">
        <f>""</f>
        <v/>
      </c>
      <c r="T235" t="str">
        <f>""</f>
        <v/>
      </c>
      <c r="U235" t="str">
        <f>""</f>
        <v/>
      </c>
      <c r="V235" t="str">
        <f>""</f>
        <v/>
      </c>
      <c r="W235" t="str">
        <f>""</f>
        <v/>
      </c>
      <c r="X235" t="str">
        <f>""</f>
        <v/>
      </c>
      <c r="Y235" t="str">
        <f>""</f>
        <v/>
      </c>
      <c r="Z235" t="str">
        <f>""</f>
        <v/>
      </c>
      <c r="AA235" t="str">
        <f>""</f>
        <v/>
      </c>
      <c r="AB235" t="str">
        <f>""</f>
        <v/>
      </c>
      <c r="AC235" t="str">
        <f>""</f>
        <v/>
      </c>
    </row>
    <row r="236" spans="1:29" x14ac:dyDescent="0.25">
      <c r="A236" t="str">
        <f>"Start Date"</f>
        <v>Start Date</v>
      </c>
      <c r="B236" t="str">
        <f>CONCATENATE("-",$B$235,$B$234)</f>
        <v>-12CY</v>
      </c>
      <c r="C236" t="str">
        <f>CONCATENATE("-",$B$235,$C$234)</f>
        <v>-12AY</v>
      </c>
      <c r="R236" t="str">
        <f>""</f>
        <v/>
      </c>
      <c r="S236" t="str">
        <f>""</f>
        <v/>
      </c>
      <c r="T236" t="str">
        <f>""</f>
        <v/>
      </c>
      <c r="U236" t="str">
        <f>""</f>
        <v/>
      </c>
      <c r="V236" t="str">
        <f>""</f>
        <v/>
      </c>
      <c r="W236" t="str">
        <f>""</f>
        <v/>
      </c>
      <c r="X236" t="str">
        <f>""</f>
        <v/>
      </c>
      <c r="Y236" t="str">
        <f>""</f>
        <v/>
      </c>
      <c r="Z236" t="str">
        <f>""</f>
        <v/>
      </c>
      <c r="AA236" t="str">
        <f>""</f>
        <v/>
      </c>
      <c r="AB236" t="str">
        <f>""</f>
        <v/>
      </c>
      <c r="AC236" t="str">
        <f>""</f>
        <v/>
      </c>
    </row>
    <row r="237" spans="1:29" x14ac:dyDescent="0.25">
      <c r="A237" t="str">
        <f>"End Date"</f>
        <v>End Date</v>
      </c>
      <c r="B237">
        <f ca="1">TODAY()</f>
        <v>44004</v>
      </c>
      <c r="R237" t="str">
        <f>""</f>
        <v/>
      </c>
      <c r="S237" t="str">
        <f>""</f>
        <v/>
      </c>
      <c r="T237" t="str">
        <f>""</f>
        <v/>
      </c>
      <c r="U237" t="str">
        <f>""</f>
        <v/>
      </c>
      <c r="V237" t="str">
        <f>""</f>
        <v/>
      </c>
      <c r="W237" t="str">
        <f>""</f>
        <v/>
      </c>
      <c r="X237" t="str">
        <f>""</f>
        <v/>
      </c>
      <c r="Y237" t="str">
        <f>""</f>
        <v/>
      </c>
      <c r="Z237" t="str">
        <f>""</f>
        <v/>
      </c>
      <c r="AA237" t="str">
        <f>""</f>
        <v/>
      </c>
      <c r="AB237" t="str">
        <f>""</f>
        <v/>
      </c>
      <c r="AC237" t="str">
        <f>""</f>
        <v/>
      </c>
    </row>
    <row r="238" spans="1:29" x14ac:dyDescent="0.25">
      <c r="A238" t="str">
        <f>"HeaderStatus"</f>
        <v>HeaderStatus</v>
      </c>
      <c r="B238">
        <f ca="1">$B$463*$B$471</f>
        <v>4</v>
      </c>
      <c r="R238" t="str">
        <f>""</f>
        <v/>
      </c>
      <c r="S238" t="str">
        <f>""</f>
        <v/>
      </c>
      <c r="T238" t="str">
        <f>""</f>
        <v/>
      </c>
      <c r="U238" t="str">
        <f>""</f>
        <v/>
      </c>
      <c r="V238" t="str">
        <f>""</f>
        <v/>
      </c>
      <c r="W238" t="str">
        <f>""</f>
        <v/>
      </c>
      <c r="X238" t="str">
        <f>""</f>
        <v/>
      </c>
      <c r="Y238" t="str">
        <f>""</f>
        <v/>
      </c>
      <c r="Z238" t="str">
        <f>""</f>
        <v/>
      </c>
      <c r="AA238" t="str">
        <f>""</f>
        <v/>
      </c>
      <c r="AB238" t="str">
        <f>""</f>
        <v/>
      </c>
      <c r="AC238" t="str">
        <f>""</f>
        <v/>
      </c>
    </row>
    <row r="239" spans="1:29" x14ac:dyDescent="0.25">
      <c r="R239" t="str">
        <f>""</f>
        <v/>
      </c>
      <c r="S239" t="str">
        <f>""</f>
        <v/>
      </c>
      <c r="T239" t="str">
        <f>""</f>
        <v/>
      </c>
      <c r="U239" t="str">
        <f>""</f>
        <v/>
      </c>
      <c r="V239" t="str">
        <f>""</f>
        <v/>
      </c>
      <c r="W239" t="str">
        <f>""</f>
        <v/>
      </c>
      <c r="X239" t="str">
        <f>""</f>
        <v/>
      </c>
      <c r="Y239" t="str">
        <f>""</f>
        <v/>
      </c>
      <c r="Z239" t="str">
        <f>""</f>
        <v/>
      </c>
      <c r="AA239" t="str">
        <f>""</f>
        <v/>
      </c>
      <c r="AB239" t="str">
        <f>""</f>
        <v/>
      </c>
      <c r="AC239" t="str">
        <f>""</f>
        <v/>
      </c>
    </row>
    <row r="240" spans="1:29" x14ac:dyDescent="0.25">
      <c r="A240" t="str">
        <f>$A$5</f>
        <v xml:space="preserve">    Accenture PLC</v>
      </c>
      <c r="B240" t="str">
        <f>$B$5</f>
        <v>ACN US Equity</v>
      </c>
      <c r="C240" t="str">
        <f>$C$5</f>
        <v>RR033</v>
      </c>
      <c r="D240" t="str">
        <f>$D$5</f>
        <v>SALES_GROWTH</v>
      </c>
      <c r="E240" t="str">
        <f>$E$5</f>
        <v>Dynamic</v>
      </c>
      <c r="F240" t="e">
        <f ca="1">_xll.BDH($B$5,$C$5,$B$236,$B$237,CONCATENATE("Per=",$B$234),"Dts=H","Dir=H",CONCATENATE("Points=",$B$235),"Sort=R","Days=A","Fill=B",CONCATENATE("FX=", $B$233),"cols=12;rows=1")</f>
        <v>#NAME?</v>
      </c>
      <c r="G240">
        <v>11.497400000000001</v>
      </c>
      <c r="H240">
        <v>5.6550000000000002</v>
      </c>
      <c r="I240">
        <v>5.7216000000000005</v>
      </c>
      <c r="J240">
        <v>3.262</v>
      </c>
      <c r="K240">
        <v>4.8705999999999996</v>
      </c>
      <c r="L240">
        <v>2.0695999999999999</v>
      </c>
      <c r="M240">
        <v>8.8658999999999999</v>
      </c>
      <c r="N240">
        <v>18.441199999999998</v>
      </c>
      <c r="O240">
        <v>-0.33179999999999998</v>
      </c>
      <c r="P240">
        <v>-8.4651999999999994</v>
      </c>
      <c r="Q240">
        <v>17.998100000000001</v>
      </c>
      <c r="R240" t="str">
        <f>""</f>
        <v/>
      </c>
      <c r="S240" t="str">
        <f>""</f>
        <v/>
      </c>
      <c r="T240" t="str">
        <f>""</f>
        <v/>
      </c>
      <c r="U240" t="str">
        <f>""</f>
        <v/>
      </c>
      <c r="V240" t="str">
        <f>""</f>
        <v/>
      </c>
      <c r="W240" t="str">
        <f>""</f>
        <v/>
      </c>
      <c r="X240" t="str">
        <f>""</f>
        <v/>
      </c>
      <c r="Y240" t="str">
        <f>""</f>
        <v/>
      </c>
      <c r="Z240" t="str">
        <f>""</f>
        <v/>
      </c>
      <c r="AA240" t="str">
        <f>""</f>
        <v/>
      </c>
      <c r="AB240" t="str">
        <f>""</f>
        <v/>
      </c>
      <c r="AC240" t="str">
        <f>""</f>
        <v/>
      </c>
    </row>
    <row r="241" spans="1:29" x14ac:dyDescent="0.25">
      <c r="A241" t="str">
        <f>$A$6</f>
        <v xml:space="preserve">    Amdocs Ltd</v>
      </c>
      <c r="B241" t="str">
        <f>$B$6</f>
        <v>DOX US Equity</v>
      </c>
      <c r="C241" t="str">
        <f>$C$6</f>
        <v>RR033</v>
      </c>
      <c r="D241" t="str">
        <f>$D$6</f>
        <v>SALES_GROWTH</v>
      </c>
      <c r="E241" t="str">
        <f>$E$6</f>
        <v>Dynamic</v>
      </c>
      <c r="F241" t="e">
        <f ca="1">_xll.BDH($B$6,$C$6,$B$236,$B$237,CONCATENATE("Per=",$B$234),"Dts=H","Dir=H",CONCATENATE("Points=",$B$235),"Sort=R","Days=A","Fill=B",CONCATENATE("FX=", $B$233),"cols=12;rows=1")</f>
        <v>#NAME?</v>
      </c>
      <c r="G241">
        <v>2.7845</v>
      </c>
      <c r="H241">
        <v>4.0053000000000001</v>
      </c>
      <c r="I241">
        <v>2.0499999999999998</v>
      </c>
      <c r="J241">
        <v>2.2421000000000002</v>
      </c>
      <c r="K241">
        <v>6.5090000000000003</v>
      </c>
      <c r="L241">
        <v>3.0476000000000001</v>
      </c>
      <c r="M241">
        <v>2.1768999999999998</v>
      </c>
      <c r="N241">
        <v>6.4843000000000002</v>
      </c>
      <c r="O241">
        <v>4.2484000000000002</v>
      </c>
      <c r="P241">
        <v>-9.4711999999999996</v>
      </c>
      <c r="Q241">
        <v>11.4916</v>
      </c>
      <c r="R241" t="str">
        <f>""</f>
        <v/>
      </c>
      <c r="S241" t="str">
        <f>""</f>
        <v/>
      </c>
      <c r="T241" t="str">
        <f>""</f>
        <v/>
      </c>
      <c r="U241" t="str">
        <f>""</f>
        <v/>
      </c>
      <c r="V241" t="str">
        <f>""</f>
        <v/>
      </c>
      <c r="W241" t="str">
        <f>""</f>
        <v/>
      </c>
      <c r="X241" t="str">
        <f>""</f>
        <v/>
      </c>
      <c r="Y241" t="str">
        <f>""</f>
        <v/>
      </c>
      <c r="Z241" t="str">
        <f>""</f>
        <v/>
      </c>
      <c r="AA241" t="str">
        <f>""</f>
        <v/>
      </c>
      <c r="AB241" t="str">
        <f>""</f>
        <v/>
      </c>
      <c r="AC241" t="str">
        <f>""</f>
        <v/>
      </c>
    </row>
    <row r="242" spans="1:29" x14ac:dyDescent="0.25">
      <c r="A242" t="str">
        <f>$A$7</f>
        <v xml:space="preserve">    Atos SE</v>
      </c>
      <c r="B242" t="str">
        <f>$B$7</f>
        <v>ATO FP Equity</v>
      </c>
      <c r="C242" t="str">
        <f>$C$7</f>
        <v>RR033</v>
      </c>
      <c r="D242" t="str">
        <f>$D$7</f>
        <v>SALES_GROWTH</v>
      </c>
      <c r="E242" t="str">
        <f>$E$7</f>
        <v>Dynamic</v>
      </c>
      <c r="F242" t="e">
        <f ca="1">_xll.BDH($B$7,$C$7,$B$236,$B$237,CONCATENATE("Per=",$B$234),"Dts=H","Dir=H",CONCATENATE("Points=",$B$235),"Sort=R","Days=A","Fill=B",CONCATENATE("FX=", $B$233),"cols=12;rows=1")</f>
        <v>#NAME?</v>
      </c>
      <c r="G242">
        <v>-11.2371</v>
      </c>
      <c r="H242">
        <v>-1.1674</v>
      </c>
      <c r="I242">
        <v>13.590400000000001</v>
      </c>
      <c r="J242">
        <v>18.0562</v>
      </c>
      <c r="K242">
        <v>5.0681000000000003</v>
      </c>
      <c r="L242">
        <v>-2.5972</v>
      </c>
      <c r="M242">
        <v>29.8246</v>
      </c>
      <c r="N242">
        <v>35.691000000000003</v>
      </c>
      <c r="O242">
        <v>-2.0752999999999999</v>
      </c>
      <c r="P242">
        <v>-8.8290000000000006</v>
      </c>
      <c r="Q242">
        <v>-3.9603999999999999</v>
      </c>
      <c r="R242" t="str">
        <f>""</f>
        <v/>
      </c>
      <c r="S242" t="str">
        <f>""</f>
        <v/>
      </c>
      <c r="T242" t="str">
        <f>""</f>
        <v/>
      </c>
      <c r="U242" t="str">
        <f>""</f>
        <v/>
      </c>
      <c r="V242" t="str">
        <f>""</f>
        <v/>
      </c>
      <c r="W242" t="str">
        <f>""</f>
        <v/>
      </c>
      <c r="X242" t="str">
        <f>""</f>
        <v/>
      </c>
      <c r="Y242" t="str">
        <f>""</f>
        <v/>
      </c>
      <c r="Z242" t="str">
        <f>""</f>
        <v/>
      </c>
      <c r="AA242" t="str">
        <f>""</f>
        <v/>
      </c>
      <c r="AB242" t="str">
        <f>""</f>
        <v/>
      </c>
      <c r="AC242" t="str">
        <f>""</f>
        <v/>
      </c>
    </row>
    <row r="243" spans="1:29" x14ac:dyDescent="0.25">
      <c r="A243" t="str">
        <f>$A$8</f>
        <v xml:space="preserve">    Capgemini SE</v>
      </c>
      <c r="B243" t="str">
        <f>$B$8</f>
        <v>CAP FP Equity</v>
      </c>
      <c r="C243" t="str">
        <f>$C$8</f>
        <v>RR033</v>
      </c>
      <c r="D243" t="str">
        <f>$D$8</f>
        <v>SALES_GROWTH</v>
      </c>
      <c r="E243" t="str">
        <f>$E$8</f>
        <v>Dynamic</v>
      </c>
      <c r="F243" t="e">
        <f ca="1">_xll.BDH($B$8,$C$8,$B$236,$B$237,CONCATENATE("Per=",$B$234),"Dts=H","Dir=H",CONCATENATE("Points=",$B$235),"Sort=R","Days=A","Fill=B",CONCATENATE("FX=", $B$233),"cols=12;rows=1")</f>
        <v>#NAME?</v>
      </c>
      <c r="G243">
        <v>5.3653000000000004</v>
      </c>
      <c r="H243">
        <v>-0.11169999999999999</v>
      </c>
      <c r="I243">
        <v>5.2370999999999999</v>
      </c>
      <c r="J243">
        <v>12.6927</v>
      </c>
      <c r="K243">
        <v>4.7661999999999995</v>
      </c>
      <c r="L243">
        <v>-1.6758</v>
      </c>
      <c r="M243">
        <v>5.8908000000000005</v>
      </c>
      <c r="N243">
        <v>11.452199999999999</v>
      </c>
      <c r="O243">
        <v>3.8944000000000001</v>
      </c>
      <c r="P243">
        <v>-3.8921000000000001</v>
      </c>
      <c r="Q243">
        <v>8.0399999999999999E-2</v>
      </c>
      <c r="R243" t="str">
        <f>""</f>
        <v/>
      </c>
      <c r="S243" t="str">
        <f>""</f>
        <v/>
      </c>
      <c r="T243" t="str">
        <f>""</f>
        <v/>
      </c>
      <c r="U243" t="str">
        <f>""</f>
        <v/>
      </c>
      <c r="V243" t="str">
        <f>""</f>
        <v/>
      </c>
      <c r="W243" t="str">
        <f>""</f>
        <v/>
      </c>
      <c r="X243" t="str">
        <f>""</f>
        <v/>
      </c>
      <c r="Y243" t="str">
        <f>""</f>
        <v/>
      </c>
      <c r="Z243" t="str">
        <f>""</f>
        <v/>
      </c>
      <c r="AA243" t="str">
        <f>""</f>
        <v/>
      </c>
      <c r="AB243" t="str">
        <f>""</f>
        <v/>
      </c>
      <c r="AC243" t="str">
        <f>""</f>
        <v/>
      </c>
    </row>
    <row r="244" spans="1:29" x14ac:dyDescent="0.25">
      <c r="A244" t="str">
        <f>$A$9</f>
        <v xml:space="preserve">    CGI Inc</v>
      </c>
      <c r="B244" t="str">
        <f>$B$9</f>
        <v>GIB US Equity</v>
      </c>
      <c r="C244" t="str">
        <f>$C$9</f>
        <v>RR033</v>
      </c>
      <c r="D244" t="str">
        <f>$D$9</f>
        <v>SALES_GROWTH</v>
      </c>
      <c r="E244" t="str">
        <f>$E$9</f>
        <v>Dynamic</v>
      </c>
      <c r="F244" t="e">
        <f ca="1">_xll.BDH($B$9,$C$9,$B$236,$B$237,CONCATENATE("Per=",$B$234),"Dts=H","Dir=H",CONCATENATE("Points=",$B$235),"Sort=R","Days=A","Fill=B",CONCATENATE("FX=", $B$233),"cols=12;rows=1")</f>
        <v>#NAME?</v>
      </c>
      <c r="G244">
        <v>6.1018999999999997</v>
      </c>
      <c r="H244">
        <v>1.5145</v>
      </c>
      <c r="I244">
        <v>3.8510999999999997</v>
      </c>
      <c r="J244">
        <v>-2.0247999999999999</v>
      </c>
      <c r="K244">
        <v>4.1158999999999999</v>
      </c>
      <c r="L244">
        <v>111.309</v>
      </c>
      <c r="M244">
        <v>12.985799999999999</v>
      </c>
      <c r="N244">
        <v>13.1782</v>
      </c>
      <c r="O244">
        <v>-2.4323999999999999</v>
      </c>
      <c r="P244">
        <v>3.2191999999999998</v>
      </c>
      <c r="Q244">
        <v>1.9790999999999999</v>
      </c>
      <c r="R244" t="str">
        <f>""</f>
        <v/>
      </c>
      <c r="S244" t="str">
        <f>""</f>
        <v/>
      </c>
      <c r="T244" t="str">
        <f>""</f>
        <v/>
      </c>
      <c r="U244" t="str">
        <f>""</f>
        <v/>
      </c>
      <c r="V244" t="str">
        <f>""</f>
        <v/>
      </c>
      <c r="W244" t="str">
        <f>""</f>
        <v/>
      </c>
      <c r="X244" t="str">
        <f>""</f>
        <v/>
      </c>
      <c r="Y244" t="str">
        <f>""</f>
        <v/>
      </c>
      <c r="Z244" t="str">
        <f>""</f>
        <v/>
      </c>
      <c r="AA244" t="str">
        <f>""</f>
        <v/>
      </c>
      <c r="AB244" t="str">
        <f>""</f>
        <v/>
      </c>
      <c r="AC244" t="str">
        <f>""</f>
        <v/>
      </c>
    </row>
    <row r="245" spans="1:29" x14ac:dyDescent="0.25">
      <c r="A245" t="str">
        <f>$A$10</f>
        <v xml:space="preserve">    Cognizant Technology Solutions Corp</v>
      </c>
      <c r="B245" t="str">
        <f>$B$10</f>
        <v>CTSH US Equity</v>
      </c>
      <c r="C245" t="str">
        <f>$C$10</f>
        <v>RR033</v>
      </c>
      <c r="D245" t="str">
        <f>$D$10</f>
        <v>SALES_GROWTH</v>
      </c>
      <c r="E245" t="str">
        <f>$E$10</f>
        <v>Dynamic</v>
      </c>
      <c r="F245" t="e">
        <f ca="1">_xll.BDH($B$10,$C$10,$B$236,$B$237,CONCATENATE("Per=",$B$234),"Dts=H","Dir=H",CONCATENATE("Points=",$B$235),"Sort=R","Days=A","Fill=B",CONCATENATE("FX=", $B$233),"cols=12;rows=1")</f>
        <v>#NAME?</v>
      </c>
      <c r="G245">
        <v>8.8790999999999993</v>
      </c>
      <c r="H245">
        <v>9.8094000000000001</v>
      </c>
      <c r="I245">
        <v>8.6259999999999994</v>
      </c>
      <c r="J245">
        <v>20.9818</v>
      </c>
      <c r="K245">
        <v>16.052</v>
      </c>
      <c r="L245">
        <v>20.3733</v>
      </c>
      <c r="M245">
        <v>20.017700000000001</v>
      </c>
      <c r="N245">
        <v>33.289099999999998</v>
      </c>
      <c r="O245">
        <v>40.069000000000003</v>
      </c>
      <c r="P245">
        <v>16.417200000000001</v>
      </c>
      <c r="Q245">
        <v>31.875599999999999</v>
      </c>
      <c r="R245" t="str">
        <f>""</f>
        <v/>
      </c>
      <c r="S245" t="str">
        <f>""</f>
        <v/>
      </c>
      <c r="T245" t="str">
        <f>""</f>
        <v/>
      </c>
      <c r="U245" t="str">
        <f>""</f>
        <v/>
      </c>
      <c r="V245" t="str">
        <f>""</f>
        <v/>
      </c>
      <c r="W245" t="str">
        <f>""</f>
        <v/>
      </c>
      <c r="X245" t="str">
        <f>""</f>
        <v/>
      </c>
      <c r="Y245" t="str">
        <f>""</f>
        <v/>
      </c>
      <c r="Z245" t="str">
        <f>""</f>
        <v/>
      </c>
      <c r="AA245" t="str">
        <f>""</f>
        <v/>
      </c>
      <c r="AB245" t="str">
        <f>""</f>
        <v/>
      </c>
      <c r="AC245" t="str">
        <f>""</f>
        <v/>
      </c>
    </row>
    <row r="246" spans="1:29" x14ac:dyDescent="0.25">
      <c r="A246" t="str">
        <f>$A$11</f>
        <v xml:space="preserve">    Conduent Inc</v>
      </c>
      <c r="B246" t="str">
        <f>$B$11</f>
        <v>CNDT US Equity</v>
      </c>
      <c r="C246" t="str">
        <f>$C$11</f>
        <v>RR033</v>
      </c>
      <c r="D246" t="str">
        <f>$D$11</f>
        <v>SALES_GROWTH</v>
      </c>
      <c r="E246" t="str">
        <f>$E$11</f>
        <v>Dynamic</v>
      </c>
      <c r="F246" t="e">
        <f ca="1">_xll.BDH($B$11,$C$11,$B$236,$B$237,CONCATENATE("Per=",$B$234),"Dts=H","Dir=H",CONCATENATE("Points=",$B$235),"Sort=R","Days=A","Fill=B",CONCATENATE("FX=", $B$233),"cols=12;rows=1")</f>
        <v>#NAME?</v>
      </c>
      <c r="G246">
        <v>-10.445</v>
      </c>
      <c r="H246">
        <v>-6.0236999999999998</v>
      </c>
      <c r="I246">
        <v>-3.8127</v>
      </c>
      <c r="J246">
        <v>-3.9781</v>
      </c>
      <c r="K246">
        <v>0.85770000000000002</v>
      </c>
      <c r="L246">
        <v>8.7300000000000003E-2</v>
      </c>
      <c r="M246">
        <v>9.5472999999999999</v>
      </c>
      <c r="R246" t="str">
        <f>""</f>
        <v/>
      </c>
      <c r="S246" t="str">
        <f>""</f>
        <v/>
      </c>
      <c r="T246" t="str">
        <f>""</f>
        <v/>
      </c>
      <c r="U246" t="str">
        <f>""</f>
        <v/>
      </c>
      <c r="V246" t="str">
        <f>""</f>
        <v/>
      </c>
      <c r="W246" t="str">
        <f>""</f>
        <v/>
      </c>
      <c r="X246" t="str">
        <f>""</f>
        <v/>
      </c>
      <c r="Y246" t="str">
        <f>""</f>
        <v/>
      </c>
      <c r="Z246" t="str">
        <f>""</f>
        <v/>
      </c>
      <c r="AA246" t="str">
        <f>""</f>
        <v/>
      </c>
      <c r="AB246" t="str">
        <f>""</f>
        <v/>
      </c>
      <c r="AC246" t="str">
        <f>""</f>
        <v/>
      </c>
    </row>
    <row r="247" spans="1:29" x14ac:dyDescent="0.25">
      <c r="A247" t="str">
        <f>$A$12</f>
        <v xml:space="preserve">    DXC Technology Co</v>
      </c>
      <c r="B247" t="str">
        <f>$B$12</f>
        <v>DXC US Equity</v>
      </c>
      <c r="C247" t="str">
        <f>$C$12</f>
        <v>RR033</v>
      </c>
      <c r="D247" t="str">
        <f>$D$12</f>
        <v>SALES_GROWTH</v>
      </c>
      <c r="E247" t="str">
        <f>$E$12</f>
        <v>Dynamic</v>
      </c>
      <c r="F247" t="e">
        <f ca="1">_xll.BDH($B$12,$C$12,$B$236,$B$237,CONCATENATE("Per=",$B$234),"Dts=H","Dir=H",CONCATENATE("Points=",$B$235),"Sort=R","Days=A","Fill=B",CONCATENATE("FX=", $B$233),"cols=12;rows=1")</f>
        <v>#NAME?</v>
      </c>
      <c r="G247">
        <v>-4.5092999999999996</v>
      </c>
      <c r="H247">
        <v>-14.4168</v>
      </c>
      <c r="R247" t="str">
        <f>""</f>
        <v/>
      </c>
      <c r="S247" t="str">
        <f>""</f>
        <v/>
      </c>
      <c r="T247" t="str">
        <f>""</f>
        <v/>
      </c>
      <c r="U247" t="str">
        <f>""</f>
        <v/>
      </c>
      <c r="V247" t="str">
        <f>""</f>
        <v/>
      </c>
      <c r="W247" t="str">
        <f>""</f>
        <v/>
      </c>
      <c r="X247" t="str">
        <f>""</f>
        <v/>
      </c>
      <c r="Y247" t="str">
        <f>""</f>
        <v/>
      </c>
      <c r="Z247" t="str">
        <f>""</f>
        <v/>
      </c>
      <c r="AA247" t="str">
        <f>""</f>
        <v/>
      </c>
      <c r="AB247" t="str">
        <f>""</f>
        <v/>
      </c>
      <c r="AC247" t="str">
        <f>""</f>
        <v/>
      </c>
    </row>
    <row r="248" spans="1:29" x14ac:dyDescent="0.25">
      <c r="A248" t="str">
        <f>$A$13</f>
        <v xml:space="preserve">    EPAM Systems Inc</v>
      </c>
      <c r="B248" t="str">
        <f>$B$13</f>
        <v>EPAM US Equity</v>
      </c>
      <c r="C248" t="str">
        <f>$C$13</f>
        <v>RR033</v>
      </c>
      <c r="D248" t="str">
        <f>$D$13</f>
        <v>SALES_GROWTH</v>
      </c>
      <c r="E248" t="str">
        <f>$E$13</f>
        <v>Dynamic</v>
      </c>
      <c r="F248" t="e">
        <f ca="1">_xll.BDH($B$13,$C$13,$B$236,$B$237,CONCATENATE("Per=",$B$234),"Dts=H","Dir=H",CONCATENATE("Points=",$B$235),"Sort=R","Days=A","Fill=B",CONCATENATE("FX=", $B$233),"cols=12;rows=1")</f>
        <v>#NAME?</v>
      </c>
      <c r="G248">
        <v>27.0581</v>
      </c>
      <c r="H248">
        <v>25.0244</v>
      </c>
      <c r="I248">
        <v>26.911300000000001</v>
      </c>
      <c r="J248">
        <v>25.218399999999999</v>
      </c>
      <c r="K248">
        <v>31.508700000000001</v>
      </c>
      <c r="L248">
        <v>27.9664</v>
      </c>
      <c r="M248">
        <v>29.674900000000001</v>
      </c>
      <c r="N248">
        <v>50.8078</v>
      </c>
      <c r="O248">
        <v>47.942799999999998</v>
      </c>
      <c r="P248">
        <v>-6.6568000000000005</v>
      </c>
      <c r="Q248">
        <v>40.849699999999999</v>
      </c>
      <c r="R248" t="str">
        <f>""</f>
        <v/>
      </c>
      <c r="S248" t="str">
        <f>""</f>
        <v/>
      </c>
      <c r="T248" t="str">
        <f>""</f>
        <v/>
      </c>
      <c r="U248" t="str">
        <f>""</f>
        <v/>
      </c>
      <c r="V248" t="str">
        <f>""</f>
        <v/>
      </c>
      <c r="W248" t="str">
        <f>""</f>
        <v/>
      </c>
      <c r="X248" t="str">
        <f>""</f>
        <v/>
      </c>
      <c r="Y248" t="str">
        <f>""</f>
        <v/>
      </c>
      <c r="Z248" t="str">
        <f>""</f>
        <v/>
      </c>
      <c r="AA248" t="str">
        <f>""</f>
        <v/>
      </c>
      <c r="AB248" t="str">
        <f>""</f>
        <v/>
      </c>
      <c r="AC248" t="str">
        <f>""</f>
        <v/>
      </c>
    </row>
    <row r="249" spans="1:29" x14ac:dyDescent="0.25">
      <c r="A249" t="str">
        <f>$A$14</f>
        <v xml:space="preserve">    Genpact Ltd</v>
      </c>
      <c r="B249" t="str">
        <f>$B$14</f>
        <v>G US Equity</v>
      </c>
      <c r="C249" t="str">
        <f>$C$14</f>
        <v>RR033</v>
      </c>
      <c r="D249" t="str">
        <f>$D$14</f>
        <v>SALES_GROWTH</v>
      </c>
      <c r="E249" t="str">
        <f>$E$14</f>
        <v>Dynamic</v>
      </c>
      <c r="F249" t="e">
        <f ca="1">_xll.BDH($B$14,$C$14,$B$236,$B$237,CONCATENATE("Per=",$B$234),"Dts=H","Dir=H",CONCATENATE("Points=",$B$235),"Sort=R","Days=A","Fill=B",CONCATENATE("FX=", $B$233),"cols=12;rows=1")</f>
        <v>#NAME?</v>
      </c>
      <c r="G249">
        <v>9.6408000000000005</v>
      </c>
      <c r="H249">
        <v>6.4640000000000004</v>
      </c>
      <c r="I249">
        <v>4.4579000000000004</v>
      </c>
      <c r="J249">
        <v>7.9671000000000003</v>
      </c>
      <c r="K249">
        <v>6.9155999999999995</v>
      </c>
      <c r="L249">
        <v>12.094099999999999</v>
      </c>
      <c r="M249">
        <v>18.840800000000002</v>
      </c>
      <c r="N249">
        <v>27.1234</v>
      </c>
      <c r="O249">
        <v>12.4003</v>
      </c>
      <c r="P249">
        <v>7.6115000000000004</v>
      </c>
      <c r="Q249">
        <v>26.4436</v>
      </c>
      <c r="R249" t="str">
        <f>""</f>
        <v/>
      </c>
      <c r="S249" t="str">
        <f>""</f>
        <v/>
      </c>
      <c r="T249" t="str">
        <f>""</f>
        <v/>
      </c>
      <c r="U249" t="str">
        <f>""</f>
        <v/>
      </c>
      <c r="V249" t="str">
        <f>""</f>
        <v/>
      </c>
      <c r="W249" t="str">
        <f>""</f>
        <v/>
      </c>
      <c r="X249" t="str">
        <f>""</f>
        <v/>
      </c>
      <c r="Y249" t="str">
        <f>""</f>
        <v/>
      </c>
      <c r="Z249" t="str">
        <f>""</f>
        <v/>
      </c>
      <c r="AA249" t="str">
        <f>""</f>
        <v/>
      </c>
      <c r="AB249" t="str">
        <f>""</f>
        <v/>
      </c>
      <c r="AC249" t="str">
        <f>""</f>
        <v/>
      </c>
    </row>
    <row r="250" spans="1:29" x14ac:dyDescent="0.25">
      <c r="A250" t="str">
        <f>$A$15</f>
        <v xml:space="preserve">    HCL Technologies Ltd</v>
      </c>
      <c r="B250" t="str">
        <f>$B$15</f>
        <v>HCLT IN Equity</v>
      </c>
      <c r="C250" t="str">
        <f>$C$15</f>
        <v>RR033</v>
      </c>
      <c r="D250" t="str">
        <f>$D$15</f>
        <v>SALES_GROWTH</v>
      </c>
      <c r="E250" t="str">
        <f>$E$15</f>
        <v>Dynamic</v>
      </c>
      <c r="F250" t="e">
        <f ca="1">_xll.BDH($B$15,$C$15,$B$236,$B$237,CONCATENATE("Per=",$B$234),"Dts=H","Dir=H",CONCATENATE("Points=",$B$235),"Sort=R","Days=A","Fill=B",CONCATENATE("FX=", $B$233),"cols=12;rows=1")</f>
        <v>#NAME?</v>
      </c>
      <c r="G250">
        <v>10.054</v>
      </c>
      <c r="H250">
        <v>6.3098999999999998</v>
      </c>
      <c r="I250">
        <v>16.585599999999999</v>
      </c>
      <c r="L250">
        <v>14.8611</v>
      </c>
      <c r="M250">
        <v>22.805499999999999</v>
      </c>
      <c r="N250">
        <v>32.421999999999997</v>
      </c>
      <c r="O250">
        <v>29.614799999999999</v>
      </c>
      <c r="P250">
        <v>18.641200000000001</v>
      </c>
      <c r="Q250">
        <v>35.259900000000002</v>
      </c>
      <c r="R250" t="str">
        <f>""</f>
        <v/>
      </c>
      <c r="S250" t="str">
        <f>""</f>
        <v/>
      </c>
      <c r="T250" t="str">
        <f>""</f>
        <v/>
      </c>
      <c r="U250" t="str">
        <f>""</f>
        <v/>
      </c>
      <c r="V250" t="str">
        <f>""</f>
        <v/>
      </c>
      <c r="W250" t="str">
        <f>""</f>
        <v/>
      </c>
      <c r="X250" t="str">
        <f>""</f>
        <v/>
      </c>
      <c r="Y250" t="str">
        <f>""</f>
        <v/>
      </c>
      <c r="Z250" t="str">
        <f>""</f>
        <v/>
      </c>
      <c r="AA250" t="str">
        <f>""</f>
        <v/>
      </c>
      <c r="AB250" t="str">
        <f>""</f>
        <v/>
      </c>
      <c r="AC250" t="str">
        <f>""</f>
        <v/>
      </c>
    </row>
    <row r="251" spans="1:29" x14ac:dyDescent="0.25">
      <c r="A251" t="str">
        <f>$A$16</f>
        <v xml:space="preserve">    Indra Sistemas SA</v>
      </c>
      <c r="B251" t="str">
        <f>$B$16</f>
        <v>IDR SM Equity</v>
      </c>
      <c r="C251" t="str">
        <f>$C$16</f>
        <v>RR033</v>
      </c>
      <c r="D251" t="str">
        <f>$D$16</f>
        <v>SALES_GROWTH</v>
      </c>
      <c r="E251" t="str">
        <f>$E$16</f>
        <v>Dynamic</v>
      </c>
      <c r="F251" t="e">
        <f ca="1">_xll.BDH($B$16,$C$16,$B$236,$B$237,CONCATENATE("Per=",$B$234),"Dts=H","Dir=H",CONCATENATE("Points=",$B$235),"Sort=R","Days=A","Fill=B",CONCATENATE("FX=", $B$233),"cols=12;rows=1")</f>
        <v>#NAME?</v>
      </c>
      <c r="G251">
        <v>3.0779000000000001</v>
      </c>
      <c r="H251">
        <v>11.137600000000001</v>
      </c>
      <c r="I251">
        <v>-4.9500999999999999</v>
      </c>
      <c r="J251">
        <v>-2.9777</v>
      </c>
      <c r="K251">
        <v>0.81710000000000005</v>
      </c>
      <c r="L251">
        <v>-0.91490000000000005</v>
      </c>
      <c r="M251">
        <v>9.3912999999999993</v>
      </c>
      <c r="N251">
        <v>5.1407999999999996</v>
      </c>
      <c r="O251">
        <v>1.7425999999999999</v>
      </c>
      <c r="P251">
        <v>5.6178999999999997</v>
      </c>
      <c r="Q251">
        <v>9.7781000000000002</v>
      </c>
      <c r="R251" t="str">
        <f>""</f>
        <v/>
      </c>
      <c r="S251" t="str">
        <f>""</f>
        <v/>
      </c>
      <c r="T251" t="str">
        <f>""</f>
        <v/>
      </c>
      <c r="U251" t="str">
        <f>""</f>
        <v/>
      </c>
      <c r="V251" t="str">
        <f>""</f>
        <v/>
      </c>
      <c r="W251" t="str">
        <f>""</f>
        <v/>
      </c>
      <c r="X251" t="str">
        <f>""</f>
        <v/>
      </c>
      <c r="Y251" t="str">
        <f>""</f>
        <v/>
      </c>
      <c r="Z251" t="str">
        <f>""</f>
        <v/>
      </c>
      <c r="AA251" t="str">
        <f>""</f>
        <v/>
      </c>
      <c r="AB251" t="str">
        <f>""</f>
        <v/>
      </c>
      <c r="AC251" t="str">
        <f>""</f>
        <v/>
      </c>
    </row>
    <row r="252" spans="1:29" x14ac:dyDescent="0.25">
      <c r="A252" t="str">
        <f>$A$17</f>
        <v xml:space="preserve">    Infosys Ltd</v>
      </c>
      <c r="B252" t="str">
        <f>$B$17</f>
        <v>INFY US Equity</v>
      </c>
      <c r="C252" t="str">
        <f>$C$17</f>
        <v>RR033</v>
      </c>
      <c r="D252" t="str">
        <f>$D$17</f>
        <v>SALES_GROWTH</v>
      </c>
      <c r="E252" t="str">
        <f>$E$17</f>
        <v>Dynamic</v>
      </c>
      <c r="F252" t="e">
        <f ca="1">_xll.BDH($B$17,$C$17,$B$236,$B$237,CONCATENATE("Per=",$B$234),"Dts=H","Dir=H",CONCATENATE("Points=",$B$235),"Sort=R","Days=A","Fill=B",CONCATENATE("FX=", $B$233),"cols=12;rows=1")</f>
        <v>#NAME?</v>
      </c>
      <c r="G252">
        <v>17.232900000000001</v>
      </c>
      <c r="H252">
        <v>2.9759000000000002</v>
      </c>
      <c r="I252">
        <v>9.6778999999999993</v>
      </c>
      <c r="J252">
        <v>17.1083</v>
      </c>
      <c r="K252">
        <v>6.3551000000000002</v>
      </c>
      <c r="L252">
        <v>24.2392</v>
      </c>
      <c r="M252">
        <v>19.618200000000002</v>
      </c>
      <c r="N252">
        <v>22.6646</v>
      </c>
      <c r="O252">
        <v>20.925999999999998</v>
      </c>
      <c r="P252">
        <v>4.8357000000000001</v>
      </c>
      <c r="Q252">
        <v>29.9605</v>
      </c>
      <c r="R252" t="str">
        <f>""</f>
        <v/>
      </c>
      <c r="S252" t="str">
        <f>""</f>
        <v/>
      </c>
      <c r="T252" t="str">
        <f>""</f>
        <v/>
      </c>
      <c r="U252" t="str">
        <f>""</f>
        <v/>
      </c>
      <c r="V252" t="str">
        <f>""</f>
        <v/>
      </c>
      <c r="W252" t="str">
        <f>""</f>
        <v/>
      </c>
      <c r="X252" t="str">
        <f>""</f>
        <v/>
      </c>
      <c r="Y252" t="str">
        <f>""</f>
        <v/>
      </c>
      <c r="Z252" t="str">
        <f>""</f>
        <v/>
      </c>
      <c r="AA252" t="str">
        <f>""</f>
        <v/>
      </c>
      <c r="AB252" t="str">
        <f>""</f>
        <v/>
      </c>
      <c r="AC252" t="str">
        <f>""</f>
        <v/>
      </c>
    </row>
    <row r="253" spans="1:29" x14ac:dyDescent="0.25">
      <c r="A253" t="str">
        <f>$A$18</f>
        <v xml:space="preserve">    International Business Machines Corp</v>
      </c>
      <c r="B253" t="str">
        <f>$B$18</f>
        <v>IBM US Equity</v>
      </c>
      <c r="C253" t="str">
        <f>$C$18</f>
        <v>RR033</v>
      </c>
      <c r="D253" t="str">
        <f>$D$18</f>
        <v>SALES_GROWTH</v>
      </c>
      <c r="E253" t="str">
        <f>$E$18</f>
        <v>Dynamic</v>
      </c>
      <c r="F253" t="e">
        <f ca="1">_xll.BDH($B$18,$C$18,$B$236,$B$237,CONCATENATE("Per=",$B$234),"Dts=H","Dir=H",CONCATENATE("Points=",$B$235),"Sort=R","Days=A","Fill=B",CONCATENATE("FX=", $B$233),"cols=12;rows=1")</f>
        <v>#NAME?</v>
      </c>
      <c r="G253">
        <v>0.57110000000000005</v>
      </c>
      <c r="H253">
        <v>-0.97599999999999998</v>
      </c>
      <c r="I253">
        <v>-2.2290000000000001</v>
      </c>
      <c r="J253">
        <v>-11.910399999999999</v>
      </c>
      <c r="K253">
        <v>-5.6665000000000001</v>
      </c>
      <c r="L253">
        <v>-4.3811</v>
      </c>
      <c r="M253">
        <v>-3.7805</v>
      </c>
      <c r="N253">
        <v>7.0552000000000001</v>
      </c>
      <c r="O253">
        <v>4.2942</v>
      </c>
      <c r="P253">
        <v>-7.5963000000000003</v>
      </c>
      <c r="Q253">
        <v>4.9035000000000002</v>
      </c>
      <c r="R253" t="str">
        <f>""</f>
        <v/>
      </c>
      <c r="S253" t="str">
        <f>""</f>
        <v/>
      </c>
      <c r="T253" t="str">
        <f>""</f>
        <v/>
      </c>
      <c r="U253" t="str">
        <f>""</f>
        <v/>
      </c>
      <c r="V253" t="str">
        <f>""</f>
        <v/>
      </c>
      <c r="W253" t="str">
        <f>""</f>
        <v/>
      </c>
      <c r="X253" t="str">
        <f>""</f>
        <v/>
      </c>
      <c r="Y253" t="str">
        <f>""</f>
        <v/>
      </c>
      <c r="Z253" t="str">
        <f>""</f>
        <v/>
      </c>
      <c r="AA253" t="str">
        <f>""</f>
        <v/>
      </c>
      <c r="AB253" t="str">
        <f>""</f>
        <v/>
      </c>
      <c r="AC253" t="str">
        <f>""</f>
        <v/>
      </c>
    </row>
    <row r="254" spans="1:29" x14ac:dyDescent="0.25">
      <c r="A254" t="str">
        <f>$A$19</f>
        <v xml:space="preserve">    Tata Consultancy Services Ltd</v>
      </c>
      <c r="B254" t="str">
        <f>$B$19</f>
        <v>TCS IN Equity</v>
      </c>
      <c r="C254" t="str">
        <f>$C$19</f>
        <v>RR033</v>
      </c>
      <c r="D254" t="str">
        <f>$D$19</f>
        <v>SALES_GROWTH</v>
      </c>
      <c r="E254" t="str">
        <f>$E$19</f>
        <v>Dynamic</v>
      </c>
      <c r="F254" t="e">
        <f ca="1">_xll.BDH($B$19,$C$19,$B$236,$B$237,CONCATENATE("Per=",$B$234),"Dts=H","Dir=H",CONCATENATE("Points=",$B$235),"Sort=R","Days=A","Fill=B",CONCATENATE("FX=", $B$233),"cols=12;rows=1")</f>
        <v>#NAME?</v>
      </c>
      <c r="G254">
        <v>18.975000000000001</v>
      </c>
      <c r="H254">
        <v>4.3555000000000001</v>
      </c>
      <c r="I254">
        <v>8.5783000000000005</v>
      </c>
      <c r="J254">
        <v>14.789</v>
      </c>
      <c r="K254">
        <v>15.693899999999999</v>
      </c>
      <c r="L254">
        <v>29.877800000000001</v>
      </c>
      <c r="M254">
        <v>28.8291</v>
      </c>
      <c r="N254">
        <v>30.996600000000001</v>
      </c>
      <c r="O254">
        <v>24.295200000000001</v>
      </c>
      <c r="P254">
        <v>7.9676999999999998</v>
      </c>
      <c r="Q254">
        <v>22.959600000000002</v>
      </c>
      <c r="R254" t="str">
        <f>""</f>
        <v/>
      </c>
      <c r="S254" t="str">
        <f>""</f>
        <v/>
      </c>
      <c r="T254" t="str">
        <f>""</f>
        <v/>
      </c>
      <c r="U254" t="str">
        <f>""</f>
        <v/>
      </c>
      <c r="V254" t="str">
        <f>""</f>
        <v/>
      </c>
      <c r="W254" t="str">
        <f>""</f>
        <v/>
      </c>
      <c r="X254" t="str">
        <f>""</f>
        <v/>
      </c>
      <c r="Y254" t="str">
        <f>""</f>
        <v/>
      </c>
      <c r="Z254" t="str">
        <f>""</f>
        <v/>
      </c>
      <c r="AA254" t="str">
        <f>""</f>
        <v/>
      </c>
      <c r="AB254" t="str">
        <f>""</f>
        <v/>
      </c>
      <c r="AC254" t="str">
        <f>""</f>
        <v/>
      </c>
    </row>
    <row r="255" spans="1:29" x14ac:dyDescent="0.25">
      <c r="A255" t="str">
        <f>$A$20</f>
        <v xml:space="preserve">    Tech Mahindra Ltd</v>
      </c>
      <c r="B255" t="str">
        <f>$B$20</f>
        <v>TECHM IN Equity</v>
      </c>
      <c r="C255" t="str">
        <f>$C$20</f>
        <v>RR033</v>
      </c>
      <c r="D255" t="str">
        <f>$D$20</f>
        <v>SALES_GROWTH</v>
      </c>
      <c r="E255" t="str">
        <f>$E$20</f>
        <v>Dynamic</v>
      </c>
      <c r="F255" t="e">
        <f ca="1">_xll.BDH($B$20,$C$20,$B$236,$B$237,CONCATENATE("Per=",$B$234),"Dts=H","Dir=H",CONCATENATE("Points=",$B$235),"Sort=R","Days=A","Fill=B",CONCATENATE("FX=", $B$233),"cols=12;rows=1")</f>
        <v>#NAME?</v>
      </c>
      <c r="G255">
        <v>12.898400000000001</v>
      </c>
      <c r="H255">
        <v>5.6006999999999998</v>
      </c>
      <c r="I255">
        <v>9.9893999999999998</v>
      </c>
      <c r="J255">
        <v>17.1206</v>
      </c>
      <c r="K255">
        <v>20.125399999999999</v>
      </c>
      <c r="L255">
        <v>173.98699999999999</v>
      </c>
      <c r="M255">
        <v>25.1999</v>
      </c>
      <c r="N255">
        <v>6.7992999999999997</v>
      </c>
      <c r="O255">
        <v>11.129799999999999</v>
      </c>
      <c r="P255">
        <v>3.5992999999999999</v>
      </c>
      <c r="Q255">
        <v>18.549700000000001</v>
      </c>
      <c r="R255" t="str">
        <f>""</f>
        <v/>
      </c>
      <c r="S255" t="str">
        <f>""</f>
        <v/>
      </c>
      <c r="T255" t="str">
        <f>""</f>
        <v/>
      </c>
      <c r="U255" t="str">
        <f>""</f>
        <v/>
      </c>
      <c r="V255" t="str">
        <f>""</f>
        <v/>
      </c>
      <c r="W255" t="str">
        <f>""</f>
        <v/>
      </c>
      <c r="X255" t="str">
        <f>""</f>
        <v/>
      </c>
      <c r="Y255" t="str">
        <f>""</f>
        <v/>
      </c>
      <c r="Z255" t="str">
        <f>""</f>
        <v/>
      </c>
      <c r="AA255" t="str">
        <f>""</f>
        <v/>
      </c>
      <c r="AB255" t="str">
        <f>""</f>
        <v/>
      </c>
      <c r="AC255" t="str">
        <f>""</f>
        <v/>
      </c>
    </row>
    <row r="256" spans="1:29" x14ac:dyDescent="0.25">
      <c r="A256" t="str">
        <f>$A$21</f>
        <v xml:space="preserve">    Wipro Ltd</v>
      </c>
      <c r="B256" t="str">
        <f>$B$21</f>
        <v>WIT US Equity</v>
      </c>
      <c r="C256" t="str">
        <f>$C$21</f>
        <v>RR033</v>
      </c>
      <c r="D256" t="str">
        <f>$D$21</f>
        <v>SALES_GROWTH</v>
      </c>
      <c r="E256" t="str">
        <f>$E$21</f>
        <v>Dynamic</v>
      </c>
      <c r="F256" t="e">
        <f ca="1">_xll.BDH($B$21,$C$21,$B$236,$B$237,CONCATENATE("Per=",$B$234),"Dts=H","Dir=H",CONCATENATE("Points=",$B$235),"Sort=R","Days=A","Fill=B",CONCATENATE("FX=", $B$233),"cols=12;rows=1")</f>
        <v>#NAME?</v>
      </c>
      <c r="G256">
        <v>7.5198999999999998</v>
      </c>
      <c r="H256">
        <v>-1.0048999999999999</v>
      </c>
      <c r="I256">
        <v>7.4081000000000001</v>
      </c>
      <c r="J256">
        <v>9.1354000000000006</v>
      </c>
      <c r="K256">
        <v>8.1231000000000009</v>
      </c>
      <c r="L256">
        <v>16.035299999999999</v>
      </c>
      <c r="M256">
        <v>0.61429999999999996</v>
      </c>
      <c r="N256">
        <v>19.781199999999998</v>
      </c>
      <c r="O256">
        <v>14.1157</v>
      </c>
      <c r="P256">
        <v>5.8887999999999998</v>
      </c>
      <c r="Q256">
        <v>28.628699999999998</v>
      </c>
      <c r="R256" t="str">
        <f>""</f>
        <v/>
      </c>
      <c r="S256" t="str">
        <f>""</f>
        <v/>
      </c>
      <c r="T256" t="str">
        <f>""</f>
        <v/>
      </c>
      <c r="U256" t="str">
        <f>""</f>
        <v/>
      </c>
      <c r="V256" t="str">
        <f>""</f>
        <v/>
      </c>
      <c r="W256" t="str">
        <f>""</f>
        <v/>
      </c>
      <c r="X256" t="str">
        <f>""</f>
        <v/>
      </c>
      <c r="Y256" t="str">
        <f>""</f>
        <v/>
      </c>
      <c r="Z256" t="str">
        <f>""</f>
        <v/>
      </c>
      <c r="AA256" t="str">
        <f>""</f>
        <v/>
      </c>
      <c r="AB256" t="str">
        <f>""</f>
        <v/>
      </c>
      <c r="AC256" t="str">
        <f>""</f>
        <v/>
      </c>
    </row>
    <row r="257" spans="1:29" x14ac:dyDescent="0.25">
      <c r="A257" t="str">
        <f>$A$23</f>
        <v xml:space="preserve">    Accenture PLC</v>
      </c>
      <c r="B257" t="str">
        <f>$B$23</f>
        <v>ACN US Equity</v>
      </c>
      <c r="C257" t="str">
        <f>$C$23</f>
        <v>RX552</v>
      </c>
      <c r="D257" t="str">
        <f>$D$23</f>
        <v>NET_SALES_3YR_GEO_GROWTH</v>
      </c>
      <c r="E257" t="str">
        <f>$E$23</f>
        <v>Dynamic</v>
      </c>
      <c r="F257" t="e">
        <f ca="1">_xll.BDH($B$23,$C$23,$B$236,$B$237,CONCATENATE("Per=",$B$234),"Dts=H","Dir=H",CONCATENATE("Points=",$B$235),"Sort=R","Days=A","Fill=B",CONCATENATE("FX=", $B$233),"cols=12;rows=1")</f>
        <v>#NAME?</v>
      </c>
      <c r="G257">
        <v>7.5902000000000003</v>
      </c>
      <c r="H257">
        <v>4.8733000000000004</v>
      </c>
      <c r="I257">
        <v>4.6131000000000002</v>
      </c>
      <c r="J257">
        <v>3.3944000000000001</v>
      </c>
      <c r="K257">
        <v>5.2318999999999996</v>
      </c>
      <c r="L257">
        <v>9.5882000000000005</v>
      </c>
      <c r="M257">
        <v>8.7218999999999998</v>
      </c>
      <c r="N257">
        <v>2.6160000000000001</v>
      </c>
      <c r="O257">
        <v>2.4878999999999998</v>
      </c>
      <c r="P257">
        <v>8.3259000000000007</v>
      </c>
      <c r="Q257">
        <v>13.9815</v>
      </c>
      <c r="R257" t="str">
        <f>""</f>
        <v/>
      </c>
      <c r="S257" t="str">
        <f>""</f>
        <v/>
      </c>
      <c r="T257" t="str">
        <f>""</f>
        <v/>
      </c>
      <c r="U257" t="str">
        <f>""</f>
        <v/>
      </c>
      <c r="V257" t="str">
        <f>""</f>
        <v/>
      </c>
      <c r="W257" t="str">
        <f>""</f>
        <v/>
      </c>
      <c r="X257" t="str">
        <f>""</f>
        <v/>
      </c>
      <c r="Y257" t="str">
        <f>""</f>
        <v/>
      </c>
      <c r="Z257" t="str">
        <f>""</f>
        <v/>
      </c>
      <c r="AA257" t="str">
        <f>""</f>
        <v/>
      </c>
      <c r="AB257" t="str">
        <f>""</f>
        <v/>
      </c>
      <c r="AC257" t="str">
        <f>""</f>
        <v/>
      </c>
    </row>
    <row r="258" spans="1:29" x14ac:dyDescent="0.25">
      <c r="A258" t="str">
        <f>$A$24</f>
        <v xml:space="preserve">    Amdocs Ltd</v>
      </c>
      <c r="B258" t="str">
        <f>$B$24</f>
        <v>DOX US Equity</v>
      </c>
      <c r="C258" t="str">
        <f>$C$24</f>
        <v>RX552</v>
      </c>
      <c r="D258" t="str">
        <f>$D$24</f>
        <v>NET_SALES_3YR_GEO_GROWTH</v>
      </c>
      <c r="E258" t="str">
        <f>$E$24</f>
        <v>Dynamic</v>
      </c>
      <c r="F258" t="e">
        <f ca="1">_xll.BDH($B$24,$C$24,$B$236,$B$237,CONCATENATE("Per=",$B$234),"Dts=H","Dir=H",CONCATENATE("Points=",$B$235),"Sort=R","Days=A","Fill=B",CONCATENATE("FX=", $B$233),"cols=12;rows=1")</f>
        <v>#NAME?</v>
      </c>
      <c r="G258">
        <v>2.9434</v>
      </c>
      <c r="H258">
        <v>2.762</v>
      </c>
      <c r="I258">
        <v>3.5800999999999998</v>
      </c>
      <c r="J258">
        <v>3.9165000000000001</v>
      </c>
      <c r="K258">
        <v>3.8944000000000001</v>
      </c>
      <c r="L258">
        <v>3.8864000000000001</v>
      </c>
      <c r="M258">
        <v>4.2884000000000002</v>
      </c>
      <c r="N258">
        <v>0.16450000000000001</v>
      </c>
      <c r="O258">
        <v>1.7105999999999999</v>
      </c>
      <c r="P258">
        <v>4.8979999999999997</v>
      </c>
      <c r="Q258">
        <v>15.7567</v>
      </c>
      <c r="R258" t="str">
        <f>""</f>
        <v/>
      </c>
      <c r="S258" t="str">
        <f>""</f>
        <v/>
      </c>
      <c r="T258" t="str">
        <f>""</f>
        <v/>
      </c>
      <c r="U258" t="str">
        <f>""</f>
        <v/>
      </c>
      <c r="V258" t="str">
        <f>""</f>
        <v/>
      </c>
      <c r="W258" t="str">
        <f>""</f>
        <v/>
      </c>
      <c r="X258" t="str">
        <f>""</f>
        <v/>
      </c>
      <c r="Y258" t="str">
        <f>""</f>
        <v/>
      </c>
      <c r="Z258" t="str">
        <f>""</f>
        <v/>
      </c>
      <c r="AA258" t="str">
        <f>""</f>
        <v/>
      </c>
      <c r="AB258" t="str">
        <f>""</f>
        <v/>
      </c>
      <c r="AC258" t="str">
        <f>""</f>
        <v/>
      </c>
    </row>
    <row r="259" spans="1:29" x14ac:dyDescent="0.25">
      <c r="A259" t="str">
        <f>$A$25</f>
        <v xml:space="preserve">    Atos SE</v>
      </c>
      <c r="B259" t="str">
        <f>$B$25</f>
        <v>ATO FP Equity</v>
      </c>
      <c r="C259" t="str">
        <f>$C$25</f>
        <v>RX552</v>
      </c>
      <c r="D259" t="str">
        <f>$D$25</f>
        <v>NET_SALES_3YR_GEO_GROWTH</v>
      </c>
      <c r="E259" t="str">
        <f>$E$25</f>
        <v>Dynamic</v>
      </c>
      <c r="F259" t="e">
        <f ca="1">_xll.BDH($B$25,$C$25,$B$236,$B$237,CONCATENATE("Per=",$B$234),"Dts=H","Dir=H",CONCATENATE("Points=",$B$235),"Sort=R","Days=A","Fill=B",CONCATENATE("FX=", $B$233),"cols=12;rows=1")</f>
        <v>#NAME?</v>
      </c>
      <c r="G259">
        <v>-0.1171</v>
      </c>
      <c r="H259">
        <v>9.8440999999999992</v>
      </c>
      <c r="I259">
        <v>12.1073</v>
      </c>
      <c r="J259">
        <v>6.5067000000000004</v>
      </c>
      <c r="K259">
        <v>9.9343000000000004</v>
      </c>
      <c r="L259">
        <v>19.7181</v>
      </c>
      <c r="M259">
        <v>19.9315</v>
      </c>
      <c r="N259">
        <v>6.6022999999999996</v>
      </c>
      <c r="O259">
        <v>-4.9978999999999996</v>
      </c>
      <c r="P259">
        <v>-1.6956</v>
      </c>
      <c r="Q259">
        <v>0.99519999999999997</v>
      </c>
      <c r="R259" t="str">
        <f>""</f>
        <v/>
      </c>
      <c r="S259" t="str">
        <f>""</f>
        <v/>
      </c>
      <c r="T259" t="str">
        <f>""</f>
        <v/>
      </c>
      <c r="U259" t="str">
        <f>""</f>
        <v/>
      </c>
      <c r="V259" t="str">
        <f>""</f>
        <v/>
      </c>
      <c r="W259" t="str">
        <f>""</f>
        <v/>
      </c>
      <c r="X259" t="str">
        <f>""</f>
        <v/>
      </c>
      <c r="Y259" t="str">
        <f>""</f>
        <v/>
      </c>
      <c r="Z259" t="str">
        <f>""</f>
        <v/>
      </c>
      <c r="AA259" t="str">
        <f>""</f>
        <v/>
      </c>
      <c r="AB259" t="str">
        <f>""</f>
        <v/>
      </c>
      <c r="AC259" t="str">
        <f>""</f>
        <v/>
      </c>
    </row>
    <row r="260" spans="1:29" x14ac:dyDescent="0.25">
      <c r="A260" t="str">
        <f>$A$26</f>
        <v xml:space="preserve">    Capgemini SE</v>
      </c>
      <c r="B260" t="str">
        <f>$B$26</f>
        <v>CAP FP Equity</v>
      </c>
      <c r="C260" t="str">
        <f>$C$26</f>
        <v>RX552</v>
      </c>
      <c r="D260" t="str">
        <f>$D$26</f>
        <v>NET_SALES_3YR_GEO_GROWTH</v>
      </c>
      <c r="E260" t="str">
        <f>$E$26</f>
        <v>Dynamic</v>
      </c>
      <c r="F260" t="e">
        <f ca="1">_xll.BDH($B$26,$C$26,$B$236,$B$237,CONCATENATE("Per=",$B$234),"Dts=H","Dir=H",CONCATENATE("Points=",$B$235),"Sort=R","Days=A","Fill=B",CONCATENATE("FX=", $B$233),"cols=12;rows=1")</f>
        <v>#NAME?</v>
      </c>
      <c r="G260">
        <v>3.4651000000000001</v>
      </c>
      <c r="H260">
        <v>5.8098999999999998</v>
      </c>
      <c r="I260">
        <v>7.5049999999999999</v>
      </c>
      <c r="J260">
        <v>5.0975000000000001</v>
      </c>
      <c r="K260">
        <v>2.9390000000000001</v>
      </c>
      <c r="L260">
        <v>5.0838000000000001</v>
      </c>
      <c r="M260">
        <v>7.0319000000000003</v>
      </c>
      <c r="N260">
        <v>3.6287000000000003</v>
      </c>
      <c r="O260">
        <v>-2.3E-2</v>
      </c>
      <c r="P260">
        <v>2.8242000000000003</v>
      </c>
      <c r="Q260">
        <v>7.7940000000000005</v>
      </c>
      <c r="R260" t="str">
        <f>""</f>
        <v/>
      </c>
      <c r="S260" t="str">
        <f>""</f>
        <v/>
      </c>
      <c r="T260" t="str">
        <f>""</f>
        <v/>
      </c>
      <c r="U260" t="str">
        <f>""</f>
        <v/>
      </c>
      <c r="V260" t="str">
        <f>""</f>
        <v/>
      </c>
      <c r="W260" t="str">
        <f>""</f>
        <v/>
      </c>
      <c r="X260" t="str">
        <f>""</f>
        <v/>
      </c>
      <c r="Y260" t="str">
        <f>""</f>
        <v/>
      </c>
      <c r="Z260" t="str">
        <f>""</f>
        <v/>
      </c>
      <c r="AA260" t="str">
        <f>""</f>
        <v/>
      </c>
      <c r="AB260" t="str">
        <f>""</f>
        <v/>
      </c>
      <c r="AC260" t="str">
        <f>""</f>
        <v/>
      </c>
    </row>
    <row r="261" spans="1:29" x14ac:dyDescent="0.25">
      <c r="A261" t="str">
        <f>$A$27</f>
        <v xml:space="preserve">    CGI Inc</v>
      </c>
      <c r="B261" t="str">
        <f>$B$27</f>
        <v>GIB US Equity</v>
      </c>
      <c r="C261" t="str">
        <f>$C$27</f>
        <v>RX552</v>
      </c>
      <c r="D261" t="str">
        <f>$D$27</f>
        <v>NET_SALES_3YR_GEO_GROWTH</v>
      </c>
      <c r="E261" t="str">
        <f>$E$27</f>
        <v>Dynamic</v>
      </c>
      <c r="F261" t="e">
        <f ca="1">_xll.BDH($B$27,$C$27,$B$236,$B$237,CONCATENATE("Per=",$B$234),"Dts=H","Dir=H",CONCATENATE("Points=",$B$235),"Sort=R","Days=A","Fill=B",CONCATENATE("FX=", $B$233),"cols=12;rows=1")</f>
        <v>#NAME?</v>
      </c>
      <c r="G261">
        <v>3.8056000000000001</v>
      </c>
      <c r="H261">
        <v>1.0847</v>
      </c>
      <c r="I261">
        <v>1.9407999999999999</v>
      </c>
      <c r="J261">
        <v>29.176500000000001</v>
      </c>
      <c r="K261">
        <v>35.462600000000002</v>
      </c>
      <c r="L261">
        <v>39.284100000000002</v>
      </c>
      <c r="M261">
        <v>7.6540999999999997</v>
      </c>
      <c r="N261">
        <v>4.4583000000000004</v>
      </c>
      <c r="O261">
        <v>0.89249999999999996</v>
      </c>
      <c r="P261">
        <v>4.0731999999999999</v>
      </c>
      <c r="Q261">
        <v>0.1794</v>
      </c>
      <c r="R261" t="str">
        <f>""</f>
        <v/>
      </c>
      <c r="S261" t="str">
        <f>""</f>
        <v/>
      </c>
      <c r="T261" t="str">
        <f>""</f>
        <v/>
      </c>
      <c r="U261" t="str">
        <f>""</f>
        <v/>
      </c>
      <c r="V261" t="str">
        <f>""</f>
        <v/>
      </c>
      <c r="W261" t="str">
        <f>""</f>
        <v/>
      </c>
      <c r="X261" t="str">
        <f>""</f>
        <v/>
      </c>
      <c r="Y261" t="str">
        <f>""</f>
        <v/>
      </c>
      <c r="Z261" t="str">
        <f>""</f>
        <v/>
      </c>
      <c r="AA261" t="str">
        <f>""</f>
        <v/>
      </c>
      <c r="AB261" t="str">
        <f>""</f>
        <v/>
      </c>
      <c r="AC261" t="str">
        <f>""</f>
        <v/>
      </c>
    </row>
    <row r="262" spans="1:29" x14ac:dyDescent="0.25">
      <c r="A262" t="str">
        <f>$A$28</f>
        <v xml:space="preserve">    Cognizant Technology Solutions Corp</v>
      </c>
      <c r="B262" t="str">
        <f>$B$28</f>
        <v>CTSH US Equity</v>
      </c>
      <c r="C262" t="str">
        <f>$C$28</f>
        <v>RX552</v>
      </c>
      <c r="D262" t="str">
        <f>$D$28</f>
        <v>NET_SALES_3YR_GEO_GROWTH</v>
      </c>
      <c r="E262" t="str">
        <f>$E$28</f>
        <v>Dynamic</v>
      </c>
      <c r="F262" t="e">
        <f ca="1">_xll.BDH($B$28,$C$28,$B$236,$B$237,CONCATENATE("Per=",$B$234),"Dts=H","Dir=H",CONCATENATE("Points=",$B$235),"Sort=R","Days=A","Fill=B",CONCATENATE("FX=", $B$233),"cols=12;rows=1")</f>
        <v>#NAME?</v>
      </c>
      <c r="G262">
        <v>9.1036999999999999</v>
      </c>
      <c r="H262">
        <v>13.005000000000001</v>
      </c>
      <c r="I262">
        <v>15.107100000000001</v>
      </c>
      <c r="J262">
        <v>19.115300000000001</v>
      </c>
      <c r="K262">
        <v>18.798100000000002</v>
      </c>
      <c r="L262">
        <v>24.410399999999999</v>
      </c>
      <c r="M262">
        <v>30.856100000000001</v>
      </c>
      <c r="N262">
        <v>29.534300000000002</v>
      </c>
      <c r="O262">
        <v>29.0747</v>
      </c>
      <c r="P262">
        <v>32.038899999999998</v>
      </c>
      <c r="Q262">
        <v>47.0426</v>
      </c>
      <c r="R262" t="str">
        <f>""</f>
        <v/>
      </c>
      <c r="S262" t="str">
        <f>""</f>
        <v/>
      </c>
      <c r="T262" t="str">
        <f>""</f>
        <v/>
      </c>
      <c r="U262" t="str">
        <f>""</f>
        <v/>
      </c>
      <c r="V262" t="str">
        <f>""</f>
        <v/>
      </c>
      <c r="W262" t="str">
        <f>""</f>
        <v/>
      </c>
      <c r="X262" t="str">
        <f>""</f>
        <v/>
      </c>
      <c r="Y262" t="str">
        <f>""</f>
        <v/>
      </c>
      <c r="Z262" t="str">
        <f>""</f>
        <v/>
      </c>
      <c r="AA262" t="str">
        <f>""</f>
        <v/>
      </c>
      <c r="AB262" t="str">
        <f>""</f>
        <v/>
      </c>
      <c r="AC262" t="str">
        <f>""</f>
        <v/>
      </c>
    </row>
    <row r="263" spans="1:29" x14ac:dyDescent="0.25">
      <c r="A263" t="str">
        <f>$A$29</f>
        <v xml:space="preserve">    Conduent Inc</v>
      </c>
      <c r="B263" t="str">
        <f>$B$29</f>
        <v>CNDT US Equity</v>
      </c>
      <c r="C263" t="str">
        <f>$C$29</f>
        <v>RX552</v>
      </c>
      <c r="D263" t="str">
        <f>$D$29</f>
        <v>NET_SALES_3YR_GEO_GROWTH</v>
      </c>
      <c r="E263" t="str">
        <f>$E$29</f>
        <v>Dynamic</v>
      </c>
      <c r="F263" t="e">
        <f ca="1">_xll.BDH($B$29,$C$29,$B$236,$B$237,CONCATENATE("Per=",$B$234),"Dts=H","Dir=H",CONCATENATE("Points=",$B$235),"Sort=R","Days=A","Fill=B",CONCATENATE("FX=", $B$233),"cols=12;rows=1")</f>
        <v>#NAME?</v>
      </c>
      <c r="G263">
        <v>-6.8015999999999996</v>
      </c>
      <c r="H263">
        <v>-4.6101999999999999</v>
      </c>
      <c r="I263">
        <v>-2.3365</v>
      </c>
      <c r="J263">
        <v>-1.034</v>
      </c>
      <c r="K263">
        <v>3.4102000000000001</v>
      </c>
      <c r="R263" t="str">
        <f>""</f>
        <v/>
      </c>
      <c r="S263" t="str">
        <f>""</f>
        <v/>
      </c>
      <c r="T263" t="str">
        <f>""</f>
        <v/>
      </c>
      <c r="U263" t="str">
        <f>""</f>
        <v/>
      </c>
      <c r="V263" t="str">
        <f>""</f>
        <v/>
      </c>
      <c r="W263" t="str">
        <f>""</f>
        <v/>
      </c>
      <c r="X263" t="str">
        <f>""</f>
        <v/>
      </c>
      <c r="Y263" t="str">
        <f>""</f>
        <v/>
      </c>
      <c r="Z263" t="str">
        <f>""</f>
        <v/>
      </c>
      <c r="AA263" t="str">
        <f>""</f>
        <v/>
      </c>
      <c r="AB263" t="str">
        <f>""</f>
        <v/>
      </c>
      <c r="AC263" t="str">
        <f>""</f>
        <v/>
      </c>
    </row>
    <row r="264" spans="1:29" x14ac:dyDescent="0.25">
      <c r="A264" t="str">
        <f>$A$30</f>
        <v xml:space="preserve">    DXC Technology Co</v>
      </c>
      <c r="B264" t="str">
        <f>$B$30</f>
        <v>DXC US Equity</v>
      </c>
      <c r="C264" t="str">
        <f>$C$30</f>
        <v>RX552</v>
      </c>
      <c r="D264" t="str">
        <f>$D$30</f>
        <v>NET_SALES_3YR_GEO_GROWTH</v>
      </c>
      <c r="E264" t="str">
        <f>$E$30</f>
        <v>Dynamic</v>
      </c>
      <c r="F264" t="e">
        <f ca="1">_xll.BDH($B$30,$C$30,$B$236,$B$237,CONCATENATE("Per=",$B$234),"Dts=H","Dir=H",CONCATENATE("Points=",$B$235),"Sort=R","Days=A","Fill=B",CONCATENATE("FX=", $B$233),"cols=12;rows=1")</f>
        <v>#NAME?</v>
      </c>
      <c r="R264" t="str">
        <f>""</f>
        <v/>
      </c>
      <c r="S264" t="str">
        <f>""</f>
        <v/>
      </c>
      <c r="T264" t="str">
        <f>""</f>
        <v/>
      </c>
      <c r="U264" t="str">
        <f>""</f>
        <v/>
      </c>
      <c r="V264" t="str">
        <f>""</f>
        <v/>
      </c>
      <c r="W264" t="str">
        <f>""</f>
        <v/>
      </c>
      <c r="X264" t="str">
        <f>""</f>
        <v/>
      </c>
      <c r="Y264" t="str">
        <f>""</f>
        <v/>
      </c>
      <c r="Z264" t="str">
        <f>""</f>
        <v/>
      </c>
      <c r="AA264" t="str">
        <f>""</f>
        <v/>
      </c>
      <c r="AB264" t="str">
        <f>""</f>
        <v/>
      </c>
      <c r="AC264" t="str">
        <f>""</f>
        <v/>
      </c>
    </row>
    <row r="265" spans="1:29" x14ac:dyDescent="0.25">
      <c r="A265" t="str">
        <f>$A$31</f>
        <v xml:space="preserve">    EPAM Systems Inc</v>
      </c>
      <c r="B265" t="str">
        <f>$B$31</f>
        <v>EPAM US Equity</v>
      </c>
      <c r="C265" t="str">
        <f>$C$31</f>
        <v>RX552</v>
      </c>
      <c r="D265" t="str">
        <f>$D$31</f>
        <v>NET_SALES_3YR_GEO_GROWTH</v>
      </c>
      <c r="E265" t="str">
        <f>$E$31</f>
        <v>Dynamic</v>
      </c>
      <c r="F265" t="e">
        <f ca="1">_xll.BDH($B$31,$C$31,$B$236,$B$237,CONCATENATE("Per=",$B$234),"Dts=H","Dir=H",CONCATENATE("Points=",$B$235),"Sort=R","Days=A","Fill=B",CONCATENATE("FX=", $B$233),"cols=12;rows=1")</f>
        <v>#NAME?</v>
      </c>
      <c r="G265">
        <v>26.3279</v>
      </c>
      <c r="H265">
        <v>25.715199999999999</v>
      </c>
      <c r="I265">
        <v>27.852</v>
      </c>
      <c r="J265">
        <v>28.205400000000001</v>
      </c>
      <c r="K265">
        <v>29.708600000000001</v>
      </c>
      <c r="L265">
        <v>35.766300000000001</v>
      </c>
      <c r="M265">
        <v>42.4923</v>
      </c>
      <c r="N265">
        <v>27.7027</v>
      </c>
      <c r="O265">
        <v>24.8276</v>
      </c>
      <c r="P265">
        <v>29.028099999999998</v>
      </c>
      <c r="R265" t="str">
        <f>""</f>
        <v/>
      </c>
      <c r="S265" t="str">
        <f>""</f>
        <v/>
      </c>
      <c r="T265" t="str">
        <f>""</f>
        <v/>
      </c>
      <c r="U265" t="str">
        <f>""</f>
        <v/>
      </c>
      <c r="V265" t="str">
        <f>""</f>
        <v/>
      </c>
      <c r="W265" t="str">
        <f>""</f>
        <v/>
      </c>
      <c r="X265" t="str">
        <f>""</f>
        <v/>
      </c>
      <c r="Y265" t="str">
        <f>""</f>
        <v/>
      </c>
      <c r="Z265" t="str">
        <f>""</f>
        <v/>
      </c>
      <c r="AA265" t="str">
        <f>""</f>
        <v/>
      </c>
      <c r="AB265" t="str">
        <f>""</f>
        <v/>
      </c>
      <c r="AC265" t="str">
        <f>""</f>
        <v/>
      </c>
    </row>
    <row r="266" spans="1:29" x14ac:dyDescent="0.25">
      <c r="A266" t="str">
        <f>$A$32</f>
        <v xml:space="preserve">    Genpact Ltd</v>
      </c>
      <c r="B266" t="str">
        <f>$B$32</f>
        <v>G US Equity</v>
      </c>
      <c r="C266" t="str">
        <f>$C$32</f>
        <v>RX552</v>
      </c>
      <c r="D266" t="str">
        <f>$D$32</f>
        <v>NET_SALES_3YR_GEO_GROWTH</v>
      </c>
      <c r="E266" t="str">
        <f>$E$32</f>
        <v>Dynamic</v>
      </c>
      <c r="F266" t="e">
        <f ca="1">_xll.BDH($B$32,$C$32,$B$236,$B$237,CONCATENATE("Per=",$B$234),"Dts=H","Dir=H",CONCATENATE("Points=",$B$235),"Sort=R","Days=A","Fill=B",CONCATENATE("FX=", $B$233),"cols=12;rows=1")</f>
        <v>#NAME?</v>
      </c>
      <c r="G266">
        <v>6.8330000000000002</v>
      </c>
      <c r="H266">
        <v>6.2866</v>
      </c>
      <c r="I266">
        <v>6.4367000000000001</v>
      </c>
      <c r="J266">
        <v>8.9695999999999998</v>
      </c>
      <c r="K266">
        <v>12.5114</v>
      </c>
      <c r="L266">
        <v>19.195</v>
      </c>
      <c r="M266">
        <v>19.3034</v>
      </c>
      <c r="N266">
        <v>15.4207</v>
      </c>
      <c r="O266">
        <v>15.214600000000001</v>
      </c>
      <c r="P266">
        <v>22.250499999999999</v>
      </c>
      <c r="Q266">
        <v>28.382300000000001</v>
      </c>
      <c r="R266" t="str">
        <f>""</f>
        <v/>
      </c>
      <c r="S266" t="str">
        <f>""</f>
        <v/>
      </c>
      <c r="T266" t="str">
        <f>""</f>
        <v/>
      </c>
      <c r="U266" t="str">
        <f>""</f>
        <v/>
      </c>
      <c r="V266" t="str">
        <f>""</f>
        <v/>
      </c>
      <c r="W266" t="str">
        <f>""</f>
        <v/>
      </c>
      <c r="X266" t="str">
        <f>""</f>
        <v/>
      </c>
      <c r="Y266" t="str">
        <f>""</f>
        <v/>
      </c>
      <c r="Z266" t="str">
        <f>""</f>
        <v/>
      </c>
      <c r="AA266" t="str">
        <f>""</f>
        <v/>
      </c>
      <c r="AB266" t="str">
        <f>""</f>
        <v/>
      </c>
      <c r="AC266" t="str">
        <f>""</f>
        <v/>
      </c>
    </row>
    <row r="267" spans="1:29" x14ac:dyDescent="0.25">
      <c r="A267" t="str">
        <f>$A$33</f>
        <v xml:space="preserve">    HCL Technologies Ltd</v>
      </c>
      <c r="B267" t="str">
        <f>$B$33</f>
        <v>HCLT IN Equity</v>
      </c>
      <c r="C267" t="str">
        <f>$C$33</f>
        <v>RX552</v>
      </c>
      <c r="D267" t="str">
        <f>$D$33</f>
        <v>NET_SALES_3YR_GEO_GROWTH</v>
      </c>
      <c r="E267" t="str">
        <f>$E$33</f>
        <v>Dynamic</v>
      </c>
      <c r="F267" t="e">
        <f ca="1">_xll.BDH($B$33,$C$33,$B$236,$B$237,CONCATENATE("Per=",$B$234),"Dts=H","Dir=H",CONCATENATE("Points=",$B$235),"Sort=R","Days=A","Fill=B",CONCATENATE("FX=", $B$233),"cols=12;rows=1")</f>
        <v>#NAME?</v>
      </c>
      <c r="G267">
        <v>11.452299999999999</v>
      </c>
      <c r="L267">
        <v>15.5951</v>
      </c>
      <c r="M267">
        <v>28.2166</v>
      </c>
      <c r="N267">
        <v>26.750599999999999</v>
      </c>
      <c r="O267">
        <v>27.649699999999999</v>
      </c>
      <c r="P267">
        <v>25.988</v>
      </c>
      <c r="Q267">
        <v>30.796099999999999</v>
      </c>
      <c r="R267" t="str">
        <f>""</f>
        <v/>
      </c>
      <c r="S267" t="str">
        <f>""</f>
        <v/>
      </c>
      <c r="T267" t="str">
        <f>""</f>
        <v/>
      </c>
      <c r="U267" t="str">
        <f>""</f>
        <v/>
      </c>
      <c r="V267" t="str">
        <f>""</f>
        <v/>
      </c>
      <c r="W267" t="str">
        <f>""</f>
        <v/>
      </c>
      <c r="X267" t="str">
        <f>""</f>
        <v/>
      </c>
      <c r="Y267" t="str">
        <f>""</f>
        <v/>
      </c>
      <c r="Z267" t="str">
        <f>""</f>
        <v/>
      </c>
      <c r="AA267" t="str">
        <f>""</f>
        <v/>
      </c>
      <c r="AB267" t="str">
        <f>""</f>
        <v/>
      </c>
      <c r="AC267" t="str">
        <f>""</f>
        <v/>
      </c>
    </row>
    <row r="268" spans="1:29" x14ac:dyDescent="0.25">
      <c r="A268" t="str">
        <f>$A$34</f>
        <v xml:space="preserve">    Indra Sistemas SA</v>
      </c>
      <c r="B268" t="str">
        <f>$B$34</f>
        <v>IDR SM Equity</v>
      </c>
      <c r="C268" t="str">
        <f>$C$34</f>
        <v>RX552</v>
      </c>
      <c r="D268" t="str">
        <f>$D$34</f>
        <v>NET_SALES_3YR_GEO_GROWTH</v>
      </c>
      <c r="E268" t="str">
        <f>$E$34</f>
        <v>Dynamic</v>
      </c>
      <c r="F268" t="e">
        <f ca="1">_xll.BDH($B$34,$C$34,$B$236,$B$237,CONCATENATE("Per=",$B$234),"Dts=H","Dir=H",CONCATENATE("Points=",$B$235),"Sort=R","Days=A","Fill=B",CONCATENATE("FX=", $B$233),"cols=12;rows=1")</f>
        <v>#NAME?</v>
      </c>
      <c r="G268">
        <v>2.8788</v>
      </c>
      <c r="H268">
        <v>0.82340000000000002</v>
      </c>
      <c r="I268">
        <v>-2.3994</v>
      </c>
      <c r="J268">
        <v>-1.0373000000000001</v>
      </c>
      <c r="K268">
        <v>3.0011000000000001</v>
      </c>
      <c r="L268">
        <v>4.4530000000000003</v>
      </c>
      <c r="M268">
        <v>5.3785999999999996</v>
      </c>
      <c r="N268">
        <v>4.1527000000000003</v>
      </c>
      <c r="O268">
        <v>5.6619999999999999</v>
      </c>
      <c r="P268">
        <v>21.339700000000001</v>
      </c>
      <c r="Q268">
        <v>25.555599999999998</v>
      </c>
      <c r="R268" t="str">
        <f>""</f>
        <v/>
      </c>
      <c r="S268" t="str">
        <f>""</f>
        <v/>
      </c>
      <c r="T268" t="str">
        <f>""</f>
        <v/>
      </c>
      <c r="U268" t="str">
        <f>""</f>
        <v/>
      </c>
      <c r="V268" t="str">
        <f>""</f>
        <v/>
      </c>
      <c r="W268" t="str">
        <f>""</f>
        <v/>
      </c>
      <c r="X268" t="str">
        <f>""</f>
        <v/>
      </c>
      <c r="Y268" t="str">
        <f>""</f>
        <v/>
      </c>
      <c r="Z268" t="str">
        <f>""</f>
        <v/>
      </c>
      <c r="AA268" t="str">
        <f>""</f>
        <v/>
      </c>
      <c r="AB268" t="str">
        <f>""</f>
        <v/>
      </c>
      <c r="AC268" t="str">
        <f>""</f>
        <v/>
      </c>
    </row>
    <row r="269" spans="1:29" x14ac:dyDescent="0.25">
      <c r="A269" t="str">
        <f>$A$35</f>
        <v xml:space="preserve">    Infosys Ltd</v>
      </c>
      <c r="B269" t="str">
        <f>$B$35</f>
        <v>INFY US Equity</v>
      </c>
      <c r="C269" t="str">
        <f>$C$35</f>
        <v>RX552</v>
      </c>
      <c r="D269" t="str">
        <f>$D$35</f>
        <v>NET_SALES_3YR_GEO_GROWTH</v>
      </c>
      <c r="E269" t="str">
        <f>$E$35</f>
        <v>Dynamic</v>
      </c>
      <c r="F269" t="e">
        <f ca="1">_xll.BDH($B$35,$C$35,$B$236,$B$237,CONCATENATE("Per=",$B$234),"Dts=H","Dir=H",CONCATENATE("Points=",$B$235),"Sort=R","Days=A","Fill=B",CONCATENATE("FX=", $B$233),"cols=12;rows=1")</f>
        <v>#NAME?</v>
      </c>
      <c r="G269">
        <v>9.8081999999999994</v>
      </c>
      <c r="H269">
        <v>9.7692999999999994</v>
      </c>
      <c r="I269">
        <v>10.957100000000001</v>
      </c>
      <c r="J269">
        <v>15.664899999999999</v>
      </c>
      <c r="K269">
        <v>16.485399999999998</v>
      </c>
      <c r="L269">
        <v>22.158899999999999</v>
      </c>
      <c r="M269">
        <v>21.063199999999998</v>
      </c>
      <c r="N269">
        <v>15.8553</v>
      </c>
      <c r="O269">
        <v>18.1082</v>
      </c>
      <c r="P269">
        <v>17.853999999999999</v>
      </c>
      <c r="Q269">
        <v>31.5868</v>
      </c>
      <c r="R269" t="str">
        <f>""</f>
        <v/>
      </c>
      <c r="S269" t="str">
        <f>""</f>
        <v/>
      </c>
      <c r="T269" t="str">
        <f>""</f>
        <v/>
      </c>
      <c r="U269" t="str">
        <f>""</f>
        <v/>
      </c>
      <c r="V269" t="str">
        <f>""</f>
        <v/>
      </c>
      <c r="W269" t="str">
        <f>""</f>
        <v/>
      </c>
      <c r="X269" t="str">
        <f>""</f>
        <v/>
      </c>
      <c r="Y269" t="str">
        <f>""</f>
        <v/>
      </c>
      <c r="Z269" t="str">
        <f>""</f>
        <v/>
      </c>
      <c r="AA269" t="str">
        <f>""</f>
        <v/>
      </c>
      <c r="AB269" t="str">
        <f>""</f>
        <v/>
      </c>
      <c r="AC269" t="str">
        <f>""</f>
        <v/>
      </c>
    </row>
    <row r="270" spans="1:29" x14ac:dyDescent="0.25">
      <c r="A270" t="str">
        <f>$A$36</f>
        <v xml:space="preserve">    International Business Machines Corp</v>
      </c>
      <c r="B270" t="str">
        <f>$B$36</f>
        <v>IBM US Equity</v>
      </c>
      <c r="C270" t="str">
        <f>$C$36</f>
        <v>RX552</v>
      </c>
      <c r="D270" t="str">
        <f>$D$36</f>
        <v>NET_SALES_3YR_GEO_GROWTH</v>
      </c>
      <c r="E270" t="str">
        <f>$E$36</f>
        <v>Dynamic</v>
      </c>
      <c r="F270" t="e">
        <f ca="1">_xll.BDH($B$36,$C$36,$B$236,$B$237,CONCATENATE("Per=",$B$234),"Dts=H","Dir=H",CONCATENATE("Points=",$B$235),"Sort=R","Days=A","Fill=B",CONCATENATE("FX=", $B$233),"cols=12;rows=1")</f>
        <v>#NAME?</v>
      </c>
      <c r="G270">
        <v>-0.88460000000000005</v>
      </c>
      <c r="H270">
        <v>-5.1672000000000002</v>
      </c>
      <c r="I270">
        <v>-6.6889000000000003</v>
      </c>
      <c r="J270">
        <v>-7.3785999999999996</v>
      </c>
      <c r="K270">
        <v>-4.6126000000000005</v>
      </c>
      <c r="L270">
        <v>-0.50419999999999998</v>
      </c>
      <c r="M270">
        <v>2.4180999999999999</v>
      </c>
      <c r="N270">
        <v>1.046</v>
      </c>
      <c r="O270">
        <v>0.3644</v>
      </c>
      <c r="P270">
        <v>1.5558999999999998</v>
      </c>
      <c r="Q270">
        <v>4.3761999999999999</v>
      </c>
      <c r="R270" t="str">
        <f>""</f>
        <v/>
      </c>
      <c r="S270" t="str">
        <f>""</f>
        <v/>
      </c>
      <c r="T270" t="str">
        <f>""</f>
        <v/>
      </c>
      <c r="U270" t="str">
        <f>""</f>
        <v/>
      </c>
      <c r="V270" t="str">
        <f>""</f>
        <v/>
      </c>
      <c r="W270" t="str">
        <f>""</f>
        <v/>
      </c>
      <c r="X270" t="str">
        <f>""</f>
        <v/>
      </c>
      <c r="Y270" t="str">
        <f>""</f>
        <v/>
      </c>
      <c r="Z270" t="str">
        <f>""</f>
        <v/>
      </c>
      <c r="AA270" t="str">
        <f>""</f>
        <v/>
      </c>
      <c r="AB270" t="str">
        <f>""</f>
        <v/>
      </c>
      <c r="AC270" t="str">
        <f>""</f>
        <v/>
      </c>
    </row>
    <row r="271" spans="1:29" x14ac:dyDescent="0.25">
      <c r="A271" t="str">
        <f>$A$37</f>
        <v xml:space="preserve">    Tata Consultancy Services Ltd</v>
      </c>
      <c r="B271" t="str">
        <f>$B$37</f>
        <v>TCS IN Equity</v>
      </c>
      <c r="C271" t="str">
        <f>$C$37</f>
        <v>RX552</v>
      </c>
      <c r="D271" t="str">
        <f>$D$37</f>
        <v>NET_SALES_3YR_GEO_GROWTH</v>
      </c>
      <c r="E271" t="str">
        <f>$E$37</f>
        <v>Dynamic</v>
      </c>
      <c r="F271" t="e">
        <f ca="1">_xll.BDH($B$37,$C$37,$B$236,$B$237,CONCATENATE("Per=",$B$234),"Dts=H","Dir=H",CONCATENATE("Points=",$B$235),"Sort=R","Days=A","Fill=B",CONCATENATE("FX=", $B$233),"cols=12;rows=1")</f>
        <v>#NAME?</v>
      </c>
      <c r="G271">
        <v>10.468400000000001</v>
      </c>
      <c r="H271">
        <v>9.1572999999999993</v>
      </c>
      <c r="I271">
        <v>12.9756</v>
      </c>
      <c r="J271">
        <v>19.926500000000001</v>
      </c>
      <c r="K271">
        <v>24.629200000000001</v>
      </c>
      <c r="L271">
        <v>29.898099999999999</v>
      </c>
      <c r="M271">
        <v>28.009699999999999</v>
      </c>
      <c r="N271">
        <v>20.689499999999999</v>
      </c>
      <c r="O271">
        <v>18.169</v>
      </c>
      <c r="P271">
        <v>17.133400000000002</v>
      </c>
      <c r="Q271">
        <v>28.032399999999999</v>
      </c>
      <c r="R271" t="str">
        <f>""</f>
        <v/>
      </c>
      <c r="S271" t="str">
        <f>""</f>
        <v/>
      </c>
      <c r="T271" t="str">
        <f>""</f>
        <v/>
      </c>
      <c r="U271" t="str">
        <f>""</f>
        <v/>
      </c>
      <c r="V271" t="str">
        <f>""</f>
        <v/>
      </c>
      <c r="W271" t="str">
        <f>""</f>
        <v/>
      </c>
      <c r="X271" t="str">
        <f>""</f>
        <v/>
      </c>
      <c r="Y271" t="str">
        <f>""</f>
        <v/>
      </c>
      <c r="Z271" t="str">
        <f>""</f>
        <v/>
      </c>
      <c r="AA271" t="str">
        <f>""</f>
        <v/>
      </c>
      <c r="AB271" t="str">
        <f>""</f>
        <v/>
      </c>
      <c r="AC271" t="str">
        <f>""</f>
        <v/>
      </c>
    </row>
    <row r="272" spans="1:29" x14ac:dyDescent="0.25">
      <c r="A272" t="str">
        <f>$A$38</f>
        <v xml:space="preserve">    Tech Mahindra Ltd</v>
      </c>
      <c r="B272" t="str">
        <f>$B$38</f>
        <v>TECHM IN Equity</v>
      </c>
      <c r="C272" t="str">
        <f>$C$38</f>
        <v>RX552</v>
      </c>
      <c r="D272" t="str">
        <f>$D$38</f>
        <v>NET_SALES_3YR_GEO_GROWTH</v>
      </c>
      <c r="E272" t="str">
        <f>$E$38</f>
        <v>Dynamic</v>
      </c>
      <c r="F272" t="e">
        <f ca="1">_xll.BDH($B$38,$C$38,$B$236,$B$237,CONCATENATE("Per=",$B$234),"Dts=H","Dir=H",CONCATENATE("Points=",$B$235),"Sort=R","Days=A","Fill=B",CONCATENATE("FX=", $B$233),"cols=12;rows=1")</f>
        <v>#NAME?</v>
      </c>
      <c r="G272">
        <v>9.4549000000000003</v>
      </c>
      <c r="H272">
        <v>10.8027</v>
      </c>
      <c r="I272">
        <v>15.6662</v>
      </c>
      <c r="J272">
        <v>56.795200000000001</v>
      </c>
      <c r="K272">
        <v>60.320700000000002</v>
      </c>
      <c r="L272">
        <v>54.158499999999997</v>
      </c>
      <c r="M272">
        <v>14.1128</v>
      </c>
      <c r="N272">
        <v>7.1318999999999999</v>
      </c>
      <c r="O272">
        <v>10.925000000000001</v>
      </c>
      <c r="P272">
        <v>16.450500000000002</v>
      </c>
      <c r="Q272">
        <v>53.275799999999997</v>
      </c>
      <c r="R272" t="str">
        <f>""</f>
        <v/>
      </c>
      <c r="S272" t="str">
        <f>""</f>
        <v/>
      </c>
      <c r="T272" t="str">
        <f>""</f>
        <v/>
      </c>
      <c r="U272" t="str">
        <f>""</f>
        <v/>
      </c>
      <c r="V272" t="str">
        <f>""</f>
        <v/>
      </c>
      <c r="W272" t="str">
        <f>""</f>
        <v/>
      </c>
      <c r="X272" t="str">
        <f>""</f>
        <v/>
      </c>
      <c r="Y272" t="str">
        <f>""</f>
        <v/>
      </c>
      <c r="Z272" t="str">
        <f>""</f>
        <v/>
      </c>
      <c r="AA272" t="str">
        <f>""</f>
        <v/>
      </c>
      <c r="AB272" t="str">
        <f>""</f>
        <v/>
      </c>
      <c r="AC272" t="str">
        <f>""</f>
        <v/>
      </c>
    </row>
    <row r="273" spans="1:29" x14ac:dyDescent="0.25">
      <c r="A273" t="str">
        <f>$A$39</f>
        <v xml:space="preserve">    Wipro Ltd</v>
      </c>
      <c r="B273" t="str">
        <f>$B$39</f>
        <v>WIT US Equity</v>
      </c>
      <c r="C273" t="str">
        <f>$C$39</f>
        <v>RX552</v>
      </c>
      <c r="D273" t="str">
        <f>$D$39</f>
        <v>NET_SALES_3YR_GEO_GROWTH</v>
      </c>
      <c r="E273" t="str">
        <f>$E$39</f>
        <v>Dynamic</v>
      </c>
      <c r="F273" t="e">
        <f ca="1">_xll.BDH($B$39,$C$39,$B$236,$B$237,CONCATENATE("Per=",$B$234),"Dts=H","Dir=H",CONCATENATE("Points=",$B$235),"Sort=R","Days=A","Fill=B",CONCATENATE("FX=", $B$233),"cols=12;rows=1")</f>
        <v>#NAME?</v>
      </c>
      <c r="G273">
        <v>4.5633999999999997</v>
      </c>
      <c r="H273">
        <v>5.0845000000000002</v>
      </c>
      <c r="I273">
        <v>8.2199000000000009</v>
      </c>
      <c r="J273">
        <v>11.043100000000001</v>
      </c>
      <c r="K273">
        <v>8.0744000000000007</v>
      </c>
      <c r="L273">
        <v>11.8269</v>
      </c>
      <c r="M273">
        <v>11.206799999999999</v>
      </c>
      <c r="N273">
        <v>13.117100000000001</v>
      </c>
      <c r="O273">
        <v>15.8363</v>
      </c>
      <c r="P273">
        <v>21.9678</v>
      </c>
      <c r="Q273">
        <v>34.328000000000003</v>
      </c>
      <c r="R273" t="str">
        <f>""</f>
        <v/>
      </c>
      <c r="S273" t="str">
        <f>""</f>
        <v/>
      </c>
      <c r="T273" t="str">
        <f>""</f>
        <v/>
      </c>
      <c r="U273" t="str">
        <f>""</f>
        <v/>
      </c>
      <c r="V273" t="str">
        <f>""</f>
        <v/>
      </c>
      <c r="W273" t="str">
        <f>""</f>
        <v/>
      </c>
      <c r="X273" t="str">
        <f>""</f>
        <v/>
      </c>
      <c r="Y273" t="str">
        <f>""</f>
        <v/>
      </c>
      <c r="Z273" t="str">
        <f>""</f>
        <v/>
      </c>
      <c r="AA273" t="str">
        <f>""</f>
        <v/>
      </c>
      <c r="AB273" t="str">
        <f>""</f>
        <v/>
      </c>
      <c r="AC273" t="str">
        <f>""</f>
        <v/>
      </c>
    </row>
    <row r="274" spans="1:29" x14ac:dyDescent="0.25">
      <c r="A274" t="str">
        <f>$A$41</f>
        <v xml:space="preserve">    Accenture PLC</v>
      </c>
      <c r="B274" t="str">
        <f>$B$41</f>
        <v>ACN US Equity</v>
      </c>
      <c r="C274" t="str">
        <f>$C$41</f>
        <v>RR128</v>
      </c>
      <c r="D274" t="str">
        <f>$D$41</f>
        <v>EBITDA_GROWTH</v>
      </c>
      <c r="E274" t="str">
        <f>$E$41</f>
        <v>Dynamic</v>
      </c>
      <c r="F274" t="e">
        <f ca="1">_xll.BDH($B$41,$C$41,$B$236,$B$237,CONCATENATE("Per=",$B$234),"Dts=H","Dir=H",CONCATENATE("Points=",$B$235),"Sort=R","Days=A","Fill=B",CONCATENATE("FX=", $B$233),"cols=12;rows=1")</f>
        <v>#NAME?</v>
      </c>
      <c r="G274">
        <v>25.5991</v>
      </c>
      <c r="H274">
        <v>-1.8973</v>
      </c>
      <c r="I274">
        <v>9.0068000000000001</v>
      </c>
      <c r="J274">
        <v>3.2621000000000002</v>
      </c>
      <c r="K274">
        <v>-0.21199999999999999</v>
      </c>
      <c r="L274">
        <v>10.4503</v>
      </c>
      <c r="M274">
        <v>12.0837</v>
      </c>
      <c r="N274">
        <v>17.529800000000002</v>
      </c>
      <c r="O274">
        <v>7.8624999999999998</v>
      </c>
      <c r="P274">
        <v>-10.2925</v>
      </c>
      <c r="Q274">
        <v>19.2667</v>
      </c>
      <c r="R274" t="str">
        <f>""</f>
        <v/>
      </c>
      <c r="S274" t="str">
        <f>""</f>
        <v/>
      </c>
      <c r="T274" t="str">
        <f>""</f>
        <v/>
      </c>
      <c r="U274" t="str">
        <f>""</f>
        <v/>
      </c>
      <c r="V274" t="str">
        <f>""</f>
        <v/>
      </c>
      <c r="W274" t="str">
        <f>""</f>
        <v/>
      </c>
      <c r="X274" t="str">
        <f>""</f>
        <v/>
      </c>
      <c r="Y274" t="str">
        <f>""</f>
        <v/>
      </c>
      <c r="Z274" t="str">
        <f>""</f>
        <v/>
      </c>
      <c r="AA274" t="str">
        <f>""</f>
        <v/>
      </c>
      <c r="AB274" t="str">
        <f>""</f>
        <v/>
      </c>
      <c r="AC274" t="str">
        <f>""</f>
        <v/>
      </c>
    </row>
    <row r="275" spans="1:29" x14ac:dyDescent="0.25">
      <c r="A275" t="str">
        <f>$A$42</f>
        <v xml:space="preserve">    Amdocs Ltd</v>
      </c>
      <c r="B275" t="str">
        <f>$B$42</f>
        <v>DOX US Equity</v>
      </c>
      <c r="C275" t="str">
        <f>$C$42</f>
        <v>RR128</v>
      </c>
      <c r="D275" t="str">
        <f>$D$42</f>
        <v>EBITDA_GROWTH</v>
      </c>
      <c r="E275" t="str">
        <f>$E$42</f>
        <v>Dynamic</v>
      </c>
      <c r="F275" t="e">
        <f ca="1">_xll.BDH($B$42,$C$42,$B$236,$B$237,CONCATENATE("Per=",$B$234),"Dts=H","Dir=H",CONCATENATE("Points=",$B$235),"Sort=R","Days=A","Fill=B",CONCATENATE("FX=", $B$233),"cols=12;rows=1")</f>
        <v>#NAME?</v>
      </c>
      <c r="G275">
        <v>-12.6584</v>
      </c>
      <c r="H275">
        <v>5.3654000000000002</v>
      </c>
      <c r="I275">
        <v>0.60640000000000005</v>
      </c>
      <c r="J275">
        <v>4.9092000000000002</v>
      </c>
      <c r="K275">
        <v>5.7995000000000001</v>
      </c>
      <c r="L275">
        <v>3.3620000000000001</v>
      </c>
      <c r="M275">
        <v>2.7728999999999999</v>
      </c>
      <c r="N275">
        <v>-3.3860000000000001</v>
      </c>
      <c r="O275">
        <v>7.2394999999999996</v>
      </c>
      <c r="P275">
        <v>-7.6729000000000003</v>
      </c>
      <c r="Q275">
        <v>15.729900000000001</v>
      </c>
      <c r="R275" t="str">
        <f>""</f>
        <v/>
      </c>
      <c r="S275" t="str">
        <f>""</f>
        <v/>
      </c>
      <c r="T275" t="str">
        <f>""</f>
        <v/>
      </c>
      <c r="U275" t="str">
        <f>""</f>
        <v/>
      </c>
      <c r="V275" t="str">
        <f>""</f>
        <v/>
      </c>
      <c r="W275" t="str">
        <f>""</f>
        <v/>
      </c>
      <c r="X275" t="str">
        <f>""</f>
        <v/>
      </c>
      <c r="Y275" t="str">
        <f>""</f>
        <v/>
      </c>
      <c r="Z275" t="str">
        <f>""</f>
        <v/>
      </c>
      <c r="AA275" t="str">
        <f>""</f>
        <v/>
      </c>
      <c r="AB275" t="str">
        <f>""</f>
        <v/>
      </c>
      <c r="AC275" t="str">
        <f>""</f>
        <v/>
      </c>
    </row>
    <row r="276" spans="1:29" x14ac:dyDescent="0.25">
      <c r="A276" t="str">
        <f>$A$43</f>
        <v xml:space="preserve">    Atos SE</v>
      </c>
      <c r="B276" t="str">
        <f>$B$43</f>
        <v>ATO FP Equity</v>
      </c>
      <c r="C276" t="str">
        <f>$C$43</f>
        <v>RR128</v>
      </c>
      <c r="D276" t="str">
        <f>$D$43</f>
        <v>EBITDA_GROWTH</v>
      </c>
      <c r="E276" t="str">
        <f>$E$43</f>
        <v>Dynamic</v>
      </c>
      <c r="F276" t="e">
        <f ca="1">_xll.BDH($B$43,$C$43,$B$236,$B$237,CONCATENATE("Per=",$B$234),"Dts=H","Dir=H",CONCATENATE("Points=",$B$235),"Sort=R","Days=A","Fill=B",CONCATENATE("FX=", $B$233),"cols=12;rows=1")</f>
        <v>#NAME?</v>
      </c>
      <c r="G276">
        <v>-24.790500000000002</v>
      </c>
      <c r="H276">
        <v>6.2945000000000002</v>
      </c>
      <c r="I276">
        <v>26.284199999999998</v>
      </c>
      <c r="J276">
        <v>32.686599999999999</v>
      </c>
      <c r="K276">
        <v>1.7593000000000001</v>
      </c>
      <c r="L276">
        <v>2.7170999999999998</v>
      </c>
      <c r="M276">
        <v>18.979099999999999</v>
      </c>
      <c r="N276">
        <v>56.234900000000003</v>
      </c>
      <c r="O276">
        <v>63.363599999999998</v>
      </c>
      <c r="P276">
        <v>-48.179200000000002</v>
      </c>
      <c r="Q276">
        <v>0.63829999999999998</v>
      </c>
      <c r="R276" t="str">
        <f>""</f>
        <v/>
      </c>
      <c r="S276" t="str">
        <f>""</f>
        <v/>
      </c>
      <c r="T276" t="str">
        <f>""</f>
        <v/>
      </c>
      <c r="U276" t="str">
        <f>""</f>
        <v/>
      </c>
      <c r="V276" t="str">
        <f>""</f>
        <v/>
      </c>
      <c r="W276" t="str">
        <f>""</f>
        <v/>
      </c>
      <c r="X276" t="str">
        <f>""</f>
        <v/>
      </c>
      <c r="Y276" t="str">
        <f>""</f>
        <v/>
      </c>
      <c r="Z276" t="str">
        <f>""</f>
        <v/>
      </c>
      <c r="AA276" t="str">
        <f>""</f>
        <v/>
      </c>
      <c r="AB276" t="str">
        <f>""</f>
        <v/>
      </c>
      <c r="AC276" t="str">
        <f>""</f>
        <v/>
      </c>
    </row>
    <row r="277" spans="1:29" x14ac:dyDescent="0.25">
      <c r="A277" t="str">
        <f>$A$44</f>
        <v xml:space="preserve">    Capgemini SE</v>
      </c>
      <c r="B277" t="str">
        <f>$B$44</f>
        <v>CAP FP Equity</v>
      </c>
      <c r="C277" t="str">
        <f>$C$44</f>
        <v>RR128</v>
      </c>
      <c r="D277" t="str">
        <f>$D$44</f>
        <v>EBITDA_GROWTH</v>
      </c>
      <c r="E277" t="str">
        <f>$E$44</f>
        <v>Dynamic</v>
      </c>
      <c r="F277" t="e">
        <f ca="1">_xll.BDH($B$44,$C$44,$B$236,$B$237,CONCATENATE("Per=",$B$234),"Dts=H","Dir=H",CONCATENATE("Points=",$B$235),"Sort=R","Days=A","Fill=B",CONCATENATE("FX=", $B$233),"cols=12;rows=1")</f>
        <v>#NAME?</v>
      </c>
      <c r="G277">
        <v>4.6495999999999995</v>
      </c>
      <c r="H277">
        <v>2.5569999999999999</v>
      </c>
      <c r="I277">
        <v>12.519399999999999</v>
      </c>
      <c r="J277">
        <v>21.665099999999999</v>
      </c>
      <c r="K277">
        <v>13.9009</v>
      </c>
      <c r="L277">
        <v>11.271000000000001</v>
      </c>
      <c r="M277">
        <v>6.5133999999999999</v>
      </c>
      <c r="N277">
        <v>17.744399999999999</v>
      </c>
      <c r="O277">
        <v>33.802799999999998</v>
      </c>
      <c r="P277">
        <v>-49.337400000000002</v>
      </c>
      <c r="Q277">
        <v>17.625900000000001</v>
      </c>
      <c r="R277" t="str">
        <f>""</f>
        <v/>
      </c>
      <c r="S277" t="str">
        <f>""</f>
        <v/>
      </c>
      <c r="T277" t="str">
        <f>""</f>
        <v/>
      </c>
      <c r="U277" t="str">
        <f>""</f>
        <v/>
      </c>
      <c r="V277" t="str">
        <f>""</f>
        <v/>
      </c>
      <c r="W277" t="str">
        <f>""</f>
        <v/>
      </c>
      <c r="X277" t="str">
        <f>""</f>
        <v/>
      </c>
      <c r="Y277" t="str">
        <f>""</f>
        <v/>
      </c>
      <c r="Z277" t="str">
        <f>""</f>
        <v/>
      </c>
      <c r="AA277" t="str">
        <f>""</f>
        <v/>
      </c>
      <c r="AB277" t="str">
        <f>""</f>
        <v/>
      </c>
      <c r="AC277" t="str">
        <f>""</f>
        <v/>
      </c>
    </row>
    <row r="278" spans="1:29" x14ac:dyDescent="0.25">
      <c r="A278" t="str">
        <f>$A$45</f>
        <v xml:space="preserve">    CGI Inc</v>
      </c>
      <c r="B278" t="str">
        <f>$B$45</f>
        <v>GIB US Equity</v>
      </c>
      <c r="C278" t="str">
        <f>$C$45</f>
        <v>RR128</v>
      </c>
      <c r="D278" t="str">
        <f>$D$45</f>
        <v>EBITDA_GROWTH</v>
      </c>
      <c r="E278" t="str">
        <f>$E$45</f>
        <v>Dynamic</v>
      </c>
      <c r="F278" t="e">
        <f ca="1">_xll.BDH($B$45,$C$45,$B$236,$B$237,CONCATENATE("Per=",$B$234),"Dts=H","Dir=H",CONCATENATE("Points=",$B$235),"Sort=R","Days=A","Fill=B",CONCATENATE("FX=", $B$233),"cols=12;rows=1")</f>
        <v>#NAME?</v>
      </c>
      <c r="G278">
        <v>5.0471000000000004</v>
      </c>
      <c r="H278">
        <v>-3.4975999999999998</v>
      </c>
      <c r="I278">
        <v>4.1543999999999999</v>
      </c>
      <c r="J278">
        <v>10.0421</v>
      </c>
      <c r="K278">
        <v>44.192599999999999</v>
      </c>
      <c r="L278">
        <v>124.0947</v>
      </c>
      <c r="M278">
        <v>-30.6434</v>
      </c>
      <c r="N278">
        <v>5.9619999999999997</v>
      </c>
      <c r="O278">
        <v>4.9080000000000004</v>
      </c>
      <c r="P278">
        <v>9.5510000000000002</v>
      </c>
      <c r="Q278">
        <v>2.4091</v>
      </c>
      <c r="R278" t="str">
        <f>""</f>
        <v/>
      </c>
      <c r="S278" t="str">
        <f>""</f>
        <v/>
      </c>
      <c r="T278" t="str">
        <f>""</f>
        <v/>
      </c>
      <c r="U278" t="str">
        <f>""</f>
        <v/>
      </c>
      <c r="V278" t="str">
        <f>""</f>
        <v/>
      </c>
      <c r="W278" t="str">
        <f>""</f>
        <v/>
      </c>
      <c r="X278" t="str">
        <f>""</f>
        <v/>
      </c>
      <c r="Y278" t="str">
        <f>""</f>
        <v/>
      </c>
      <c r="Z278" t="str">
        <f>""</f>
        <v/>
      </c>
      <c r="AA278" t="str">
        <f>""</f>
        <v/>
      </c>
      <c r="AB278" t="str">
        <f>""</f>
        <v/>
      </c>
      <c r="AC278" t="str">
        <f>""</f>
        <v/>
      </c>
    </row>
    <row r="279" spans="1:29" x14ac:dyDescent="0.25">
      <c r="A279" t="str">
        <f>$A$46</f>
        <v xml:space="preserve">    Cognizant Technology Solutions Corp</v>
      </c>
      <c r="B279" t="str">
        <f>$B$46</f>
        <v>CTSH US Equity</v>
      </c>
      <c r="C279" t="str">
        <f>$C$46</f>
        <v>RR128</v>
      </c>
      <c r="D279" t="str">
        <f>$D$46</f>
        <v>EBITDA_GROWTH</v>
      </c>
      <c r="E279" t="str">
        <f>$E$46</f>
        <v>Dynamic</v>
      </c>
      <c r="F279" t="e">
        <f ca="1">_xll.BDH($B$46,$C$46,$B$236,$B$237,CONCATENATE("Per=",$B$234),"Dts=H","Dir=H",CONCATENATE("Points=",$B$235),"Sort=R","Days=A","Fill=B",CONCATENATE("FX=", $B$233),"cols=12;rows=1")</f>
        <v>#NAME?</v>
      </c>
      <c r="G279">
        <v>12.8249</v>
      </c>
      <c r="H279">
        <v>9.5952000000000002</v>
      </c>
      <c r="I279">
        <v>7.9287999999999998</v>
      </c>
      <c r="J279">
        <v>18.108000000000001</v>
      </c>
      <c r="K279">
        <v>12.6577</v>
      </c>
      <c r="L279">
        <v>22.380600000000001</v>
      </c>
      <c r="M279">
        <v>20.421399999999998</v>
      </c>
      <c r="N279">
        <v>29.692599999999999</v>
      </c>
      <c r="O279">
        <v>37.3185</v>
      </c>
      <c r="P279">
        <v>19.678899999999999</v>
      </c>
      <c r="Q279">
        <v>35.832000000000001</v>
      </c>
      <c r="R279" t="str">
        <f>""</f>
        <v/>
      </c>
      <c r="S279" t="str">
        <f>""</f>
        <v/>
      </c>
      <c r="T279" t="str">
        <f>""</f>
        <v/>
      </c>
      <c r="U279" t="str">
        <f>""</f>
        <v/>
      </c>
      <c r="V279" t="str">
        <f>""</f>
        <v/>
      </c>
      <c r="W279" t="str">
        <f>""</f>
        <v/>
      </c>
      <c r="X279" t="str">
        <f>""</f>
        <v/>
      </c>
      <c r="Y279" t="str">
        <f>""</f>
        <v/>
      </c>
      <c r="Z279" t="str">
        <f>""</f>
        <v/>
      </c>
      <c r="AA279" t="str">
        <f>""</f>
        <v/>
      </c>
      <c r="AB279" t="str">
        <f>""</f>
        <v/>
      </c>
      <c r="AC279" t="str">
        <f>""</f>
        <v/>
      </c>
    </row>
    <row r="280" spans="1:29" x14ac:dyDescent="0.25">
      <c r="A280" t="str">
        <f>$A$47</f>
        <v xml:space="preserve">    Conduent Inc</v>
      </c>
      <c r="B280" t="str">
        <f>$B$47</f>
        <v>CNDT US Equity</v>
      </c>
      <c r="C280" t="str">
        <f>$C$47</f>
        <v>RR128</v>
      </c>
      <c r="D280" t="str">
        <f>$D$47</f>
        <v>EBITDA_GROWTH</v>
      </c>
      <c r="E280" t="str">
        <f>$E$47</f>
        <v>Dynamic</v>
      </c>
      <c r="F280" t="e">
        <f ca="1">_xll.BDH($B$47,$C$47,$B$236,$B$237,CONCATENATE("Per=",$B$234),"Dts=H","Dir=H",CONCATENATE("Points=",$B$235),"Sort=R","Days=A","Fill=B",CONCATENATE("FX=", $B$233),"cols=12;rows=1")</f>
        <v>#NAME?</v>
      </c>
      <c r="G280">
        <v>-70.114900000000006</v>
      </c>
      <c r="J280">
        <v>-86.828199999999995</v>
      </c>
      <c r="K280">
        <v>-6.4103000000000003</v>
      </c>
      <c r="R280" t="str">
        <f>""</f>
        <v/>
      </c>
      <c r="S280" t="str">
        <f>""</f>
        <v/>
      </c>
      <c r="T280" t="str">
        <f>""</f>
        <v/>
      </c>
      <c r="U280" t="str">
        <f>""</f>
        <v/>
      </c>
      <c r="V280" t="str">
        <f>""</f>
        <v/>
      </c>
      <c r="W280" t="str">
        <f>""</f>
        <v/>
      </c>
      <c r="X280" t="str">
        <f>""</f>
        <v/>
      </c>
      <c r="Y280" t="str">
        <f>""</f>
        <v/>
      </c>
      <c r="Z280" t="str">
        <f>""</f>
        <v/>
      </c>
      <c r="AA280" t="str">
        <f>""</f>
        <v/>
      </c>
      <c r="AB280" t="str">
        <f>""</f>
        <v/>
      </c>
      <c r="AC280" t="str">
        <f>""</f>
        <v/>
      </c>
    </row>
    <row r="281" spans="1:29" x14ac:dyDescent="0.25">
      <c r="A281" t="str">
        <f>$A$48</f>
        <v xml:space="preserve">    DXC Technology Co</v>
      </c>
      <c r="B281" t="str">
        <f>$B$48</f>
        <v>DXC US Equity</v>
      </c>
      <c r="C281" t="str">
        <f>$C$48</f>
        <v>RR128</v>
      </c>
      <c r="D281" t="str">
        <f>$D$48</f>
        <v>EBITDA_GROWTH</v>
      </c>
      <c r="E281" t="str">
        <f>$E$48</f>
        <v>Dynamic</v>
      </c>
      <c r="F281" t="e">
        <f ca="1">_xll.BDH($B$48,$C$48,$B$236,$B$237,CONCATENATE("Per=",$B$234),"Dts=H","Dir=H",CONCATENATE("Points=",$B$235),"Sort=R","Days=A","Fill=B",CONCATENATE("FX=", $B$233),"cols=12;rows=1")</f>
        <v>#NAME?</v>
      </c>
      <c r="G281">
        <v>5.4945000000000004</v>
      </c>
      <c r="H281">
        <v>74.655500000000004</v>
      </c>
      <c r="R281" t="str">
        <f>""</f>
        <v/>
      </c>
      <c r="S281" t="str">
        <f>""</f>
        <v/>
      </c>
      <c r="T281" t="str">
        <f>""</f>
        <v/>
      </c>
      <c r="U281" t="str">
        <f>""</f>
        <v/>
      </c>
      <c r="V281" t="str">
        <f>""</f>
        <v/>
      </c>
      <c r="W281" t="str">
        <f>""</f>
        <v/>
      </c>
      <c r="X281" t="str">
        <f>""</f>
        <v/>
      </c>
      <c r="Y281" t="str">
        <f>""</f>
        <v/>
      </c>
      <c r="Z281" t="str">
        <f>""</f>
        <v/>
      </c>
      <c r="AA281" t="str">
        <f>""</f>
        <v/>
      </c>
      <c r="AB281" t="str">
        <f>""</f>
        <v/>
      </c>
      <c r="AC281" t="str">
        <f>""</f>
        <v/>
      </c>
    </row>
    <row r="282" spans="1:29" x14ac:dyDescent="0.25">
      <c r="A282" t="str">
        <f>$A$49</f>
        <v xml:space="preserve">    EPAM Systems Inc</v>
      </c>
      <c r="B282" t="str">
        <f>$B$49</f>
        <v>EPAM US Equity</v>
      </c>
      <c r="C282" t="str">
        <f>$C$49</f>
        <v>RR128</v>
      </c>
      <c r="D282" t="str">
        <f>$D$49</f>
        <v>EBITDA_GROWTH</v>
      </c>
      <c r="E282" t="str">
        <f>$E$49</f>
        <v>Dynamic</v>
      </c>
      <c r="F282" t="e">
        <f ca="1">_xll.BDH($B$49,$C$49,$B$236,$B$237,CONCATENATE("Per=",$B$234),"Dts=H","Dir=H",CONCATENATE("Points=",$B$235),"Sort=R","Days=A","Fill=B",CONCATENATE("FX=", $B$233),"cols=12;rows=1")</f>
        <v>#NAME?</v>
      </c>
      <c r="G282">
        <v>40.145299999999999</v>
      </c>
      <c r="H282">
        <v>28.281199999999998</v>
      </c>
      <c r="I282">
        <v>27.335000000000001</v>
      </c>
      <c r="J282">
        <v>18.999500000000001</v>
      </c>
      <c r="K282">
        <v>13.1564</v>
      </c>
      <c r="L282">
        <v>19.151199999999999</v>
      </c>
      <c r="M282">
        <v>22.930299999999999</v>
      </c>
      <c r="N282">
        <v>60.242899999999999</v>
      </c>
      <c r="O282">
        <v>80.703699999999998</v>
      </c>
      <c r="P282">
        <v>42.913899999999998</v>
      </c>
      <c r="Q282">
        <v>-14.271100000000001</v>
      </c>
      <c r="R282" t="str">
        <f>""</f>
        <v/>
      </c>
      <c r="S282" t="str">
        <f>""</f>
        <v/>
      </c>
      <c r="T282" t="str">
        <f>""</f>
        <v/>
      </c>
      <c r="U282" t="str">
        <f>""</f>
        <v/>
      </c>
      <c r="V282" t="str">
        <f>""</f>
        <v/>
      </c>
      <c r="W282" t="str">
        <f>""</f>
        <v/>
      </c>
      <c r="X282" t="str">
        <f>""</f>
        <v/>
      </c>
      <c r="Y282" t="str">
        <f>""</f>
        <v/>
      </c>
      <c r="Z282" t="str">
        <f>""</f>
        <v/>
      </c>
      <c r="AA282" t="str">
        <f>""</f>
        <v/>
      </c>
      <c r="AB282" t="str">
        <f>""</f>
        <v/>
      </c>
      <c r="AC282" t="str">
        <f>""</f>
        <v/>
      </c>
    </row>
    <row r="283" spans="1:29" x14ac:dyDescent="0.25">
      <c r="A283" t="str">
        <f>$A$50</f>
        <v xml:space="preserve">    Genpact Ltd</v>
      </c>
      <c r="B283" t="str">
        <f>$B$50</f>
        <v>G US Equity</v>
      </c>
      <c r="C283" t="str">
        <f>$C$50</f>
        <v>RR128</v>
      </c>
      <c r="D283" t="str">
        <f>$D$50</f>
        <v>EBITDA_GROWTH</v>
      </c>
      <c r="E283" t="str">
        <f>$E$50</f>
        <v>Dynamic</v>
      </c>
      <c r="F283" t="e">
        <f ca="1">_xll.BDH($B$50,$C$50,$B$236,$B$237,CONCATENATE("Per=",$B$234),"Dts=H","Dir=H",CONCATENATE("Points=",$B$235),"Sort=R","Days=A","Fill=B",CONCATENATE("FX=", $B$233),"cols=12;rows=1")</f>
        <v>#NAME?</v>
      </c>
      <c r="G283">
        <v>6.0244999999999997</v>
      </c>
      <c r="H283">
        <v>0.76890000000000003</v>
      </c>
      <c r="I283">
        <v>1.4271</v>
      </c>
      <c r="J283">
        <v>11.6029</v>
      </c>
      <c r="K283">
        <v>-3.1993</v>
      </c>
      <c r="L283">
        <v>12.290699999999999</v>
      </c>
      <c r="M283">
        <v>16.627299999999998</v>
      </c>
      <c r="N283">
        <v>16.9483</v>
      </c>
      <c r="O283">
        <v>4.2408999999999999</v>
      </c>
      <c r="P283">
        <v>7.0812999999999997</v>
      </c>
      <c r="R283" t="str">
        <f>""</f>
        <v/>
      </c>
      <c r="S283" t="str">
        <f>""</f>
        <v/>
      </c>
      <c r="T283" t="str">
        <f>""</f>
        <v/>
      </c>
      <c r="U283" t="str">
        <f>""</f>
        <v/>
      </c>
      <c r="V283" t="str">
        <f>""</f>
        <v/>
      </c>
      <c r="W283" t="str">
        <f>""</f>
        <v/>
      </c>
      <c r="X283" t="str">
        <f>""</f>
        <v/>
      </c>
      <c r="Y283" t="str">
        <f>""</f>
        <v/>
      </c>
      <c r="Z283" t="str">
        <f>""</f>
        <v/>
      </c>
      <c r="AA283" t="str">
        <f>""</f>
        <v/>
      </c>
      <c r="AB283" t="str">
        <f>""</f>
        <v/>
      </c>
      <c r="AC283" t="str">
        <f>""</f>
        <v/>
      </c>
    </row>
    <row r="284" spans="1:29" x14ac:dyDescent="0.25">
      <c r="A284" t="str">
        <f>$A$51</f>
        <v xml:space="preserve">    HCL Technologies Ltd</v>
      </c>
      <c r="B284" t="str">
        <f>$B$51</f>
        <v>HCLT IN Equity</v>
      </c>
      <c r="C284" t="str">
        <f>$C$51</f>
        <v>RR128</v>
      </c>
      <c r="D284" t="str">
        <f>$D$51</f>
        <v>EBITDA_GROWTH</v>
      </c>
      <c r="E284" t="str">
        <f>$E$51</f>
        <v>Dynamic</v>
      </c>
      <c r="F284" t="e">
        <f ca="1">_xll.BDH($B$51,$C$51,$B$236,$B$237,CONCATENATE("Per=",$B$234),"Dts=H","Dir=H",CONCATENATE("Points=",$B$235),"Sort=R","Days=A","Fill=B",CONCATENATE("FX=", $B$233),"cols=12;rows=1")</f>
        <v>#NAME?</v>
      </c>
      <c r="G284">
        <v>14.0753</v>
      </c>
      <c r="H284">
        <v>8.2969000000000008</v>
      </c>
      <c r="I284">
        <v>18.637599999999999</v>
      </c>
      <c r="L284">
        <v>36.645499999999998</v>
      </c>
      <c r="M284">
        <v>51.7819</v>
      </c>
      <c r="N284">
        <v>51.183999999999997</v>
      </c>
      <c r="O284">
        <v>27.1313</v>
      </c>
      <c r="P284">
        <v>-6.1897000000000002</v>
      </c>
      <c r="Q284">
        <v>21.4894</v>
      </c>
      <c r="R284" t="str">
        <f>""</f>
        <v/>
      </c>
      <c r="S284" t="str">
        <f>""</f>
        <v/>
      </c>
      <c r="T284" t="str">
        <f>""</f>
        <v/>
      </c>
      <c r="U284" t="str">
        <f>""</f>
        <v/>
      </c>
      <c r="V284" t="str">
        <f>""</f>
        <v/>
      </c>
      <c r="W284" t="str">
        <f>""</f>
        <v/>
      </c>
      <c r="X284" t="str">
        <f>""</f>
        <v/>
      </c>
      <c r="Y284" t="str">
        <f>""</f>
        <v/>
      </c>
      <c r="Z284" t="str">
        <f>""</f>
        <v/>
      </c>
      <c r="AA284" t="str">
        <f>""</f>
        <v/>
      </c>
      <c r="AB284" t="str">
        <f>""</f>
        <v/>
      </c>
      <c r="AC284" t="str">
        <f>""</f>
        <v/>
      </c>
    </row>
    <row r="285" spans="1:29" x14ac:dyDescent="0.25">
      <c r="A285" t="str">
        <f>$A$52</f>
        <v xml:space="preserve">    Indra Sistemas SA</v>
      </c>
      <c r="B285" t="str">
        <f>$B$52</f>
        <v>IDR SM Equity</v>
      </c>
      <c r="C285" t="str">
        <f>$C$52</f>
        <v>RR128</v>
      </c>
      <c r="D285" t="str">
        <f>$D$52</f>
        <v>EBITDA_GROWTH</v>
      </c>
      <c r="E285" t="str">
        <f>$E$52</f>
        <v>Dynamic</v>
      </c>
      <c r="F285" t="e">
        <f ca="1">_xll.BDH($B$52,$C$52,$B$236,$B$237,CONCATENATE("Per=",$B$234),"Dts=H","Dir=H",CONCATENATE("Points=",$B$235),"Sort=R","Days=A","Fill=B",CONCATENATE("FX=", $B$233),"cols=12;rows=1")</f>
        <v>#NAME?</v>
      </c>
      <c r="G285">
        <v>10.059900000000001</v>
      </c>
      <c r="H285">
        <v>16.077999999999999</v>
      </c>
      <c r="K285">
        <v>-91.303799999999995</v>
      </c>
      <c r="L285">
        <v>-0.66300000000000003</v>
      </c>
      <c r="M285">
        <v>-21.924299999999999</v>
      </c>
      <c r="N285">
        <v>5.1116000000000001</v>
      </c>
      <c r="O285">
        <v>-8.5358000000000001</v>
      </c>
      <c r="P285">
        <v>8.5503999999999998</v>
      </c>
      <c r="Q285">
        <v>20.0778</v>
      </c>
      <c r="R285" t="str">
        <f>""</f>
        <v/>
      </c>
      <c r="S285" t="str">
        <f>""</f>
        <v/>
      </c>
      <c r="T285" t="str">
        <f>""</f>
        <v/>
      </c>
      <c r="U285" t="str">
        <f>""</f>
        <v/>
      </c>
      <c r="V285" t="str">
        <f>""</f>
        <v/>
      </c>
      <c r="W285" t="str">
        <f>""</f>
        <v/>
      </c>
      <c r="X285" t="str">
        <f>""</f>
        <v/>
      </c>
      <c r="Y285" t="str">
        <f>""</f>
        <v/>
      </c>
      <c r="Z285" t="str">
        <f>""</f>
        <v/>
      </c>
      <c r="AA285" t="str">
        <f>""</f>
        <v/>
      </c>
      <c r="AB285" t="str">
        <f>""</f>
        <v/>
      </c>
      <c r="AC285" t="str">
        <f>""</f>
        <v/>
      </c>
    </row>
    <row r="286" spans="1:29" x14ac:dyDescent="0.25">
      <c r="A286" t="str">
        <f>$A$53</f>
        <v xml:space="preserve">    Infosys Ltd</v>
      </c>
      <c r="B286" t="str">
        <f>$B$53</f>
        <v>INFY US Equity</v>
      </c>
      <c r="C286" t="str">
        <f>$C$53</f>
        <v>RR128</v>
      </c>
      <c r="D286" t="str">
        <f>$D$53</f>
        <v>EBITDA_GROWTH</v>
      </c>
      <c r="E286" t="str">
        <f>$E$53</f>
        <v>Dynamic</v>
      </c>
      <c r="F286" t="e">
        <f ca="1">_xll.BDH($B$53,$C$53,$B$236,$B$237,CONCATENATE("Per=",$B$234),"Dts=H","Dir=H",CONCATENATE("Points=",$B$235),"Sort=R","Days=A","Fill=B",CONCATENATE("FX=", $B$233),"cols=12;rows=1")</f>
        <v>#NAME?</v>
      </c>
      <c r="G286">
        <v>9.8889999999999993</v>
      </c>
      <c r="H286">
        <v>2.1877</v>
      </c>
      <c r="I286">
        <v>8.9291</v>
      </c>
      <c r="J286">
        <v>18.3904</v>
      </c>
      <c r="K286">
        <v>9.4122000000000003</v>
      </c>
      <c r="L286">
        <v>16.6814</v>
      </c>
      <c r="M286">
        <v>5.9640000000000004</v>
      </c>
      <c r="N286">
        <v>19.4712</v>
      </c>
      <c r="O286">
        <v>14.114000000000001</v>
      </c>
      <c r="P286">
        <v>2.4626999999999999</v>
      </c>
      <c r="Q286">
        <v>45.742600000000003</v>
      </c>
      <c r="R286" t="str">
        <f>""</f>
        <v/>
      </c>
      <c r="S286" t="str">
        <f>""</f>
        <v/>
      </c>
      <c r="T286" t="str">
        <f>""</f>
        <v/>
      </c>
      <c r="U286" t="str">
        <f>""</f>
        <v/>
      </c>
      <c r="V286" t="str">
        <f>""</f>
        <v/>
      </c>
      <c r="W286" t="str">
        <f>""</f>
        <v/>
      </c>
      <c r="X286" t="str">
        <f>""</f>
        <v/>
      </c>
      <c r="Y286" t="str">
        <f>""</f>
        <v/>
      </c>
      <c r="Z286" t="str">
        <f>""</f>
        <v/>
      </c>
      <c r="AA286" t="str">
        <f>""</f>
        <v/>
      </c>
      <c r="AB286" t="str">
        <f>""</f>
        <v/>
      </c>
      <c r="AC286" t="str">
        <f>""</f>
        <v/>
      </c>
    </row>
    <row r="287" spans="1:29" x14ac:dyDescent="0.25">
      <c r="A287" t="str">
        <f>$A$54</f>
        <v xml:space="preserve">    International Business Machines Corp</v>
      </c>
      <c r="B287" t="str">
        <f>$B$54</f>
        <v>IBM US Equity</v>
      </c>
      <c r="C287" t="str">
        <f>$C$54</f>
        <v>RR128</v>
      </c>
      <c r="D287" t="str">
        <f>$D$54</f>
        <v>EBITDA_GROWTH</v>
      </c>
      <c r="E287" t="str">
        <f>$E$54</f>
        <v>Dynamic</v>
      </c>
      <c r="F287" t="e">
        <f ca="1">_xll.BDH($B$54,$C$54,$B$236,$B$237,CONCATENATE("Per=",$B$234),"Dts=H","Dir=H",CONCATENATE("Points=",$B$235),"Sort=R","Days=A","Fill=B",CONCATENATE("FX=", $B$233),"cols=12;rows=1")</f>
        <v>#NAME?</v>
      </c>
      <c r="G287">
        <v>2.8186</v>
      </c>
      <c r="H287">
        <v>2.2643</v>
      </c>
      <c r="I287">
        <v>-15.9421</v>
      </c>
      <c r="J287">
        <v>-15.348700000000001</v>
      </c>
      <c r="K287">
        <v>-7.8037000000000001</v>
      </c>
      <c r="L287">
        <v>-6.1727999999999996</v>
      </c>
      <c r="M287">
        <v>2.6173999999999999</v>
      </c>
      <c r="N287">
        <v>9.2298000000000009</v>
      </c>
      <c r="O287">
        <v>4.4213000000000005</v>
      </c>
      <c r="P287">
        <v>2.8940999999999999</v>
      </c>
      <c r="Q287">
        <v>14.2704</v>
      </c>
      <c r="R287" t="str">
        <f>""</f>
        <v/>
      </c>
      <c r="S287" t="str">
        <f>""</f>
        <v/>
      </c>
      <c r="T287" t="str">
        <f>""</f>
        <v/>
      </c>
      <c r="U287" t="str">
        <f>""</f>
        <v/>
      </c>
      <c r="V287" t="str">
        <f>""</f>
        <v/>
      </c>
      <c r="W287" t="str">
        <f>""</f>
        <v/>
      </c>
      <c r="X287" t="str">
        <f>""</f>
        <v/>
      </c>
      <c r="Y287" t="str">
        <f>""</f>
        <v/>
      </c>
      <c r="Z287" t="str">
        <f>""</f>
        <v/>
      </c>
      <c r="AA287" t="str">
        <f>""</f>
        <v/>
      </c>
      <c r="AB287" t="str">
        <f>""</f>
        <v/>
      </c>
      <c r="AC287" t="str">
        <f>""</f>
        <v/>
      </c>
    </row>
    <row r="288" spans="1:29" x14ac:dyDescent="0.25">
      <c r="A288" t="str">
        <f>$A$55</f>
        <v xml:space="preserve">    Tata Consultancy Services Ltd</v>
      </c>
      <c r="B288" t="str">
        <f>$B$55</f>
        <v>TCS IN Equity</v>
      </c>
      <c r="C288" t="str">
        <f>$C$55</f>
        <v>RR128</v>
      </c>
      <c r="D288" t="str">
        <f>$D$55</f>
        <v>EBITDA_GROWTH</v>
      </c>
      <c r="E288" t="str">
        <f>$E$55</f>
        <v>Dynamic</v>
      </c>
      <c r="F288" t="e">
        <f ca="1">_xll.BDH($B$55,$C$55,$B$236,$B$237,CONCATENATE("Per=",$B$234),"Dts=H","Dir=H",CONCATENATE("Points=",$B$235),"Sort=R","Days=A","Fill=B",CONCATENATE("FX=", $B$233),"cols=12;rows=1")</f>
        <v>#NAME?</v>
      </c>
      <c r="G288">
        <v>21.4971</v>
      </c>
      <c r="H288">
        <v>0.63449999999999995</v>
      </c>
      <c r="I288">
        <v>5.3230000000000004</v>
      </c>
      <c r="J288">
        <v>24.3718</v>
      </c>
      <c r="K288">
        <v>-1.8536000000000001</v>
      </c>
      <c r="L288">
        <v>39.314500000000002</v>
      </c>
      <c r="M288">
        <v>24.970700000000001</v>
      </c>
      <c r="N288">
        <v>29.136199999999999</v>
      </c>
      <c r="O288">
        <v>28.567399999999999</v>
      </c>
      <c r="P288">
        <v>21.266300000000001</v>
      </c>
      <c r="Q288">
        <v>24.4452</v>
      </c>
      <c r="R288" t="str">
        <f>""</f>
        <v/>
      </c>
      <c r="S288" t="str">
        <f>""</f>
        <v/>
      </c>
      <c r="T288" t="str">
        <f>""</f>
        <v/>
      </c>
      <c r="U288" t="str">
        <f>""</f>
        <v/>
      </c>
      <c r="V288" t="str">
        <f>""</f>
        <v/>
      </c>
      <c r="W288" t="str">
        <f>""</f>
        <v/>
      </c>
      <c r="X288" t="str">
        <f>""</f>
        <v/>
      </c>
      <c r="Y288" t="str">
        <f>""</f>
        <v/>
      </c>
      <c r="Z288" t="str">
        <f>""</f>
        <v/>
      </c>
      <c r="AA288" t="str">
        <f>""</f>
        <v/>
      </c>
      <c r="AB288" t="str">
        <f>""</f>
        <v/>
      </c>
      <c r="AC288" t="str">
        <f>""</f>
        <v/>
      </c>
    </row>
    <row r="289" spans="1:29" x14ac:dyDescent="0.25">
      <c r="A289" t="str">
        <f>$A$56</f>
        <v xml:space="preserve">    Tech Mahindra Ltd</v>
      </c>
      <c r="B289" t="str">
        <f>$B$56</f>
        <v>TECHM IN Equity</v>
      </c>
      <c r="C289" t="str">
        <f>$C$56</f>
        <v>RR128</v>
      </c>
      <c r="D289" t="str">
        <f>$D$56</f>
        <v>EBITDA_GROWTH</v>
      </c>
      <c r="E289" t="str">
        <f>$E$56</f>
        <v>Dynamic</v>
      </c>
      <c r="F289" t="e">
        <f ca="1">_xll.BDH($B$56,$C$56,$B$236,$B$237,CONCATENATE("Per=",$B$234),"Dts=H","Dir=H",CONCATENATE("Points=",$B$235),"Sort=R","Days=A","Fill=B",CONCATENATE("FX=", $B$233),"cols=12;rows=1")</f>
        <v>#NAME?</v>
      </c>
      <c r="G289">
        <v>34.552799999999998</v>
      </c>
      <c r="H289">
        <v>12.551399999999999</v>
      </c>
      <c r="I289">
        <v>-2.0185</v>
      </c>
      <c r="J289">
        <v>2.8342000000000001</v>
      </c>
      <c r="K289">
        <v>-0.73860000000000003</v>
      </c>
      <c r="L289">
        <v>193.76490000000001</v>
      </c>
      <c r="M289">
        <v>54.9054</v>
      </c>
      <c r="N289">
        <v>-8.3623999999999992</v>
      </c>
      <c r="O289">
        <v>-11.4162</v>
      </c>
      <c r="P289">
        <v>-11.6881</v>
      </c>
      <c r="Q289">
        <v>52.207500000000003</v>
      </c>
      <c r="R289" t="str">
        <f>""</f>
        <v/>
      </c>
      <c r="S289" t="str">
        <f>""</f>
        <v/>
      </c>
      <c r="T289" t="str">
        <f>""</f>
        <v/>
      </c>
      <c r="U289" t="str">
        <f>""</f>
        <v/>
      </c>
      <c r="V289" t="str">
        <f>""</f>
        <v/>
      </c>
      <c r="W289" t="str">
        <f>""</f>
        <v/>
      </c>
      <c r="X289" t="str">
        <f>""</f>
        <v/>
      </c>
      <c r="Y289" t="str">
        <f>""</f>
        <v/>
      </c>
      <c r="Z289" t="str">
        <f>""</f>
        <v/>
      </c>
      <c r="AA289" t="str">
        <f>""</f>
        <v/>
      </c>
      <c r="AB289" t="str">
        <f>""</f>
        <v/>
      </c>
      <c r="AC289" t="str">
        <f>""</f>
        <v/>
      </c>
    </row>
    <row r="290" spans="1:29" x14ac:dyDescent="0.25">
      <c r="A290" t="str">
        <f>$A$57</f>
        <v xml:space="preserve">    Wipro Ltd</v>
      </c>
      <c r="B290" t="str">
        <f>$B$57</f>
        <v>WIT US Equity</v>
      </c>
      <c r="C290" t="str">
        <f>$C$57</f>
        <v>RR128</v>
      </c>
      <c r="D290" t="str">
        <f>$D$57</f>
        <v>EBITDA_GROWTH</v>
      </c>
      <c r="E290" t="str">
        <f>$E$57</f>
        <v>Dynamic</v>
      </c>
      <c r="F290" t="e">
        <f ca="1">_xll.BDH($B$57,$C$57,$B$236,$B$237,CONCATENATE("Per=",$B$234),"Dts=H","Dir=H",CONCATENATE("Points=",$B$235),"Sort=R","Days=A","Fill=B",CONCATENATE("FX=", $B$233),"cols=12;rows=1")</f>
        <v>#NAME?</v>
      </c>
      <c r="G290">
        <v>11.776199999999999</v>
      </c>
      <c r="H290">
        <v>-7.7808999999999999</v>
      </c>
      <c r="I290">
        <v>4.3914999999999997</v>
      </c>
      <c r="J290">
        <v>3.2014</v>
      </c>
      <c r="K290">
        <v>7.7321999999999997</v>
      </c>
      <c r="L290">
        <v>24.200299999999999</v>
      </c>
      <c r="M290">
        <v>10.3254</v>
      </c>
      <c r="N290">
        <v>8.2984000000000009</v>
      </c>
      <c r="O290">
        <v>9.9841999999999995</v>
      </c>
      <c r="P290">
        <v>14.7669</v>
      </c>
      <c r="Q290">
        <v>23.1038</v>
      </c>
      <c r="R290" t="str">
        <f>""</f>
        <v/>
      </c>
      <c r="S290" t="str">
        <f>""</f>
        <v/>
      </c>
      <c r="T290" t="str">
        <f>""</f>
        <v/>
      </c>
      <c r="U290" t="str">
        <f>""</f>
        <v/>
      </c>
      <c r="V290" t="str">
        <f>""</f>
        <v/>
      </c>
      <c r="W290" t="str">
        <f>""</f>
        <v/>
      </c>
      <c r="X290" t="str">
        <f>""</f>
        <v/>
      </c>
      <c r="Y290" t="str">
        <f>""</f>
        <v/>
      </c>
      <c r="Z290" t="str">
        <f>""</f>
        <v/>
      </c>
      <c r="AA290" t="str">
        <f>""</f>
        <v/>
      </c>
      <c r="AB290" t="str">
        <f>""</f>
        <v/>
      </c>
      <c r="AC290" t="str">
        <f>""</f>
        <v/>
      </c>
    </row>
    <row r="291" spans="1:29" x14ac:dyDescent="0.25">
      <c r="A291" t="str">
        <f>$A$59</f>
        <v xml:space="preserve">    Accenture PLC</v>
      </c>
      <c r="B291" t="str">
        <f>$B$59</f>
        <v>ACN US Equity</v>
      </c>
      <c r="C291" t="str">
        <f>$C$59</f>
        <v>RR062</v>
      </c>
      <c r="D291" t="str">
        <f>$D$59</f>
        <v>EPS_GROWTH</v>
      </c>
      <c r="E291" t="str">
        <f>$E$59</f>
        <v>Dynamic</v>
      </c>
      <c r="F291" t="e">
        <f ca="1">_xll.BDH($B$59,$C$59,$B$236,$B$237,CONCATENATE("Per=",$B$234),"Dts=H","Dir=H",CONCATENATE("Points=",$B$235),"Sort=R","Days=A","Fill=B",CONCATENATE("FX=", $B$233),"cols=12;rows=1")</f>
        <v>#NAME?</v>
      </c>
      <c r="G291">
        <v>16.187100000000001</v>
      </c>
      <c r="H291">
        <v>-15.5015</v>
      </c>
      <c r="I291">
        <v>35.112900000000003</v>
      </c>
      <c r="J291">
        <v>4.9569000000000001</v>
      </c>
      <c r="K291">
        <v>-8.6614000000000004</v>
      </c>
      <c r="L291">
        <v>27.959700000000002</v>
      </c>
      <c r="M291">
        <v>12.464600000000001</v>
      </c>
      <c r="N291">
        <v>26.523299999999999</v>
      </c>
      <c r="O291">
        <v>9.4117999999999995</v>
      </c>
      <c r="P291">
        <v>-7.9421999999999997</v>
      </c>
      <c r="Q291">
        <v>34.466000000000001</v>
      </c>
      <c r="R291" t="str">
        <f>""</f>
        <v/>
      </c>
      <c r="S291" t="str">
        <f>""</f>
        <v/>
      </c>
      <c r="T291" t="str">
        <f>""</f>
        <v/>
      </c>
      <c r="U291" t="str">
        <f>""</f>
        <v/>
      </c>
      <c r="V291" t="str">
        <f>""</f>
        <v/>
      </c>
      <c r="W291" t="str">
        <f>""</f>
        <v/>
      </c>
      <c r="X291" t="str">
        <f>""</f>
        <v/>
      </c>
      <c r="Y291" t="str">
        <f>""</f>
        <v/>
      </c>
      <c r="Z291" t="str">
        <f>""</f>
        <v/>
      </c>
      <c r="AA291" t="str">
        <f>""</f>
        <v/>
      </c>
      <c r="AB291" t="str">
        <f>""</f>
        <v/>
      </c>
      <c r="AC291" t="str">
        <f>""</f>
        <v/>
      </c>
    </row>
    <row r="292" spans="1:29" x14ac:dyDescent="0.25">
      <c r="A292" t="str">
        <f>$A$60</f>
        <v xml:space="preserve">    Amdocs Ltd</v>
      </c>
      <c r="B292" t="str">
        <f>$B$60</f>
        <v>DOX US Equity</v>
      </c>
      <c r="C292" t="str">
        <f>$C$60</f>
        <v>RR062</v>
      </c>
      <c r="D292" t="str">
        <f>$D$60</f>
        <v>EPS_GROWTH</v>
      </c>
      <c r="E292" t="str">
        <f>$E$60</f>
        <v>Dynamic</v>
      </c>
      <c r="F292" t="e">
        <f ca="1">_xll.BDH($B$60,$C$60,$B$236,$B$237,CONCATENATE("Per=",$B$234),"Dts=H","Dir=H",CONCATENATE("Points=",$B$235),"Sort=R","Days=A","Fill=B",CONCATENATE("FX=", $B$233),"cols=12;rows=1")</f>
        <v>#NAME?</v>
      </c>
      <c r="G292">
        <v>-16.7224</v>
      </c>
      <c r="H292">
        <v>9.1241000000000003</v>
      </c>
      <c r="I292">
        <v>-5.1902999999999997</v>
      </c>
      <c r="J292">
        <v>9.0565999999999995</v>
      </c>
      <c r="K292">
        <v>3.5156000000000001</v>
      </c>
      <c r="L292">
        <v>9.8712</v>
      </c>
      <c r="M292">
        <v>24.5989</v>
      </c>
      <c r="N292">
        <v>10</v>
      </c>
      <c r="O292">
        <v>5.5900999999999996</v>
      </c>
      <c r="P292">
        <v>-12.0219</v>
      </c>
      <c r="Q292">
        <v>3.9773000000000001</v>
      </c>
      <c r="R292" t="str">
        <f>""</f>
        <v/>
      </c>
      <c r="S292" t="str">
        <f>""</f>
        <v/>
      </c>
      <c r="T292" t="str">
        <f>""</f>
        <v/>
      </c>
      <c r="U292" t="str">
        <f>""</f>
        <v/>
      </c>
      <c r="V292" t="str">
        <f>""</f>
        <v/>
      </c>
      <c r="W292" t="str">
        <f>""</f>
        <v/>
      </c>
      <c r="X292" t="str">
        <f>""</f>
        <v/>
      </c>
      <c r="Y292" t="str">
        <f>""</f>
        <v/>
      </c>
      <c r="Z292" t="str">
        <f>""</f>
        <v/>
      </c>
      <c r="AA292" t="str">
        <f>""</f>
        <v/>
      </c>
      <c r="AB292" t="str">
        <f>""</f>
        <v/>
      </c>
      <c r="AC292" t="str">
        <f>""</f>
        <v/>
      </c>
    </row>
    <row r="293" spans="1:29" x14ac:dyDescent="0.25">
      <c r="A293" t="str">
        <f>$A$61</f>
        <v xml:space="preserve">    Atos SE</v>
      </c>
      <c r="B293" t="str">
        <f>$B$61</f>
        <v>ATO FP Equity</v>
      </c>
      <c r="C293" t="str">
        <f>$C$61</f>
        <v>RR062</v>
      </c>
      <c r="D293" t="str">
        <f>$D$61</f>
        <v>EPS_GROWTH</v>
      </c>
      <c r="E293" t="str">
        <f>$E$61</f>
        <v>Dynamic</v>
      </c>
      <c r="F293" t="e">
        <f ca="1">_xll.BDH($B$61,$C$61,$B$236,$B$237,CONCATENATE("Per=",$B$234),"Dts=H","Dir=H",CONCATENATE("Points=",$B$235),"Sort=R","Days=A","Fill=B",CONCATENATE("FX=", $B$233),"cols=12;rows=1")</f>
        <v>#NAME?</v>
      </c>
      <c r="G293">
        <v>-19.029199999999999</v>
      </c>
      <c r="H293">
        <v>2.5089999999999999</v>
      </c>
      <c r="I293">
        <v>39.152099999999997</v>
      </c>
      <c r="J293">
        <v>50.1873</v>
      </c>
      <c r="K293">
        <v>-10.402699999999999</v>
      </c>
      <c r="L293">
        <v>12.030099999999999</v>
      </c>
      <c r="M293">
        <v>11.2971</v>
      </c>
      <c r="N293">
        <v>43.113799999999998</v>
      </c>
      <c r="O293">
        <v>2683.3332999999998</v>
      </c>
      <c r="P293">
        <v>-81.25</v>
      </c>
      <c r="Q293">
        <v>-54.285699999999999</v>
      </c>
      <c r="R293" t="str">
        <f>""</f>
        <v/>
      </c>
      <c r="S293" t="str">
        <f>""</f>
        <v/>
      </c>
      <c r="T293" t="str">
        <f>""</f>
        <v/>
      </c>
      <c r="U293" t="str">
        <f>""</f>
        <v/>
      </c>
      <c r="V293" t="str">
        <f>""</f>
        <v/>
      </c>
      <c r="W293" t="str">
        <f>""</f>
        <v/>
      </c>
      <c r="X293" t="str">
        <f>""</f>
        <v/>
      </c>
      <c r="Y293" t="str">
        <f>""</f>
        <v/>
      </c>
      <c r="Z293" t="str">
        <f>""</f>
        <v/>
      </c>
      <c r="AA293" t="str">
        <f>""</f>
        <v/>
      </c>
      <c r="AB293" t="str">
        <f>""</f>
        <v/>
      </c>
      <c r="AC293" t="str">
        <f>""</f>
        <v/>
      </c>
    </row>
    <row r="294" spans="1:29" x14ac:dyDescent="0.25">
      <c r="A294" t="str">
        <f>$A$62</f>
        <v xml:space="preserve">    Capgemini SE</v>
      </c>
      <c r="B294" t="str">
        <f>$B$62</f>
        <v>CAP FP Equity</v>
      </c>
      <c r="C294" t="str">
        <f>$C$62</f>
        <v>RR062</v>
      </c>
      <c r="D294" t="str">
        <f>$D$62</f>
        <v>EPS_GROWTH</v>
      </c>
      <c r="E294" t="str">
        <f>$E$62</f>
        <v>Dynamic</v>
      </c>
      <c r="F294" t="e">
        <f ca="1">_xll.BDH($B$62,$C$62,$B$236,$B$237,CONCATENATE("Per=",$B$234),"Dts=H","Dir=H",CONCATENATE("Points=",$B$235),"Sort=R","Days=A","Fill=B",CONCATENATE("FX=", $B$233),"cols=12;rows=1")</f>
        <v>#NAME?</v>
      </c>
      <c r="G294">
        <v>-10.450799999999999</v>
      </c>
      <c r="H294">
        <v>-10.2941</v>
      </c>
      <c r="I294">
        <v>-18.440799999999999</v>
      </c>
      <c r="J294">
        <v>81.25</v>
      </c>
      <c r="K294">
        <v>31.428599999999999</v>
      </c>
      <c r="L294">
        <v>23.893799999999999</v>
      </c>
      <c r="M294">
        <v>-14.0684</v>
      </c>
      <c r="N294">
        <v>43.715800000000002</v>
      </c>
      <c r="O294">
        <v>48.780500000000004</v>
      </c>
      <c r="P294">
        <v>-60.828000000000003</v>
      </c>
      <c r="Q294">
        <v>3.2894999999999999</v>
      </c>
      <c r="R294" t="str">
        <f>""</f>
        <v/>
      </c>
      <c r="S294" t="str">
        <f>""</f>
        <v/>
      </c>
      <c r="T294" t="str">
        <f>""</f>
        <v/>
      </c>
      <c r="U294" t="str">
        <f>""</f>
        <v/>
      </c>
      <c r="V294" t="str">
        <f>""</f>
        <v/>
      </c>
      <c r="W294" t="str">
        <f>""</f>
        <v/>
      </c>
      <c r="X294" t="str">
        <f>""</f>
        <v/>
      </c>
      <c r="Y294" t="str">
        <f>""</f>
        <v/>
      </c>
      <c r="Z294" t="str">
        <f>""</f>
        <v/>
      </c>
      <c r="AA294" t="str">
        <f>""</f>
        <v/>
      </c>
      <c r="AB294" t="str">
        <f>""</f>
        <v/>
      </c>
      <c r="AC294" t="str">
        <f>""</f>
        <v/>
      </c>
    </row>
    <row r="295" spans="1:29" x14ac:dyDescent="0.25">
      <c r="A295" t="str">
        <f>$A$63</f>
        <v xml:space="preserve">    CGI Inc</v>
      </c>
      <c r="B295" t="str">
        <f>$B$63</f>
        <v>GIB US Equity</v>
      </c>
      <c r="C295" t="str">
        <f>$C$63</f>
        <v>RR062</v>
      </c>
      <c r="D295" t="str">
        <f>$D$63</f>
        <v>EPS_GROWTH</v>
      </c>
      <c r="E295" t="str">
        <f>$E$63</f>
        <v>Dynamic</v>
      </c>
      <c r="F295" t="e">
        <f ca="1">_xll.BDH($B$63,$C$63,$B$236,$B$237,CONCATENATE("Per=",$B$234),"Dts=H","Dir=H",CONCATENATE("Points=",$B$235),"Sort=R","Days=A","Fill=B",CONCATENATE("FX=", $B$233),"cols=12;rows=1")</f>
        <v>#NAME?</v>
      </c>
      <c r="G295">
        <v>15.517200000000001</v>
      </c>
      <c r="H295">
        <v>-0.85470000000000002</v>
      </c>
      <c r="I295">
        <v>11.7834</v>
      </c>
      <c r="J295">
        <v>12.9496</v>
      </c>
      <c r="K295">
        <v>87.837800000000001</v>
      </c>
      <c r="L295">
        <v>196</v>
      </c>
      <c r="M295">
        <v>-69.697000000000003</v>
      </c>
      <c r="N295">
        <v>29.921299999999999</v>
      </c>
      <c r="O295">
        <v>23.300999999999998</v>
      </c>
      <c r="P295">
        <v>9.5745000000000005</v>
      </c>
      <c r="Q295">
        <v>32.394399999999997</v>
      </c>
      <c r="R295" t="str">
        <f>""</f>
        <v/>
      </c>
      <c r="S295" t="str">
        <f>""</f>
        <v/>
      </c>
      <c r="T295" t="str">
        <f>""</f>
        <v/>
      </c>
      <c r="U295" t="str">
        <f>""</f>
        <v/>
      </c>
      <c r="V295" t="str">
        <f>""</f>
        <v/>
      </c>
      <c r="W295" t="str">
        <f>""</f>
        <v/>
      </c>
      <c r="X295" t="str">
        <f>""</f>
        <v/>
      </c>
      <c r="Y295" t="str">
        <f>""</f>
        <v/>
      </c>
      <c r="Z295" t="str">
        <f>""</f>
        <v/>
      </c>
      <c r="AA295" t="str">
        <f>""</f>
        <v/>
      </c>
      <c r="AB295" t="str">
        <f>""</f>
        <v/>
      </c>
      <c r="AC295" t="str">
        <f>""</f>
        <v/>
      </c>
    </row>
    <row r="296" spans="1:29" x14ac:dyDescent="0.25">
      <c r="A296" t="str">
        <f>$A$64</f>
        <v xml:space="preserve">    Cognizant Technology Solutions Corp</v>
      </c>
      <c r="B296" t="str">
        <f>$B$64</f>
        <v>CTSH US Equity</v>
      </c>
      <c r="C296" t="str">
        <f>$C$64</f>
        <v>RR062</v>
      </c>
      <c r="D296" t="str">
        <f>$D$64</f>
        <v>EPS_GROWTH</v>
      </c>
      <c r="E296" t="str">
        <f>$E$64</f>
        <v>Dynamic</v>
      </c>
      <c r="F296" t="e">
        <f ca="1">_xll.BDH($B$64,$C$64,$B$236,$B$237,CONCATENATE("Per=",$B$234),"Dts=H","Dir=H",CONCATENATE("Points=",$B$235),"Sort=R","Days=A","Fill=B",CONCATENATE("FX=", $B$233),"cols=12;rows=1")</f>
        <v>#NAME?</v>
      </c>
      <c r="G296">
        <v>42.125999999999998</v>
      </c>
      <c r="H296">
        <v>-0.78129999999999999</v>
      </c>
      <c r="I296">
        <v>-4.1199000000000003</v>
      </c>
      <c r="J296">
        <v>12.658200000000001</v>
      </c>
      <c r="K296">
        <v>16.4619</v>
      </c>
      <c r="L296">
        <v>16.6189</v>
      </c>
      <c r="M296">
        <v>19.9313</v>
      </c>
      <c r="N296">
        <v>19.2623</v>
      </c>
      <c r="O296">
        <v>34.065899999999999</v>
      </c>
      <c r="P296">
        <v>22.1477</v>
      </c>
      <c r="Q296">
        <v>22.1311</v>
      </c>
      <c r="R296" t="str">
        <f>""</f>
        <v/>
      </c>
      <c r="S296" t="str">
        <f>""</f>
        <v/>
      </c>
      <c r="T296" t="str">
        <f>""</f>
        <v/>
      </c>
      <c r="U296" t="str">
        <f>""</f>
        <v/>
      </c>
      <c r="V296" t="str">
        <f>""</f>
        <v/>
      </c>
      <c r="W296" t="str">
        <f>""</f>
        <v/>
      </c>
      <c r="X296" t="str">
        <f>""</f>
        <v/>
      </c>
      <c r="Y296" t="str">
        <f>""</f>
        <v/>
      </c>
      <c r="Z296" t="str">
        <f>""</f>
        <v/>
      </c>
      <c r="AA296" t="str">
        <f>""</f>
        <v/>
      </c>
      <c r="AB296" t="str">
        <f>""</f>
        <v/>
      </c>
      <c r="AC296" t="str">
        <f>""</f>
        <v/>
      </c>
    </row>
    <row r="297" spans="1:29" x14ac:dyDescent="0.25">
      <c r="A297" t="str">
        <f>$A$65</f>
        <v xml:space="preserve">    Conduent Inc</v>
      </c>
      <c r="B297" t="str">
        <f>$B$65</f>
        <v>CNDT US Equity</v>
      </c>
      <c r="C297" t="str">
        <f>$C$65</f>
        <v>RR062</v>
      </c>
      <c r="D297" t="str">
        <f>$D$65</f>
        <v>EPS_GROWTH</v>
      </c>
      <c r="E297" t="str">
        <f>$E$65</f>
        <v>Dynamic</v>
      </c>
      <c r="F297" t="e">
        <f ca="1">_xll.BDH($B$65,$C$65,$B$236,$B$237,CONCATENATE("Per=",$B$234),"Dts=H","Dir=H",CONCATENATE("Points=",$B$235),"Sort=R","Days=A","Fill=B",CONCATENATE("FX=", $B$233),"cols=12;rows=1")</f>
        <v>#NAME?</v>
      </c>
      <c r="I297">
        <v>-193.93940000000001</v>
      </c>
      <c r="R297" t="str">
        <f>""</f>
        <v/>
      </c>
      <c r="S297" t="str">
        <f>""</f>
        <v/>
      </c>
      <c r="T297" t="str">
        <f>""</f>
        <v/>
      </c>
      <c r="U297" t="str">
        <f>""</f>
        <v/>
      </c>
      <c r="V297" t="str">
        <f>""</f>
        <v/>
      </c>
      <c r="W297" t="str">
        <f>""</f>
        <v/>
      </c>
      <c r="X297" t="str">
        <f>""</f>
        <v/>
      </c>
      <c r="Y297" t="str">
        <f>""</f>
        <v/>
      </c>
      <c r="Z297" t="str">
        <f>""</f>
        <v/>
      </c>
      <c r="AA297" t="str">
        <f>""</f>
        <v/>
      </c>
      <c r="AB297" t="str">
        <f>""</f>
        <v/>
      </c>
      <c r="AC297" t="str">
        <f>""</f>
        <v/>
      </c>
    </row>
    <row r="298" spans="1:29" x14ac:dyDescent="0.25">
      <c r="A298" t="str">
        <f>$A$66</f>
        <v xml:space="preserve">    DXC Technology Co</v>
      </c>
      <c r="B298" t="str">
        <f>$B$66</f>
        <v>DXC US Equity</v>
      </c>
      <c r="C298" t="str">
        <f>$C$66</f>
        <v>RR062</v>
      </c>
      <c r="D298" t="str">
        <f>$D$66</f>
        <v>EPS_GROWTH</v>
      </c>
      <c r="E298" t="str">
        <f>$E$66</f>
        <v>Dynamic</v>
      </c>
      <c r="F298" t="e">
        <f ca="1">_xll.BDH($B$66,$C$66,$B$236,$B$237,CONCATENATE("Per=",$B$234),"Dts=H","Dir=H",CONCATENATE("Points=",$B$235),"Sort=R","Days=A","Fill=B",CONCATENATE("FX=", $B$233),"cols=12;rows=1")</f>
        <v>#NAME?</v>
      </c>
      <c r="G298">
        <v>-17.293199999999999</v>
      </c>
      <c r="R298" t="str">
        <f>""</f>
        <v/>
      </c>
      <c r="S298" t="str">
        <f>""</f>
        <v/>
      </c>
      <c r="T298" t="str">
        <f>""</f>
        <v/>
      </c>
      <c r="U298" t="str">
        <f>""</f>
        <v/>
      </c>
      <c r="V298" t="str">
        <f>""</f>
        <v/>
      </c>
      <c r="W298" t="str">
        <f>""</f>
        <v/>
      </c>
      <c r="X298" t="str">
        <f>""</f>
        <v/>
      </c>
      <c r="Y298" t="str">
        <f>""</f>
        <v/>
      </c>
      <c r="Z298" t="str">
        <f>""</f>
        <v/>
      </c>
      <c r="AA298" t="str">
        <f>""</f>
        <v/>
      </c>
      <c r="AB298" t="str">
        <f>""</f>
        <v/>
      </c>
      <c r="AC298" t="str">
        <f>""</f>
        <v/>
      </c>
    </row>
    <row r="299" spans="1:29" x14ac:dyDescent="0.25">
      <c r="A299" t="str">
        <f>$A$67</f>
        <v xml:space="preserve">    EPAM Systems Inc</v>
      </c>
      <c r="B299" t="str">
        <f>$B$67</f>
        <v>EPAM US Equity</v>
      </c>
      <c r="C299" t="str">
        <f>$C$67</f>
        <v>RR062</v>
      </c>
      <c r="D299" t="str">
        <f>$D$67</f>
        <v>EPS_GROWTH</v>
      </c>
      <c r="E299" t="str">
        <f>$E$67</f>
        <v>Dynamic</v>
      </c>
      <c r="F299" t="e">
        <f ca="1">_xll.BDH($B$67,$C$67,$B$236,$B$237,CONCATENATE("Per=",$B$234),"Dts=H","Dir=H",CONCATENATE("Points=",$B$235),"Sort=R","Days=A","Fill=B",CONCATENATE("FX=", $B$233),"cols=12;rows=1")</f>
        <v>#NAME?</v>
      </c>
      <c r="G299">
        <v>220</v>
      </c>
      <c r="H299">
        <v>-28.934000000000001</v>
      </c>
      <c r="I299">
        <v>13.8728</v>
      </c>
      <c r="J299">
        <v>16.8919</v>
      </c>
      <c r="K299">
        <v>9.6295999999999999</v>
      </c>
      <c r="L299">
        <v>6.2991999999999999</v>
      </c>
      <c r="M299">
        <v>84.525199999999998</v>
      </c>
      <c r="N299">
        <v>-89.742900000000006</v>
      </c>
      <c r="O299">
        <v>258.82350000000002</v>
      </c>
      <c r="P299">
        <v>-6.5</v>
      </c>
      <c r="Q299">
        <v>-64.788700000000006</v>
      </c>
      <c r="R299" t="str">
        <f>""</f>
        <v/>
      </c>
      <c r="S299" t="str">
        <f>""</f>
        <v/>
      </c>
      <c r="T299" t="str">
        <f>""</f>
        <v/>
      </c>
      <c r="U299" t="str">
        <f>""</f>
        <v/>
      </c>
      <c r="V299" t="str">
        <f>""</f>
        <v/>
      </c>
      <c r="W299" t="str">
        <f>""</f>
        <v/>
      </c>
      <c r="X299" t="str">
        <f>""</f>
        <v/>
      </c>
      <c r="Y299" t="str">
        <f>""</f>
        <v/>
      </c>
      <c r="Z299" t="str">
        <f>""</f>
        <v/>
      </c>
      <c r="AA299" t="str">
        <f>""</f>
        <v/>
      </c>
      <c r="AB299" t="str">
        <f>""</f>
        <v/>
      </c>
      <c r="AC299" t="str">
        <f>""</f>
        <v/>
      </c>
    </row>
    <row r="300" spans="1:29" x14ac:dyDescent="0.25">
      <c r="A300" t="str">
        <f>$A$68</f>
        <v xml:space="preserve">    Genpact Ltd</v>
      </c>
      <c r="B300" t="str">
        <f>$B$68</f>
        <v>G US Equity</v>
      </c>
      <c r="C300" t="str">
        <f>$C$68</f>
        <v>RR062</v>
      </c>
      <c r="D300" t="str">
        <f>$D$68</f>
        <v>EPS_GROWTH</v>
      </c>
      <c r="E300" t="str">
        <f>$E$68</f>
        <v>Dynamic</v>
      </c>
      <c r="F300" t="e">
        <f ca="1">_xll.BDH($B$68,$C$68,$B$236,$B$237,CONCATENATE("Per=",$B$234),"Dts=H","Dir=H",CONCATENATE("Points=",$B$235),"Sort=R","Days=A","Fill=B",CONCATENATE("FX=", $B$233),"cols=12;rows=1")</f>
        <v>#NAME?</v>
      </c>
      <c r="G300">
        <v>8.8234999999999992</v>
      </c>
      <c r="H300">
        <v>4.6154000000000002</v>
      </c>
      <c r="I300">
        <v>17.117100000000001</v>
      </c>
      <c r="J300">
        <v>27.586200000000002</v>
      </c>
      <c r="K300">
        <v>-13</v>
      </c>
      <c r="L300">
        <v>25</v>
      </c>
      <c r="M300">
        <v>-3.6145</v>
      </c>
      <c r="N300">
        <v>27.692299999999999</v>
      </c>
      <c r="O300">
        <v>10.169499999999999</v>
      </c>
      <c r="P300">
        <v>0</v>
      </c>
      <c r="Q300">
        <v>353.84620000000001</v>
      </c>
      <c r="R300" t="str">
        <f>""</f>
        <v/>
      </c>
      <c r="S300" t="str">
        <f>""</f>
        <v/>
      </c>
      <c r="T300" t="str">
        <f>""</f>
        <v/>
      </c>
      <c r="U300" t="str">
        <f>""</f>
        <v/>
      </c>
      <c r="V300" t="str">
        <f>""</f>
        <v/>
      </c>
      <c r="W300" t="str">
        <f>""</f>
        <v/>
      </c>
      <c r="X300" t="str">
        <f>""</f>
        <v/>
      </c>
      <c r="Y300" t="str">
        <f>""</f>
        <v/>
      </c>
      <c r="Z300" t="str">
        <f>""</f>
        <v/>
      </c>
      <c r="AA300" t="str">
        <f>""</f>
        <v/>
      </c>
      <c r="AB300" t="str">
        <f>""</f>
        <v/>
      </c>
      <c r="AC300" t="str">
        <f>""</f>
        <v/>
      </c>
    </row>
    <row r="301" spans="1:29" x14ac:dyDescent="0.25">
      <c r="A301" t="str">
        <f>$A$69</f>
        <v xml:space="preserve">    HCL Technologies Ltd</v>
      </c>
      <c r="B301" t="str">
        <f>$B$69</f>
        <v>HCLT IN Equity</v>
      </c>
      <c r="C301" t="str">
        <f>$C$69</f>
        <v>RR062</v>
      </c>
      <c r="D301" t="str">
        <f>$D$69</f>
        <v>EPS_GROWTH</v>
      </c>
      <c r="E301" t="str">
        <f>$E$69</f>
        <v>Dynamic</v>
      </c>
      <c r="F301" t="e">
        <f ca="1">_xll.BDH($B$69,$C$69,$B$236,$B$237,CONCATENATE("Per=",$B$234),"Dts=H","Dir=H",CONCATENATE("Points=",$B$235),"Sort=R","Days=A","Fill=B",CONCATENATE("FX=", $B$233),"cols=12;rows=1")</f>
        <v>#NAME?</v>
      </c>
      <c r="G301">
        <v>8.5725999999999996</v>
      </c>
      <c r="H301">
        <v>3.1493000000000002</v>
      </c>
      <c r="I301">
        <v>16.0304</v>
      </c>
      <c r="L301">
        <v>39.526000000000003</v>
      </c>
      <c r="M301">
        <v>65.858500000000006</v>
      </c>
      <c r="N301">
        <v>45.537599999999998</v>
      </c>
      <c r="O301">
        <v>28.892499999999998</v>
      </c>
      <c r="P301">
        <v>-5.2230999999999996</v>
      </c>
      <c r="Q301">
        <v>24.617899999999999</v>
      </c>
      <c r="R301" t="str">
        <f>""</f>
        <v/>
      </c>
      <c r="S301" t="str">
        <f>""</f>
        <v/>
      </c>
      <c r="T301" t="str">
        <f>""</f>
        <v/>
      </c>
      <c r="U301" t="str">
        <f>""</f>
        <v/>
      </c>
      <c r="V301" t="str">
        <f>""</f>
        <v/>
      </c>
      <c r="W301" t="str">
        <f>""</f>
        <v/>
      </c>
      <c r="X301" t="str">
        <f>""</f>
        <v/>
      </c>
      <c r="Y301" t="str">
        <f>""</f>
        <v/>
      </c>
      <c r="Z301" t="str">
        <f>""</f>
        <v/>
      </c>
      <c r="AA301" t="str">
        <f>""</f>
        <v/>
      </c>
      <c r="AB301" t="str">
        <f>""</f>
        <v/>
      </c>
      <c r="AC301" t="str">
        <f>""</f>
        <v/>
      </c>
    </row>
    <row r="302" spans="1:29" x14ac:dyDescent="0.25">
      <c r="A302" t="str">
        <f>$A$70</f>
        <v xml:space="preserve">    Indra Sistemas SA</v>
      </c>
      <c r="B302" t="str">
        <f>$B$70</f>
        <v>IDR SM Equity</v>
      </c>
      <c r="C302" t="str">
        <f>$C$70</f>
        <v>RR062</v>
      </c>
      <c r="D302" t="str">
        <f>$D$70</f>
        <v>EPS_GROWTH</v>
      </c>
      <c r="E302" t="str">
        <f>$E$70</f>
        <v>Dynamic</v>
      </c>
      <c r="F302" t="e">
        <f ca="1">_xll.BDH($B$70,$C$70,$B$236,$B$237,CONCATENATE("Per=",$B$234),"Dts=H","Dir=H",CONCATENATE("Points=",$B$235),"Sort=R","Days=A","Fill=B",CONCATENATE("FX=", $B$233),"cols=12;rows=1")</f>
        <v>#NAME?</v>
      </c>
      <c r="G302">
        <v>-7.8748000000000005</v>
      </c>
      <c r="H302">
        <v>72.786900000000003</v>
      </c>
      <c r="J302">
        <v>-597.57529999999997</v>
      </c>
      <c r="L302">
        <v>-13.4604</v>
      </c>
      <c r="M302">
        <v>-26.686699999999998</v>
      </c>
      <c r="N302">
        <v>-4.1040999999999999</v>
      </c>
      <c r="O302">
        <v>-4.4417999999999997</v>
      </c>
      <c r="P302">
        <v>6.5861999999999998</v>
      </c>
      <c r="Q302">
        <v>24.456600000000002</v>
      </c>
      <c r="R302" t="str">
        <f>""</f>
        <v/>
      </c>
      <c r="S302" t="str">
        <f>""</f>
        <v/>
      </c>
      <c r="T302" t="str">
        <f>""</f>
        <v/>
      </c>
      <c r="U302" t="str">
        <f>""</f>
        <v/>
      </c>
      <c r="V302" t="str">
        <f>""</f>
        <v/>
      </c>
      <c r="W302" t="str">
        <f>""</f>
        <v/>
      </c>
      <c r="X302" t="str">
        <f>""</f>
        <v/>
      </c>
      <c r="Y302" t="str">
        <f>""</f>
        <v/>
      </c>
      <c r="Z302" t="str">
        <f>""</f>
        <v/>
      </c>
      <c r="AA302" t="str">
        <f>""</f>
        <v/>
      </c>
      <c r="AB302" t="str">
        <f>""</f>
        <v/>
      </c>
      <c r="AC302" t="str">
        <f>""</f>
        <v/>
      </c>
    </row>
    <row r="303" spans="1:29" x14ac:dyDescent="0.25">
      <c r="A303" t="str">
        <f>$A$71</f>
        <v xml:space="preserve">    Infosys Ltd</v>
      </c>
      <c r="B303" t="str">
        <f>$B$71</f>
        <v>INFY US Equity</v>
      </c>
      <c r="C303" t="str">
        <f>$C$71</f>
        <v>RR062</v>
      </c>
      <c r="D303" t="str">
        <f>$D$71</f>
        <v>EPS_GROWTH</v>
      </c>
      <c r="E303" t="str">
        <f>$E$71</f>
        <v>Dynamic</v>
      </c>
      <c r="F303" t="e">
        <f ca="1">_xll.BDH($B$71,$C$71,$B$236,$B$237,CONCATENATE("Per=",$B$234),"Dts=H","Dir=H",CONCATENATE("Points=",$B$235),"Sort=R","Days=A","Fill=B",CONCATENATE("FX=", $B$233),"cols=12;rows=1")</f>
        <v>#NAME?</v>
      </c>
      <c r="G303">
        <v>-0.26729999999999998</v>
      </c>
      <c r="H303">
        <v>13.168799999999999</v>
      </c>
      <c r="I303">
        <v>6.4046000000000003</v>
      </c>
      <c r="J303">
        <v>9.4178999999999995</v>
      </c>
      <c r="K303">
        <v>15.7821</v>
      </c>
      <c r="L303">
        <v>13.0284</v>
      </c>
      <c r="M303">
        <v>13.2738</v>
      </c>
      <c r="N303">
        <v>21.636299999999999</v>
      </c>
      <c r="O303">
        <v>9.7597000000000005</v>
      </c>
      <c r="P303">
        <v>4.2256</v>
      </c>
      <c r="Q303">
        <v>28.285599999999999</v>
      </c>
      <c r="R303" t="str">
        <f>""</f>
        <v/>
      </c>
      <c r="S303" t="str">
        <f>""</f>
        <v/>
      </c>
      <c r="T303" t="str">
        <f>""</f>
        <v/>
      </c>
      <c r="U303" t="str">
        <f>""</f>
        <v/>
      </c>
      <c r="V303" t="str">
        <f>""</f>
        <v/>
      </c>
      <c r="W303" t="str">
        <f>""</f>
        <v/>
      </c>
      <c r="X303" t="str">
        <f>""</f>
        <v/>
      </c>
      <c r="Y303" t="str">
        <f>""</f>
        <v/>
      </c>
      <c r="Z303" t="str">
        <f>""</f>
        <v/>
      </c>
      <c r="AA303" t="str">
        <f>""</f>
        <v/>
      </c>
      <c r="AB303" t="str">
        <f>""</f>
        <v/>
      </c>
      <c r="AC303" t="str">
        <f>""</f>
        <v/>
      </c>
    </row>
    <row r="304" spans="1:29" x14ac:dyDescent="0.25">
      <c r="A304" t="str">
        <f>$A$72</f>
        <v xml:space="preserve">    International Business Machines Corp</v>
      </c>
      <c r="B304" t="str">
        <f>$B$72</f>
        <v>IBM US Equity</v>
      </c>
      <c r="C304" t="str">
        <f>$C$72</f>
        <v>RR062</v>
      </c>
      <c r="D304" t="str">
        <f>$D$72</f>
        <v>EPS_GROWTH</v>
      </c>
      <c r="E304" t="str">
        <f>$E$72</f>
        <v>Dynamic</v>
      </c>
      <c r="F304" t="e">
        <f ca="1">_xll.BDH($B$72,$C$72,$B$236,$B$237,CONCATENATE("Per=",$B$234),"Dts=H","Dir=H",CONCATENATE("Points=",$B$235),"Sort=R","Days=A","Fill=B",CONCATENATE("FX=", $B$233),"cols=12;rows=1")</f>
        <v>#NAME?</v>
      </c>
      <c r="G304">
        <v>55.011200000000002</v>
      </c>
      <c r="H304">
        <v>-50.401899999999998</v>
      </c>
      <c r="I304">
        <v>-8.9312000000000005</v>
      </c>
      <c r="J304">
        <v>-12.8827</v>
      </c>
      <c r="K304">
        <v>1.6861000000000002</v>
      </c>
      <c r="L304">
        <v>3.629</v>
      </c>
      <c r="M304">
        <v>12.3019</v>
      </c>
      <c r="N304">
        <v>13.3447</v>
      </c>
      <c r="O304">
        <v>15.5138</v>
      </c>
      <c r="P304">
        <v>11.576599999999999</v>
      </c>
      <c r="Q304">
        <v>23.9071</v>
      </c>
      <c r="R304" t="str">
        <f>""</f>
        <v/>
      </c>
      <c r="S304" t="str">
        <f>""</f>
        <v/>
      </c>
      <c r="T304" t="str">
        <f>""</f>
        <v/>
      </c>
      <c r="U304" t="str">
        <f>""</f>
        <v/>
      </c>
      <c r="V304" t="str">
        <f>""</f>
        <v/>
      </c>
      <c r="W304" t="str">
        <f>""</f>
        <v/>
      </c>
      <c r="X304" t="str">
        <f>""</f>
        <v/>
      </c>
      <c r="Y304" t="str">
        <f>""</f>
        <v/>
      </c>
      <c r="Z304" t="str">
        <f>""</f>
        <v/>
      </c>
      <c r="AA304" t="str">
        <f>""</f>
        <v/>
      </c>
      <c r="AB304" t="str">
        <f>""</f>
        <v/>
      </c>
      <c r="AC304" t="str">
        <f>""</f>
        <v/>
      </c>
    </row>
    <row r="305" spans="1:29" x14ac:dyDescent="0.25">
      <c r="A305" t="str">
        <f>$A$73</f>
        <v xml:space="preserve">    Tata Consultancy Services Ltd</v>
      </c>
      <c r="B305" t="str">
        <f>$B$73</f>
        <v>TCS IN Equity</v>
      </c>
      <c r="C305" t="str">
        <f>$C$73</f>
        <v>RR062</v>
      </c>
      <c r="D305" t="str">
        <f>$D$73</f>
        <v>EPS_GROWTH</v>
      </c>
      <c r="E305" t="str">
        <f>$E$73</f>
        <v>Dynamic</v>
      </c>
      <c r="F305" t="e">
        <f ca="1">_xll.BDH($B$73,$C$73,$B$236,$B$237,CONCATENATE("Per=",$B$234),"Dts=H","Dir=H",CONCATENATE("Points=",$B$235),"Sort=R","Days=A","Fill=B",CONCATENATE("FX=", $B$233),"cols=12;rows=1")</f>
        <v>#NAME?</v>
      </c>
      <c r="G305">
        <v>23.779699999999998</v>
      </c>
      <c r="H305">
        <v>0.5847</v>
      </c>
      <c r="I305">
        <v>8.3137000000000008</v>
      </c>
      <c r="J305">
        <v>22.789400000000001</v>
      </c>
      <c r="K305">
        <v>2.7766000000000002</v>
      </c>
      <c r="L305">
        <v>37.484200000000001</v>
      </c>
      <c r="M305">
        <v>33.7667</v>
      </c>
      <c r="N305">
        <v>14.696300000000001</v>
      </c>
      <c r="O305">
        <v>29.716799999999999</v>
      </c>
      <c r="P305">
        <v>33.022599999999997</v>
      </c>
      <c r="Q305">
        <v>4.4198000000000004</v>
      </c>
      <c r="R305" t="str">
        <f>""</f>
        <v/>
      </c>
      <c r="S305" t="str">
        <f>""</f>
        <v/>
      </c>
      <c r="T305" t="str">
        <f>""</f>
        <v/>
      </c>
      <c r="U305" t="str">
        <f>""</f>
        <v/>
      </c>
      <c r="V305" t="str">
        <f>""</f>
        <v/>
      </c>
      <c r="W305" t="str">
        <f>""</f>
        <v/>
      </c>
      <c r="X305" t="str">
        <f>""</f>
        <v/>
      </c>
      <c r="Y305" t="str">
        <f>""</f>
        <v/>
      </c>
      <c r="Z305" t="str">
        <f>""</f>
        <v/>
      </c>
      <c r="AA305" t="str">
        <f>""</f>
        <v/>
      </c>
      <c r="AB305" t="str">
        <f>""</f>
        <v/>
      </c>
      <c r="AC305" t="str">
        <f>""</f>
        <v/>
      </c>
    </row>
    <row r="306" spans="1:29" x14ac:dyDescent="0.25">
      <c r="A306" t="str">
        <f>$A$74</f>
        <v xml:space="preserve">    Tech Mahindra Ltd</v>
      </c>
      <c r="B306" t="str">
        <f>$B$74</f>
        <v>TECHM IN Equity</v>
      </c>
      <c r="C306" t="str">
        <f>$C$74</f>
        <v>RR062</v>
      </c>
      <c r="D306" t="str">
        <f>$D$74</f>
        <v>EPS_GROWTH</v>
      </c>
      <c r="E306" t="str">
        <f>$E$74</f>
        <v>Dynamic</v>
      </c>
      <c r="F306" t="e">
        <f ca="1">_xll.BDH($B$74,$C$74,$B$236,$B$237,CONCATENATE("Per=",$B$234),"Dts=H","Dir=H",CONCATENATE("Points=",$B$235),"Sort=R","Days=A","Fill=B",CONCATENATE("FX=", $B$233),"cols=12;rows=1")</f>
        <v>#NAME?</v>
      </c>
      <c r="G306">
        <v>12.6685</v>
      </c>
      <c r="H306">
        <v>33.851900000000001</v>
      </c>
      <c r="I306">
        <v>-6.8676000000000004</v>
      </c>
      <c r="J306">
        <v>25.6737</v>
      </c>
      <c r="K306">
        <v>-15.6699</v>
      </c>
      <c r="L306">
        <v>29.152200000000001</v>
      </c>
      <c r="M306">
        <v>16.927499999999998</v>
      </c>
      <c r="N306">
        <v>67.151200000000003</v>
      </c>
      <c r="O306">
        <v>-10.120200000000001</v>
      </c>
      <c r="P306">
        <v>-31.171299999999999</v>
      </c>
      <c r="Q306">
        <v>206.6679</v>
      </c>
      <c r="R306" t="str">
        <f>""</f>
        <v/>
      </c>
      <c r="S306" t="str">
        <f>""</f>
        <v/>
      </c>
      <c r="T306" t="str">
        <f>""</f>
        <v/>
      </c>
      <c r="U306" t="str">
        <f>""</f>
        <v/>
      </c>
      <c r="V306" t="str">
        <f>""</f>
        <v/>
      </c>
      <c r="W306" t="str">
        <f>""</f>
        <v/>
      </c>
      <c r="X306" t="str">
        <f>""</f>
        <v/>
      </c>
      <c r="Y306" t="str">
        <f>""</f>
        <v/>
      </c>
      <c r="Z306" t="str">
        <f>""</f>
        <v/>
      </c>
      <c r="AA306" t="str">
        <f>""</f>
        <v/>
      </c>
      <c r="AB306" t="str">
        <f>""</f>
        <v/>
      </c>
      <c r="AC306" t="str">
        <f>""</f>
        <v/>
      </c>
    </row>
    <row r="307" spans="1:29" x14ac:dyDescent="0.25">
      <c r="A307" t="str">
        <f>$A$75</f>
        <v xml:space="preserve">    Wipro Ltd</v>
      </c>
      <c r="B307" t="str">
        <f>$B$75</f>
        <v>WIT US Equity</v>
      </c>
      <c r="C307" t="str">
        <f>$C$75</f>
        <v>RR062</v>
      </c>
      <c r="D307" t="str">
        <f>$D$75</f>
        <v>EPS_GROWTH</v>
      </c>
      <c r="E307" t="str">
        <f>$E$75</f>
        <v>Dynamic</v>
      </c>
      <c r="F307" t="e">
        <f ca="1">_xll.BDH($B$75,$C$75,$B$236,$B$237,CONCATENATE("Per=",$B$234),"Dts=H","Dir=H",CONCATENATE("Points=",$B$235),"Sort=R","Days=A","Fill=B",CONCATENATE("FX=", $B$233),"cols=12;rows=1")</f>
        <v>#NAME?</v>
      </c>
      <c r="G307">
        <v>18.544899999999998</v>
      </c>
      <c r="H307">
        <v>-3.5468999999999999</v>
      </c>
      <c r="I307">
        <v>-3.5851999999999999</v>
      </c>
      <c r="J307">
        <v>2.8651999999999997</v>
      </c>
      <c r="K307">
        <v>10.9887</v>
      </c>
      <c r="L307">
        <v>27.005800000000001</v>
      </c>
      <c r="M307">
        <v>9.8713999999999995</v>
      </c>
      <c r="N307">
        <v>4.6917999999999997</v>
      </c>
      <c r="O307">
        <v>14.013</v>
      </c>
      <c r="P307">
        <v>18.5379</v>
      </c>
      <c r="Q307">
        <v>18.523399999999999</v>
      </c>
      <c r="R307" t="str">
        <f>""</f>
        <v/>
      </c>
      <c r="S307" t="str">
        <f>""</f>
        <v/>
      </c>
      <c r="T307" t="str">
        <f>""</f>
        <v/>
      </c>
      <c r="U307" t="str">
        <f>""</f>
        <v/>
      </c>
      <c r="V307" t="str">
        <f>""</f>
        <v/>
      </c>
      <c r="W307" t="str">
        <f>""</f>
        <v/>
      </c>
      <c r="X307" t="str">
        <f>""</f>
        <v/>
      </c>
      <c r="Y307" t="str">
        <f>""</f>
        <v/>
      </c>
      <c r="Z307" t="str">
        <f>""</f>
        <v/>
      </c>
      <c r="AA307" t="str">
        <f>""</f>
        <v/>
      </c>
      <c r="AB307" t="str">
        <f>""</f>
        <v/>
      </c>
      <c r="AC307" t="str">
        <f>""</f>
        <v/>
      </c>
    </row>
    <row r="308" spans="1:29" x14ac:dyDescent="0.25">
      <c r="A308" t="str">
        <f>$A$77</f>
        <v xml:space="preserve">    Accenture PLC</v>
      </c>
      <c r="B308" t="str">
        <f>$B$77</f>
        <v>ACN US Equity</v>
      </c>
      <c r="C308" t="str">
        <f>$C$77</f>
        <v>RX553</v>
      </c>
      <c r="D308" t="str">
        <f>$D$77</f>
        <v>EPS_BEF_XO_3YR_GEO_GROWTH</v>
      </c>
      <c r="E308" t="str">
        <f>$E$77</f>
        <v>Dynamic</v>
      </c>
      <c r="F308" t="e">
        <f ca="1">_xll.BDH($B$77,$C$77,$B$236,$B$237,CONCATENATE("Per=",$B$234),"Dts=H","Dir=H",CONCATENATE("Points=",$B$235),"Sort=R","Days=A","Fill=B",CONCATENATE("FX=", $B$233),"cols=12;rows=1")</f>
        <v>#NAME?</v>
      </c>
      <c r="G308">
        <v>9.8756000000000004</v>
      </c>
      <c r="H308">
        <v>6.2149000000000001</v>
      </c>
      <c r="I308">
        <v>9.0068999999999999</v>
      </c>
      <c r="J308">
        <v>7.0481999999999996</v>
      </c>
      <c r="K308">
        <v>9.5420999999999996</v>
      </c>
      <c r="L308">
        <v>22.110499999999998</v>
      </c>
      <c r="M308">
        <v>15.9</v>
      </c>
      <c r="N308">
        <v>8.4171999999999993</v>
      </c>
      <c r="O308">
        <v>10.64</v>
      </c>
      <c r="P308">
        <v>15.616199999999999</v>
      </c>
      <c r="Q308">
        <v>20.1235</v>
      </c>
      <c r="R308" t="str">
        <f>""</f>
        <v/>
      </c>
      <c r="S308" t="str">
        <f>""</f>
        <v/>
      </c>
      <c r="T308" t="str">
        <f>""</f>
        <v/>
      </c>
      <c r="U308" t="str">
        <f>""</f>
        <v/>
      </c>
      <c r="V308" t="str">
        <f>""</f>
        <v/>
      </c>
      <c r="W308" t="str">
        <f>""</f>
        <v/>
      </c>
      <c r="X308" t="str">
        <f>""</f>
        <v/>
      </c>
      <c r="Y308" t="str">
        <f>""</f>
        <v/>
      </c>
      <c r="Z308" t="str">
        <f>""</f>
        <v/>
      </c>
      <c r="AA308" t="str">
        <f>""</f>
        <v/>
      </c>
      <c r="AB308" t="str">
        <f>""</f>
        <v/>
      </c>
      <c r="AC308" t="str">
        <f>""</f>
        <v/>
      </c>
    </row>
    <row r="309" spans="1:29" x14ac:dyDescent="0.25">
      <c r="A309" t="str">
        <f>$A$78</f>
        <v xml:space="preserve">    Amdocs Ltd</v>
      </c>
      <c r="B309" t="str">
        <f>$B$78</f>
        <v>DOX US Equity</v>
      </c>
      <c r="C309" t="str">
        <f>$C$78</f>
        <v>RX553</v>
      </c>
      <c r="D309" t="str">
        <f>$D$78</f>
        <v>EPS_BEF_XO_3YR_GEO_GROWTH</v>
      </c>
      <c r="E309" t="str">
        <f>$E$78</f>
        <v>Dynamic</v>
      </c>
      <c r="F309" t="e">
        <f ca="1">_xll.BDH($B$78,$C$78,$B$236,$B$237,CONCATENATE("Per=",$B$234),"Dts=H","Dir=H",CONCATENATE("Points=",$B$235),"Sort=R","Days=A","Fill=B",CONCATENATE("FX=", $B$233),"cols=12;rows=1")</f>
        <v>#NAME?</v>
      </c>
      <c r="G309">
        <v>-4.8445</v>
      </c>
      <c r="H309">
        <v>4.1058000000000003</v>
      </c>
      <c r="I309">
        <v>2.2909000000000002</v>
      </c>
      <c r="J309">
        <v>7.4436</v>
      </c>
      <c r="K309">
        <v>12.322800000000001</v>
      </c>
      <c r="L309">
        <v>14.620900000000001</v>
      </c>
      <c r="M309">
        <v>13.112299999999999</v>
      </c>
      <c r="N309">
        <v>0.72340000000000004</v>
      </c>
      <c r="O309">
        <v>-1.1495</v>
      </c>
      <c r="P309">
        <v>0.84209999999999996</v>
      </c>
      <c r="Q309">
        <v>8.3169000000000004</v>
      </c>
      <c r="R309" t="str">
        <f>""</f>
        <v/>
      </c>
      <c r="S309" t="str">
        <f>""</f>
        <v/>
      </c>
      <c r="T309" t="str">
        <f>""</f>
        <v/>
      </c>
      <c r="U309" t="str">
        <f>""</f>
        <v/>
      </c>
      <c r="V309" t="str">
        <f>""</f>
        <v/>
      </c>
      <c r="W309" t="str">
        <f>""</f>
        <v/>
      </c>
      <c r="X309" t="str">
        <f>""</f>
        <v/>
      </c>
      <c r="Y309" t="str">
        <f>""</f>
        <v/>
      </c>
      <c r="Z309" t="str">
        <f>""</f>
        <v/>
      </c>
      <c r="AA309" t="str">
        <f>""</f>
        <v/>
      </c>
      <c r="AB309" t="str">
        <f>""</f>
        <v/>
      </c>
      <c r="AC309" t="str">
        <f>""</f>
        <v/>
      </c>
    </row>
    <row r="310" spans="1:29" x14ac:dyDescent="0.25">
      <c r="A310" t="str">
        <f>$A$79</f>
        <v xml:space="preserve">    Atos SE</v>
      </c>
      <c r="B310" t="str">
        <f>$B$79</f>
        <v>ATO FP Equity</v>
      </c>
      <c r="C310" t="str">
        <f>$C$79</f>
        <v>RX553</v>
      </c>
      <c r="D310" t="str">
        <f>$D$79</f>
        <v>EPS_BEF_XO_3YR_GEO_GROWTH</v>
      </c>
      <c r="E310" t="str">
        <f>$E$79</f>
        <v>Dynamic</v>
      </c>
      <c r="F310" t="e">
        <f ca="1">_xll.BDH($B$79,$C$79,$B$236,$B$237,CONCATENATE("Per=",$B$234),"Dts=H","Dir=H",CONCATENATE("Points=",$B$235),"Sort=R","Days=A","Fill=B",CONCATENATE("FX=", $B$233),"cols=12;rows=1")</f>
        <v>#NAME?</v>
      </c>
      <c r="G310">
        <v>4.9203999999999999</v>
      </c>
      <c r="H310">
        <v>28.912500000000001</v>
      </c>
      <c r="I310">
        <v>23.255400000000002</v>
      </c>
      <c r="J310">
        <v>14.6624</v>
      </c>
      <c r="K310">
        <v>3.7618999999999998</v>
      </c>
      <c r="L310">
        <v>21.292300000000001</v>
      </c>
      <c r="M310">
        <v>253.92410000000001</v>
      </c>
      <c r="N310">
        <v>95.471100000000007</v>
      </c>
      <c r="O310">
        <v>33.620399999999997</v>
      </c>
      <c r="Q310">
        <v>-54.950099999999999</v>
      </c>
      <c r="R310" t="str">
        <f>""</f>
        <v/>
      </c>
      <c r="S310" t="str">
        <f>""</f>
        <v/>
      </c>
      <c r="T310" t="str">
        <f>""</f>
        <v/>
      </c>
      <c r="U310" t="str">
        <f>""</f>
        <v/>
      </c>
      <c r="V310" t="str">
        <f>""</f>
        <v/>
      </c>
      <c r="W310" t="str">
        <f>""</f>
        <v/>
      </c>
      <c r="X310" t="str">
        <f>""</f>
        <v/>
      </c>
      <c r="Y310" t="str">
        <f>""</f>
        <v/>
      </c>
      <c r="Z310" t="str">
        <f>""</f>
        <v/>
      </c>
      <c r="AA310" t="str">
        <f>""</f>
        <v/>
      </c>
      <c r="AB310" t="str">
        <f>""</f>
        <v/>
      </c>
      <c r="AC310" t="str">
        <f>""</f>
        <v/>
      </c>
    </row>
    <row r="311" spans="1:29" x14ac:dyDescent="0.25">
      <c r="A311" t="str">
        <f>$A$80</f>
        <v xml:space="preserve">    Capgemini SE</v>
      </c>
      <c r="B311" t="str">
        <f>$B$80</f>
        <v>CAP FP Equity</v>
      </c>
      <c r="C311" t="str">
        <f>$C$80</f>
        <v>RX553</v>
      </c>
      <c r="D311" t="str">
        <f>$D$80</f>
        <v>EPS_BEF_XO_3YR_GEO_GROWTH</v>
      </c>
      <c r="E311" t="str">
        <f>$E$80</f>
        <v>Dynamic</v>
      </c>
      <c r="F311" t="e">
        <f ca="1">_xll.BDH($B$80,$C$80,$B$236,$B$237,CONCATENATE("Per=",$B$234),"Dts=H","Dir=H",CONCATENATE("Points=",$B$235),"Sort=R","Days=A","Fill=B",CONCATENATE("FX=", $B$233),"cols=12;rows=1")</f>
        <v>#NAME?</v>
      </c>
      <c r="G311">
        <v>-13.1469</v>
      </c>
      <c r="H311">
        <v>9.8644999999999996</v>
      </c>
      <c r="I311">
        <v>24.7806</v>
      </c>
      <c r="J311">
        <v>43.4407</v>
      </c>
      <c r="K311">
        <v>11.848599999999999</v>
      </c>
      <c r="L311">
        <v>15.2309</v>
      </c>
      <c r="M311">
        <v>22.480699999999999</v>
      </c>
      <c r="N311">
        <v>-5.7367999999999997</v>
      </c>
      <c r="O311">
        <v>-15.564399999999999</v>
      </c>
      <c r="P311">
        <v>-17.743400000000001</v>
      </c>
      <c r="Q311">
        <v>43.168900000000001</v>
      </c>
      <c r="R311" t="str">
        <f>""</f>
        <v/>
      </c>
      <c r="S311" t="str">
        <f>""</f>
        <v/>
      </c>
      <c r="T311" t="str">
        <f>""</f>
        <v/>
      </c>
      <c r="U311" t="str">
        <f>""</f>
        <v/>
      </c>
      <c r="V311" t="str">
        <f>""</f>
        <v/>
      </c>
      <c r="W311" t="str">
        <f>""</f>
        <v/>
      </c>
      <c r="X311" t="str">
        <f>""</f>
        <v/>
      </c>
      <c r="Y311" t="str">
        <f>""</f>
        <v/>
      </c>
      <c r="Z311" t="str">
        <f>""</f>
        <v/>
      </c>
      <c r="AA311" t="str">
        <f>""</f>
        <v/>
      </c>
      <c r="AB311" t="str">
        <f>""</f>
        <v/>
      </c>
      <c r="AC311" t="str">
        <f>""</f>
        <v/>
      </c>
    </row>
    <row r="312" spans="1:29" x14ac:dyDescent="0.25">
      <c r="A312" t="str">
        <f>$A$81</f>
        <v xml:space="preserve">    CGI Inc</v>
      </c>
      <c r="B312" t="str">
        <f>$B$81</f>
        <v>GIB US Equity</v>
      </c>
      <c r="C312" t="str">
        <f>$C$81</f>
        <v>RX553</v>
      </c>
      <c r="D312" t="str">
        <f>$D$81</f>
        <v>EPS_BEF_XO_3YR_GEO_GROWTH</v>
      </c>
      <c r="E312" t="str">
        <f>$E$81</f>
        <v>Dynamic</v>
      </c>
      <c r="F312" t="e">
        <f ca="1">_xll.BDH($B$81,$C$81,$B$236,$B$237,CONCATENATE("Per=",$B$234),"Dts=H","Dir=H",CONCATENATE("Points=",$B$235),"Sort=R","Days=A","Fill=B",CONCATENATE("FX=", $B$233),"cols=12;rows=1")</f>
        <v>#NAME?</v>
      </c>
      <c r="G312">
        <v>8.5838999999999999</v>
      </c>
      <c r="H312">
        <v>7.7733999999999996</v>
      </c>
      <c r="I312">
        <v>33.3568</v>
      </c>
      <c r="J312">
        <v>84.495800000000003</v>
      </c>
      <c r="K312">
        <v>18.992699999999999</v>
      </c>
      <c r="L312">
        <v>5.2332000000000001</v>
      </c>
      <c r="M312">
        <v>-21.408100000000001</v>
      </c>
      <c r="N312">
        <v>20.629100000000001</v>
      </c>
      <c r="O312">
        <v>21.389700000000001</v>
      </c>
      <c r="P312">
        <v>38.226399999999998</v>
      </c>
      <c r="Q312">
        <v>23.420100000000001</v>
      </c>
      <c r="R312" t="str">
        <f>""</f>
        <v/>
      </c>
      <c r="S312" t="str">
        <f>""</f>
        <v/>
      </c>
      <c r="T312" t="str">
        <f>""</f>
        <v/>
      </c>
      <c r="U312" t="str">
        <f>""</f>
        <v/>
      </c>
      <c r="V312" t="str">
        <f>""</f>
        <v/>
      </c>
      <c r="W312" t="str">
        <f>""</f>
        <v/>
      </c>
      <c r="X312" t="str">
        <f>""</f>
        <v/>
      </c>
      <c r="Y312" t="str">
        <f>""</f>
        <v/>
      </c>
      <c r="Z312" t="str">
        <f>""</f>
        <v/>
      </c>
      <c r="AA312" t="str">
        <f>""</f>
        <v/>
      </c>
      <c r="AB312" t="str">
        <f>""</f>
        <v/>
      </c>
      <c r="AC312" t="str">
        <f>""</f>
        <v/>
      </c>
    </row>
    <row r="313" spans="1:29" x14ac:dyDescent="0.25">
      <c r="A313" t="str">
        <f>$A$82</f>
        <v xml:space="preserve">    Cognizant Technology Solutions Corp</v>
      </c>
      <c r="B313" t="str">
        <f>$B$82</f>
        <v>CTSH US Equity</v>
      </c>
      <c r="C313" t="str">
        <f>$C$82</f>
        <v>RX553</v>
      </c>
      <c r="D313" t="str">
        <f>$D$82</f>
        <v>EPS_BEF_XO_3YR_GEO_GROWTH</v>
      </c>
      <c r="E313" t="str">
        <f>$E$82</f>
        <v>Dynamic</v>
      </c>
      <c r="F313" t="e">
        <f ca="1">_xll.BDH($B$82,$C$82,$B$236,$B$237,CONCATENATE("Per=",$B$234),"Dts=H","Dir=H",CONCATENATE("Points=",$B$235),"Sort=R","Days=A","Fill=B",CONCATENATE("FX=", $B$233),"cols=12;rows=1")</f>
        <v>#NAME?</v>
      </c>
      <c r="G313">
        <v>10.5771</v>
      </c>
      <c r="H313">
        <v>2.3359999999999999</v>
      </c>
      <c r="I313">
        <v>7.9505999999999997</v>
      </c>
      <c r="J313">
        <v>15.2317</v>
      </c>
      <c r="K313">
        <v>17.6599</v>
      </c>
      <c r="L313">
        <v>18.595500000000001</v>
      </c>
      <c r="M313">
        <v>24.237100000000002</v>
      </c>
      <c r="N313">
        <v>24.997800000000002</v>
      </c>
      <c r="O313">
        <v>25.992100000000001</v>
      </c>
      <c r="P313">
        <v>30.1785</v>
      </c>
      <c r="Q313">
        <v>34.674500000000002</v>
      </c>
      <c r="R313" t="str">
        <f>""</f>
        <v/>
      </c>
      <c r="S313" t="str">
        <f>""</f>
        <v/>
      </c>
      <c r="T313" t="str">
        <f>""</f>
        <v/>
      </c>
      <c r="U313" t="str">
        <f>""</f>
        <v/>
      </c>
      <c r="V313" t="str">
        <f>""</f>
        <v/>
      </c>
      <c r="W313" t="str">
        <f>""</f>
        <v/>
      </c>
      <c r="X313" t="str">
        <f>""</f>
        <v/>
      </c>
      <c r="Y313" t="str">
        <f>""</f>
        <v/>
      </c>
      <c r="Z313" t="str">
        <f>""</f>
        <v/>
      </c>
      <c r="AA313" t="str">
        <f>""</f>
        <v/>
      </c>
      <c r="AB313" t="str">
        <f>""</f>
        <v/>
      </c>
      <c r="AC313" t="str">
        <f>""</f>
        <v/>
      </c>
    </row>
    <row r="314" spans="1:29" x14ac:dyDescent="0.25">
      <c r="A314" t="str">
        <f>$A$83</f>
        <v xml:space="preserve">    Conduent Inc</v>
      </c>
      <c r="B314" t="str">
        <f>$B$83</f>
        <v>CNDT US Equity</v>
      </c>
      <c r="C314" t="str">
        <f>$C$83</f>
        <v>RX553</v>
      </c>
      <c r="D314" t="str">
        <f>$D$83</f>
        <v>EPS_BEF_XO_3YR_GEO_GROWTH</v>
      </c>
      <c r="E314" t="str">
        <f>$E$83</f>
        <v>Dynamic</v>
      </c>
      <c r="F314" t="e">
        <f ca="1">_xll.BDH($B$83,$C$83,$B$236,$B$237,CONCATENATE("Per=",$B$234),"Dts=H","Dir=H",CONCATENATE("Points=",$B$235),"Sort=R","Days=A","Fill=B",CONCATENATE("FX=", $B$233) )</f>
        <v>#NAME?</v>
      </c>
      <c r="R314" t="str">
        <f>""</f>
        <v/>
      </c>
      <c r="S314" t="str">
        <f>""</f>
        <v/>
      </c>
      <c r="T314" t="str">
        <f>""</f>
        <v/>
      </c>
      <c r="U314" t="str">
        <f>""</f>
        <v/>
      </c>
      <c r="V314" t="str">
        <f>""</f>
        <v/>
      </c>
      <c r="W314" t="str">
        <f>""</f>
        <v/>
      </c>
      <c r="X314" t="str">
        <f>""</f>
        <v/>
      </c>
      <c r="Y314" t="str">
        <f>""</f>
        <v/>
      </c>
      <c r="Z314" t="str">
        <f>""</f>
        <v/>
      </c>
      <c r="AA314" t="str">
        <f>""</f>
        <v/>
      </c>
      <c r="AB314" t="str">
        <f>""</f>
        <v/>
      </c>
      <c r="AC314" t="str">
        <f>""</f>
        <v/>
      </c>
    </row>
    <row r="315" spans="1:29" x14ac:dyDescent="0.25">
      <c r="A315" t="str">
        <f>$A$84</f>
        <v xml:space="preserve">    DXC Technology Co</v>
      </c>
      <c r="B315" t="str">
        <f>$B$84</f>
        <v>DXC US Equity</v>
      </c>
      <c r="C315" t="str">
        <f>$C$84</f>
        <v>RX553</v>
      </c>
      <c r="D315" t="str">
        <f>$D$84</f>
        <v>EPS_BEF_XO_3YR_GEO_GROWTH</v>
      </c>
      <c r="E315" t="str">
        <f>$E$84</f>
        <v>Dynamic</v>
      </c>
      <c r="F315" t="e">
        <f ca="1">_xll.BDH($B$84,$C$84,$B$236,$B$237,CONCATENATE("Per=",$B$234),"Dts=H","Dir=H",CONCATENATE("Points=",$B$235),"Sort=R","Days=A","Fill=B",CONCATENATE("FX=", $B$233) )</f>
        <v>#NAME?</v>
      </c>
      <c r="R315" t="str">
        <f>""</f>
        <v/>
      </c>
      <c r="S315" t="str">
        <f>""</f>
        <v/>
      </c>
      <c r="T315" t="str">
        <f>""</f>
        <v/>
      </c>
      <c r="U315" t="str">
        <f>""</f>
        <v/>
      </c>
      <c r="V315" t="str">
        <f>""</f>
        <v/>
      </c>
      <c r="W315" t="str">
        <f>""</f>
        <v/>
      </c>
      <c r="X315" t="str">
        <f>""</f>
        <v/>
      </c>
      <c r="Y315" t="str">
        <f>""</f>
        <v/>
      </c>
      <c r="Z315" t="str">
        <f>""</f>
        <v/>
      </c>
      <c r="AA315" t="str">
        <f>""</f>
        <v/>
      </c>
      <c r="AB315" t="str">
        <f>""</f>
        <v/>
      </c>
      <c r="AC315" t="str">
        <f>""</f>
        <v/>
      </c>
    </row>
    <row r="316" spans="1:29" x14ac:dyDescent="0.25">
      <c r="A316" t="str">
        <f>$A$85</f>
        <v xml:space="preserve">    EPAM Systems Inc</v>
      </c>
      <c r="B316" t="str">
        <f>$B$85</f>
        <v>EPAM US Equity</v>
      </c>
      <c r="C316" t="str">
        <f>$C$85</f>
        <v>RX553</v>
      </c>
      <c r="D316" t="str">
        <f>$D$85</f>
        <v>EPS_BEF_XO_3YR_GEO_GROWTH</v>
      </c>
      <c r="E316" t="str">
        <f>$E$85</f>
        <v>Dynamic</v>
      </c>
      <c r="F316" t="e">
        <f ca="1">_xll.BDH($B$85,$C$85,$B$236,$B$237,CONCATENATE("Per=",$B$234),"Dts=H","Dir=H",CONCATENATE("Points=",$B$235),"Sort=R","Days=A","Fill=B",CONCATENATE("FX=", $B$233),"cols=12;rows=1")</f>
        <v>#NAME?</v>
      </c>
      <c r="G316">
        <v>37.3232</v>
      </c>
      <c r="H316">
        <v>-1.8353000000000002</v>
      </c>
      <c r="I316">
        <v>13.4255</v>
      </c>
      <c r="J316">
        <v>10.853</v>
      </c>
      <c r="K316">
        <v>29.073699999999999</v>
      </c>
      <c r="L316">
        <v>-41.403700000000001</v>
      </c>
      <c r="M316">
        <v>-12.100300000000001</v>
      </c>
      <c r="N316">
        <v>-29.923500000000001</v>
      </c>
      <c r="O316">
        <v>5.7120999999999995</v>
      </c>
      <c r="P316">
        <v>-26.811800000000002</v>
      </c>
      <c r="R316" t="str">
        <f>""</f>
        <v/>
      </c>
      <c r="S316" t="str">
        <f>""</f>
        <v/>
      </c>
      <c r="T316" t="str">
        <f>""</f>
        <v/>
      </c>
      <c r="U316" t="str">
        <f>""</f>
        <v/>
      </c>
      <c r="V316" t="str">
        <f>""</f>
        <v/>
      </c>
      <c r="W316" t="str">
        <f>""</f>
        <v/>
      </c>
      <c r="X316" t="str">
        <f>""</f>
        <v/>
      </c>
      <c r="Y316" t="str">
        <f>""</f>
        <v/>
      </c>
      <c r="Z316" t="str">
        <f>""</f>
        <v/>
      </c>
      <c r="AA316" t="str">
        <f>""</f>
        <v/>
      </c>
      <c r="AB316" t="str">
        <f>""</f>
        <v/>
      </c>
      <c r="AC316" t="str">
        <f>""</f>
        <v/>
      </c>
    </row>
    <row r="317" spans="1:29" x14ac:dyDescent="0.25">
      <c r="A317" t="str">
        <f>$A$86</f>
        <v xml:space="preserve">    Genpact Ltd</v>
      </c>
      <c r="B317" t="str">
        <f>$B$86</f>
        <v>G US Equity</v>
      </c>
      <c r="C317" t="str">
        <f>$C$86</f>
        <v>RX553</v>
      </c>
      <c r="D317" t="str">
        <f>$D$86</f>
        <v>EPS_BEF_XO_3YR_GEO_GROWTH</v>
      </c>
      <c r="E317" t="str">
        <f>$E$86</f>
        <v>Dynamic</v>
      </c>
      <c r="F317" t="e">
        <f ca="1">_xll.BDH($B$86,$C$86,$B$236,$B$237,CONCATENATE("Per=",$B$234),"Dts=H","Dir=H",CONCATENATE("Points=",$B$235),"Sort=R","Days=A","Fill=B",CONCATENATE("FX=", $B$233),"cols=12;rows=1")</f>
        <v>#NAME?</v>
      </c>
      <c r="G317">
        <v>10.0642</v>
      </c>
      <c r="H317">
        <v>16.057500000000001</v>
      </c>
      <c r="I317">
        <v>9.1393000000000004</v>
      </c>
      <c r="J317">
        <v>11.535</v>
      </c>
      <c r="K317">
        <v>1.5813000000000001</v>
      </c>
      <c r="L317">
        <v>15.441599999999999</v>
      </c>
      <c r="M317">
        <v>10.682600000000001</v>
      </c>
      <c r="N317">
        <v>12.049200000000001</v>
      </c>
      <c r="O317">
        <v>70.997600000000006</v>
      </c>
      <c r="P317">
        <v>127.66379999999999</v>
      </c>
      <c r="Q317">
        <v>194.92259999999999</v>
      </c>
      <c r="R317" t="str">
        <f>""</f>
        <v/>
      </c>
      <c r="S317" t="str">
        <f>""</f>
        <v/>
      </c>
      <c r="T317" t="str">
        <f>""</f>
        <v/>
      </c>
      <c r="U317" t="str">
        <f>""</f>
        <v/>
      </c>
      <c r="V317" t="str">
        <f>""</f>
        <v/>
      </c>
      <c r="W317" t="str">
        <f>""</f>
        <v/>
      </c>
      <c r="X317" t="str">
        <f>""</f>
        <v/>
      </c>
      <c r="Y317" t="str">
        <f>""</f>
        <v/>
      </c>
      <c r="Z317" t="str">
        <f>""</f>
        <v/>
      </c>
      <c r="AA317" t="str">
        <f>""</f>
        <v/>
      </c>
      <c r="AB317" t="str">
        <f>""</f>
        <v/>
      </c>
      <c r="AC317" t="str">
        <f>""</f>
        <v/>
      </c>
    </row>
    <row r="318" spans="1:29" x14ac:dyDescent="0.25">
      <c r="A318" t="str">
        <f>$A$87</f>
        <v xml:space="preserve">    HCL Technologies Ltd</v>
      </c>
      <c r="B318" t="str">
        <f>$B$87</f>
        <v>HCLT IN Equity</v>
      </c>
      <c r="C318" t="str">
        <f>$C$87</f>
        <v>RX553</v>
      </c>
      <c r="D318" t="str">
        <f>$D$87</f>
        <v>EPS_BEF_XO_3YR_GEO_GROWTH</v>
      </c>
      <c r="E318" t="str">
        <f>$E$87</f>
        <v>Dynamic</v>
      </c>
      <c r="F318" t="e">
        <f ca="1">_xll.BDH($B$87,$C$87,$B$236,$B$237,CONCATENATE("Per=",$B$234),"Dts=H","Dir=H",CONCATENATE("Points=",$B$235),"Sort=R","Days=A","Fill=B",CONCATENATE("FX=", $B$233),"cols=12;rows=1")</f>
        <v>#NAME?</v>
      </c>
      <c r="G318">
        <v>9.6647999999999996</v>
      </c>
      <c r="L318">
        <v>40.694899999999997</v>
      </c>
      <c r="M318">
        <v>45.986800000000002</v>
      </c>
      <c r="N318">
        <v>21.143899999999999</v>
      </c>
      <c r="O318">
        <v>15.036799999999999</v>
      </c>
      <c r="P318">
        <v>-2.5566</v>
      </c>
      <c r="Q318">
        <v>22.433900000000001</v>
      </c>
      <c r="R318" t="str">
        <f>""</f>
        <v/>
      </c>
      <c r="S318" t="str">
        <f>""</f>
        <v/>
      </c>
      <c r="T318" t="str">
        <f>""</f>
        <v/>
      </c>
      <c r="U318" t="str">
        <f>""</f>
        <v/>
      </c>
      <c r="V318" t="str">
        <f>""</f>
        <v/>
      </c>
      <c r="W318" t="str">
        <f>""</f>
        <v/>
      </c>
      <c r="X318" t="str">
        <f>""</f>
        <v/>
      </c>
      <c r="Y318" t="str">
        <f>""</f>
        <v/>
      </c>
      <c r="Z318" t="str">
        <f>""</f>
        <v/>
      </c>
      <c r="AA318" t="str">
        <f>""</f>
        <v/>
      </c>
      <c r="AB318" t="str">
        <f>""</f>
        <v/>
      </c>
      <c r="AC318" t="str">
        <f>""</f>
        <v/>
      </c>
    </row>
    <row r="319" spans="1:29" x14ac:dyDescent="0.25">
      <c r="A319" t="str">
        <f>$A$88</f>
        <v xml:space="preserve">    Indra Sistemas SA</v>
      </c>
      <c r="B319" t="str">
        <f>$B$88</f>
        <v>IDR SM Equity</v>
      </c>
      <c r="C319" t="str">
        <f>$C$88</f>
        <v>RX553</v>
      </c>
      <c r="D319" t="str">
        <f>$D$88</f>
        <v>EPS_BEF_XO_3YR_GEO_GROWTH</v>
      </c>
      <c r="E319" t="str">
        <f>$E$88</f>
        <v>Dynamic</v>
      </c>
      <c r="F319" t="e">
        <f ca="1">_xll.BDH($B$88,$C$88,$B$236,$B$237,CONCATENATE("Per=",$B$234),"Dts=H","Dir=H",CONCATENATE("Points=",$B$235),"Sort=R","Days=A","Fill=B",CONCATENATE("FX=", $B$233),"cols=12;rows=1")</f>
        <v>#NAME?</v>
      </c>
      <c r="L319">
        <v>-15.2644</v>
      </c>
      <c r="M319">
        <v>-12.4176</v>
      </c>
      <c r="N319">
        <v>-0.78220000000000001</v>
      </c>
      <c r="O319">
        <v>8.2253000000000007</v>
      </c>
      <c r="P319">
        <v>15.178900000000001</v>
      </c>
      <c r="Q319">
        <v>17.253699999999998</v>
      </c>
      <c r="R319" t="str">
        <f>""</f>
        <v/>
      </c>
      <c r="S319" t="str">
        <f>""</f>
        <v/>
      </c>
      <c r="T319" t="str">
        <f>""</f>
        <v/>
      </c>
      <c r="U319" t="str">
        <f>""</f>
        <v/>
      </c>
      <c r="V319" t="str">
        <f>""</f>
        <v/>
      </c>
      <c r="W319" t="str">
        <f>""</f>
        <v/>
      </c>
      <c r="X319" t="str">
        <f>""</f>
        <v/>
      </c>
      <c r="Y319" t="str">
        <f>""</f>
        <v/>
      </c>
      <c r="Z319" t="str">
        <f>""</f>
        <v/>
      </c>
      <c r="AA319" t="str">
        <f>""</f>
        <v/>
      </c>
      <c r="AB319" t="str">
        <f>""</f>
        <v/>
      </c>
      <c r="AC319" t="str">
        <f>""</f>
        <v/>
      </c>
    </row>
    <row r="320" spans="1:29" x14ac:dyDescent="0.25">
      <c r="A320" t="str">
        <f>$A$89</f>
        <v xml:space="preserve">    Infosys Ltd</v>
      </c>
      <c r="B320" t="str">
        <f>$B$89</f>
        <v>INFY US Equity</v>
      </c>
      <c r="C320" t="str">
        <f>$C$89</f>
        <v>RX553</v>
      </c>
      <c r="D320" t="str">
        <f>$D$89</f>
        <v>EPS_BEF_XO_3YR_GEO_GROWTH</v>
      </c>
      <c r="E320" t="str">
        <f>$E$89</f>
        <v>Dynamic</v>
      </c>
      <c r="F320" t="e">
        <f ca="1">_xll.BDH($B$89,$C$89,$B$236,$B$237,CONCATENATE("Per=",$B$234),"Dts=H","Dir=H",CONCATENATE("Points=",$B$235),"Sort=R","Days=A","Fill=B",CONCATENATE("FX=", $B$233),"cols=12;rows=1")</f>
        <v>#NAME?</v>
      </c>
      <c r="G320">
        <v>6.2938999999999998</v>
      </c>
      <c r="H320">
        <v>9.6288999999999998</v>
      </c>
      <c r="I320">
        <v>10.4664</v>
      </c>
      <c r="J320">
        <v>12.7126</v>
      </c>
      <c r="K320">
        <v>14.0214</v>
      </c>
      <c r="L320">
        <v>15.9116</v>
      </c>
      <c r="M320">
        <v>14.783200000000001</v>
      </c>
      <c r="N320">
        <v>11.6418</v>
      </c>
      <c r="O320">
        <v>13.6401</v>
      </c>
      <c r="P320">
        <v>16.332999999999998</v>
      </c>
      <c r="Q320">
        <v>32.447699999999998</v>
      </c>
      <c r="R320" t="str">
        <f>""</f>
        <v/>
      </c>
      <c r="S320" t="str">
        <f>""</f>
        <v/>
      </c>
      <c r="T320" t="str">
        <f>""</f>
        <v/>
      </c>
      <c r="U320" t="str">
        <f>""</f>
        <v/>
      </c>
      <c r="V320" t="str">
        <f>""</f>
        <v/>
      </c>
      <c r="W320" t="str">
        <f>""</f>
        <v/>
      </c>
      <c r="X320" t="str">
        <f>""</f>
        <v/>
      </c>
      <c r="Y320" t="str">
        <f>""</f>
        <v/>
      </c>
      <c r="Z320" t="str">
        <f>""</f>
        <v/>
      </c>
      <c r="AA320" t="str">
        <f>""</f>
        <v/>
      </c>
      <c r="AB320" t="str">
        <f>""</f>
        <v/>
      </c>
      <c r="AC320" t="str">
        <f>""</f>
        <v/>
      </c>
    </row>
    <row r="321" spans="1:29" x14ac:dyDescent="0.25">
      <c r="A321" t="str">
        <f>$A$90</f>
        <v xml:space="preserve">    International Business Machines Corp</v>
      </c>
      <c r="B321" t="str">
        <f>$B$90</f>
        <v>IBM US Equity</v>
      </c>
      <c r="C321" t="str">
        <f>$C$90</f>
        <v>RX553</v>
      </c>
      <c r="D321" t="str">
        <f>$D$90</f>
        <v>EPS_BEF_XO_3YR_GEO_GROWTH</v>
      </c>
      <c r="E321" t="str">
        <f>$E$90</f>
        <v>Dynamic</v>
      </c>
      <c r="F321" t="e">
        <f ca="1">_xll.BDH($B$90,$C$90,$B$236,$B$237,CONCATENATE("Per=",$B$234),"Dts=H","Dir=H",CONCATENATE("Points=",$B$235),"Sort=R","Days=A","Fill=B",CONCATENATE("FX=", $B$233),"cols=12;rows=1")</f>
        <v>#NAME?</v>
      </c>
      <c r="G321">
        <v>-11.2028</v>
      </c>
      <c r="H321">
        <v>-26.721</v>
      </c>
      <c r="I321">
        <v>-6.9081000000000001</v>
      </c>
      <c r="J321">
        <v>-2.8113000000000001</v>
      </c>
      <c r="K321">
        <v>5.7735000000000003</v>
      </c>
      <c r="L321">
        <v>9.6705000000000005</v>
      </c>
      <c r="M321">
        <v>13.712300000000001</v>
      </c>
      <c r="N321">
        <v>13.467000000000001</v>
      </c>
      <c r="O321">
        <v>16.8874</v>
      </c>
      <c r="P321">
        <v>18.059699999999999</v>
      </c>
      <c r="Q321">
        <v>22.04</v>
      </c>
      <c r="R321" t="str">
        <f>""</f>
        <v/>
      </c>
      <c r="S321" t="str">
        <f>""</f>
        <v/>
      </c>
      <c r="T321" t="str">
        <f>""</f>
        <v/>
      </c>
      <c r="U321" t="str">
        <f>""</f>
        <v/>
      </c>
      <c r="V321" t="str">
        <f>""</f>
        <v/>
      </c>
      <c r="W321" t="str">
        <f>""</f>
        <v/>
      </c>
      <c r="X321" t="str">
        <f>""</f>
        <v/>
      </c>
      <c r="Y321" t="str">
        <f>""</f>
        <v/>
      </c>
      <c r="Z321" t="str">
        <f>""</f>
        <v/>
      </c>
      <c r="AA321" t="str">
        <f>""</f>
        <v/>
      </c>
      <c r="AB321" t="str">
        <f>""</f>
        <v/>
      </c>
      <c r="AC321" t="str">
        <f>""</f>
        <v/>
      </c>
    </row>
    <row r="322" spans="1:29" x14ac:dyDescent="0.25">
      <c r="A322" t="str">
        <f>$A$91</f>
        <v xml:space="preserve">    Tata Consultancy Services Ltd</v>
      </c>
      <c r="B322" t="str">
        <f>$B$91</f>
        <v>TCS IN Equity</v>
      </c>
      <c r="C322" t="str">
        <f>$C$91</f>
        <v>RX553</v>
      </c>
      <c r="D322" t="str">
        <f>$D$91</f>
        <v>EPS_BEF_XO_3YR_GEO_GROWTH</v>
      </c>
      <c r="E322" t="str">
        <f>$E$91</f>
        <v>Dynamic</v>
      </c>
      <c r="F322" t="e">
        <f ca="1">_xll.BDH($B$91,$C$91,$B$236,$B$237,CONCATENATE("Per=",$B$234),"Dts=H","Dir=H",CONCATENATE("Points=",$B$235),"Sort=R","Days=A","Fill=B",CONCATENATE("FX=", $B$233),"cols=12;rows=1")</f>
        <v>#NAME?</v>
      </c>
      <c r="G322">
        <v>10.481199999999999</v>
      </c>
      <c r="H322">
        <v>10.185700000000001</v>
      </c>
      <c r="I322">
        <v>10.980399999999999</v>
      </c>
      <c r="J322">
        <v>20.162600000000001</v>
      </c>
      <c r="K322">
        <v>23.6417</v>
      </c>
      <c r="L322">
        <v>28.247900000000001</v>
      </c>
      <c r="M322">
        <v>25.785699999999999</v>
      </c>
      <c r="N322">
        <v>25.552</v>
      </c>
      <c r="O322">
        <v>21.6844</v>
      </c>
      <c r="P322">
        <v>18.339500000000001</v>
      </c>
      <c r="Q322">
        <v>20.942599999999999</v>
      </c>
      <c r="R322" t="str">
        <f>""</f>
        <v/>
      </c>
      <c r="S322" t="str">
        <f>""</f>
        <v/>
      </c>
      <c r="T322" t="str">
        <f>""</f>
        <v/>
      </c>
      <c r="U322" t="str">
        <f>""</f>
        <v/>
      </c>
      <c r="V322" t="str">
        <f>""</f>
        <v/>
      </c>
      <c r="W322" t="str">
        <f>""</f>
        <v/>
      </c>
      <c r="X322" t="str">
        <f>""</f>
        <v/>
      </c>
      <c r="Y322" t="str">
        <f>""</f>
        <v/>
      </c>
      <c r="Z322" t="str">
        <f>""</f>
        <v/>
      </c>
      <c r="AA322" t="str">
        <f>""</f>
        <v/>
      </c>
      <c r="AB322" t="str">
        <f>""</f>
        <v/>
      </c>
      <c r="AC322" t="str">
        <f>""</f>
        <v/>
      </c>
    </row>
    <row r="323" spans="1:29" x14ac:dyDescent="0.25">
      <c r="A323" t="str">
        <f>$A$92</f>
        <v xml:space="preserve">    Tech Mahindra Ltd</v>
      </c>
      <c r="B323" t="str">
        <f>$B$92</f>
        <v>TECHM IN Equity</v>
      </c>
      <c r="C323" t="str">
        <f>$C$92</f>
        <v>RX553</v>
      </c>
      <c r="D323" t="str">
        <f>$D$92</f>
        <v>EPS_BEF_XO_3YR_GEO_GROWTH</v>
      </c>
      <c r="E323" t="str">
        <f>$E$92</f>
        <v>Dynamic</v>
      </c>
      <c r="F323" t="e">
        <f ca="1">_xll.BDH($B$92,$C$92,$B$236,$B$237,CONCATENATE("Per=",$B$234),"Dts=H","Dir=H",CONCATENATE("Points=",$B$235),"Sort=R","Days=A","Fill=B",CONCATENATE("FX=", $B$233),"cols=12;rows=1")</f>
        <v>#NAME?</v>
      </c>
      <c r="G323">
        <v>11.9892</v>
      </c>
      <c r="H323">
        <v>16.142199999999999</v>
      </c>
      <c r="I323">
        <v>-0.43440000000000001</v>
      </c>
      <c r="J323">
        <v>11.0307</v>
      </c>
      <c r="K323">
        <v>8.3927999999999994</v>
      </c>
      <c r="L323">
        <v>36.157800000000002</v>
      </c>
      <c r="M323">
        <v>20.6599</v>
      </c>
      <c r="N323">
        <v>1.1223000000000001</v>
      </c>
      <c r="O323">
        <v>23.7941</v>
      </c>
      <c r="P323">
        <v>75.822699999999998</v>
      </c>
      <c r="Q323">
        <v>54.4651</v>
      </c>
      <c r="R323" t="str">
        <f>""</f>
        <v/>
      </c>
      <c r="S323" t="str">
        <f>""</f>
        <v/>
      </c>
      <c r="T323" t="str">
        <f>""</f>
        <v/>
      </c>
      <c r="U323" t="str">
        <f>""</f>
        <v/>
      </c>
      <c r="V323" t="str">
        <f>""</f>
        <v/>
      </c>
      <c r="W323" t="str">
        <f>""</f>
        <v/>
      </c>
      <c r="X323" t="str">
        <f>""</f>
        <v/>
      </c>
      <c r="Y323" t="str">
        <f>""</f>
        <v/>
      </c>
      <c r="Z323" t="str">
        <f>""</f>
        <v/>
      </c>
      <c r="AA323" t="str">
        <f>""</f>
        <v/>
      </c>
      <c r="AB323" t="str">
        <f>""</f>
        <v/>
      </c>
      <c r="AC323" t="str">
        <f>""</f>
        <v/>
      </c>
    </row>
    <row r="324" spans="1:29" x14ac:dyDescent="0.25">
      <c r="A324" t="str">
        <f>$A$93</f>
        <v xml:space="preserve">    Wipro Ltd</v>
      </c>
      <c r="B324" t="str">
        <f>$B$93</f>
        <v>WIT US Equity</v>
      </c>
      <c r="C324" t="str">
        <f>$C$93</f>
        <v>RX553</v>
      </c>
      <c r="D324" t="str">
        <f>$D$93</f>
        <v>EPS_BEF_XO_3YR_GEO_GROWTH</v>
      </c>
      <c r="E324" t="str">
        <f>$E$93</f>
        <v>Dynamic</v>
      </c>
      <c r="F324" t="e">
        <f ca="1">_xll.BDH($B$93,$C$93,$B$236,$B$237,CONCATENATE("Per=",$B$234),"Dts=H","Dir=H",CONCATENATE("Points=",$B$235),"Sort=R","Days=A","Fill=B",CONCATENATE("FX=", $B$233),"cols=12;rows=1")</f>
        <v>#NAME?</v>
      </c>
      <c r="G324">
        <v>3.3033000000000001</v>
      </c>
      <c r="H324">
        <v>-1.4682999999999999</v>
      </c>
      <c r="I324">
        <v>3.2515999999999998</v>
      </c>
      <c r="J324">
        <v>13.1854</v>
      </c>
      <c r="K324">
        <v>15.6988</v>
      </c>
      <c r="L324">
        <v>13.4681</v>
      </c>
      <c r="M324">
        <v>9.4588000000000001</v>
      </c>
      <c r="N324">
        <v>12.264200000000001</v>
      </c>
      <c r="O324">
        <v>17.005199999999999</v>
      </c>
      <c r="P324">
        <v>15.5146</v>
      </c>
      <c r="Q324">
        <v>22.1815</v>
      </c>
      <c r="R324" t="str">
        <f>""</f>
        <v/>
      </c>
      <c r="S324" t="str">
        <f>""</f>
        <v/>
      </c>
      <c r="T324" t="str">
        <f>""</f>
        <v/>
      </c>
      <c r="U324" t="str">
        <f>""</f>
        <v/>
      </c>
      <c r="V324" t="str">
        <f>""</f>
        <v/>
      </c>
      <c r="W324" t="str">
        <f>""</f>
        <v/>
      </c>
      <c r="X324" t="str">
        <f>""</f>
        <v/>
      </c>
      <c r="Y324" t="str">
        <f>""</f>
        <v/>
      </c>
      <c r="Z324" t="str">
        <f>""</f>
        <v/>
      </c>
      <c r="AA324" t="str">
        <f>""</f>
        <v/>
      </c>
      <c r="AB324" t="str">
        <f>""</f>
        <v/>
      </c>
      <c r="AC324" t="str">
        <f>""</f>
        <v/>
      </c>
    </row>
    <row r="325" spans="1:29" x14ac:dyDescent="0.25">
      <c r="A325" t="str">
        <f>$A$96</f>
        <v xml:space="preserve">    Accenture PLC</v>
      </c>
      <c r="B325" t="str">
        <f>$B$96</f>
        <v>ACN US Equity</v>
      </c>
      <c r="C325" t="str">
        <f>$C$96</f>
        <v>RR057</v>
      </c>
      <c r="D325" t="str">
        <f>$D$96</f>
        <v>GROSS_MARGIN</v>
      </c>
      <c r="E325" t="str">
        <f>$E$96</f>
        <v>Dynamic</v>
      </c>
      <c r="F325" t="e">
        <f ca="1">_xll.BDH($B$96,$C$96,$B$236,$B$237,CONCATENATE("Per=",$B$234),"Dts=H","Dir=H",CONCATENATE("Points=",$B$235),"Sort=R","Days=A","Fill=B",CONCATENATE("FX=", $B$233),"cols=12;rows=1")</f>
        <v>#NAME?</v>
      </c>
      <c r="G325">
        <v>30.4772</v>
      </c>
      <c r="H325">
        <v>30.002300000000002</v>
      </c>
      <c r="I325">
        <v>29.534800000000001</v>
      </c>
      <c r="J325">
        <v>29.802299999999999</v>
      </c>
      <c r="K325">
        <v>30.382899999999999</v>
      </c>
      <c r="L325">
        <v>30.8748</v>
      </c>
      <c r="M325">
        <v>30.182400000000001</v>
      </c>
      <c r="N325">
        <v>30.661200000000001</v>
      </c>
      <c r="O325">
        <v>31.396599999999999</v>
      </c>
      <c r="P325">
        <v>29.5245</v>
      </c>
      <c r="Q325">
        <v>28.385999999999999</v>
      </c>
      <c r="R325" t="str">
        <f>""</f>
        <v/>
      </c>
      <c r="S325" t="str">
        <f>""</f>
        <v/>
      </c>
      <c r="T325" t="str">
        <f>""</f>
        <v/>
      </c>
      <c r="U325" t="str">
        <f>""</f>
        <v/>
      </c>
      <c r="V325" t="str">
        <f>""</f>
        <v/>
      </c>
      <c r="W325" t="str">
        <f>""</f>
        <v/>
      </c>
      <c r="X325" t="str">
        <f>""</f>
        <v/>
      </c>
      <c r="Y325" t="str">
        <f>""</f>
        <v/>
      </c>
      <c r="Z325" t="str">
        <f>""</f>
        <v/>
      </c>
      <c r="AA325" t="str">
        <f>""</f>
        <v/>
      </c>
      <c r="AB325" t="str">
        <f>""</f>
        <v/>
      </c>
      <c r="AC325" t="str">
        <f>""</f>
        <v/>
      </c>
    </row>
    <row r="326" spans="1:29" x14ac:dyDescent="0.25">
      <c r="A326" t="str">
        <f>$A$97</f>
        <v xml:space="preserve">    Amdocs Ltd</v>
      </c>
      <c r="B326" t="str">
        <f>$B$97</f>
        <v>DOX US Equity</v>
      </c>
      <c r="C326" t="str">
        <f>$C$97</f>
        <v>RR057</v>
      </c>
      <c r="D326" t="str">
        <f>$D$97</f>
        <v>GROSS_MARGIN</v>
      </c>
      <c r="E326" t="str">
        <f>$E$97</f>
        <v>Dynamic</v>
      </c>
      <c r="F326" t="e">
        <f ca="1">_xll.BDH($B$97,$C$97,$B$236,$B$237,CONCATENATE("Per=",$B$234),"Dts=H","Dir=H",CONCATENATE("Points=",$B$235),"Sort=R","Days=A","Fill=B",CONCATENATE("FX=", $B$233),"cols=12;rows=1")</f>
        <v>#NAME?</v>
      </c>
      <c r="G326">
        <v>34.7074</v>
      </c>
      <c r="H326">
        <v>35.155000000000001</v>
      </c>
      <c r="I326">
        <v>35.236899999999999</v>
      </c>
      <c r="J326">
        <v>35.516300000000001</v>
      </c>
      <c r="K326">
        <v>35.265799999999999</v>
      </c>
      <c r="L326">
        <v>35.231699999999996</v>
      </c>
      <c r="M326">
        <v>35.770499999999998</v>
      </c>
      <c r="N326">
        <v>34.878999999999998</v>
      </c>
      <c r="O326">
        <v>36.142000000000003</v>
      </c>
      <c r="P326">
        <v>35.910400000000003</v>
      </c>
      <c r="Q326">
        <v>35.919400000000003</v>
      </c>
      <c r="R326" t="str">
        <f>""</f>
        <v/>
      </c>
      <c r="S326" t="str">
        <f>""</f>
        <v/>
      </c>
      <c r="T326" t="str">
        <f>""</f>
        <v/>
      </c>
      <c r="U326" t="str">
        <f>""</f>
        <v/>
      </c>
      <c r="V326" t="str">
        <f>""</f>
        <v/>
      </c>
      <c r="W326" t="str">
        <f>""</f>
        <v/>
      </c>
      <c r="X326" t="str">
        <f>""</f>
        <v/>
      </c>
      <c r="Y326" t="str">
        <f>""</f>
        <v/>
      </c>
      <c r="Z326" t="str">
        <f>""</f>
        <v/>
      </c>
      <c r="AA326" t="str">
        <f>""</f>
        <v/>
      </c>
      <c r="AB326" t="str">
        <f>""</f>
        <v/>
      </c>
      <c r="AC326" t="str">
        <f>""</f>
        <v/>
      </c>
    </row>
    <row r="327" spans="1:29" x14ac:dyDescent="0.25">
      <c r="A327" t="str">
        <f>$A$98</f>
        <v xml:space="preserve">    Atos SE</v>
      </c>
      <c r="B327" t="str">
        <f>$B$98</f>
        <v>ATO FP Equity</v>
      </c>
      <c r="C327" t="str">
        <f>$C$98</f>
        <v>RR057</v>
      </c>
      <c r="D327" t="str">
        <f>$D$98</f>
        <v>GROSS_MARGIN</v>
      </c>
      <c r="E327" t="str">
        <f>$E$98</f>
        <v>Dynamic</v>
      </c>
      <c r="F327" t="e">
        <f ca="1">_xll.BDH($B$98,$C$98,$B$236,$B$237,CONCATENATE("Per=",$B$234),"Dts=H","Dir=H",CONCATENATE("Points=",$B$235),"Sort=R","Days=A","Fill=B",CONCATENATE("FX=", $B$233) )</f>
        <v>#NAME?</v>
      </c>
      <c r="R327" t="str">
        <f>""</f>
        <v/>
      </c>
      <c r="S327" t="str">
        <f>""</f>
        <v/>
      </c>
      <c r="T327" t="str">
        <f>""</f>
        <v/>
      </c>
      <c r="U327" t="str">
        <f>""</f>
        <v/>
      </c>
      <c r="V327" t="str">
        <f>""</f>
        <v/>
      </c>
      <c r="W327" t="str">
        <f>""</f>
        <v/>
      </c>
      <c r="X327" t="str">
        <f>""</f>
        <v/>
      </c>
      <c r="Y327" t="str">
        <f>""</f>
        <v/>
      </c>
      <c r="Z327" t="str">
        <f>""</f>
        <v/>
      </c>
      <c r="AA327" t="str">
        <f>""</f>
        <v/>
      </c>
      <c r="AB327" t="str">
        <f>""</f>
        <v/>
      </c>
      <c r="AC327" t="str">
        <f>""</f>
        <v/>
      </c>
    </row>
    <row r="328" spans="1:29" x14ac:dyDescent="0.25">
      <c r="A328" t="str">
        <f>$A$99</f>
        <v xml:space="preserve">    Capgemini SE</v>
      </c>
      <c r="B328" t="str">
        <f>$B$99</f>
        <v>CAP FP Equity</v>
      </c>
      <c r="C328" t="str">
        <f>$C$99</f>
        <v>RR057</v>
      </c>
      <c r="D328" t="str">
        <f>$D$99</f>
        <v>GROSS_MARGIN</v>
      </c>
      <c r="E328" t="str">
        <f>$E$99</f>
        <v>Dynamic</v>
      </c>
      <c r="F328" t="e">
        <f ca="1">_xll.BDH($B$99,$C$99,$B$236,$B$237,CONCATENATE("Per=",$B$234),"Dts=H","Dir=H",CONCATENATE("Points=",$B$235),"Sort=R","Days=A","Fill=B",CONCATENATE("FX=", $B$233),"cols=12;rows=1")</f>
        <v>#NAME?</v>
      </c>
      <c r="G328">
        <v>27.051600000000001</v>
      </c>
      <c r="H328">
        <v>27.018000000000001</v>
      </c>
      <c r="I328">
        <v>26.764499999999998</v>
      </c>
      <c r="J328">
        <v>25.8246</v>
      </c>
      <c r="K328">
        <v>24.713899999999999</v>
      </c>
      <c r="L328">
        <v>24.336099999999998</v>
      </c>
      <c r="M328">
        <v>23.597000000000001</v>
      </c>
      <c r="N328">
        <v>23.398299999999999</v>
      </c>
      <c r="O328">
        <v>23.755299999999998</v>
      </c>
      <c r="P328">
        <v>23.951699999999999</v>
      </c>
      <c r="Q328">
        <v>25.625699999999998</v>
      </c>
      <c r="R328" t="str">
        <f>""</f>
        <v/>
      </c>
      <c r="S328" t="str">
        <f>""</f>
        <v/>
      </c>
      <c r="T328" t="str">
        <f>""</f>
        <v/>
      </c>
      <c r="U328" t="str">
        <f>""</f>
        <v/>
      </c>
      <c r="V328" t="str">
        <f>""</f>
        <v/>
      </c>
      <c r="W328" t="str">
        <f>""</f>
        <v/>
      </c>
      <c r="X328" t="str">
        <f>""</f>
        <v/>
      </c>
      <c r="Y328" t="str">
        <f>""</f>
        <v/>
      </c>
      <c r="Z328" t="str">
        <f>""</f>
        <v/>
      </c>
      <c r="AA328" t="str">
        <f>""</f>
        <v/>
      </c>
      <c r="AB328" t="str">
        <f>""</f>
        <v/>
      </c>
      <c r="AC328" t="str">
        <f>""</f>
        <v/>
      </c>
    </row>
    <row r="329" spans="1:29" x14ac:dyDescent="0.25">
      <c r="A329" t="str">
        <f>$A$100</f>
        <v xml:space="preserve">    CGI Inc</v>
      </c>
      <c r="B329" t="str">
        <f>$B$100</f>
        <v>GIB US Equity</v>
      </c>
      <c r="C329" t="str">
        <f>$C$100</f>
        <v>RR057</v>
      </c>
      <c r="D329" t="str">
        <f>$D$100</f>
        <v>GROSS_MARGIN</v>
      </c>
      <c r="E329" t="str">
        <f>$E$100</f>
        <v>Dynamic</v>
      </c>
      <c r="F329" t="e">
        <f ca="1">_xll.BDH($B$100,$C$100,$B$236,$B$237,CONCATENATE("Per=",$B$234),"Dts=H","Dir=H",CONCATENATE("Points=",$B$235),"Sort=R","Days=A","Fill=B",CONCATENATE("FX=", $B$233),"cols=12;rows=1")</f>
        <v>#NAME?</v>
      </c>
      <c r="G329">
        <v>14.817600000000001</v>
      </c>
      <c r="H329">
        <v>14.6371</v>
      </c>
      <c r="I329">
        <v>14.6241</v>
      </c>
      <c r="J329">
        <v>14.2707</v>
      </c>
      <c r="K329">
        <v>13.0471</v>
      </c>
      <c r="L329">
        <v>10.6332</v>
      </c>
      <c r="M329">
        <v>11.4322</v>
      </c>
      <c r="N329">
        <v>12.6181</v>
      </c>
      <c r="O329">
        <v>18.924800000000001</v>
      </c>
      <c r="P329">
        <v>17.117100000000001</v>
      </c>
      <c r="Q329">
        <v>11.6553</v>
      </c>
      <c r="R329" t="str">
        <f>""</f>
        <v/>
      </c>
      <c r="S329" t="str">
        <f>""</f>
        <v/>
      </c>
      <c r="T329" t="str">
        <f>""</f>
        <v/>
      </c>
      <c r="U329" t="str">
        <f>""</f>
        <v/>
      </c>
      <c r="V329" t="str">
        <f>""</f>
        <v/>
      </c>
      <c r="W329" t="str">
        <f>""</f>
        <v/>
      </c>
      <c r="X329" t="str">
        <f>""</f>
        <v/>
      </c>
      <c r="Y329" t="str">
        <f>""</f>
        <v/>
      </c>
      <c r="Z329" t="str">
        <f>""</f>
        <v/>
      </c>
      <c r="AA329" t="str">
        <f>""</f>
        <v/>
      </c>
      <c r="AB329" t="str">
        <f>""</f>
        <v/>
      </c>
      <c r="AC329" t="str">
        <f>""</f>
        <v/>
      </c>
    </row>
    <row r="330" spans="1:29" x14ac:dyDescent="0.25">
      <c r="A330" t="str">
        <f>$A$101</f>
        <v xml:space="preserve">    Cognizant Technology Solutions Corp</v>
      </c>
      <c r="B330" t="str">
        <f>$B$101</f>
        <v>CTSH US Equity</v>
      </c>
      <c r="C330" t="str">
        <f>$C$101</f>
        <v>RR057</v>
      </c>
      <c r="D330" t="str">
        <f>$D$101</f>
        <v>GROSS_MARGIN</v>
      </c>
      <c r="E330" t="str">
        <f>$E$101</f>
        <v>Dynamic</v>
      </c>
      <c r="F330" t="e">
        <f ca="1">_xll.BDH($B$101,$C$101,$B$236,$B$237,CONCATENATE("Per=",$B$234),"Dts=H","Dir=H",CONCATENATE("Points=",$B$235),"Sort=R","Days=A","Fill=B",CONCATENATE("FX=", $B$233),"cols=12;rows=1")</f>
        <v>#NAME?</v>
      </c>
      <c r="G330">
        <v>38.989100000000001</v>
      </c>
      <c r="H330">
        <v>38.203899999999997</v>
      </c>
      <c r="I330">
        <v>39.882899999999999</v>
      </c>
      <c r="J330">
        <v>40.077300000000001</v>
      </c>
      <c r="K330">
        <v>40.161000000000001</v>
      </c>
      <c r="L330">
        <v>40.4574</v>
      </c>
      <c r="M330">
        <v>41.764699999999998</v>
      </c>
      <c r="N330">
        <v>42.190300000000001</v>
      </c>
      <c r="O330">
        <v>42.196300000000001</v>
      </c>
      <c r="P330">
        <v>43.591500000000003</v>
      </c>
      <c r="Q330">
        <v>44.153199999999998</v>
      </c>
      <c r="R330" t="str">
        <f>""</f>
        <v/>
      </c>
      <c r="S330" t="str">
        <f>""</f>
        <v/>
      </c>
      <c r="T330" t="str">
        <f>""</f>
        <v/>
      </c>
      <c r="U330" t="str">
        <f>""</f>
        <v/>
      </c>
      <c r="V330" t="str">
        <f>""</f>
        <v/>
      </c>
      <c r="W330" t="str">
        <f>""</f>
        <v/>
      </c>
      <c r="X330" t="str">
        <f>""</f>
        <v/>
      </c>
      <c r="Y330" t="str">
        <f>""</f>
        <v/>
      </c>
      <c r="Z330" t="str">
        <f>""</f>
        <v/>
      </c>
      <c r="AA330" t="str">
        <f>""</f>
        <v/>
      </c>
      <c r="AB330" t="str">
        <f>""</f>
        <v/>
      </c>
      <c r="AC330" t="str">
        <f>""</f>
        <v/>
      </c>
    </row>
    <row r="331" spans="1:29" x14ac:dyDescent="0.25">
      <c r="A331" t="str">
        <f>$A$102</f>
        <v xml:space="preserve">    Conduent Inc</v>
      </c>
      <c r="B331" t="str">
        <f>$B$102</f>
        <v>CNDT US Equity</v>
      </c>
      <c r="C331" t="str">
        <f>$C$102</f>
        <v>RR057</v>
      </c>
      <c r="D331" t="str">
        <f>$D$102</f>
        <v>GROSS_MARGIN</v>
      </c>
      <c r="E331" t="str">
        <f>$E$102</f>
        <v>Dynamic</v>
      </c>
      <c r="F331" t="e">
        <f ca="1">_xll.BDH($B$102,$C$102,$B$236,$B$237,CONCATENATE("Per=",$B$234),"Dts=H","Dir=H",CONCATENATE("Points=",$B$235),"Sort=R","Days=A","Fill=B",CONCATENATE("FX=", $B$233),"cols=12;rows=1")</f>
        <v>#NAME?</v>
      </c>
      <c r="G331">
        <v>22.454999999999998</v>
      </c>
      <c r="H331">
        <v>21.454699999999999</v>
      </c>
      <c r="I331">
        <v>14.201000000000001</v>
      </c>
      <c r="J331">
        <v>10.2822</v>
      </c>
      <c r="K331">
        <v>16.4024</v>
      </c>
      <c r="L331">
        <v>18.011299999999999</v>
      </c>
      <c r="R331" t="str">
        <f>""</f>
        <v/>
      </c>
      <c r="S331" t="str">
        <f>""</f>
        <v/>
      </c>
      <c r="T331" t="str">
        <f>""</f>
        <v/>
      </c>
      <c r="U331" t="str">
        <f>""</f>
        <v/>
      </c>
      <c r="V331" t="str">
        <f>""</f>
        <v/>
      </c>
      <c r="W331" t="str">
        <f>""</f>
        <v/>
      </c>
      <c r="X331" t="str">
        <f>""</f>
        <v/>
      </c>
      <c r="Y331" t="str">
        <f>""</f>
        <v/>
      </c>
      <c r="Z331" t="str">
        <f>""</f>
        <v/>
      </c>
      <c r="AA331" t="str">
        <f>""</f>
        <v/>
      </c>
      <c r="AB331" t="str">
        <f>""</f>
        <v/>
      </c>
      <c r="AC331" t="str">
        <f>""</f>
        <v/>
      </c>
    </row>
    <row r="332" spans="1:29" x14ac:dyDescent="0.25">
      <c r="A332" t="str">
        <f>$A$103</f>
        <v xml:space="preserve">    DXC Technology Co</v>
      </c>
      <c r="B332" t="str">
        <f>$B$103</f>
        <v>DXC US Equity</v>
      </c>
      <c r="C332" t="str">
        <f>$C$103</f>
        <v>RR057</v>
      </c>
      <c r="D332" t="str">
        <f>$D$103</f>
        <v>GROSS_MARGIN</v>
      </c>
      <c r="E332" t="str">
        <f>$E$103</f>
        <v>Dynamic</v>
      </c>
      <c r="F332" t="e">
        <f ca="1">_xll.BDH($B$103,$C$103,$B$236,$B$237,CONCATENATE("Per=",$B$234),"Dts=H","Dir=H",CONCATENATE("Points=",$B$235),"Sort=R","Days=A","Fill=B",CONCATENATE("FX=", $B$233),"cols=12;rows=1")</f>
        <v>#NAME?</v>
      </c>
      <c r="G332">
        <v>27.9815</v>
      </c>
      <c r="H332">
        <v>24.9206</v>
      </c>
      <c r="I332">
        <v>21.8398</v>
      </c>
      <c r="R332" t="str">
        <f>""</f>
        <v/>
      </c>
      <c r="S332" t="str">
        <f>""</f>
        <v/>
      </c>
      <c r="T332" t="str">
        <f>""</f>
        <v/>
      </c>
      <c r="U332" t="str">
        <f>""</f>
        <v/>
      </c>
      <c r="V332" t="str">
        <f>""</f>
        <v/>
      </c>
      <c r="W332" t="str">
        <f>""</f>
        <v/>
      </c>
      <c r="X332" t="str">
        <f>""</f>
        <v/>
      </c>
      <c r="Y332" t="str">
        <f>""</f>
        <v/>
      </c>
      <c r="Z332" t="str">
        <f>""</f>
        <v/>
      </c>
      <c r="AA332" t="str">
        <f>""</f>
        <v/>
      </c>
      <c r="AB332" t="str">
        <f>""</f>
        <v/>
      </c>
      <c r="AC332" t="str">
        <f>""</f>
        <v/>
      </c>
    </row>
    <row r="333" spans="1:29" x14ac:dyDescent="0.25">
      <c r="A333" t="str">
        <f>$A$104</f>
        <v xml:space="preserve">    EPAM Systems Inc</v>
      </c>
      <c r="B333" t="str">
        <f>$B$104</f>
        <v>EPAM US Equity</v>
      </c>
      <c r="C333" t="str">
        <f>$C$104</f>
        <v>RR057</v>
      </c>
      <c r="D333" t="str">
        <f>$D$104</f>
        <v>GROSS_MARGIN</v>
      </c>
      <c r="E333" t="str">
        <f>$E$104</f>
        <v>Dynamic</v>
      </c>
      <c r="F333" t="e">
        <f ca="1">_xll.BDH($B$104,$C$104,$B$236,$B$237,CONCATENATE("Per=",$B$234),"Dts=H","Dir=H",CONCATENATE("Points=",$B$235),"Sort=R","Days=A","Fill=B",CONCATENATE("FX=", $B$233),"cols=12;rows=1")</f>
        <v>#NAME?</v>
      </c>
      <c r="G333">
        <v>35.595399999999998</v>
      </c>
      <c r="H333">
        <v>36.478099999999998</v>
      </c>
      <c r="I333">
        <v>36.456699999999998</v>
      </c>
      <c r="J333">
        <v>37.983199999999997</v>
      </c>
      <c r="K333">
        <v>37.463999999999999</v>
      </c>
      <c r="L333">
        <v>37.373600000000003</v>
      </c>
      <c r="M333">
        <v>37.676000000000002</v>
      </c>
      <c r="N333">
        <v>38.619199999999999</v>
      </c>
      <c r="O333">
        <v>40.255299999999998</v>
      </c>
      <c r="P333">
        <v>41.291499999999999</v>
      </c>
      <c r="Q333">
        <v>43.221200000000003</v>
      </c>
      <c r="R333" t="str">
        <f>""</f>
        <v/>
      </c>
      <c r="S333" t="str">
        <f>""</f>
        <v/>
      </c>
      <c r="T333" t="str">
        <f>""</f>
        <v/>
      </c>
      <c r="U333" t="str">
        <f>""</f>
        <v/>
      </c>
      <c r="V333" t="str">
        <f>""</f>
        <v/>
      </c>
      <c r="W333" t="str">
        <f>""</f>
        <v/>
      </c>
      <c r="X333" t="str">
        <f>""</f>
        <v/>
      </c>
      <c r="Y333" t="str">
        <f>""</f>
        <v/>
      </c>
      <c r="Z333" t="str">
        <f>""</f>
        <v/>
      </c>
      <c r="AA333" t="str">
        <f>""</f>
        <v/>
      </c>
      <c r="AB333" t="str">
        <f>""</f>
        <v/>
      </c>
      <c r="AC333" t="str">
        <f>""</f>
        <v/>
      </c>
    </row>
    <row r="334" spans="1:29" x14ac:dyDescent="0.25">
      <c r="A334" t="str">
        <f>$A$105</f>
        <v xml:space="preserve">    Genpact Ltd</v>
      </c>
      <c r="B334" t="str">
        <f>$B$105</f>
        <v>G US Equity</v>
      </c>
      <c r="C334" t="str">
        <f>$C$105</f>
        <v>RR057</v>
      </c>
      <c r="D334" t="str">
        <f>$D$105</f>
        <v>GROSS_MARGIN</v>
      </c>
      <c r="E334" t="str">
        <f>$E$105</f>
        <v>Dynamic</v>
      </c>
      <c r="F334" t="e">
        <f ca="1">_xll.BDH($B$105,$C$105,$B$236,$B$237,CONCATENATE("Per=",$B$234),"Dts=H","Dir=H",CONCATENATE("Points=",$B$235),"Sort=R","Days=A","Fill=B",CONCATENATE("FX=", $B$233),"cols=12;rows=1")</f>
        <v>#NAME?</v>
      </c>
      <c r="G334">
        <v>35.957900000000002</v>
      </c>
      <c r="H334">
        <v>38.564799999999998</v>
      </c>
      <c r="I334">
        <v>39.537599999999998</v>
      </c>
      <c r="J334">
        <v>39.3125</v>
      </c>
      <c r="K334">
        <v>39.5426</v>
      </c>
      <c r="L334">
        <v>38.106299999999997</v>
      </c>
      <c r="M334">
        <v>39.128100000000003</v>
      </c>
      <c r="N334">
        <v>37.210900000000002</v>
      </c>
      <c r="O334">
        <v>37.3673</v>
      </c>
      <c r="P334">
        <v>39.948099999999997</v>
      </c>
      <c r="Q334">
        <v>40.506999999999998</v>
      </c>
      <c r="R334" t="str">
        <f>""</f>
        <v/>
      </c>
      <c r="S334" t="str">
        <f>""</f>
        <v/>
      </c>
      <c r="T334" t="str">
        <f>""</f>
        <v/>
      </c>
      <c r="U334" t="str">
        <f>""</f>
        <v/>
      </c>
      <c r="V334" t="str">
        <f>""</f>
        <v/>
      </c>
      <c r="W334" t="str">
        <f>""</f>
        <v/>
      </c>
      <c r="X334" t="str">
        <f>""</f>
        <v/>
      </c>
      <c r="Y334" t="str">
        <f>""</f>
        <v/>
      </c>
      <c r="Z334" t="str">
        <f>""</f>
        <v/>
      </c>
      <c r="AA334" t="str">
        <f>""</f>
        <v/>
      </c>
      <c r="AB334" t="str">
        <f>""</f>
        <v/>
      </c>
      <c r="AC334" t="str">
        <f>""</f>
        <v/>
      </c>
    </row>
    <row r="335" spans="1:29" x14ac:dyDescent="0.25">
      <c r="A335" t="str">
        <f>$A$106</f>
        <v xml:space="preserve">    HCL Technologies Ltd</v>
      </c>
      <c r="B335" t="str">
        <f>$B$106</f>
        <v>HCLT IN Equity</v>
      </c>
      <c r="C335" t="str">
        <f>$C$106</f>
        <v>RR057</v>
      </c>
      <c r="D335" t="str">
        <f>$D$106</f>
        <v>GROSS_MARGIN</v>
      </c>
      <c r="E335" t="str">
        <f>$E$106</f>
        <v>Dynamic</v>
      </c>
      <c r="F335" t="e">
        <f ca="1">_xll.BDH($B$106,$C$106,$B$236,$B$237,CONCATENATE("Per=",$B$234),"Dts=H","Dir=H",CONCATENATE("Points=",$B$235),"Sort=R","Days=A","Fill=B",CONCATENATE("FX=", $B$233),"cols=12;rows=1")</f>
        <v>#NAME?</v>
      </c>
      <c r="G335">
        <v>34.965899999999998</v>
      </c>
      <c r="J335">
        <v>34.211100000000002</v>
      </c>
      <c r="L335">
        <v>38.589100000000002</v>
      </c>
      <c r="R335" t="str">
        <f>""</f>
        <v/>
      </c>
      <c r="S335" t="str">
        <f>""</f>
        <v/>
      </c>
      <c r="T335" t="str">
        <f>""</f>
        <v/>
      </c>
      <c r="U335" t="str">
        <f>""</f>
        <v/>
      </c>
      <c r="V335" t="str">
        <f>""</f>
        <v/>
      </c>
      <c r="W335" t="str">
        <f>""</f>
        <v/>
      </c>
      <c r="X335" t="str">
        <f>""</f>
        <v/>
      </c>
      <c r="Y335" t="str">
        <f>""</f>
        <v/>
      </c>
      <c r="Z335" t="str">
        <f>""</f>
        <v/>
      </c>
      <c r="AA335" t="str">
        <f>""</f>
        <v/>
      </c>
      <c r="AB335" t="str">
        <f>""</f>
        <v/>
      </c>
      <c r="AC335" t="str">
        <f>""</f>
        <v/>
      </c>
    </row>
    <row r="336" spans="1:29" x14ac:dyDescent="0.25">
      <c r="A336" t="str">
        <f>$A$107</f>
        <v xml:space="preserve">    Indra Sistemas SA</v>
      </c>
      <c r="B336" t="str">
        <f>$B$107</f>
        <v>IDR SM Equity</v>
      </c>
      <c r="C336" t="str">
        <f>$C$107</f>
        <v>RR057</v>
      </c>
      <c r="D336" t="str">
        <f>$D$107</f>
        <v>GROSS_MARGIN</v>
      </c>
      <c r="E336" t="str">
        <f>$E$107</f>
        <v>Dynamic</v>
      </c>
      <c r="F336" t="e">
        <f ca="1">_xll.BDH($B$107,$C$107,$B$236,$B$237,CONCATENATE("Per=",$B$234),"Dts=H","Dir=H",CONCATENATE("Points=",$B$235),"Sort=R","Days=A","Fill=B",CONCATENATE("FX=", $B$233) )</f>
        <v>#NAME?</v>
      </c>
      <c r="R336" t="str">
        <f>""</f>
        <v/>
      </c>
      <c r="S336" t="str">
        <f>""</f>
        <v/>
      </c>
      <c r="T336" t="str">
        <f>""</f>
        <v/>
      </c>
      <c r="U336" t="str">
        <f>""</f>
        <v/>
      </c>
      <c r="V336" t="str">
        <f>""</f>
        <v/>
      </c>
      <c r="W336" t="str">
        <f>""</f>
        <v/>
      </c>
      <c r="X336" t="str">
        <f>""</f>
        <v/>
      </c>
      <c r="Y336" t="str">
        <f>""</f>
        <v/>
      </c>
      <c r="Z336" t="str">
        <f>""</f>
        <v/>
      </c>
      <c r="AA336" t="str">
        <f>""</f>
        <v/>
      </c>
      <c r="AB336" t="str">
        <f>""</f>
        <v/>
      </c>
      <c r="AC336" t="str">
        <f>""</f>
        <v/>
      </c>
    </row>
    <row r="337" spans="1:29" x14ac:dyDescent="0.25">
      <c r="A337" t="str">
        <f>$A$108</f>
        <v xml:space="preserve">    Infosys Ltd</v>
      </c>
      <c r="B337" t="str">
        <f>$B$108</f>
        <v>INFY US Equity</v>
      </c>
      <c r="C337" t="str">
        <f>$C$108</f>
        <v>RR057</v>
      </c>
      <c r="D337" t="str">
        <f>$D$108</f>
        <v>GROSS_MARGIN</v>
      </c>
      <c r="E337" t="str">
        <f>$E$108</f>
        <v>Dynamic</v>
      </c>
      <c r="F337" t="e">
        <f ca="1">_xll.BDH($B$108,$C$108,$B$236,$B$237,CONCATENATE("Per=",$B$234),"Dts=H","Dir=H",CONCATENATE("Points=",$B$235),"Sort=R","Days=A","Fill=B",CONCATENATE("FX=", $B$233),"cols=12;rows=1")</f>
        <v>#NAME?</v>
      </c>
      <c r="G337">
        <v>34.844900000000003</v>
      </c>
      <c r="H337">
        <v>36.005800000000001</v>
      </c>
      <c r="I337">
        <v>36.842199999999998</v>
      </c>
      <c r="K337">
        <v>38.327800000000003</v>
      </c>
      <c r="L337">
        <v>35.888500000000001</v>
      </c>
      <c r="M337">
        <v>37.351300000000002</v>
      </c>
      <c r="N337">
        <v>41.281799999999997</v>
      </c>
      <c r="O337">
        <v>45.260199999999998</v>
      </c>
      <c r="P337">
        <v>42.749099999999999</v>
      </c>
      <c r="Q337">
        <v>45.765900000000002</v>
      </c>
      <c r="R337" t="str">
        <f>""</f>
        <v/>
      </c>
      <c r="S337" t="str">
        <f>""</f>
        <v/>
      </c>
      <c r="T337" t="str">
        <f>""</f>
        <v/>
      </c>
      <c r="U337" t="str">
        <f>""</f>
        <v/>
      </c>
      <c r="V337" t="str">
        <f>""</f>
        <v/>
      </c>
      <c r="W337" t="str">
        <f>""</f>
        <v/>
      </c>
      <c r="X337" t="str">
        <f>""</f>
        <v/>
      </c>
      <c r="Y337" t="str">
        <f>""</f>
        <v/>
      </c>
      <c r="Z337" t="str">
        <f>""</f>
        <v/>
      </c>
      <c r="AA337" t="str">
        <f>""</f>
        <v/>
      </c>
      <c r="AB337" t="str">
        <f>""</f>
        <v/>
      </c>
      <c r="AC337" t="str">
        <f>""</f>
        <v/>
      </c>
    </row>
    <row r="338" spans="1:29" x14ac:dyDescent="0.25">
      <c r="A338" t="str">
        <f>$A$109</f>
        <v xml:space="preserve">    International Business Machines Corp</v>
      </c>
      <c r="B338" t="str">
        <f>$B$109</f>
        <v>IBM US Equity</v>
      </c>
      <c r="C338" t="str">
        <f>$C$109</f>
        <v>RR057</v>
      </c>
      <c r="D338" t="str">
        <f>$D$109</f>
        <v>GROSS_MARGIN</v>
      </c>
      <c r="E338" t="str">
        <f>$E$109</f>
        <v>Dynamic</v>
      </c>
      <c r="F338" t="e">
        <f ca="1">_xll.BDH($B$109,$C$109,$B$236,$B$237,CONCATENATE("Per=",$B$234),"Dts=H","Dir=H",CONCATENATE("Points=",$B$235),"Sort=R","Days=A","Fill=B",CONCATENATE("FX=", $B$233),"cols=12;rows=1")</f>
        <v>#NAME?</v>
      </c>
      <c r="G338">
        <v>46.407299999999999</v>
      </c>
      <c r="H338">
        <v>46.681199999999997</v>
      </c>
      <c r="I338">
        <v>47.915999999999997</v>
      </c>
      <c r="J338">
        <v>49.771799999999999</v>
      </c>
      <c r="K338">
        <v>50.011299999999999</v>
      </c>
      <c r="L338">
        <v>49.492199999999997</v>
      </c>
      <c r="M338">
        <v>48.954099999999997</v>
      </c>
      <c r="N338">
        <v>46.894800000000004</v>
      </c>
      <c r="O338">
        <v>46.072899999999997</v>
      </c>
      <c r="P338">
        <v>45.724600000000002</v>
      </c>
      <c r="Q338">
        <v>44.061599999999999</v>
      </c>
      <c r="R338" t="str">
        <f>""</f>
        <v/>
      </c>
      <c r="S338" t="str">
        <f>""</f>
        <v/>
      </c>
      <c r="T338" t="str">
        <f>""</f>
        <v/>
      </c>
      <c r="U338" t="str">
        <f>""</f>
        <v/>
      </c>
      <c r="V338" t="str">
        <f>""</f>
        <v/>
      </c>
      <c r="W338" t="str">
        <f>""</f>
        <v/>
      </c>
      <c r="X338" t="str">
        <f>""</f>
        <v/>
      </c>
      <c r="Y338" t="str">
        <f>""</f>
        <v/>
      </c>
      <c r="Z338" t="str">
        <f>""</f>
        <v/>
      </c>
      <c r="AA338" t="str">
        <f>""</f>
        <v/>
      </c>
      <c r="AB338" t="str">
        <f>""</f>
        <v/>
      </c>
      <c r="AC338" t="str">
        <f>""</f>
        <v/>
      </c>
    </row>
    <row r="339" spans="1:29" x14ac:dyDescent="0.25">
      <c r="A339" t="str">
        <f>$A$110</f>
        <v xml:space="preserve">    Tata Consultancy Services Ltd</v>
      </c>
      <c r="B339" t="str">
        <f>$B$110</f>
        <v>TCS IN Equity</v>
      </c>
      <c r="C339" t="str">
        <f>$C$110</f>
        <v>RR057</v>
      </c>
      <c r="D339" t="str">
        <f>$D$110</f>
        <v>GROSS_MARGIN</v>
      </c>
      <c r="E339" t="str">
        <f>$E$110</f>
        <v>Dynamic</v>
      </c>
      <c r="F339" t="e">
        <f ca="1">_xll.BDH($B$110,$C$110,$B$236,$B$237,CONCATENATE("Per=",$B$234),"Dts=H","Dir=H",CONCATENATE("Points=",$B$235),"Sort=R","Days=A","Fill=B",CONCATENATE("FX=", $B$233),"cols=12;rows=1")</f>
        <v>#NAME?</v>
      </c>
      <c r="G339">
        <v>41.856999999999999</v>
      </c>
      <c r="H339">
        <v>42.091200000000001</v>
      </c>
      <c r="I339">
        <v>43.299799999999998</v>
      </c>
      <c r="J339">
        <v>43.946399999999997</v>
      </c>
      <c r="K339">
        <v>42.4193</v>
      </c>
      <c r="L339">
        <v>47.36</v>
      </c>
      <c r="R339" t="str">
        <f>""</f>
        <v/>
      </c>
      <c r="S339" t="str">
        <f>""</f>
        <v/>
      </c>
      <c r="T339" t="str">
        <f>""</f>
        <v/>
      </c>
      <c r="U339" t="str">
        <f>""</f>
        <v/>
      </c>
      <c r="V339" t="str">
        <f>""</f>
        <v/>
      </c>
      <c r="W339" t="str">
        <f>""</f>
        <v/>
      </c>
      <c r="X339" t="str">
        <f>""</f>
        <v/>
      </c>
      <c r="Y339" t="str">
        <f>""</f>
        <v/>
      </c>
      <c r="Z339" t="str">
        <f>""</f>
        <v/>
      </c>
      <c r="AA339" t="str">
        <f>""</f>
        <v/>
      </c>
      <c r="AB339" t="str">
        <f>""</f>
        <v/>
      </c>
      <c r="AC339" t="str">
        <f>""</f>
        <v/>
      </c>
    </row>
    <row r="340" spans="1:29" x14ac:dyDescent="0.25">
      <c r="A340" t="str">
        <f>$A$111</f>
        <v xml:space="preserve">    Tech Mahindra Ltd</v>
      </c>
      <c r="B340" t="str">
        <f>$B$111</f>
        <v>TECHM IN Equity</v>
      </c>
      <c r="C340" t="str">
        <f>$C$111</f>
        <v>RR057</v>
      </c>
      <c r="D340" t="str">
        <f>$D$111</f>
        <v>GROSS_MARGIN</v>
      </c>
      <c r="E340" t="str">
        <f>$E$111</f>
        <v>Dynamic</v>
      </c>
      <c r="F340" t="e">
        <f ca="1">_xll.BDH($B$111,$C$111,$B$236,$B$237,CONCATENATE("Per=",$B$234),"Dts=H","Dir=H",CONCATENATE("Points=",$B$235),"Sort=R","Days=A","Fill=B",CONCATENATE("FX=", $B$233) )</f>
        <v>#NAME?</v>
      </c>
      <c r="R340" t="str">
        <f>""</f>
        <v/>
      </c>
      <c r="S340" t="str">
        <f>""</f>
        <v/>
      </c>
      <c r="T340" t="str">
        <f>""</f>
        <v/>
      </c>
      <c r="U340" t="str">
        <f>""</f>
        <v/>
      </c>
      <c r="V340" t="str">
        <f>""</f>
        <v/>
      </c>
      <c r="W340" t="str">
        <f>""</f>
        <v/>
      </c>
      <c r="X340" t="str">
        <f>""</f>
        <v/>
      </c>
      <c r="Y340" t="str">
        <f>""</f>
        <v/>
      </c>
      <c r="Z340" t="str">
        <f>""</f>
        <v/>
      </c>
      <c r="AA340" t="str">
        <f>""</f>
        <v/>
      </c>
      <c r="AB340" t="str">
        <f>""</f>
        <v/>
      </c>
      <c r="AC340" t="str">
        <f>""</f>
        <v/>
      </c>
    </row>
    <row r="341" spans="1:29" x14ac:dyDescent="0.25">
      <c r="A341" t="str">
        <f>$A$112</f>
        <v xml:space="preserve">    Wipro Ltd</v>
      </c>
      <c r="B341" t="str">
        <f>$B$112</f>
        <v>WIT US Equity</v>
      </c>
      <c r="C341" t="str">
        <f>$C$112</f>
        <v>RR057</v>
      </c>
      <c r="D341" t="str">
        <f>$D$112</f>
        <v>GROSS_MARGIN</v>
      </c>
      <c r="E341" t="str">
        <f>$E$112</f>
        <v>Dynamic</v>
      </c>
      <c r="F341" t="e">
        <f ca="1">_xll.BDH($B$112,$C$112,$B$236,$B$237,CONCATENATE("Per=",$B$234),"Dts=H","Dir=H",CONCATENATE("Points=",$B$235),"Sort=R","Days=A","Fill=B",CONCATENATE("FX=", $B$233),"cols=12;rows=1")</f>
        <v>#NAME?</v>
      </c>
      <c r="G341">
        <v>29.497900000000001</v>
      </c>
      <c r="H341">
        <v>29.235499999999998</v>
      </c>
      <c r="I341">
        <v>28.862200000000001</v>
      </c>
      <c r="J341">
        <v>30.3872</v>
      </c>
      <c r="K341">
        <v>31.575500000000002</v>
      </c>
      <c r="L341">
        <v>31.9574</v>
      </c>
      <c r="M341">
        <v>30.351199999999999</v>
      </c>
      <c r="N341">
        <v>29.249099999999999</v>
      </c>
      <c r="O341">
        <v>31.472100000000001</v>
      </c>
      <c r="P341">
        <v>31.779</v>
      </c>
      <c r="Q341">
        <v>30.365200000000002</v>
      </c>
      <c r="R341" t="str">
        <f>""</f>
        <v/>
      </c>
      <c r="S341" t="str">
        <f>""</f>
        <v/>
      </c>
      <c r="T341" t="str">
        <f>""</f>
        <v/>
      </c>
      <c r="U341" t="str">
        <f>""</f>
        <v/>
      </c>
      <c r="V341" t="str">
        <f>""</f>
        <v/>
      </c>
      <c r="W341" t="str">
        <f>""</f>
        <v/>
      </c>
      <c r="X341" t="str">
        <f>""</f>
        <v/>
      </c>
      <c r="Y341" t="str">
        <f>""</f>
        <v/>
      </c>
      <c r="Z341" t="str">
        <f>""</f>
        <v/>
      </c>
      <c r="AA341" t="str">
        <f>""</f>
        <v/>
      </c>
      <c r="AB341" t="str">
        <f>""</f>
        <v/>
      </c>
      <c r="AC341" t="str">
        <f>""</f>
        <v/>
      </c>
    </row>
    <row r="342" spans="1:29" x14ac:dyDescent="0.25">
      <c r="A342" t="str">
        <f>$A$114</f>
        <v xml:space="preserve">    Accenture PLC</v>
      </c>
      <c r="B342" t="str">
        <f>$B$114</f>
        <v>ACN US Equity</v>
      </c>
      <c r="C342" t="str">
        <f>$C$114</f>
        <v>RR026</v>
      </c>
      <c r="D342" t="str">
        <f>$D$114</f>
        <v>OPER_MARGIN</v>
      </c>
      <c r="E342" t="str">
        <f>$E$114</f>
        <v>Dynamic</v>
      </c>
      <c r="F342" t="e">
        <f ca="1">_xll.BDH($B$114,$C$114,$B$236,$B$237,CONCATENATE("Per=",$B$234),"Dts=H","Dir=H",CONCATENATE("Points=",$B$235),"Sort=R","Days=A","Fill=B",CONCATENATE("FX=", $B$233),"cols=12;rows=1")</f>
        <v>#NAME?</v>
      </c>
      <c r="G342">
        <v>14.389900000000001</v>
      </c>
      <c r="H342">
        <v>12.6004</v>
      </c>
      <c r="I342">
        <v>13.824</v>
      </c>
      <c r="J342">
        <v>13.477</v>
      </c>
      <c r="K342">
        <v>13.491899999999999</v>
      </c>
      <c r="L342">
        <v>14.274699999999999</v>
      </c>
      <c r="M342">
        <v>13.0014</v>
      </c>
      <c r="N342">
        <v>12.6877</v>
      </c>
      <c r="O342">
        <v>12.621600000000001</v>
      </c>
      <c r="P342">
        <v>11.4102</v>
      </c>
      <c r="Q342">
        <v>11.897</v>
      </c>
      <c r="R342" t="str">
        <f>""</f>
        <v/>
      </c>
      <c r="S342" t="str">
        <f>""</f>
        <v/>
      </c>
      <c r="T342" t="str">
        <f>""</f>
        <v/>
      </c>
      <c r="U342" t="str">
        <f>""</f>
        <v/>
      </c>
      <c r="V342" t="str">
        <f>""</f>
        <v/>
      </c>
      <c r="W342" t="str">
        <f>""</f>
        <v/>
      </c>
      <c r="X342" t="str">
        <f>""</f>
        <v/>
      </c>
      <c r="Y342" t="str">
        <f>""</f>
        <v/>
      </c>
      <c r="Z342" t="str">
        <f>""</f>
        <v/>
      </c>
      <c r="AA342" t="str">
        <f>""</f>
        <v/>
      </c>
      <c r="AB342" t="str">
        <f>""</f>
        <v/>
      </c>
      <c r="AC342" t="str">
        <f>""</f>
        <v/>
      </c>
    </row>
    <row r="343" spans="1:29" x14ac:dyDescent="0.25">
      <c r="A343" t="str">
        <f>$A$115</f>
        <v xml:space="preserve">    Amdocs Ltd</v>
      </c>
      <c r="B343" t="str">
        <f>$B$115</f>
        <v>DOX US Equity</v>
      </c>
      <c r="C343" t="str">
        <f>$C$115</f>
        <v>RR026</v>
      </c>
      <c r="D343" t="str">
        <f>$D$115</f>
        <v>OPER_MARGIN</v>
      </c>
      <c r="E343" t="str">
        <f>$E$115</f>
        <v>Dynamic</v>
      </c>
      <c r="F343" t="e">
        <f ca="1">_xll.BDH($B$115,$C$115,$B$236,$B$237,CONCATENATE("Per=",$B$234),"Dts=H","Dir=H",CONCATENATE("Points=",$B$235),"Sort=R","Days=A","Fill=B",CONCATENATE("FX=", $B$233),"cols=12;rows=1")</f>
        <v>#NAME?</v>
      </c>
      <c r="G343">
        <v>10.775499999999999</v>
      </c>
      <c r="H343">
        <v>13.377599999999999</v>
      </c>
      <c r="I343">
        <v>12.9938</v>
      </c>
      <c r="J343">
        <v>14.160600000000001</v>
      </c>
      <c r="K343">
        <v>13.9085</v>
      </c>
      <c r="L343">
        <v>14.3925</v>
      </c>
      <c r="M343">
        <v>13.6275</v>
      </c>
      <c r="N343">
        <v>12.7249</v>
      </c>
      <c r="O343">
        <v>13.753399999999999</v>
      </c>
      <c r="P343">
        <v>12.8316</v>
      </c>
      <c r="Q343">
        <v>13.266299999999999</v>
      </c>
      <c r="R343" t="str">
        <f>""</f>
        <v/>
      </c>
      <c r="S343" t="str">
        <f>""</f>
        <v/>
      </c>
      <c r="T343" t="str">
        <f>""</f>
        <v/>
      </c>
      <c r="U343" t="str">
        <f>""</f>
        <v/>
      </c>
      <c r="V343" t="str">
        <f>""</f>
        <v/>
      </c>
      <c r="W343" t="str">
        <f>""</f>
        <v/>
      </c>
      <c r="X343" t="str">
        <f>""</f>
        <v/>
      </c>
      <c r="Y343" t="str">
        <f>""</f>
        <v/>
      </c>
      <c r="Z343" t="str">
        <f>""</f>
        <v/>
      </c>
      <c r="AA343" t="str">
        <f>""</f>
        <v/>
      </c>
      <c r="AB343" t="str">
        <f>""</f>
        <v/>
      </c>
      <c r="AC343" t="str">
        <f>""</f>
        <v/>
      </c>
    </row>
    <row r="344" spans="1:29" x14ac:dyDescent="0.25">
      <c r="A344" t="str">
        <f>$A$116</f>
        <v xml:space="preserve">    Atos SE</v>
      </c>
      <c r="B344" t="str">
        <f>$B$116</f>
        <v>ATO FP Equity</v>
      </c>
      <c r="C344" t="str">
        <f>$C$116</f>
        <v>RR026</v>
      </c>
      <c r="D344" t="str">
        <f>$D$116</f>
        <v>OPER_MARGIN</v>
      </c>
      <c r="E344" t="str">
        <f>$E$116</f>
        <v>Dynamic</v>
      </c>
      <c r="F344" t="e">
        <f ca="1">_xll.BDH($B$116,$C$116,$B$236,$B$237,CONCATENATE("Per=",$B$234),"Dts=H","Dir=H",CONCATENATE("Points=",$B$235),"Sort=R","Days=A","Fill=B",CONCATENATE("FX=", $B$233),"cols=12;rows=1")</f>
        <v>#NAME?</v>
      </c>
      <c r="G344">
        <v>5.9542000000000002</v>
      </c>
      <c r="H344">
        <v>7.2941000000000003</v>
      </c>
      <c r="I344">
        <v>6.8126999999999995</v>
      </c>
      <c r="J344">
        <v>5.5149999999999997</v>
      </c>
      <c r="K344">
        <v>4.8644999999999996</v>
      </c>
      <c r="L344">
        <v>4.8370999999999995</v>
      </c>
      <c r="M344">
        <v>4.3124000000000002</v>
      </c>
      <c r="N344">
        <v>5.1039000000000003</v>
      </c>
      <c r="O344">
        <v>3.9855999999999998</v>
      </c>
      <c r="P344">
        <v>0.61050000000000004</v>
      </c>
      <c r="Q344">
        <v>4.4012000000000002</v>
      </c>
      <c r="R344" t="str">
        <f>""</f>
        <v/>
      </c>
      <c r="S344" t="str">
        <f>""</f>
        <v/>
      </c>
      <c r="T344" t="str">
        <f>""</f>
        <v/>
      </c>
      <c r="U344" t="str">
        <f>""</f>
        <v/>
      </c>
      <c r="V344" t="str">
        <f>""</f>
        <v/>
      </c>
      <c r="W344" t="str">
        <f>""</f>
        <v/>
      </c>
      <c r="X344" t="str">
        <f>""</f>
        <v/>
      </c>
      <c r="Y344" t="str">
        <f>""</f>
        <v/>
      </c>
      <c r="Z344" t="str">
        <f>""</f>
        <v/>
      </c>
      <c r="AA344" t="str">
        <f>""</f>
        <v/>
      </c>
      <c r="AB344" t="str">
        <f>""</f>
        <v/>
      </c>
      <c r="AC344" t="str">
        <f>""</f>
        <v/>
      </c>
    </row>
    <row r="345" spans="1:29" x14ac:dyDescent="0.25">
      <c r="A345" t="str">
        <f>$A$117</f>
        <v xml:space="preserve">    Capgemini SE</v>
      </c>
      <c r="B345" t="str">
        <f>$B$117</f>
        <v>CAP FP Equity</v>
      </c>
      <c r="C345" t="str">
        <f>$C$117</f>
        <v>RR026</v>
      </c>
      <c r="D345" t="str">
        <f>$D$117</f>
        <v>OPER_MARGIN</v>
      </c>
      <c r="E345" t="str">
        <f>$E$117</f>
        <v>Dynamic</v>
      </c>
      <c r="F345" t="e">
        <f ca="1">_xll.BDH($B$117,$C$117,$B$236,$B$237,CONCATENATE("Per=",$B$234),"Dts=H","Dir=H",CONCATENATE("Points=",$B$235),"Sort=R","Days=A","Fill=B",CONCATENATE("FX=", $B$233),"cols=12;rows=1")</f>
        <v>#NAME?</v>
      </c>
      <c r="G345">
        <v>9.4794</v>
      </c>
      <c r="H345">
        <v>9.4451000000000001</v>
      </c>
      <c r="I345">
        <v>9.1554000000000002</v>
      </c>
      <c r="J345">
        <v>8.5774000000000008</v>
      </c>
      <c r="K345">
        <v>8.0677000000000003</v>
      </c>
      <c r="L345">
        <v>7.1344000000000003</v>
      </c>
      <c r="M345">
        <v>5.9040999999999997</v>
      </c>
      <c r="N345">
        <v>6.1384999999999996</v>
      </c>
      <c r="O345">
        <v>5.6226000000000003</v>
      </c>
      <c r="P345">
        <v>3.9779999999999998</v>
      </c>
      <c r="Q345">
        <v>8.5419</v>
      </c>
      <c r="R345" t="str">
        <f>""</f>
        <v/>
      </c>
      <c r="S345" t="str">
        <f>""</f>
        <v/>
      </c>
      <c r="T345" t="str">
        <f>""</f>
        <v/>
      </c>
      <c r="U345" t="str">
        <f>""</f>
        <v/>
      </c>
      <c r="V345" t="str">
        <f>""</f>
        <v/>
      </c>
      <c r="W345" t="str">
        <f>""</f>
        <v/>
      </c>
      <c r="X345" t="str">
        <f>""</f>
        <v/>
      </c>
      <c r="Y345" t="str">
        <f>""</f>
        <v/>
      </c>
      <c r="Z345" t="str">
        <f>""</f>
        <v/>
      </c>
      <c r="AA345" t="str">
        <f>""</f>
        <v/>
      </c>
      <c r="AB345" t="str">
        <f>""</f>
        <v/>
      </c>
      <c r="AC345" t="str">
        <f>""</f>
        <v/>
      </c>
    </row>
    <row r="346" spans="1:29" x14ac:dyDescent="0.25">
      <c r="A346" t="str">
        <f>$A$118</f>
        <v xml:space="preserve">    CGI Inc</v>
      </c>
      <c r="B346" t="str">
        <f>$B$118</f>
        <v>GIB US Equity</v>
      </c>
      <c r="C346" t="str">
        <f>$C$118</f>
        <v>RR026</v>
      </c>
      <c r="D346" t="str">
        <f>$D$118</f>
        <v>OPER_MARGIN</v>
      </c>
      <c r="E346" t="str">
        <f>$E$118</f>
        <v>Dynamic</v>
      </c>
      <c r="F346" t="e">
        <f ca="1">_xll.BDH($B$118,$C$118,$B$236,$B$237,CONCATENATE("Per=",$B$234),"Dts=H","Dir=H",CONCATENATE("Points=",$B$235),"Sort=R","Days=A","Fill=B",CONCATENATE("FX=", $B$233),"cols=12;rows=1")</f>
        <v>#NAME?</v>
      </c>
      <c r="G346">
        <v>13.619400000000001</v>
      </c>
      <c r="H346">
        <v>13.7249</v>
      </c>
      <c r="I346">
        <v>14.351699999999999</v>
      </c>
      <c r="J346">
        <v>13.9217</v>
      </c>
      <c r="K346">
        <v>11.834300000000001</v>
      </c>
      <c r="L346">
        <v>7.2771999999999997</v>
      </c>
      <c r="M346">
        <v>6.0895999999999999</v>
      </c>
      <c r="N346">
        <v>12.5311</v>
      </c>
      <c r="O346">
        <v>13.144600000000001</v>
      </c>
      <c r="P346">
        <v>11.9993</v>
      </c>
      <c r="Q346">
        <v>11.6553</v>
      </c>
      <c r="R346" t="str">
        <f>""</f>
        <v/>
      </c>
      <c r="S346" t="str">
        <f>""</f>
        <v/>
      </c>
      <c r="T346" t="str">
        <f>""</f>
        <v/>
      </c>
      <c r="U346" t="str">
        <f>""</f>
        <v/>
      </c>
      <c r="V346" t="str">
        <f>""</f>
        <v/>
      </c>
      <c r="W346" t="str">
        <f>""</f>
        <v/>
      </c>
      <c r="X346" t="str">
        <f>""</f>
        <v/>
      </c>
      <c r="Y346" t="str">
        <f>""</f>
        <v/>
      </c>
      <c r="Z346" t="str">
        <f>""</f>
        <v/>
      </c>
      <c r="AA346" t="str">
        <f>""</f>
        <v/>
      </c>
      <c r="AB346" t="str">
        <f>""</f>
        <v/>
      </c>
      <c r="AC346" t="str">
        <f>""</f>
        <v/>
      </c>
    </row>
    <row r="347" spans="1:29" x14ac:dyDescent="0.25">
      <c r="A347" t="str">
        <f>$A$119</f>
        <v xml:space="preserve">    Cognizant Technology Solutions Corp</v>
      </c>
      <c r="B347" t="str">
        <f>$B$119</f>
        <v>CTSH US Equity</v>
      </c>
      <c r="C347" t="str">
        <f>$C$119</f>
        <v>RR026</v>
      </c>
      <c r="D347" t="str">
        <f>$D$119</f>
        <v>OPER_MARGIN</v>
      </c>
      <c r="E347" t="str">
        <f>$E$119</f>
        <v>Dynamic</v>
      </c>
      <c r="F347" t="e">
        <f ca="1">_xll.BDH($B$119,$C$119,$B$236,$B$237,CONCATENATE("Per=",$B$234),"Dts=H","Dir=H",CONCATENATE("Points=",$B$235),"Sort=R","Days=A","Fill=B",CONCATENATE("FX=", $B$233),"cols=12;rows=1")</f>
        <v>#NAME?</v>
      </c>
      <c r="G347">
        <v>17.3705</v>
      </c>
      <c r="H347">
        <v>16.752199999999998</v>
      </c>
      <c r="I347">
        <v>16.971900000000002</v>
      </c>
      <c r="J347">
        <v>17.251899999999999</v>
      </c>
      <c r="K347">
        <v>18.366499999999998</v>
      </c>
      <c r="L347">
        <v>18.974</v>
      </c>
      <c r="M347">
        <v>18.532699999999998</v>
      </c>
      <c r="N347">
        <v>18.566199999999998</v>
      </c>
      <c r="O347">
        <v>18.766999999999999</v>
      </c>
      <c r="P347">
        <v>18.864100000000001</v>
      </c>
      <c r="Q347">
        <v>18.345700000000001</v>
      </c>
      <c r="R347" t="str">
        <f>""</f>
        <v/>
      </c>
      <c r="S347" t="str">
        <f>""</f>
        <v/>
      </c>
      <c r="T347" t="str">
        <f>""</f>
        <v/>
      </c>
      <c r="U347" t="str">
        <f>""</f>
        <v/>
      </c>
      <c r="V347" t="str">
        <f>""</f>
        <v/>
      </c>
      <c r="W347" t="str">
        <f>""</f>
        <v/>
      </c>
      <c r="X347" t="str">
        <f>""</f>
        <v/>
      </c>
      <c r="Y347" t="str">
        <f>""</f>
        <v/>
      </c>
      <c r="Z347" t="str">
        <f>""</f>
        <v/>
      </c>
      <c r="AA347" t="str">
        <f>""</f>
        <v/>
      </c>
      <c r="AB347" t="str">
        <f>""</f>
        <v/>
      </c>
      <c r="AC347" t="str">
        <f>""</f>
        <v/>
      </c>
    </row>
    <row r="348" spans="1:29" x14ac:dyDescent="0.25">
      <c r="A348" t="str">
        <f>$A$120</f>
        <v xml:space="preserve">    Conduent Inc</v>
      </c>
      <c r="B348" t="str">
        <f>$B$120</f>
        <v>CNDT US Equity</v>
      </c>
      <c r="C348" t="str">
        <f>$C$120</f>
        <v>RR026</v>
      </c>
      <c r="D348" t="str">
        <f>$D$120</f>
        <v>OPER_MARGIN</v>
      </c>
      <c r="E348" t="str">
        <f>$E$120</f>
        <v>Dynamic</v>
      </c>
      <c r="F348" t="e">
        <f ca="1">_xll.BDH($B$120,$C$120,$B$236,$B$237,CONCATENATE("Per=",$B$234),"Dts=H","Dir=H",CONCATENATE("Points=",$B$235),"Sort=R","Days=A","Fill=B",CONCATENATE("FX=", $B$233),"cols=12;rows=1")</f>
        <v>#NAME?</v>
      </c>
      <c r="G348">
        <v>-5.1547999999999998</v>
      </c>
      <c r="H348">
        <v>1.8931</v>
      </c>
      <c r="I348">
        <v>-18.242799999999999</v>
      </c>
      <c r="J348">
        <v>-7.13</v>
      </c>
      <c r="K348">
        <v>2.335</v>
      </c>
      <c r="L348">
        <v>4.0704000000000002</v>
      </c>
      <c r="R348" t="str">
        <f>""</f>
        <v/>
      </c>
      <c r="S348" t="str">
        <f>""</f>
        <v/>
      </c>
      <c r="T348" t="str">
        <f>""</f>
        <v/>
      </c>
      <c r="U348" t="str">
        <f>""</f>
        <v/>
      </c>
      <c r="V348" t="str">
        <f>""</f>
        <v/>
      </c>
      <c r="W348" t="str">
        <f>""</f>
        <v/>
      </c>
      <c r="X348" t="str">
        <f>""</f>
        <v/>
      </c>
      <c r="Y348" t="str">
        <f>""</f>
        <v/>
      </c>
      <c r="Z348" t="str">
        <f>""</f>
        <v/>
      </c>
      <c r="AA348" t="str">
        <f>""</f>
        <v/>
      </c>
      <c r="AB348" t="str">
        <f>""</f>
        <v/>
      </c>
      <c r="AC348" t="str">
        <f>""</f>
        <v/>
      </c>
    </row>
    <row r="349" spans="1:29" x14ac:dyDescent="0.25">
      <c r="A349" t="str">
        <f>$A$121</f>
        <v xml:space="preserve">    DXC Technology Co</v>
      </c>
      <c r="B349" t="str">
        <f>$B$121</f>
        <v>DXC US Equity</v>
      </c>
      <c r="C349" t="str">
        <f>$C$121</f>
        <v>RR026</v>
      </c>
      <c r="D349" t="str">
        <f>$D$121</f>
        <v>OPER_MARGIN</v>
      </c>
      <c r="E349" t="str">
        <f>$E$121</f>
        <v>Dynamic</v>
      </c>
      <c r="F349" t="e">
        <f ca="1">_xll.BDH($B$121,$C$121,$B$236,$B$237,CONCATENATE("Per=",$B$234),"Dts=H","Dir=H",CONCATENATE("Points=",$B$235),"Sort=R","Days=A","Fill=B",CONCATENATE("FX=", $B$233),"cols=12;rows=1")</f>
        <v>#NAME?</v>
      </c>
      <c r="G349">
        <v>8.2927999999999997</v>
      </c>
      <c r="H349">
        <v>7.0629999999999997</v>
      </c>
      <c r="I349">
        <v>-0.37019999999999997</v>
      </c>
      <c r="R349" t="str">
        <f>""</f>
        <v/>
      </c>
      <c r="S349" t="str">
        <f>""</f>
        <v/>
      </c>
      <c r="T349" t="str">
        <f>""</f>
        <v/>
      </c>
      <c r="U349" t="str">
        <f>""</f>
        <v/>
      </c>
      <c r="V349" t="str">
        <f>""</f>
        <v/>
      </c>
      <c r="W349" t="str">
        <f>""</f>
        <v/>
      </c>
      <c r="X349" t="str">
        <f>""</f>
        <v/>
      </c>
      <c r="Y349" t="str">
        <f>""</f>
        <v/>
      </c>
      <c r="Z349" t="str">
        <f>""</f>
        <v/>
      </c>
      <c r="AA349" t="str">
        <f>""</f>
        <v/>
      </c>
      <c r="AB349" t="str">
        <f>""</f>
        <v/>
      </c>
      <c r="AC349" t="str">
        <f>""</f>
        <v/>
      </c>
    </row>
    <row r="350" spans="1:29" x14ac:dyDescent="0.25">
      <c r="A350" t="str">
        <f>$A$122</f>
        <v xml:space="preserve">    EPAM Systems Inc</v>
      </c>
      <c r="B350" t="str">
        <f>$B$122</f>
        <v>EPAM US Equity</v>
      </c>
      <c r="C350" t="str">
        <f>$C$122</f>
        <v>RR026</v>
      </c>
      <c r="D350" t="str">
        <f>$D$122</f>
        <v>OPER_MARGIN</v>
      </c>
      <c r="E350" t="str">
        <f>$E$122</f>
        <v>Dynamic</v>
      </c>
      <c r="F350" t="e">
        <f ca="1">_xll.BDH($B$122,$C$122,$B$236,$B$237,CONCATENATE("Per=",$B$234),"Dts=H","Dir=H",CONCATENATE("Points=",$B$235),"Sort=R","Days=A","Fill=B",CONCATENATE("FX=", $B$233),"cols=12;rows=1")</f>
        <v>#NAME?</v>
      </c>
      <c r="G350">
        <v>13.335599999999999</v>
      </c>
      <c r="H350">
        <v>11.9236</v>
      </c>
      <c r="I350">
        <v>11.5242</v>
      </c>
      <c r="J350">
        <v>11.5921</v>
      </c>
      <c r="K350">
        <v>11.8055</v>
      </c>
      <c r="L350">
        <v>13.7796</v>
      </c>
      <c r="M350">
        <v>15.2158</v>
      </c>
      <c r="N350">
        <v>16.4435</v>
      </c>
      <c r="O350">
        <v>14.782</v>
      </c>
      <c r="P350">
        <v>10.659000000000001</v>
      </c>
      <c r="Q350">
        <v>6.3654999999999999</v>
      </c>
      <c r="R350" t="str">
        <f>""</f>
        <v/>
      </c>
      <c r="S350" t="str">
        <f>""</f>
        <v/>
      </c>
      <c r="T350" t="str">
        <f>""</f>
        <v/>
      </c>
      <c r="U350" t="str">
        <f>""</f>
        <v/>
      </c>
      <c r="V350" t="str">
        <f>""</f>
        <v/>
      </c>
      <c r="W350" t="str">
        <f>""</f>
        <v/>
      </c>
      <c r="X350" t="str">
        <f>""</f>
        <v/>
      </c>
      <c r="Y350" t="str">
        <f>""</f>
        <v/>
      </c>
      <c r="Z350" t="str">
        <f>""</f>
        <v/>
      </c>
      <c r="AA350" t="str">
        <f>""</f>
        <v/>
      </c>
      <c r="AB350" t="str">
        <f>""</f>
        <v/>
      </c>
      <c r="AC350" t="str">
        <f>""</f>
        <v/>
      </c>
    </row>
    <row r="351" spans="1:29" x14ac:dyDescent="0.25">
      <c r="A351" t="str">
        <f>$A$123</f>
        <v xml:space="preserve">    Genpact Ltd</v>
      </c>
      <c r="B351" t="str">
        <f>$B$123</f>
        <v>G US Equity</v>
      </c>
      <c r="C351" t="str">
        <f>$C$123</f>
        <v>RR026</v>
      </c>
      <c r="D351" t="str">
        <f>$D$123</f>
        <v>OPER_MARGIN</v>
      </c>
      <c r="E351" t="str">
        <f>$E$123</f>
        <v>Dynamic</v>
      </c>
      <c r="F351" t="e">
        <f ca="1">_xll.BDH($B$123,$C$123,$B$236,$B$237,CONCATENATE("Per=",$B$234),"Dts=H","Dir=H",CONCATENATE("Points=",$B$235),"Sort=R","Days=A","Fill=B",CONCATENATE("FX=", $B$233),"cols=12;rows=1")</f>
        <v>#NAME?</v>
      </c>
      <c r="G351">
        <v>11.602</v>
      </c>
      <c r="H351">
        <v>12.103999999999999</v>
      </c>
      <c r="I351">
        <v>13.272600000000001</v>
      </c>
      <c r="J351">
        <v>13.5793</v>
      </c>
      <c r="K351">
        <v>12.8993</v>
      </c>
      <c r="L351">
        <v>14.5182</v>
      </c>
      <c r="M351">
        <v>13.8985</v>
      </c>
      <c r="N351">
        <v>13.5116</v>
      </c>
      <c r="O351">
        <v>14.127800000000001</v>
      </c>
      <c r="P351">
        <v>14.4794</v>
      </c>
      <c r="Q351">
        <v>12.8466</v>
      </c>
      <c r="R351" t="str">
        <f>""</f>
        <v/>
      </c>
      <c r="S351" t="str">
        <f>""</f>
        <v/>
      </c>
      <c r="T351" t="str">
        <f>""</f>
        <v/>
      </c>
      <c r="U351" t="str">
        <f>""</f>
        <v/>
      </c>
      <c r="V351" t="str">
        <f>""</f>
        <v/>
      </c>
      <c r="W351" t="str">
        <f>""</f>
        <v/>
      </c>
      <c r="X351" t="str">
        <f>""</f>
        <v/>
      </c>
      <c r="Y351" t="str">
        <f>""</f>
        <v/>
      </c>
      <c r="Z351" t="str">
        <f>""</f>
        <v/>
      </c>
      <c r="AA351" t="str">
        <f>""</f>
        <v/>
      </c>
      <c r="AB351" t="str">
        <f>""</f>
        <v/>
      </c>
      <c r="AC351" t="str">
        <f>""</f>
        <v/>
      </c>
    </row>
    <row r="352" spans="1:29" x14ac:dyDescent="0.25">
      <c r="A352" t="str">
        <f>$A$124</f>
        <v xml:space="preserve">    HCL Technologies Ltd</v>
      </c>
      <c r="B352" t="str">
        <f>$B$124</f>
        <v>HCLT IN Equity</v>
      </c>
      <c r="C352" t="str">
        <f>$C$124</f>
        <v>RR026</v>
      </c>
      <c r="D352" t="str">
        <f>$D$124</f>
        <v>OPER_MARGIN</v>
      </c>
      <c r="E352" t="str">
        <f>$E$124</f>
        <v>Dynamic</v>
      </c>
      <c r="F352" t="e">
        <f ca="1">_xll.BDH($B$124,$C$124,$B$236,$B$237,CONCATENATE("Per=",$B$234),"Dts=H","Dir=H",CONCATENATE("Points=",$B$235),"Sort=R","Days=A","Fill=B",CONCATENATE("FX=", $B$233),"cols=12;rows=1")</f>
        <v>#NAME?</v>
      </c>
      <c r="G352">
        <v>19.4986</v>
      </c>
      <c r="H352">
        <v>19.504000000000001</v>
      </c>
      <c r="I352">
        <v>20.090199999999999</v>
      </c>
      <c r="J352">
        <v>20.062899999999999</v>
      </c>
      <c r="L352">
        <v>24.101600000000001</v>
      </c>
      <c r="M352">
        <v>19.641100000000002</v>
      </c>
      <c r="N352">
        <v>15.268700000000001</v>
      </c>
      <c r="O352">
        <v>12.761100000000001</v>
      </c>
      <c r="P352">
        <v>12.544599999999999</v>
      </c>
      <c r="Q352">
        <v>16.551600000000001</v>
      </c>
      <c r="R352" t="str">
        <f>""</f>
        <v/>
      </c>
      <c r="S352" t="str">
        <f>""</f>
        <v/>
      </c>
      <c r="T352" t="str">
        <f>""</f>
        <v/>
      </c>
      <c r="U352" t="str">
        <f>""</f>
        <v/>
      </c>
      <c r="V352" t="str">
        <f>""</f>
        <v/>
      </c>
      <c r="W352" t="str">
        <f>""</f>
        <v/>
      </c>
      <c r="X352" t="str">
        <f>""</f>
        <v/>
      </c>
      <c r="Y352" t="str">
        <f>""</f>
        <v/>
      </c>
      <c r="Z352" t="str">
        <f>""</f>
        <v/>
      </c>
      <c r="AA352" t="str">
        <f>""</f>
        <v/>
      </c>
      <c r="AB352" t="str">
        <f>""</f>
        <v/>
      </c>
      <c r="AC352" t="str">
        <f>""</f>
        <v/>
      </c>
    </row>
    <row r="353" spans="1:29" x14ac:dyDescent="0.25">
      <c r="A353" t="str">
        <f>$A$125</f>
        <v xml:space="preserve">    Indra Sistemas SA</v>
      </c>
      <c r="B353" t="str">
        <f>$B$125</f>
        <v>IDR SM Equity</v>
      </c>
      <c r="C353" t="str">
        <f>$C$125</f>
        <v>RR026</v>
      </c>
      <c r="D353" t="str">
        <f>$D$125</f>
        <v>OPER_MARGIN</v>
      </c>
      <c r="E353" t="str">
        <f>$E$125</f>
        <v>Dynamic</v>
      </c>
      <c r="F353" t="e">
        <f ca="1">_xll.BDH($B$125,$C$125,$B$236,$B$237,CONCATENATE("Per=",$B$234),"Dts=H","Dir=H",CONCATENATE("Points=",$B$235),"Sort=R","Days=A","Fill=B",CONCATENATE("FX=", $B$233),"cols=12;rows=1")</f>
        <v>#NAME?</v>
      </c>
      <c r="G353">
        <v>6.4226000000000001</v>
      </c>
      <c r="H353">
        <v>6.4969999999999999</v>
      </c>
      <c r="I353">
        <v>5.9623999999999997</v>
      </c>
      <c r="J353">
        <v>-22.504200000000001</v>
      </c>
      <c r="K353">
        <v>-1.4457</v>
      </c>
      <c r="L353">
        <v>6.8044000000000002</v>
      </c>
      <c r="M353">
        <v>7.3856000000000002</v>
      </c>
      <c r="N353">
        <v>9.9602000000000004</v>
      </c>
      <c r="O353">
        <v>9.8518000000000008</v>
      </c>
      <c r="P353">
        <v>11.356</v>
      </c>
      <c r="Q353">
        <v>11.4048</v>
      </c>
      <c r="R353" t="str">
        <f>""</f>
        <v/>
      </c>
      <c r="S353" t="str">
        <f>""</f>
        <v/>
      </c>
      <c r="T353" t="str">
        <f>""</f>
        <v/>
      </c>
      <c r="U353" t="str">
        <f>""</f>
        <v/>
      </c>
      <c r="V353" t="str">
        <f>""</f>
        <v/>
      </c>
      <c r="W353" t="str">
        <f>""</f>
        <v/>
      </c>
      <c r="X353" t="str">
        <f>""</f>
        <v/>
      </c>
      <c r="Y353" t="str">
        <f>""</f>
        <v/>
      </c>
      <c r="Z353" t="str">
        <f>""</f>
        <v/>
      </c>
      <c r="AA353" t="str">
        <f>""</f>
        <v/>
      </c>
      <c r="AB353" t="str">
        <f>""</f>
        <v/>
      </c>
      <c r="AC353" t="str">
        <f>""</f>
        <v/>
      </c>
    </row>
    <row r="354" spans="1:29" x14ac:dyDescent="0.25">
      <c r="A354" t="str">
        <f>$A$126</f>
        <v xml:space="preserve">    Infosys Ltd</v>
      </c>
      <c r="B354" t="str">
        <f>$B$126</f>
        <v>INFY US Equity</v>
      </c>
      <c r="C354" t="str">
        <f>$C$126</f>
        <v>RR026</v>
      </c>
      <c r="D354" t="str">
        <f>$D$126</f>
        <v>OPER_MARGIN</v>
      </c>
      <c r="E354" t="str">
        <f>$E$126</f>
        <v>Dynamic</v>
      </c>
      <c r="F354" t="e">
        <f ca="1">_xll.BDH($B$126,$C$126,$B$236,$B$237,CONCATENATE("Per=",$B$234),"Dts=H","Dir=H",CONCATENATE("Points=",$B$235),"Sort=R","Days=A","Fill=B",CONCATENATE("FX=", $B$233),"cols=12;rows=1")</f>
        <v>#NAME?</v>
      </c>
      <c r="G354">
        <v>22.836400000000001</v>
      </c>
      <c r="H354">
        <v>24.315799999999999</v>
      </c>
      <c r="I354">
        <v>24.678799999999999</v>
      </c>
      <c r="J354">
        <v>25.015599999999999</v>
      </c>
      <c r="K354">
        <v>25.051100000000002</v>
      </c>
      <c r="L354">
        <v>23.5593</v>
      </c>
      <c r="M354">
        <v>25.2057</v>
      </c>
      <c r="N354">
        <v>28.834399999999999</v>
      </c>
      <c r="O354">
        <v>29.351700000000001</v>
      </c>
      <c r="P354">
        <v>30.252400000000002</v>
      </c>
      <c r="Q354">
        <v>31.683</v>
      </c>
      <c r="R354" t="str">
        <f>""</f>
        <v/>
      </c>
      <c r="S354" t="str">
        <f>""</f>
        <v/>
      </c>
      <c r="T354" t="str">
        <f>""</f>
        <v/>
      </c>
      <c r="U354" t="str">
        <f>""</f>
        <v/>
      </c>
      <c r="V354" t="str">
        <f>""</f>
        <v/>
      </c>
      <c r="W354" t="str">
        <f>""</f>
        <v/>
      </c>
      <c r="X354" t="str">
        <f>""</f>
        <v/>
      </c>
      <c r="Y354" t="str">
        <f>""</f>
        <v/>
      </c>
      <c r="Z354" t="str">
        <f>""</f>
        <v/>
      </c>
      <c r="AA354" t="str">
        <f>""</f>
        <v/>
      </c>
      <c r="AB354" t="str">
        <f>""</f>
        <v/>
      </c>
      <c r="AC354" t="str">
        <f>""</f>
        <v/>
      </c>
    </row>
    <row r="355" spans="1:29" x14ac:dyDescent="0.25">
      <c r="A355" t="str">
        <f>$A$127</f>
        <v xml:space="preserve">    International Business Machines Corp</v>
      </c>
      <c r="B355" t="str">
        <f>$B$127</f>
        <v>IBM US Equity</v>
      </c>
      <c r="C355" t="str">
        <f>$C$127</f>
        <v>RR026</v>
      </c>
      <c r="D355" t="str">
        <f>$D$127</f>
        <v>OPER_MARGIN</v>
      </c>
      <c r="E355" t="str">
        <f>$E$127</f>
        <v>Dynamic</v>
      </c>
      <c r="F355" t="e">
        <f ca="1">_xll.BDH($B$127,$C$127,$B$236,$B$237,CONCATENATE("Per=",$B$234),"Dts=H","Dir=H",CONCATENATE("Points=",$B$235),"Sort=R","Days=A","Fill=B",CONCATENATE("FX=", $B$233),"cols=12;rows=1")</f>
        <v>#NAME?</v>
      </c>
      <c r="G355">
        <v>15.3171</v>
      </c>
      <c r="H355">
        <v>14.75</v>
      </c>
      <c r="I355">
        <v>14.356999999999999</v>
      </c>
      <c r="J355">
        <v>18.359200000000001</v>
      </c>
      <c r="K355">
        <v>19.171700000000001</v>
      </c>
      <c r="L355">
        <v>19.813600000000001</v>
      </c>
      <c r="M355">
        <v>20.492999999999999</v>
      </c>
      <c r="N355">
        <v>18.973800000000001</v>
      </c>
      <c r="O355">
        <v>18.1736</v>
      </c>
      <c r="P355">
        <v>17.7667</v>
      </c>
      <c r="Q355">
        <v>15.3797</v>
      </c>
      <c r="R355" t="str">
        <f>""</f>
        <v/>
      </c>
      <c r="S355" t="str">
        <f>""</f>
        <v/>
      </c>
      <c r="T355" t="str">
        <f>""</f>
        <v/>
      </c>
      <c r="U355" t="str">
        <f>""</f>
        <v/>
      </c>
      <c r="V355" t="str">
        <f>""</f>
        <v/>
      </c>
      <c r="W355" t="str">
        <f>""</f>
        <v/>
      </c>
      <c r="X355" t="str">
        <f>""</f>
        <v/>
      </c>
      <c r="Y355" t="str">
        <f>""</f>
        <v/>
      </c>
      <c r="Z355" t="str">
        <f>""</f>
        <v/>
      </c>
      <c r="AA355" t="str">
        <f>""</f>
        <v/>
      </c>
      <c r="AB355" t="str">
        <f>""</f>
        <v/>
      </c>
      <c r="AC355" t="str">
        <f>""</f>
        <v/>
      </c>
    </row>
    <row r="356" spans="1:29" x14ac:dyDescent="0.25">
      <c r="A356" t="str">
        <f>$A$128</f>
        <v xml:space="preserve">    Tata Consultancy Services Ltd</v>
      </c>
      <c r="B356" t="str">
        <f>$B$128</f>
        <v>TCS IN Equity</v>
      </c>
      <c r="C356" t="str">
        <f>$C$128</f>
        <v>RR026</v>
      </c>
      <c r="D356" t="str">
        <f>$D$128</f>
        <v>OPER_MARGIN</v>
      </c>
      <c r="E356" t="str">
        <f>$E$128</f>
        <v>Dynamic</v>
      </c>
      <c r="F356" t="e">
        <f ca="1">_xll.BDH($B$128,$C$128,$B$236,$B$237,CONCATENATE("Per=",$B$234),"Dts=H","Dir=H",CONCATENATE("Points=",$B$235),"Sort=R","Days=A","Fill=B",CONCATENATE("FX=", $B$233),"cols=12;rows=1")</f>
        <v>#NAME?</v>
      </c>
      <c r="G356">
        <v>25.569600000000001</v>
      </c>
      <c r="H356">
        <v>24.7774</v>
      </c>
      <c r="I356">
        <v>25.7057</v>
      </c>
      <c r="J356">
        <v>26.498899999999999</v>
      </c>
      <c r="K356">
        <v>24.0854</v>
      </c>
      <c r="L356">
        <v>29.101800000000001</v>
      </c>
      <c r="M356">
        <v>26.9251</v>
      </c>
      <c r="N356">
        <v>27.6464</v>
      </c>
      <c r="O356">
        <v>27.979199999999999</v>
      </c>
      <c r="P356">
        <v>26.7531</v>
      </c>
      <c r="Q356">
        <v>23.750599999999999</v>
      </c>
      <c r="R356" t="str">
        <f>""</f>
        <v/>
      </c>
      <c r="S356" t="str">
        <f>""</f>
        <v/>
      </c>
      <c r="T356" t="str">
        <f>""</f>
        <v/>
      </c>
      <c r="U356" t="str">
        <f>""</f>
        <v/>
      </c>
      <c r="V356" t="str">
        <f>""</f>
        <v/>
      </c>
      <c r="W356" t="str">
        <f>""</f>
        <v/>
      </c>
      <c r="X356" t="str">
        <f>""</f>
        <v/>
      </c>
      <c r="Y356" t="str">
        <f>""</f>
        <v/>
      </c>
      <c r="Z356" t="str">
        <f>""</f>
        <v/>
      </c>
      <c r="AA356" t="str">
        <f>""</f>
        <v/>
      </c>
      <c r="AB356" t="str">
        <f>""</f>
        <v/>
      </c>
      <c r="AC356" t="str">
        <f>""</f>
        <v/>
      </c>
    </row>
    <row r="357" spans="1:29" x14ac:dyDescent="0.25">
      <c r="A357" t="str">
        <f>$A$129</f>
        <v xml:space="preserve">    Tech Mahindra Ltd</v>
      </c>
      <c r="B357" t="str">
        <f>$B$129</f>
        <v>TECHM IN Equity</v>
      </c>
      <c r="C357" t="str">
        <f>$C$129</f>
        <v>RR026</v>
      </c>
      <c r="D357" t="str">
        <f>$D$129</f>
        <v>OPER_MARGIN</v>
      </c>
      <c r="E357" t="str">
        <f>$E$129</f>
        <v>Dynamic</v>
      </c>
      <c r="F357" t="e">
        <f ca="1">_xll.BDH($B$129,$C$129,$B$236,$B$237,CONCATENATE("Per=",$B$234),"Dts=H","Dir=H",CONCATENATE("Points=",$B$235),"Sort=R","Days=A","Fill=B",CONCATENATE("FX=", $B$233),"cols=12;rows=1")</f>
        <v>#NAME?</v>
      </c>
      <c r="G357">
        <v>14.989599999999999</v>
      </c>
      <c r="H357">
        <v>11.778499999999999</v>
      </c>
      <c r="I357">
        <v>11.002800000000001</v>
      </c>
      <c r="J357">
        <v>13.2546</v>
      </c>
      <c r="K357">
        <v>15.6556</v>
      </c>
      <c r="L357">
        <v>19.444099999999999</v>
      </c>
      <c r="M357">
        <v>17.811499999999999</v>
      </c>
      <c r="N357">
        <v>13.8095</v>
      </c>
      <c r="O357">
        <v>16.727</v>
      </c>
      <c r="P357">
        <v>21.5916</v>
      </c>
      <c r="Q357">
        <v>26.2683</v>
      </c>
      <c r="R357" t="str">
        <f>""</f>
        <v/>
      </c>
      <c r="S357" t="str">
        <f>""</f>
        <v/>
      </c>
      <c r="T357" t="str">
        <f>""</f>
        <v/>
      </c>
      <c r="U357" t="str">
        <f>""</f>
        <v/>
      </c>
      <c r="V357" t="str">
        <f>""</f>
        <v/>
      </c>
      <c r="W357" t="str">
        <f>""</f>
        <v/>
      </c>
      <c r="X357" t="str">
        <f>""</f>
        <v/>
      </c>
      <c r="Y357" t="str">
        <f>""</f>
        <v/>
      </c>
      <c r="Z357" t="str">
        <f>""</f>
        <v/>
      </c>
      <c r="AA357" t="str">
        <f>""</f>
        <v/>
      </c>
      <c r="AB357" t="str">
        <f>""</f>
        <v/>
      </c>
      <c r="AC357" t="str">
        <f>""</f>
        <v/>
      </c>
    </row>
    <row r="358" spans="1:29" x14ac:dyDescent="0.25">
      <c r="A358" t="str">
        <f>$A$130</f>
        <v xml:space="preserve">    Wipro Ltd</v>
      </c>
      <c r="B358" t="str">
        <f>$B$130</f>
        <v>WIT US Equity</v>
      </c>
      <c r="C358" t="str">
        <f>$C$130</f>
        <v>RR026</v>
      </c>
      <c r="D358" t="str">
        <f>$D$130</f>
        <v>OPER_MARGIN</v>
      </c>
      <c r="E358" t="str">
        <f>$E$130</f>
        <v>Dynamic</v>
      </c>
      <c r="F358" t="e">
        <f ca="1">_xll.BDH($B$130,$C$130,$B$236,$B$237,CONCATENATE("Per=",$B$234),"Dts=H","Dir=H",CONCATENATE("Points=",$B$235),"Sort=R","Days=A","Fill=B",CONCATENATE("FX=", $B$233),"cols=12;rows=1")</f>
        <v>#NAME?</v>
      </c>
      <c r="G358">
        <v>16.505199999999999</v>
      </c>
      <c r="H358">
        <v>15.1974</v>
      </c>
      <c r="I358">
        <v>16.2776</v>
      </c>
      <c r="J358">
        <v>18.147100000000002</v>
      </c>
      <c r="K358">
        <v>19.547899999999998</v>
      </c>
      <c r="L358">
        <v>19.802199999999999</v>
      </c>
      <c r="M358">
        <v>17.994599999999998</v>
      </c>
      <c r="N358">
        <v>16.3279</v>
      </c>
      <c r="O358">
        <v>18.4268</v>
      </c>
      <c r="P358">
        <v>19.090599999999998</v>
      </c>
      <c r="Q358">
        <v>17.500299999999999</v>
      </c>
      <c r="R358" t="str">
        <f>""</f>
        <v/>
      </c>
      <c r="S358" t="str">
        <f>""</f>
        <v/>
      </c>
      <c r="T358" t="str">
        <f>""</f>
        <v/>
      </c>
      <c r="U358" t="str">
        <f>""</f>
        <v/>
      </c>
      <c r="V358" t="str">
        <f>""</f>
        <v/>
      </c>
      <c r="W358" t="str">
        <f>""</f>
        <v/>
      </c>
      <c r="X358" t="str">
        <f>""</f>
        <v/>
      </c>
      <c r="Y358" t="str">
        <f>""</f>
        <v/>
      </c>
      <c r="Z358" t="str">
        <f>""</f>
        <v/>
      </c>
      <c r="AA358" t="str">
        <f>""</f>
        <v/>
      </c>
      <c r="AB358" t="str">
        <f>""</f>
        <v/>
      </c>
      <c r="AC358" t="str">
        <f>""</f>
        <v/>
      </c>
    </row>
    <row r="359" spans="1:29" x14ac:dyDescent="0.25">
      <c r="A359" t="str">
        <f>$A$132</f>
        <v xml:space="preserve">    Accenture PLC</v>
      </c>
      <c r="B359" t="str">
        <f>$B$132</f>
        <v>ACN US Equity</v>
      </c>
      <c r="C359" t="str">
        <f>$C$132</f>
        <v>RX225</v>
      </c>
      <c r="D359" t="str">
        <f>$D$132</f>
        <v>EBITDA_TO_REVENUE</v>
      </c>
      <c r="E359" t="str">
        <f>$E$132</f>
        <v>Dynamic</v>
      </c>
      <c r="F359" t="e">
        <f ca="1">_xll.BDH($B$132,$C$132,$B$236,$B$237,CONCATENATE("Per=",$B$234),"Dts=H","Dir=H",CONCATENATE("Points=",$B$235),"Sort=R","Days=A","Fill=B",CONCATENATE("FX=", $B$233),"cols=12;rows=1")</f>
        <v>#NAME?</v>
      </c>
      <c r="G359">
        <v>16.650700000000001</v>
      </c>
      <c r="H359">
        <v>14.7813</v>
      </c>
      <c r="I359">
        <v>15.9192</v>
      </c>
      <c r="J359">
        <v>15.439399999999999</v>
      </c>
      <c r="K359">
        <v>15.439399999999999</v>
      </c>
      <c r="L359">
        <v>16.2258</v>
      </c>
      <c r="M359">
        <v>14.9946</v>
      </c>
      <c r="N359">
        <v>14.5641</v>
      </c>
      <c r="O359">
        <v>14.677099999999999</v>
      </c>
      <c r="P359">
        <v>13.561999999999999</v>
      </c>
      <c r="Q359">
        <v>13.8383</v>
      </c>
      <c r="R359" t="str">
        <f>""</f>
        <v/>
      </c>
      <c r="S359" t="str">
        <f>""</f>
        <v/>
      </c>
      <c r="T359" t="str">
        <f>""</f>
        <v/>
      </c>
      <c r="U359" t="str">
        <f>""</f>
        <v/>
      </c>
      <c r="V359" t="str">
        <f>""</f>
        <v/>
      </c>
      <c r="W359" t="str">
        <f>""</f>
        <v/>
      </c>
      <c r="X359" t="str">
        <f>""</f>
        <v/>
      </c>
      <c r="Y359" t="str">
        <f>""</f>
        <v/>
      </c>
      <c r="Z359" t="str">
        <f>""</f>
        <v/>
      </c>
      <c r="AA359" t="str">
        <f>""</f>
        <v/>
      </c>
      <c r="AB359" t="str">
        <f>""</f>
        <v/>
      </c>
      <c r="AC359" t="str">
        <f>""</f>
        <v/>
      </c>
    </row>
    <row r="360" spans="1:29" x14ac:dyDescent="0.25">
      <c r="A360" t="str">
        <f>$A$133</f>
        <v xml:space="preserve">    Amdocs Ltd</v>
      </c>
      <c r="B360" t="str">
        <f>$B$133</f>
        <v>DOX US Equity</v>
      </c>
      <c r="C360" t="str">
        <f>$C$133</f>
        <v>RX225</v>
      </c>
      <c r="D360" t="str">
        <f>$D$133</f>
        <v>EBITDA_TO_REVENUE</v>
      </c>
      <c r="E360" t="str">
        <f>$E$133</f>
        <v>Dynamic</v>
      </c>
      <c r="F360" t="e">
        <f ca="1">_xll.BDH($B$133,$C$133,$B$236,$B$237,CONCATENATE("Per=",$B$234),"Dts=H","Dir=H",CONCATENATE("Points=",$B$235),"Sort=R","Days=A","Fill=B",CONCATENATE("FX=", $B$233),"cols=12;rows=1")</f>
        <v>#NAME?</v>
      </c>
      <c r="G360">
        <v>16.089500000000001</v>
      </c>
      <c r="H360">
        <v>18.9343</v>
      </c>
      <c r="I360">
        <v>18.689900000000002</v>
      </c>
      <c r="J360">
        <v>18.957999999999998</v>
      </c>
      <c r="K360">
        <v>18.476099999999999</v>
      </c>
      <c r="L360">
        <v>18.600000000000001</v>
      </c>
      <c r="M360">
        <v>18.543399999999998</v>
      </c>
      <c r="N360">
        <v>18.4358</v>
      </c>
      <c r="O360">
        <v>20.319299999999998</v>
      </c>
      <c r="P360">
        <v>19.752600000000001</v>
      </c>
      <c r="Q360">
        <v>19.367799999999999</v>
      </c>
      <c r="R360" t="str">
        <f>""</f>
        <v/>
      </c>
      <c r="S360" t="str">
        <f>""</f>
        <v/>
      </c>
      <c r="T360" t="str">
        <f>""</f>
        <v/>
      </c>
      <c r="U360" t="str">
        <f>""</f>
        <v/>
      </c>
      <c r="V360" t="str">
        <f>""</f>
        <v/>
      </c>
      <c r="W360" t="str">
        <f>""</f>
        <v/>
      </c>
      <c r="X360" t="str">
        <f>""</f>
        <v/>
      </c>
      <c r="Y360" t="str">
        <f>""</f>
        <v/>
      </c>
      <c r="Z360" t="str">
        <f>""</f>
        <v/>
      </c>
      <c r="AA360" t="str">
        <f>""</f>
        <v/>
      </c>
      <c r="AB360" t="str">
        <f>""</f>
        <v/>
      </c>
      <c r="AC360" t="str">
        <f>""</f>
        <v/>
      </c>
    </row>
    <row r="361" spans="1:29" x14ac:dyDescent="0.25">
      <c r="A361" t="str">
        <f>$A$134</f>
        <v xml:space="preserve">    Atos SE</v>
      </c>
      <c r="B361" t="str">
        <f>$B$134</f>
        <v>ATO FP Equity</v>
      </c>
      <c r="C361" t="str">
        <f>$C$134</f>
        <v>RX225</v>
      </c>
      <c r="D361" t="str">
        <f>$D$134</f>
        <v>EBITDA_TO_REVENUE</v>
      </c>
      <c r="E361" t="str">
        <f>$E$134</f>
        <v>Dynamic</v>
      </c>
      <c r="F361" t="e">
        <f ca="1">_xll.BDH($B$134,$C$134,$B$236,$B$237,CONCATENATE("Per=",$B$234),"Dts=H","Dir=H",CONCATENATE("Points=",$B$235),"Sort=R","Days=A","Fill=B",CONCATENATE("FX=", $B$233),"cols=12;rows=1")</f>
        <v>#NAME?</v>
      </c>
      <c r="G361">
        <v>10.114599999999999</v>
      </c>
      <c r="H361">
        <v>11.9373</v>
      </c>
      <c r="I361">
        <v>11.099299999999999</v>
      </c>
      <c r="J361">
        <v>9.9835999999999991</v>
      </c>
      <c r="K361">
        <v>8.8827999999999996</v>
      </c>
      <c r="L361">
        <v>9.1715999999999998</v>
      </c>
      <c r="M361">
        <v>8.6971000000000007</v>
      </c>
      <c r="N361">
        <v>9.4899000000000004</v>
      </c>
      <c r="O361">
        <v>8.2420000000000009</v>
      </c>
      <c r="P361">
        <v>4.9405000000000001</v>
      </c>
      <c r="Q361">
        <v>8.6920999999999999</v>
      </c>
      <c r="R361" t="str">
        <f>""</f>
        <v/>
      </c>
      <c r="S361" t="str">
        <f>""</f>
        <v/>
      </c>
      <c r="T361" t="str">
        <f>""</f>
        <v/>
      </c>
      <c r="U361" t="str">
        <f>""</f>
        <v/>
      </c>
      <c r="V361" t="str">
        <f>""</f>
        <v/>
      </c>
      <c r="W361" t="str">
        <f>""</f>
        <v/>
      </c>
      <c r="X361" t="str">
        <f>""</f>
        <v/>
      </c>
      <c r="Y361" t="str">
        <f>""</f>
        <v/>
      </c>
      <c r="Z361" t="str">
        <f>""</f>
        <v/>
      </c>
      <c r="AA361" t="str">
        <f>""</f>
        <v/>
      </c>
      <c r="AB361" t="str">
        <f>""</f>
        <v/>
      </c>
      <c r="AC361" t="str">
        <f>""</f>
        <v/>
      </c>
    </row>
    <row r="362" spans="1:29" x14ac:dyDescent="0.25">
      <c r="A362" t="str">
        <f>$A$135</f>
        <v xml:space="preserve">    Capgemini SE</v>
      </c>
      <c r="B362" t="str">
        <f>$B$135</f>
        <v>CAP FP Equity</v>
      </c>
      <c r="C362" t="str">
        <f>$C$135</f>
        <v>RX225</v>
      </c>
      <c r="D362" t="str">
        <f>$D$135</f>
        <v>EBITDA_TO_REVENUE</v>
      </c>
      <c r="E362" t="str">
        <f>$E$135</f>
        <v>Dynamic</v>
      </c>
      <c r="F362" t="e">
        <f ca="1">_xll.BDH($B$135,$C$135,$B$236,$B$237,CONCATENATE("Per=",$B$234),"Dts=H","Dir=H",CONCATENATE("Points=",$B$235),"Sort=R","Days=A","Fill=B",CONCATENATE("FX=", $B$233),"cols=12;rows=1")</f>
        <v>#NAME?</v>
      </c>
      <c r="G362">
        <v>11.767799999999999</v>
      </c>
      <c r="H362">
        <v>11.8483</v>
      </c>
      <c r="I362">
        <v>11.54</v>
      </c>
      <c r="J362">
        <v>10.793100000000001</v>
      </c>
      <c r="K362">
        <v>9.9971999999999994</v>
      </c>
      <c r="L362">
        <v>9.1953999999999994</v>
      </c>
      <c r="M362">
        <v>8.1255000000000006</v>
      </c>
      <c r="N362">
        <v>8.0779999999999994</v>
      </c>
      <c r="O362">
        <v>7.6463000000000001</v>
      </c>
      <c r="P362">
        <v>5.9371999999999998</v>
      </c>
      <c r="Q362">
        <v>11.2629</v>
      </c>
      <c r="R362" t="str">
        <f>""</f>
        <v/>
      </c>
      <c r="S362" t="str">
        <f>""</f>
        <v/>
      </c>
      <c r="T362" t="str">
        <f>""</f>
        <v/>
      </c>
      <c r="U362" t="str">
        <f>""</f>
        <v/>
      </c>
      <c r="V362" t="str">
        <f>""</f>
        <v/>
      </c>
      <c r="W362" t="str">
        <f>""</f>
        <v/>
      </c>
      <c r="X362" t="str">
        <f>""</f>
        <v/>
      </c>
      <c r="Y362" t="str">
        <f>""</f>
        <v/>
      </c>
      <c r="Z362" t="str">
        <f>""</f>
        <v/>
      </c>
      <c r="AA362" t="str">
        <f>""</f>
        <v/>
      </c>
      <c r="AB362" t="str">
        <f>""</f>
        <v/>
      </c>
      <c r="AC362" t="str">
        <f>""</f>
        <v/>
      </c>
    </row>
    <row r="363" spans="1:29" x14ac:dyDescent="0.25">
      <c r="A363" t="str">
        <f>$A$136</f>
        <v xml:space="preserve">    CGI Inc</v>
      </c>
      <c r="B363" t="str">
        <f>$B$136</f>
        <v>GIB US Equity</v>
      </c>
      <c r="C363" t="str">
        <f>$C$136</f>
        <v>RX225</v>
      </c>
      <c r="D363" t="str">
        <f>$D$136</f>
        <v>EBITDA_TO_REVENUE</v>
      </c>
      <c r="E363" t="str">
        <f>$E$136</f>
        <v>Dynamic</v>
      </c>
      <c r="F363" t="e">
        <f ca="1">_xll.BDH($B$136,$C$136,$B$236,$B$237,CONCATENATE("Per=",$B$234),"Dts=H","Dir=H",CONCATENATE("Points=",$B$235),"Sort=R","Days=A","Fill=B",CONCATENATE("FX=", $B$233),"cols=12;rows=1")</f>
        <v>#NAME?</v>
      </c>
      <c r="G363">
        <v>17.032</v>
      </c>
      <c r="H363">
        <v>17.202999999999999</v>
      </c>
      <c r="I363">
        <v>18.096499999999999</v>
      </c>
      <c r="J363">
        <v>18.043800000000001</v>
      </c>
      <c r="K363">
        <v>16.065200000000001</v>
      </c>
      <c r="L363">
        <v>11.6</v>
      </c>
      <c r="M363">
        <v>10.9382</v>
      </c>
      <c r="N363">
        <v>17.818899999999999</v>
      </c>
      <c r="O363">
        <v>19.032399999999999</v>
      </c>
      <c r="P363">
        <v>17.700700000000001</v>
      </c>
      <c r="Q363">
        <v>16.677700000000002</v>
      </c>
      <c r="R363" t="str">
        <f>""</f>
        <v/>
      </c>
      <c r="S363" t="str">
        <f>""</f>
        <v/>
      </c>
      <c r="T363" t="str">
        <f>""</f>
        <v/>
      </c>
      <c r="U363" t="str">
        <f>""</f>
        <v/>
      </c>
      <c r="V363" t="str">
        <f>""</f>
        <v/>
      </c>
      <c r="W363" t="str">
        <f>""</f>
        <v/>
      </c>
      <c r="X363" t="str">
        <f>""</f>
        <v/>
      </c>
      <c r="Y363" t="str">
        <f>""</f>
        <v/>
      </c>
      <c r="Z363" t="str">
        <f>""</f>
        <v/>
      </c>
      <c r="AA363" t="str">
        <f>""</f>
        <v/>
      </c>
      <c r="AB363" t="str">
        <f>""</f>
        <v/>
      </c>
      <c r="AC363" t="str">
        <f>""</f>
        <v/>
      </c>
    </row>
    <row r="364" spans="1:29" x14ac:dyDescent="0.25">
      <c r="A364" t="str">
        <f>$A$137</f>
        <v xml:space="preserve">    Cognizant Technology Solutions Corp</v>
      </c>
      <c r="B364" t="str">
        <f>$B$137</f>
        <v>CTSH US Equity</v>
      </c>
      <c r="C364" t="str">
        <f>$C$137</f>
        <v>RX225</v>
      </c>
      <c r="D364" t="str">
        <f>$D$137</f>
        <v>EBITDA_TO_REVENUE</v>
      </c>
      <c r="E364" t="str">
        <f>$E$137</f>
        <v>Dynamic</v>
      </c>
      <c r="F364" t="e">
        <f ca="1">_xll.BDH($B$137,$C$137,$B$236,$B$237,CONCATENATE("Per=",$B$234),"Dts=H","Dir=H",CONCATENATE("Points=",$B$235),"Sort=R","Days=A","Fill=B",CONCATENATE("FX=", $B$233),"cols=12;rows=1")</f>
        <v>#NAME?</v>
      </c>
      <c r="G364">
        <v>20.4589</v>
      </c>
      <c r="H364">
        <v>19.743400000000001</v>
      </c>
      <c r="I364">
        <v>19.782</v>
      </c>
      <c r="J364">
        <v>19.909800000000001</v>
      </c>
      <c r="K364">
        <v>20.394200000000001</v>
      </c>
      <c r="L364">
        <v>21.008700000000001</v>
      </c>
      <c r="M364">
        <v>20.664100000000001</v>
      </c>
      <c r="N364">
        <v>20.594899999999999</v>
      </c>
      <c r="O364">
        <v>21.166</v>
      </c>
      <c r="P364">
        <v>21.5899</v>
      </c>
      <c r="Q364">
        <v>21.0015</v>
      </c>
      <c r="R364" t="str">
        <f>""</f>
        <v/>
      </c>
      <c r="S364" t="str">
        <f>""</f>
        <v/>
      </c>
      <c r="T364" t="str">
        <f>""</f>
        <v/>
      </c>
      <c r="U364" t="str">
        <f>""</f>
        <v/>
      </c>
      <c r="V364" t="str">
        <f>""</f>
        <v/>
      </c>
      <c r="W364" t="str">
        <f>""</f>
        <v/>
      </c>
      <c r="X364" t="str">
        <f>""</f>
        <v/>
      </c>
      <c r="Y364" t="str">
        <f>""</f>
        <v/>
      </c>
      <c r="Z364" t="str">
        <f>""</f>
        <v/>
      </c>
      <c r="AA364" t="str">
        <f>""</f>
        <v/>
      </c>
      <c r="AB364" t="str">
        <f>""</f>
        <v/>
      </c>
      <c r="AC364" t="str">
        <f>""</f>
        <v/>
      </c>
    </row>
    <row r="365" spans="1:29" x14ac:dyDescent="0.25">
      <c r="A365" t="str">
        <f>$A$138</f>
        <v xml:space="preserve">    Conduent Inc</v>
      </c>
      <c r="B365" t="str">
        <f>$B$138</f>
        <v>CNDT US Equity</v>
      </c>
      <c r="C365" t="str">
        <f>$C$138</f>
        <v>RX225</v>
      </c>
      <c r="D365" t="str">
        <f>$D$138</f>
        <v>EBITDA_TO_REVENUE</v>
      </c>
      <c r="E365" t="str">
        <f>$E$138</f>
        <v>Dynamic</v>
      </c>
      <c r="F365" t="e">
        <f ca="1">_xll.BDH($B$138,$C$138,$B$236,$B$237,CONCATENATE("Per=",$B$234),"Dts=H","Dir=H",CONCATENATE("Points=",$B$235),"Sort=R","Days=A","Fill=B",CONCATENATE("FX=", $B$233),"cols=12;rows=1")</f>
        <v>#NAME?</v>
      </c>
      <c r="G365">
        <v>3.3746999999999998</v>
      </c>
      <c r="H365">
        <v>10.1129</v>
      </c>
      <c r="I365">
        <v>-8.6767000000000003</v>
      </c>
      <c r="J365">
        <v>1.8763000000000001</v>
      </c>
      <c r="K365">
        <v>13.6783</v>
      </c>
      <c r="L365">
        <v>14.740500000000001</v>
      </c>
      <c r="R365" t="str">
        <f>""</f>
        <v/>
      </c>
      <c r="S365" t="str">
        <f>""</f>
        <v/>
      </c>
      <c r="T365" t="str">
        <f>""</f>
        <v/>
      </c>
      <c r="U365" t="str">
        <f>""</f>
        <v/>
      </c>
      <c r="V365" t="str">
        <f>""</f>
        <v/>
      </c>
      <c r="W365" t="str">
        <f>""</f>
        <v/>
      </c>
      <c r="X365" t="str">
        <f>""</f>
        <v/>
      </c>
      <c r="Y365" t="str">
        <f>""</f>
        <v/>
      </c>
      <c r="Z365" t="str">
        <f>""</f>
        <v/>
      </c>
      <c r="AA365" t="str">
        <f>""</f>
        <v/>
      </c>
      <c r="AB365" t="str">
        <f>""</f>
        <v/>
      </c>
      <c r="AC365" t="str">
        <f>""</f>
        <v/>
      </c>
    </row>
    <row r="366" spans="1:29" x14ac:dyDescent="0.25">
      <c r="A366" t="str">
        <f>$A$139</f>
        <v xml:space="preserve">    DXC Technology Co</v>
      </c>
      <c r="B366" t="str">
        <f>$B$139</f>
        <v>DXC US Equity</v>
      </c>
      <c r="C366" t="str">
        <f>$C$139</f>
        <v>RX225</v>
      </c>
      <c r="D366" t="str">
        <f>$D$139</f>
        <v>EBITDA_TO_REVENUE</v>
      </c>
      <c r="E366" t="str">
        <f>$E$139</f>
        <v>Dynamic</v>
      </c>
      <c r="F366" t="e">
        <f ca="1">_xll.BDH($B$139,$C$139,$B$236,$B$237,CONCATENATE("Per=",$B$234),"Dts=H","Dir=H",CONCATENATE("Points=",$B$235),"Sort=R","Days=A","Fill=B",CONCATENATE("FX=", $B$233),"cols=12;rows=1")</f>
        <v>#NAME?</v>
      </c>
      <c r="G366">
        <v>18.040800000000001</v>
      </c>
      <c r="H366">
        <v>16.329999999999998</v>
      </c>
      <c r="I366">
        <v>8.0018999999999991</v>
      </c>
      <c r="R366" t="str">
        <f>""</f>
        <v/>
      </c>
      <c r="S366" t="str">
        <f>""</f>
        <v/>
      </c>
      <c r="T366" t="str">
        <f>""</f>
        <v/>
      </c>
      <c r="U366" t="str">
        <f>""</f>
        <v/>
      </c>
      <c r="V366" t="str">
        <f>""</f>
        <v/>
      </c>
      <c r="W366" t="str">
        <f>""</f>
        <v/>
      </c>
      <c r="X366" t="str">
        <f>""</f>
        <v/>
      </c>
      <c r="Y366" t="str">
        <f>""</f>
        <v/>
      </c>
      <c r="Z366" t="str">
        <f>""</f>
        <v/>
      </c>
      <c r="AA366" t="str">
        <f>""</f>
        <v/>
      </c>
      <c r="AB366" t="str">
        <f>""</f>
        <v/>
      </c>
      <c r="AC366" t="str">
        <f>""</f>
        <v/>
      </c>
    </row>
    <row r="367" spans="1:29" x14ac:dyDescent="0.25">
      <c r="A367" t="str">
        <f>$A$140</f>
        <v xml:space="preserve">    EPAM Systems Inc</v>
      </c>
      <c r="B367" t="str">
        <f>$B$140</f>
        <v>EPAM US Equity</v>
      </c>
      <c r="C367" t="str">
        <f>$C$140</f>
        <v>RX225</v>
      </c>
      <c r="D367" t="str">
        <f>$D$140</f>
        <v>EBITDA_TO_REVENUE</v>
      </c>
      <c r="E367" t="str">
        <f>$E$140</f>
        <v>Dynamic</v>
      </c>
      <c r="F367" t="e">
        <f ca="1">_xll.BDH($B$140,$C$140,$B$236,$B$237,CONCATENATE("Per=",$B$234),"Dts=H","Dir=H",CONCATENATE("Points=",$B$235),"Sort=R","Days=A","Fill=B",CONCATENATE("FX=", $B$233),"cols=12;rows=1")</f>
        <v>#NAME?</v>
      </c>
      <c r="G367">
        <v>15.3238</v>
      </c>
      <c r="H367">
        <v>13.892799999999999</v>
      </c>
      <c r="I367">
        <v>13.540100000000001</v>
      </c>
      <c r="J367">
        <v>13.494999999999999</v>
      </c>
      <c r="K367">
        <v>14.2003</v>
      </c>
      <c r="L367">
        <v>16.503399999999999</v>
      </c>
      <c r="M367">
        <v>17.724299999999999</v>
      </c>
      <c r="N367">
        <v>18.6968</v>
      </c>
      <c r="O367">
        <v>17.5959</v>
      </c>
      <c r="P367">
        <v>14.405900000000001</v>
      </c>
      <c r="Q367">
        <v>9.4091000000000005</v>
      </c>
      <c r="R367" t="str">
        <f>""</f>
        <v/>
      </c>
      <c r="S367" t="str">
        <f>""</f>
        <v/>
      </c>
      <c r="T367" t="str">
        <f>""</f>
        <v/>
      </c>
      <c r="U367" t="str">
        <f>""</f>
        <v/>
      </c>
      <c r="V367" t="str">
        <f>""</f>
        <v/>
      </c>
      <c r="W367" t="str">
        <f>""</f>
        <v/>
      </c>
      <c r="X367" t="str">
        <f>""</f>
        <v/>
      </c>
      <c r="Y367" t="str">
        <f>""</f>
        <v/>
      </c>
      <c r="Z367" t="str">
        <f>""</f>
        <v/>
      </c>
      <c r="AA367" t="str">
        <f>""</f>
        <v/>
      </c>
      <c r="AB367" t="str">
        <f>""</f>
        <v/>
      </c>
      <c r="AC367" t="str">
        <f>""</f>
        <v/>
      </c>
    </row>
    <row r="368" spans="1:29" x14ac:dyDescent="0.25">
      <c r="A368" t="str">
        <f>$A$141</f>
        <v xml:space="preserve">    Genpact Ltd</v>
      </c>
      <c r="B368" t="str">
        <f>$B$141</f>
        <v>G US Equity</v>
      </c>
      <c r="C368" t="str">
        <f>$C$141</f>
        <v>RX225</v>
      </c>
      <c r="D368" t="str">
        <f>$D$141</f>
        <v>EBITDA_TO_REVENUE</v>
      </c>
      <c r="E368" t="str">
        <f>$E$141</f>
        <v>Dynamic</v>
      </c>
      <c r="F368" t="e">
        <f ca="1">_xll.BDH($B$141,$C$141,$B$236,$B$237,CONCATENATE("Per=",$B$234),"Dts=H","Dir=H",CONCATENATE("Points=",$B$235),"Sort=R","Days=A","Fill=B",CONCATENATE("FX=", $B$233),"cols=12;rows=1")</f>
        <v>#NAME?</v>
      </c>
      <c r="G368">
        <v>15.058400000000001</v>
      </c>
      <c r="H368">
        <v>15.571999999999999</v>
      </c>
      <c r="I368">
        <v>16.452000000000002</v>
      </c>
      <c r="J368">
        <v>16.9437</v>
      </c>
      <c r="K368">
        <v>16.3917</v>
      </c>
      <c r="L368">
        <v>18.104500000000002</v>
      </c>
      <c r="M368">
        <v>18.072800000000001</v>
      </c>
      <c r="N368">
        <v>18.415800000000001</v>
      </c>
      <c r="O368">
        <v>20.0181</v>
      </c>
      <c r="P368">
        <v>21.585000000000001</v>
      </c>
      <c r="Q368">
        <v>21.6919</v>
      </c>
      <c r="R368" t="str">
        <f>""</f>
        <v/>
      </c>
      <c r="S368" t="str">
        <f>""</f>
        <v/>
      </c>
      <c r="T368" t="str">
        <f>""</f>
        <v/>
      </c>
      <c r="U368" t="str">
        <f>""</f>
        <v/>
      </c>
      <c r="V368" t="str">
        <f>""</f>
        <v/>
      </c>
      <c r="W368" t="str">
        <f>""</f>
        <v/>
      </c>
      <c r="X368" t="str">
        <f>""</f>
        <v/>
      </c>
      <c r="Y368" t="str">
        <f>""</f>
        <v/>
      </c>
      <c r="Z368" t="str">
        <f>""</f>
        <v/>
      </c>
      <c r="AA368" t="str">
        <f>""</f>
        <v/>
      </c>
      <c r="AB368" t="str">
        <f>""</f>
        <v/>
      </c>
      <c r="AC368" t="str">
        <f>""</f>
        <v/>
      </c>
    </row>
    <row r="369" spans="1:29" x14ac:dyDescent="0.25">
      <c r="A369" t="str">
        <f>$A$142</f>
        <v xml:space="preserve">    HCL Technologies Ltd</v>
      </c>
      <c r="B369" t="str">
        <f>$B$142</f>
        <v>HCLT IN Equity</v>
      </c>
      <c r="C369" t="str">
        <f>$C$142</f>
        <v>RX225</v>
      </c>
      <c r="D369" t="str">
        <f>$D$142</f>
        <v>EBITDA_TO_REVENUE</v>
      </c>
      <c r="E369" t="str">
        <f>$E$142</f>
        <v>Dynamic</v>
      </c>
      <c r="F369" t="e">
        <f ca="1">_xll.BDH($B$142,$C$142,$B$236,$B$237,CONCATENATE("Per=",$B$234),"Dts=H","Dir=H",CONCATENATE("Points=",$B$235),"Sort=R","Days=A","Fill=B",CONCATENATE("FX=", $B$233),"cols=12;rows=1")</f>
        <v>#NAME?</v>
      </c>
      <c r="G369">
        <v>23.051500000000001</v>
      </c>
      <c r="H369">
        <v>22.238900000000001</v>
      </c>
      <c r="I369">
        <v>21.8309</v>
      </c>
      <c r="J369">
        <v>21.453299999999999</v>
      </c>
      <c r="L369">
        <v>26.327500000000001</v>
      </c>
      <c r="M369">
        <v>22.130299999999998</v>
      </c>
      <c r="N369">
        <v>17.9054</v>
      </c>
      <c r="O369">
        <v>15.683400000000001</v>
      </c>
      <c r="P369">
        <v>15.989699999999999</v>
      </c>
      <c r="Q369">
        <v>20.222100000000001</v>
      </c>
      <c r="R369" t="str">
        <f>""</f>
        <v/>
      </c>
      <c r="S369" t="str">
        <f>""</f>
        <v/>
      </c>
      <c r="T369" t="str">
        <f>""</f>
        <v/>
      </c>
      <c r="U369" t="str">
        <f>""</f>
        <v/>
      </c>
      <c r="V369" t="str">
        <f>""</f>
        <v/>
      </c>
      <c r="W369" t="str">
        <f>""</f>
        <v/>
      </c>
      <c r="X369" t="str">
        <f>""</f>
        <v/>
      </c>
      <c r="Y369" t="str">
        <f>""</f>
        <v/>
      </c>
      <c r="Z369" t="str">
        <f>""</f>
        <v/>
      </c>
      <c r="AA369" t="str">
        <f>""</f>
        <v/>
      </c>
      <c r="AB369" t="str">
        <f>""</f>
        <v/>
      </c>
      <c r="AC369" t="str">
        <f>""</f>
        <v/>
      </c>
    </row>
    <row r="370" spans="1:29" x14ac:dyDescent="0.25">
      <c r="A370" t="str">
        <f>$A$143</f>
        <v xml:space="preserve">    Indra Sistemas SA</v>
      </c>
      <c r="B370" t="str">
        <f>$B$143</f>
        <v>IDR SM Equity</v>
      </c>
      <c r="C370" t="str">
        <f>$C$143</f>
        <v>RX225</v>
      </c>
      <c r="D370" t="str">
        <f>$D$143</f>
        <v>EBITDA_TO_REVENUE</v>
      </c>
      <c r="E370" t="str">
        <f>$E$143</f>
        <v>Dynamic</v>
      </c>
      <c r="F370" t="e">
        <f ca="1">_xll.BDH($B$143,$C$143,$B$236,$B$237,CONCATENATE("Per=",$B$234),"Dts=H","Dir=H",CONCATENATE("Points=",$B$235),"Sort=R","Days=A","Fill=B",CONCATENATE("FX=", $B$233),"cols=12;rows=1")</f>
        <v>#NAME?</v>
      </c>
      <c r="G370">
        <v>9.4414999999999996</v>
      </c>
      <c r="H370">
        <v>8.8424999999999994</v>
      </c>
      <c r="I370">
        <v>8.4662000000000006</v>
      </c>
      <c r="J370">
        <v>-19.505400000000002</v>
      </c>
      <c r="K370">
        <v>0.74060000000000004</v>
      </c>
      <c r="L370">
        <v>8.5859000000000005</v>
      </c>
      <c r="M370">
        <v>8.5641999999999996</v>
      </c>
      <c r="N370">
        <v>11.9992</v>
      </c>
      <c r="O370">
        <v>12.0025</v>
      </c>
      <c r="P370">
        <v>13.3513</v>
      </c>
      <c r="Q370">
        <v>12.990600000000001</v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t="str">
        <f>""</f>
        <v/>
      </c>
      <c r="AB370" t="str">
        <f>""</f>
        <v/>
      </c>
      <c r="AC370" t="str">
        <f>""</f>
        <v/>
      </c>
    </row>
    <row r="371" spans="1:29" x14ac:dyDescent="0.25">
      <c r="A371" t="str">
        <f>$A$144</f>
        <v xml:space="preserve">    Infosys Ltd</v>
      </c>
      <c r="B371" t="str">
        <f>$B$144</f>
        <v>INFY US Equity</v>
      </c>
      <c r="C371" t="str">
        <f>$C$144</f>
        <v>RX225</v>
      </c>
      <c r="D371" t="str">
        <f>$D$144</f>
        <v>EBITDA_TO_REVENUE</v>
      </c>
      <c r="E371" t="str">
        <f>$E$144</f>
        <v>Dynamic</v>
      </c>
      <c r="F371" t="e">
        <f ca="1">_xll.BDH($B$144,$C$144,$B$236,$B$237,CONCATENATE("Per=",$B$234),"Dts=H","Dir=H",CONCATENATE("Points=",$B$235),"Sort=R","Days=A","Fill=B",CONCATENATE("FX=", $B$233),"cols=12;rows=1")</f>
        <v>#NAME?</v>
      </c>
      <c r="G371">
        <v>25.268799999999999</v>
      </c>
      <c r="H371">
        <v>26.9575</v>
      </c>
      <c r="I371">
        <v>27.165500000000002</v>
      </c>
      <c r="J371">
        <v>27.3522</v>
      </c>
      <c r="K371">
        <v>27.056000000000001</v>
      </c>
      <c r="L371">
        <v>26.3</v>
      </c>
      <c r="M371">
        <v>28.003599999999999</v>
      </c>
      <c r="N371">
        <v>31.611999999999998</v>
      </c>
      <c r="O371">
        <v>32.457000000000001</v>
      </c>
      <c r="P371">
        <v>34.394500000000001</v>
      </c>
      <c r="Q371">
        <v>35.191099999999999</v>
      </c>
      <c r="R371" t="str">
        <f>""</f>
        <v/>
      </c>
      <c r="S371" t="str">
        <f>""</f>
        <v/>
      </c>
      <c r="T371" t="str">
        <f>""</f>
        <v/>
      </c>
      <c r="U371" t="str">
        <f>""</f>
        <v/>
      </c>
      <c r="V371" t="str">
        <f>""</f>
        <v/>
      </c>
      <c r="W371" t="str">
        <f>""</f>
        <v/>
      </c>
      <c r="X371" t="str">
        <f>""</f>
        <v/>
      </c>
      <c r="Y371" t="str">
        <f>""</f>
        <v/>
      </c>
      <c r="Z371" t="str">
        <f>""</f>
        <v/>
      </c>
      <c r="AA371" t="str">
        <f>""</f>
        <v/>
      </c>
      <c r="AB371" t="str">
        <f>""</f>
        <v/>
      </c>
      <c r="AC371" t="str">
        <f>""</f>
        <v/>
      </c>
    </row>
    <row r="372" spans="1:29" x14ac:dyDescent="0.25">
      <c r="A372" t="str">
        <f>$A$145</f>
        <v xml:space="preserve">    International Business Machines Corp</v>
      </c>
      <c r="B372" t="str">
        <f>$B$145</f>
        <v>IBM US Equity</v>
      </c>
      <c r="C372" t="str">
        <f>$C$145</f>
        <v>RX225</v>
      </c>
      <c r="D372" t="str">
        <f>$D$145</f>
        <v>EBITDA_TO_REVENUE</v>
      </c>
      <c r="E372" t="str">
        <f>$E$145</f>
        <v>Dynamic</v>
      </c>
      <c r="F372" t="e">
        <f ca="1">_xll.BDH($B$145,$C$145,$B$236,$B$237,CONCATENATE("Per=",$B$234),"Dts=H","Dir=H",CONCATENATE("Points=",$B$235),"Sort=R","Days=A","Fill=B",CONCATENATE("FX=", $B$233),"cols=12;rows=1")</f>
        <v>#NAME?</v>
      </c>
      <c r="G372">
        <v>20.945799999999998</v>
      </c>
      <c r="H372">
        <v>20.488</v>
      </c>
      <c r="I372">
        <v>19.838799999999999</v>
      </c>
      <c r="J372">
        <v>23.075299999999999</v>
      </c>
      <c r="K372">
        <v>24.012599999999999</v>
      </c>
      <c r="L372">
        <v>24.569199999999999</v>
      </c>
      <c r="M372">
        <v>25.038399999999999</v>
      </c>
      <c r="N372">
        <v>23.4773</v>
      </c>
      <c r="O372">
        <v>23.009899999999998</v>
      </c>
      <c r="P372">
        <v>22.9819</v>
      </c>
      <c r="Q372">
        <v>20.6388</v>
      </c>
      <c r="R372" t="str">
        <f>""</f>
        <v/>
      </c>
      <c r="S372" t="str">
        <f>""</f>
        <v/>
      </c>
      <c r="T372" t="str">
        <f>""</f>
        <v/>
      </c>
      <c r="U372" t="str">
        <f>""</f>
        <v/>
      </c>
      <c r="V372" t="str">
        <f>""</f>
        <v/>
      </c>
      <c r="W372" t="str">
        <f>""</f>
        <v/>
      </c>
      <c r="X372" t="str">
        <f>""</f>
        <v/>
      </c>
      <c r="Y372" t="str">
        <f>""</f>
        <v/>
      </c>
      <c r="Z372" t="str">
        <f>""</f>
        <v/>
      </c>
      <c r="AA372" t="str">
        <f>""</f>
        <v/>
      </c>
      <c r="AB372" t="str">
        <f>""</f>
        <v/>
      </c>
      <c r="AC372" t="str">
        <f>""</f>
        <v/>
      </c>
    </row>
    <row r="373" spans="1:29" x14ac:dyDescent="0.25">
      <c r="A373" t="str">
        <f>$A$146</f>
        <v xml:space="preserve">    Tata Consultancy Services Ltd</v>
      </c>
      <c r="B373" t="str">
        <f>$B$146</f>
        <v>TCS IN Equity</v>
      </c>
      <c r="C373" t="str">
        <f>$C$146</f>
        <v>RX225</v>
      </c>
      <c r="D373" t="str">
        <f>$D$146</f>
        <v>EBITDA_TO_REVENUE</v>
      </c>
      <c r="E373" t="str">
        <f>$E$146</f>
        <v>Dynamic</v>
      </c>
      <c r="F373" t="e">
        <f ca="1">_xll.BDH($B$146,$C$146,$B$236,$B$237,CONCATENATE("Per=",$B$234),"Dts=H","Dir=H",CONCATENATE("Points=",$B$235),"Sort=R","Days=A","Fill=B",CONCATENATE("FX=", $B$233),"cols=12;rows=1")</f>
        <v>#NAME?</v>
      </c>
      <c r="G373">
        <v>26.973400000000002</v>
      </c>
      <c r="H373">
        <v>26.413399999999999</v>
      </c>
      <c r="I373">
        <v>27.3901</v>
      </c>
      <c r="J373">
        <v>28.236699999999999</v>
      </c>
      <c r="K373">
        <v>26.061</v>
      </c>
      <c r="L373">
        <v>30.720500000000001</v>
      </c>
      <c r="M373">
        <v>28.639600000000002</v>
      </c>
      <c r="N373">
        <v>29.523800000000001</v>
      </c>
      <c r="O373">
        <v>29.949100000000001</v>
      </c>
      <c r="P373">
        <v>28.953900000000001</v>
      </c>
      <c r="Q373">
        <v>25.778700000000001</v>
      </c>
      <c r="R373" t="str">
        <f>""</f>
        <v/>
      </c>
      <c r="S373" t="str">
        <f>""</f>
        <v/>
      </c>
      <c r="T373" t="str">
        <f>""</f>
        <v/>
      </c>
      <c r="U373" t="str">
        <f>""</f>
        <v/>
      </c>
      <c r="V373" t="str">
        <f>""</f>
        <v/>
      </c>
      <c r="W373" t="str">
        <f>""</f>
        <v/>
      </c>
      <c r="X373" t="str">
        <f>""</f>
        <v/>
      </c>
      <c r="Y373" t="str">
        <f>""</f>
        <v/>
      </c>
      <c r="Z373" t="str">
        <f>""</f>
        <v/>
      </c>
      <c r="AA373" t="str">
        <f>""</f>
        <v/>
      </c>
      <c r="AB373" t="str">
        <f>""</f>
        <v/>
      </c>
      <c r="AC373" t="str">
        <f>""</f>
        <v/>
      </c>
    </row>
    <row r="374" spans="1:29" x14ac:dyDescent="0.25">
      <c r="A374" t="str">
        <f>$A$147</f>
        <v xml:space="preserve">    Tech Mahindra Ltd</v>
      </c>
      <c r="B374" t="str">
        <f>$B$147</f>
        <v>TECHM IN Equity</v>
      </c>
      <c r="C374" t="str">
        <f>$C$147</f>
        <v>RX225</v>
      </c>
      <c r="D374" t="str">
        <f>$D$147</f>
        <v>EBITDA_TO_REVENUE</v>
      </c>
      <c r="E374" t="str">
        <f>$E$147</f>
        <v>Dynamic</v>
      </c>
      <c r="F374" t="e">
        <f ca="1">_xll.BDH($B$147,$C$147,$B$236,$B$237,CONCATENATE("Per=",$B$234),"Dts=H","Dir=H",CONCATENATE("Points=",$B$235),"Sort=R","Days=A","Fill=B",CONCATENATE("FX=", $B$233),"cols=12;rows=1")</f>
        <v>#NAME?</v>
      </c>
      <c r="G374">
        <v>18.239799999999999</v>
      </c>
      <c r="H374">
        <v>15.304399999999999</v>
      </c>
      <c r="I374">
        <v>14.3592</v>
      </c>
      <c r="J374">
        <v>16.119</v>
      </c>
      <c r="K374">
        <v>18.3584</v>
      </c>
      <c r="L374">
        <v>22.217099999999999</v>
      </c>
      <c r="M374">
        <v>20.721399999999999</v>
      </c>
      <c r="N374">
        <v>16.747700000000002</v>
      </c>
      <c r="O374">
        <v>19.518699999999999</v>
      </c>
      <c r="P374">
        <v>24.486499999999999</v>
      </c>
      <c r="Q374">
        <v>28.725300000000001</v>
      </c>
      <c r="R374" t="str">
        <f>""</f>
        <v/>
      </c>
      <c r="S374" t="str">
        <f>""</f>
        <v/>
      </c>
      <c r="T374" t="str">
        <f>""</f>
        <v/>
      </c>
      <c r="U374" t="str">
        <f>""</f>
        <v/>
      </c>
      <c r="V374" t="str">
        <f>""</f>
        <v/>
      </c>
      <c r="W374" t="str">
        <f>""</f>
        <v/>
      </c>
      <c r="X374" t="str">
        <f>""</f>
        <v/>
      </c>
      <c r="Y374" t="str">
        <f>""</f>
        <v/>
      </c>
      <c r="Z374" t="str">
        <f>""</f>
        <v/>
      </c>
      <c r="AA374" t="str">
        <f>""</f>
        <v/>
      </c>
      <c r="AB374" t="str">
        <f>""</f>
        <v/>
      </c>
      <c r="AC374" t="str">
        <f>""</f>
        <v/>
      </c>
    </row>
    <row r="375" spans="1:29" x14ac:dyDescent="0.25">
      <c r="A375" t="str">
        <f>$A$148</f>
        <v xml:space="preserve">    Wipro Ltd</v>
      </c>
      <c r="B375" t="str">
        <f>$B$148</f>
        <v>WIT US Equity</v>
      </c>
      <c r="C375" t="str">
        <f>$C$148</f>
        <v>RX225</v>
      </c>
      <c r="D375" t="str">
        <f>$D$148</f>
        <v>EBITDA_TO_REVENUE</v>
      </c>
      <c r="E375" t="str">
        <f>$E$148</f>
        <v>Dynamic</v>
      </c>
      <c r="F375" t="e">
        <f ca="1">_xll.BDH($B$148,$C$148,$B$236,$B$237,CONCATENATE("Per=",$B$234),"Dts=H","Dir=H",CONCATENATE("Points=",$B$235),"Sort=R","Days=A","Fill=B",CONCATENATE("FX=", $B$233),"cols=12;rows=1")</f>
        <v>#NAME?</v>
      </c>
      <c r="G375">
        <v>19.8293</v>
      </c>
      <c r="H375">
        <v>19.074200000000001</v>
      </c>
      <c r="I375">
        <v>20.4758</v>
      </c>
      <c r="J375">
        <v>21.067399999999999</v>
      </c>
      <c r="K375">
        <v>22.2788</v>
      </c>
      <c r="L375">
        <v>22.3596</v>
      </c>
      <c r="M375">
        <v>20.889700000000001</v>
      </c>
      <c r="N375">
        <v>19.050899999999999</v>
      </c>
      <c r="O375">
        <v>21.070900000000002</v>
      </c>
      <c r="P375">
        <v>21.862400000000001</v>
      </c>
      <c r="Q375">
        <v>20.171199999999999</v>
      </c>
      <c r="R375" t="str">
        <f>""</f>
        <v/>
      </c>
      <c r="S375" t="str">
        <f>""</f>
        <v/>
      </c>
      <c r="T375" t="str">
        <f>""</f>
        <v/>
      </c>
      <c r="U375" t="str">
        <f>""</f>
        <v/>
      </c>
      <c r="V375" t="str">
        <f>""</f>
        <v/>
      </c>
      <c r="W375" t="str">
        <f>""</f>
        <v/>
      </c>
      <c r="X375" t="str">
        <f>""</f>
        <v/>
      </c>
      <c r="Y375" t="str">
        <f>""</f>
        <v/>
      </c>
      <c r="Z375" t="str">
        <f>""</f>
        <v/>
      </c>
      <c r="AA375" t="str">
        <f>""</f>
        <v/>
      </c>
      <c r="AB375" t="str">
        <f>""</f>
        <v/>
      </c>
      <c r="AC375" t="str">
        <f>""</f>
        <v/>
      </c>
    </row>
    <row r="376" spans="1:29" x14ac:dyDescent="0.25">
      <c r="A376" t="str">
        <f>$A$150</f>
        <v xml:space="preserve">    Accenture PLC</v>
      </c>
      <c r="B376" t="str">
        <f>$B$150</f>
        <v>ACN US Equity</v>
      </c>
      <c r="C376" t="str">
        <f>$C$150</f>
        <v>RR037</v>
      </c>
      <c r="D376" t="str">
        <f>$D$150</f>
        <v>EFF_TAX_RATE</v>
      </c>
      <c r="E376" t="str">
        <f>$E$150</f>
        <v>Dynamic</v>
      </c>
      <c r="F376" t="e">
        <f ca="1">_xll.BDH($B$150,$C$150,$B$236,$B$237,CONCATENATE("Per=",$B$234),"Dts=H","Dir=H",CONCATENATE("Points=",$B$235),"Sort=R","Days=A","Fill=B",CONCATENATE("FX=", $B$233),"cols=12;rows=1")</f>
        <v>#NAME?</v>
      </c>
      <c r="G376">
        <v>27.4358</v>
      </c>
      <c r="H376">
        <v>21.254200000000001</v>
      </c>
      <c r="I376">
        <v>22.378</v>
      </c>
      <c r="J376">
        <v>25.773299999999999</v>
      </c>
      <c r="K376">
        <v>26.100999999999999</v>
      </c>
      <c r="L376">
        <v>18.0853</v>
      </c>
      <c r="M376">
        <v>27.6433</v>
      </c>
      <c r="N376">
        <v>27.3</v>
      </c>
      <c r="O376">
        <v>29.3</v>
      </c>
      <c r="P376">
        <v>27.62</v>
      </c>
      <c r="Q376">
        <v>29.3</v>
      </c>
      <c r="R376" t="str">
        <f>""</f>
        <v/>
      </c>
      <c r="S376" t="str">
        <f>""</f>
        <v/>
      </c>
      <c r="T376" t="str">
        <f>""</f>
        <v/>
      </c>
      <c r="U376" t="str">
        <f>""</f>
        <v/>
      </c>
      <c r="V376" t="str">
        <f>""</f>
        <v/>
      </c>
      <c r="W376" t="str">
        <f>""</f>
        <v/>
      </c>
      <c r="X376" t="str">
        <f>""</f>
        <v/>
      </c>
      <c r="Y376" t="str">
        <f>""</f>
        <v/>
      </c>
      <c r="Z376" t="str">
        <f>""</f>
        <v/>
      </c>
      <c r="AA376" t="str">
        <f>""</f>
        <v/>
      </c>
      <c r="AB376" t="str">
        <f>""</f>
        <v/>
      </c>
      <c r="AC376" t="str">
        <f>""</f>
        <v/>
      </c>
    </row>
    <row r="377" spans="1:29" x14ac:dyDescent="0.25">
      <c r="A377" t="str">
        <f>$A$151</f>
        <v xml:space="preserve">    Amdocs Ltd</v>
      </c>
      <c r="B377" t="str">
        <f>$B$151</f>
        <v>DOX US Equity</v>
      </c>
      <c r="C377" t="str">
        <f>$C$151</f>
        <v>RR037</v>
      </c>
      <c r="D377" t="str">
        <f>$D$151</f>
        <v>EFF_TAX_RATE</v>
      </c>
      <c r="E377" t="str">
        <f>$E$151</f>
        <v>Dynamic</v>
      </c>
      <c r="F377" t="e">
        <f ca="1">_xll.BDH($B$151,$C$151,$B$236,$B$237,CONCATENATE("Per=",$B$234),"Dts=H","Dir=H",CONCATENATE("Points=",$B$235),"Sort=R","Days=A","Fill=B",CONCATENATE("FX=", $B$233),"cols=12;rows=1")</f>
        <v>#NAME?</v>
      </c>
      <c r="G377">
        <v>15.9285</v>
      </c>
      <c r="H377">
        <v>14.834099999999999</v>
      </c>
      <c r="I377">
        <v>15.549300000000001</v>
      </c>
      <c r="J377">
        <v>13.097099999999999</v>
      </c>
      <c r="K377">
        <v>13.7735</v>
      </c>
      <c r="L377">
        <v>13.2578</v>
      </c>
      <c r="M377">
        <v>11.3591</v>
      </c>
      <c r="N377">
        <v>12.3935</v>
      </c>
      <c r="O377">
        <v>10.742900000000001</v>
      </c>
      <c r="P377">
        <v>10.9184</v>
      </c>
      <c r="Q377">
        <v>9.2552000000000003</v>
      </c>
      <c r="R377" t="str">
        <f>""</f>
        <v/>
      </c>
      <c r="S377" t="str">
        <f>""</f>
        <v/>
      </c>
      <c r="T377" t="str">
        <f>""</f>
        <v/>
      </c>
      <c r="U377" t="str">
        <f>""</f>
        <v/>
      </c>
      <c r="V377" t="str">
        <f>""</f>
        <v/>
      </c>
      <c r="W377" t="str">
        <f>""</f>
        <v/>
      </c>
      <c r="X377" t="str">
        <f>""</f>
        <v/>
      </c>
      <c r="Y377" t="str">
        <f>""</f>
        <v/>
      </c>
      <c r="Z377" t="str">
        <f>""</f>
        <v/>
      </c>
      <c r="AA377" t="str">
        <f>""</f>
        <v/>
      </c>
      <c r="AB377" t="str">
        <f>""</f>
        <v/>
      </c>
      <c r="AC377" t="str">
        <f>""</f>
        <v/>
      </c>
    </row>
    <row r="378" spans="1:29" x14ac:dyDescent="0.25">
      <c r="A378" t="str">
        <f>$A$152</f>
        <v xml:space="preserve">    Atos SE</v>
      </c>
      <c r="B378" t="str">
        <f>$B$152</f>
        <v>ATO FP Equity</v>
      </c>
      <c r="C378" t="str">
        <f>$C$152</f>
        <v>RR037</v>
      </c>
      <c r="D378" t="str">
        <f>$D$152</f>
        <v>EFF_TAX_RATE</v>
      </c>
      <c r="E378" t="str">
        <f>$E$152</f>
        <v>Dynamic</v>
      </c>
      <c r="F378" t="e">
        <f ca="1">_xll.BDH($B$152,$C$152,$B$236,$B$237,CONCATENATE("Per=",$B$234),"Dts=H","Dir=H",CONCATENATE("Points=",$B$235),"Sort=R","Days=A","Fill=B",CONCATENATE("FX=", $B$233),"cols=12;rows=1")</f>
        <v>#NAME?</v>
      </c>
      <c r="G378">
        <v>0.1764</v>
      </c>
      <c r="H378">
        <v>18.327200000000001</v>
      </c>
      <c r="I378">
        <v>18.310199999999998</v>
      </c>
      <c r="J378">
        <v>20.1617</v>
      </c>
      <c r="K378">
        <v>26.781600000000001</v>
      </c>
      <c r="L378">
        <v>27.090399999999999</v>
      </c>
      <c r="M378">
        <v>31.2197</v>
      </c>
      <c r="N378">
        <v>41.402500000000003</v>
      </c>
      <c r="O378">
        <v>32.840899999999998</v>
      </c>
      <c r="Q378">
        <v>62.064500000000002</v>
      </c>
      <c r="R378" t="str">
        <f>""</f>
        <v/>
      </c>
      <c r="S378" t="str">
        <f>""</f>
        <v/>
      </c>
      <c r="T378" t="str">
        <f>""</f>
        <v/>
      </c>
      <c r="U378" t="str">
        <f>""</f>
        <v/>
      </c>
      <c r="V378" t="str">
        <f>""</f>
        <v/>
      </c>
      <c r="W378" t="str">
        <f>""</f>
        <v/>
      </c>
      <c r="X378" t="str">
        <f>""</f>
        <v/>
      </c>
      <c r="Y378" t="str">
        <f>""</f>
        <v/>
      </c>
      <c r="Z378" t="str">
        <f>""</f>
        <v/>
      </c>
      <c r="AA378" t="str">
        <f>""</f>
        <v/>
      </c>
      <c r="AB378" t="str">
        <f>""</f>
        <v/>
      </c>
      <c r="AC378" t="str">
        <f>""</f>
        <v/>
      </c>
    </row>
    <row r="379" spans="1:29" x14ac:dyDescent="0.25">
      <c r="A379" t="str">
        <f>$A$153</f>
        <v xml:space="preserve">    Capgemini SE</v>
      </c>
      <c r="B379" t="str">
        <f>$B$153</f>
        <v>CAP FP Equity</v>
      </c>
      <c r="C379" t="str">
        <f>$C$153</f>
        <v>RR037</v>
      </c>
      <c r="D379" t="str">
        <f>$D$153</f>
        <v>EFF_TAX_RATE</v>
      </c>
      <c r="E379" t="str">
        <f>$E$153</f>
        <v>Dynamic</v>
      </c>
      <c r="F379" t="e">
        <f ca="1">_xll.BDH($B$153,$C$153,$B$236,$B$237,CONCATENATE("Per=",$B$234),"Dts=H","Dir=H",CONCATENATE("Points=",$B$235),"Sort=R","Days=A","Fill=B",CONCATENATE("FX=", $B$233),"cols=12;rows=1")</f>
        <v>#NAME?</v>
      </c>
      <c r="G379">
        <v>38.172499999999999</v>
      </c>
      <c r="H379">
        <v>27.2727</v>
      </c>
      <c r="I379">
        <v>9.3811999999999998</v>
      </c>
      <c r="K379">
        <v>26.819900000000001</v>
      </c>
      <c r="L379">
        <v>29.4498</v>
      </c>
      <c r="M379">
        <v>28.183700000000002</v>
      </c>
      <c r="N379">
        <v>20.612200000000001</v>
      </c>
      <c r="O379">
        <v>30.845800000000001</v>
      </c>
      <c r="P379">
        <v>25.523</v>
      </c>
      <c r="Q379">
        <v>20.458600000000001</v>
      </c>
      <c r="R379" t="str">
        <f>""</f>
        <v/>
      </c>
      <c r="S379" t="str">
        <f>""</f>
        <v/>
      </c>
      <c r="T379" t="str">
        <f>""</f>
        <v/>
      </c>
      <c r="U379" t="str">
        <f>""</f>
        <v/>
      </c>
      <c r="V379" t="str">
        <f>""</f>
        <v/>
      </c>
      <c r="W379" t="str">
        <f>""</f>
        <v/>
      </c>
      <c r="X379" t="str">
        <f>""</f>
        <v/>
      </c>
      <c r="Y379" t="str">
        <f>""</f>
        <v/>
      </c>
      <c r="Z379" t="str">
        <f>""</f>
        <v/>
      </c>
      <c r="AA379" t="str">
        <f>""</f>
        <v/>
      </c>
      <c r="AB379" t="str">
        <f>""</f>
        <v/>
      </c>
      <c r="AC379" t="str">
        <f>""</f>
        <v/>
      </c>
    </row>
    <row r="380" spans="1:29" x14ac:dyDescent="0.25">
      <c r="A380" t="str">
        <f>$A$154</f>
        <v xml:space="preserve">    CGI Inc</v>
      </c>
      <c r="B380" t="str">
        <f>$B$154</f>
        <v>GIB US Equity</v>
      </c>
      <c r="C380" t="str">
        <f>$C$154</f>
        <v>RR037</v>
      </c>
      <c r="D380" t="str">
        <f>$D$154</f>
        <v>EFF_TAX_RATE</v>
      </c>
      <c r="E380" t="str">
        <f>$E$154</f>
        <v>Dynamic</v>
      </c>
      <c r="F380" t="e">
        <f ca="1">_xll.BDH($B$154,$C$154,$B$236,$B$237,CONCATENATE("Per=",$B$234),"Dts=H","Dir=H",CONCATENATE("Points=",$B$235),"Sort=R","Days=A","Fill=B",CONCATENATE("FX=", $B$233),"cols=12;rows=1")</f>
        <v>#NAME?</v>
      </c>
      <c r="G380">
        <v>23.3948</v>
      </c>
      <c r="H380">
        <v>26.9908</v>
      </c>
      <c r="I380">
        <v>26.436699999999998</v>
      </c>
      <c r="J380">
        <v>26.4192</v>
      </c>
      <c r="K380">
        <v>23.959900000000001</v>
      </c>
      <c r="L380">
        <v>27.3735</v>
      </c>
      <c r="M380">
        <v>49.974899999999998</v>
      </c>
      <c r="N380">
        <v>18.5365</v>
      </c>
      <c r="O380">
        <v>24.0656</v>
      </c>
      <c r="P380">
        <v>28.387499999999999</v>
      </c>
      <c r="Q380">
        <v>24.447900000000001</v>
      </c>
      <c r="R380" t="str">
        <f>""</f>
        <v/>
      </c>
      <c r="S380" t="str">
        <f>""</f>
        <v/>
      </c>
      <c r="T380" t="str">
        <f>""</f>
        <v/>
      </c>
      <c r="U380" t="str">
        <f>""</f>
        <v/>
      </c>
      <c r="V380" t="str">
        <f>""</f>
        <v/>
      </c>
      <c r="W380" t="str">
        <f>""</f>
        <v/>
      </c>
      <c r="X380" t="str">
        <f>""</f>
        <v/>
      </c>
      <c r="Y380" t="str">
        <f>""</f>
        <v/>
      </c>
      <c r="Z380" t="str">
        <f>""</f>
        <v/>
      </c>
      <c r="AA380" t="str">
        <f>""</f>
        <v/>
      </c>
      <c r="AB380" t="str">
        <f>""</f>
        <v/>
      </c>
      <c r="AC380" t="str">
        <f>""</f>
        <v/>
      </c>
    </row>
    <row r="381" spans="1:29" x14ac:dyDescent="0.25">
      <c r="A381" t="str">
        <f>$A$155</f>
        <v xml:space="preserve">    Cognizant Technology Solutions Corp</v>
      </c>
      <c r="B381" t="str">
        <f>$B$155</f>
        <v>CTSH US Equity</v>
      </c>
      <c r="C381" t="str">
        <f>$C$155</f>
        <v>RR037</v>
      </c>
      <c r="D381" t="str">
        <f>$D$155</f>
        <v>EFF_TAX_RATE</v>
      </c>
      <c r="E381" t="str">
        <f>$E$155</f>
        <v>Dynamic</v>
      </c>
      <c r="F381" t="e">
        <f ca="1">_xll.BDH($B$155,$C$155,$B$236,$B$237,CONCATENATE("Per=",$B$234),"Dts=H","Dir=H",CONCATENATE("Points=",$B$235),"Sort=R","Days=A","Fill=B",CONCATENATE("FX=", $B$233),"cols=12;rows=1")</f>
        <v>#NAME?</v>
      </c>
      <c r="G381">
        <v>24.955300000000001</v>
      </c>
      <c r="H381">
        <v>43.427500000000002</v>
      </c>
      <c r="I381">
        <v>34.153599999999997</v>
      </c>
      <c r="J381">
        <v>24.953800000000001</v>
      </c>
      <c r="K381">
        <v>25.192299999999999</v>
      </c>
      <c r="L381">
        <v>27.2134</v>
      </c>
      <c r="M381">
        <v>24.238499999999998</v>
      </c>
      <c r="N381">
        <v>24.4221</v>
      </c>
      <c r="O381">
        <v>16.508500000000002</v>
      </c>
      <c r="P381">
        <v>16.011900000000001</v>
      </c>
      <c r="Q381">
        <v>16.3749</v>
      </c>
      <c r="R381" t="str">
        <f>""</f>
        <v/>
      </c>
      <c r="S381" t="str">
        <f>""</f>
        <v/>
      </c>
      <c r="T381" t="str">
        <f>""</f>
        <v/>
      </c>
      <c r="U381" t="str">
        <f>""</f>
        <v/>
      </c>
      <c r="V381" t="str">
        <f>""</f>
        <v/>
      </c>
      <c r="W381" t="str">
        <f>""</f>
        <v/>
      </c>
      <c r="X381" t="str">
        <f>""</f>
        <v/>
      </c>
      <c r="Y381" t="str">
        <f>""</f>
        <v/>
      </c>
      <c r="Z381" t="str">
        <f>""</f>
        <v/>
      </c>
      <c r="AA381" t="str">
        <f>""</f>
        <v/>
      </c>
      <c r="AB381" t="str">
        <f>""</f>
        <v/>
      </c>
      <c r="AC381" t="str">
        <f>""</f>
        <v/>
      </c>
    </row>
    <row r="382" spans="1:29" x14ac:dyDescent="0.25">
      <c r="A382" t="str">
        <f>$A$156</f>
        <v xml:space="preserve">    Conduent Inc</v>
      </c>
      <c r="B382" t="str">
        <f>$B$156</f>
        <v>CNDT US Equity</v>
      </c>
      <c r="C382" t="str">
        <f>$C$156</f>
        <v>RR037</v>
      </c>
      <c r="D382" t="str">
        <f>$D$156</f>
        <v>EFF_TAX_RATE</v>
      </c>
      <c r="E382" t="str">
        <f>$E$156</f>
        <v>Dynamic</v>
      </c>
      <c r="F382" t="e">
        <f ca="1">_xll.BDH($B$156,$C$156,$B$236,$B$237,CONCATENATE("Per=",$B$234),"Dts=H","Dir=H",CONCATENATE("Points=",$B$235),"Sort=R","Days=A","Fill=B",CONCATENATE("FX=", $B$233),"cols=12;rows=1")</f>
        <v>#NAME?</v>
      </c>
      <c r="L382">
        <v>34.782600000000002</v>
      </c>
      <c r="R382" t="str">
        <f>""</f>
        <v/>
      </c>
      <c r="S382" t="str">
        <f>""</f>
        <v/>
      </c>
      <c r="T382" t="str">
        <f>""</f>
        <v/>
      </c>
      <c r="U382" t="str">
        <f>""</f>
        <v/>
      </c>
      <c r="V382" t="str">
        <f>""</f>
        <v/>
      </c>
      <c r="W382" t="str">
        <f>""</f>
        <v/>
      </c>
      <c r="X382" t="str">
        <f>""</f>
        <v/>
      </c>
      <c r="Y382" t="str">
        <f>""</f>
        <v/>
      </c>
      <c r="Z382" t="str">
        <f>""</f>
        <v/>
      </c>
      <c r="AA382" t="str">
        <f>""</f>
        <v/>
      </c>
      <c r="AB382" t="str">
        <f>""</f>
        <v/>
      </c>
      <c r="AC382" t="str">
        <f>""</f>
        <v/>
      </c>
    </row>
    <row r="383" spans="1:29" x14ac:dyDescent="0.25">
      <c r="A383" t="str">
        <f>$A$157</f>
        <v xml:space="preserve">    DXC Technology Co</v>
      </c>
      <c r="B383" t="str">
        <f>$B$157</f>
        <v>DXC US Equity</v>
      </c>
      <c r="C383" t="str">
        <f>$C$157</f>
        <v>RR037</v>
      </c>
      <c r="D383" t="str">
        <f>$D$157</f>
        <v>EFF_TAX_RATE</v>
      </c>
      <c r="E383" t="str">
        <f>$E$157</f>
        <v>Dynamic</v>
      </c>
      <c r="F383" t="e">
        <f ca="1">_xll.BDH($B$157,$C$157,$B$236,$B$237,CONCATENATE("Per=",$B$234),"Dts=H","Dir=H",CONCATENATE("Points=",$B$235),"Sort=R","Days=A","Fill=B",CONCATENATE("FX=", $B$233),"cols=12;rows=1")</f>
        <v>#NAME?</v>
      </c>
      <c r="G383">
        <v>19.009899999999998</v>
      </c>
      <c r="R383" t="str">
        <f>""</f>
        <v/>
      </c>
      <c r="S383" t="str">
        <f>""</f>
        <v/>
      </c>
      <c r="T383" t="str">
        <f>""</f>
        <v/>
      </c>
      <c r="U383" t="str">
        <f>""</f>
        <v/>
      </c>
      <c r="V383" t="str">
        <f>""</f>
        <v/>
      </c>
      <c r="W383" t="str">
        <f>""</f>
        <v/>
      </c>
      <c r="X383" t="str">
        <f>""</f>
        <v/>
      </c>
      <c r="Y383" t="str">
        <f>""</f>
        <v/>
      </c>
      <c r="Z383" t="str">
        <f>""</f>
        <v/>
      </c>
      <c r="AA383" t="str">
        <f>""</f>
        <v/>
      </c>
      <c r="AB383" t="str">
        <f>""</f>
        <v/>
      </c>
      <c r="AC383" t="str">
        <f>""</f>
        <v/>
      </c>
    </row>
    <row r="384" spans="1:29" x14ac:dyDescent="0.25">
      <c r="A384" t="str">
        <f>$A$158</f>
        <v xml:space="preserve">    EPAM Systems Inc</v>
      </c>
      <c r="B384" t="str">
        <f>$B$158</f>
        <v>EPAM US Equity</v>
      </c>
      <c r="C384" t="str">
        <f>$C$158</f>
        <v>RR037</v>
      </c>
      <c r="D384" t="str">
        <f>$D$158</f>
        <v>EFF_TAX_RATE</v>
      </c>
      <c r="E384" t="str">
        <f>$E$158</f>
        <v>Dynamic</v>
      </c>
      <c r="F384" t="e">
        <f ca="1">_xll.BDH($B$158,$C$158,$B$236,$B$237,CONCATENATE("Per=",$B$234),"Dts=H","Dir=H",CONCATENATE("Points=",$B$235),"Sort=R","Days=A","Fill=B",CONCATENATE("FX=", $B$233),"cols=12;rows=1")</f>
        <v>#NAME?</v>
      </c>
      <c r="G384">
        <v>3.8102999999999998</v>
      </c>
      <c r="H384">
        <v>58.257100000000001</v>
      </c>
      <c r="I384">
        <v>21.5078</v>
      </c>
      <c r="J384">
        <v>20.377099999999999</v>
      </c>
      <c r="K384">
        <v>19.909600000000001</v>
      </c>
      <c r="L384">
        <v>19.2471</v>
      </c>
      <c r="M384">
        <v>17.276800000000001</v>
      </c>
      <c r="N384">
        <v>15.9854</v>
      </c>
      <c r="O384">
        <v>8.9628999999999994</v>
      </c>
      <c r="P384">
        <v>6.1012000000000004</v>
      </c>
      <c r="Q384">
        <v>47.748699999999999</v>
      </c>
      <c r="R384" t="str">
        <f>""</f>
        <v/>
      </c>
      <c r="S384" t="str">
        <f>""</f>
        <v/>
      </c>
      <c r="T384" t="str">
        <f>""</f>
        <v/>
      </c>
      <c r="U384" t="str">
        <f>""</f>
        <v/>
      </c>
      <c r="V384" t="str">
        <f>""</f>
        <v/>
      </c>
      <c r="W384" t="str">
        <f>""</f>
        <v/>
      </c>
      <c r="X384" t="str">
        <f>""</f>
        <v/>
      </c>
      <c r="Y384" t="str">
        <f>""</f>
        <v/>
      </c>
      <c r="Z384" t="str">
        <f>""</f>
        <v/>
      </c>
      <c r="AA384" t="str">
        <f>""</f>
        <v/>
      </c>
      <c r="AB384" t="str">
        <f>""</f>
        <v/>
      </c>
      <c r="AC384" t="str">
        <f>""</f>
        <v/>
      </c>
    </row>
    <row r="385" spans="1:29" x14ac:dyDescent="0.25">
      <c r="A385" t="str">
        <f>$A$159</f>
        <v xml:space="preserve">    Genpact Ltd</v>
      </c>
      <c r="B385" t="str">
        <f>$B$159</f>
        <v>G US Equity</v>
      </c>
      <c r="C385" t="str">
        <f>$C$159</f>
        <v>RR037</v>
      </c>
      <c r="D385" t="str">
        <f>$D$159</f>
        <v>EFF_TAX_RATE</v>
      </c>
      <c r="E385" t="str">
        <f>$E$159</f>
        <v>Dynamic</v>
      </c>
      <c r="F385" t="e">
        <f ca="1">_xll.BDH($B$159,$C$159,$B$236,$B$237,CONCATENATE("Per=",$B$234),"Dts=H","Dir=H",CONCATENATE("Points=",$B$235),"Sort=R","Days=A","Fill=B",CONCATENATE("FX=", $B$233),"cols=12;rows=1")</f>
        <v>#NAME?</v>
      </c>
      <c r="G385">
        <v>22.308900000000001</v>
      </c>
      <c r="H385">
        <v>18.635400000000001</v>
      </c>
      <c r="I385">
        <v>18.837800000000001</v>
      </c>
      <c r="J385">
        <v>20.525700000000001</v>
      </c>
      <c r="K385">
        <v>23.005299999999998</v>
      </c>
      <c r="L385">
        <v>23.223800000000001</v>
      </c>
      <c r="M385">
        <v>29.816099999999999</v>
      </c>
      <c r="N385">
        <v>26.9956</v>
      </c>
      <c r="O385">
        <v>18.6663</v>
      </c>
      <c r="P385">
        <v>15.8742</v>
      </c>
      <c r="Q385">
        <v>6.1516999999999999</v>
      </c>
      <c r="R385" t="str">
        <f>""</f>
        <v/>
      </c>
      <c r="S385" t="str">
        <f>""</f>
        <v/>
      </c>
      <c r="T385" t="str">
        <f>""</f>
        <v/>
      </c>
      <c r="U385" t="str">
        <f>""</f>
        <v/>
      </c>
      <c r="V385" t="str">
        <f>""</f>
        <v/>
      </c>
      <c r="W385" t="str">
        <f>""</f>
        <v/>
      </c>
      <c r="X385" t="str">
        <f>""</f>
        <v/>
      </c>
      <c r="Y385" t="str">
        <f>""</f>
        <v/>
      </c>
      <c r="Z385" t="str">
        <f>""</f>
        <v/>
      </c>
      <c r="AA385" t="str">
        <f>""</f>
        <v/>
      </c>
      <c r="AB385" t="str">
        <f>""</f>
        <v/>
      </c>
      <c r="AC385" t="str">
        <f>""</f>
        <v/>
      </c>
    </row>
    <row r="386" spans="1:29" x14ac:dyDescent="0.25">
      <c r="A386" t="str">
        <f>$A$160</f>
        <v xml:space="preserve">    HCL Technologies Ltd</v>
      </c>
      <c r="B386" t="str">
        <f>$B$160</f>
        <v>HCLT IN Equity</v>
      </c>
      <c r="C386" t="str">
        <f>$C$160</f>
        <v>RR037</v>
      </c>
      <c r="D386" t="str">
        <f>$D$160</f>
        <v>EFF_TAX_RATE</v>
      </c>
      <c r="E386" t="str">
        <f>$E$160</f>
        <v>Dynamic</v>
      </c>
      <c r="F386" t="e">
        <f ca="1">_xll.BDH($B$160,$C$160,$B$236,$B$237,CONCATENATE("Per=",$B$234),"Dts=H","Dir=H",CONCATENATE("Points=",$B$235),"Sort=R","Days=A","Fill=B",CONCATENATE("FX=", $B$233),"cols=12;rows=1")</f>
        <v>#NAME?</v>
      </c>
      <c r="G386">
        <v>19.737100000000002</v>
      </c>
      <c r="H386">
        <v>20.881699999999999</v>
      </c>
      <c r="I386">
        <v>18.366</v>
      </c>
      <c r="J386">
        <v>20.399999999999999</v>
      </c>
      <c r="L386">
        <v>19.556999999999999</v>
      </c>
      <c r="M386">
        <v>23.251100000000001</v>
      </c>
      <c r="N386">
        <v>24.385300000000001</v>
      </c>
      <c r="O386">
        <v>22.878399999999999</v>
      </c>
      <c r="P386">
        <v>14.495100000000001</v>
      </c>
      <c r="Q386">
        <v>17.729299999999999</v>
      </c>
      <c r="R386" t="str">
        <f>""</f>
        <v/>
      </c>
      <c r="S386" t="str">
        <f>""</f>
        <v/>
      </c>
      <c r="T386" t="str">
        <f>""</f>
        <v/>
      </c>
      <c r="U386" t="str">
        <f>""</f>
        <v/>
      </c>
      <c r="V386" t="str">
        <f>""</f>
        <v/>
      </c>
      <c r="W386" t="str">
        <f>""</f>
        <v/>
      </c>
      <c r="X386" t="str">
        <f>""</f>
        <v/>
      </c>
      <c r="Y386" t="str">
        <f>""</f>
        <v/>
      </c>
      <c r="Z386" t="str">
        <f>""</f>
        <v/>
      </c>
      <c r="AA386" t="str">
        <f>""</f>
        <v/>
      </c>
      <c r="AB386" t="str">
        <f>""</f>
        <v/>
      </c>
      <c r="AC386" t="str">
        <f>""</f>
        <v/>
      </c>
    </row>
    <row r="387" spans="1:29" x14ac:dyDescent="0.25">
      <c r="A387" t="str">
        <f>$A$161</f>
        <v xml:space="preserve">    Indra Sistemas SA</v>
      </c>
      <c r="B387" t="str">
        <f>$B$161</f>
        <v>IDR SM Equity</v>
      </c>
      <c r="C387" t="str">
        <f>$C$161</f>
        <v>RR037</v>
      </c>
      <c r="D387" t="str">
        <f>$D$161</f>
        <v>EFF_TAX_RATE</v>
      </c>
      <c r="E387" t="str">
        <f>$E$161</f>
        <v>Dynamic</v>
      </c>
      <c r="F387" t="e">
        <f ca="1">_xll.BDH($B$161,$C$161,$B$236,$B$237,CONCATENATE("Per=",$B$234),"Dts=H","Dir=H",CONCATENATE("Points=",$B$235),"Sort=R","Days=A","Fill=B",CONCATENATE("FX=", $B$233),"cols=12;rows=1")</f>
        <v>#NAME?</v>
      </c>
      <c r="G387">
        <v>25.4192</v>
      </c>
      <c r="H387">
        <v>20.731300000000001</v>
      </c>
      <c r="I387">
        <v>43.188699999999997</v>
      </c>
      <c r="L387">
        <v>20.434200000000001</v>
      </c>
      <c r="M387">
        <v>21.878599999999999</v>
      </c>
      <c r="N387">
        <v>22.3874</v>
      </c>
      <c r="O387">
        <v>19.5608</v>
      </c>
      <c r="P387">
        <v>24.063800000000001</v>
      </c>
      <c r="Q387">
        <v>25.881599999999999</v>
      </c>
      <c r="R387" t="str">
        <f>""</f>
        <v/>
      </c>
      <c r="S387" t="str">
        <f>""</f>
        <v/>
      </c>
      <c r="T387" t="str">
        <f>""</f>
        <v/>
      </c>
      <c r="U387" t="str">
        <f>""</f>
        <v/>
      </c>
      <c r="V387" t="str">
        <f>""</f>
        <v/>
      </c>
      <c r="W387" t="str">
        <f>""</f>
        <v/>
      </c>
      <c r="X387" t="str">
        <f>""</f>
        <v/>
      </c>
      <c r="Y387" t="str">
        <f>""</f>
        <v/>
      </c>
      <c r="Z387" t="str">
        <f>""</f>
        <v/>
      </c>
      <c r="AA387" t="str">
        <f>""</f>
        <v/>
      </c>
      <c r="AB387" t="str">
        <f>""</f>
        <v/>
      </c>
      <c r="AC387" t="str">
        <f>""</f>
        <v/>
      </c>
    </row>
    <row r="388" spans="1:29" x14ac:dyDescent="0.25">
      <c r="A388" t="str">
        <f>$A$162</f>
        <v xml:space="preserve">    Infosys Ltd</v>
      </c>
      <c r="B388" t="str">
        <f>$B$162</f>
        <v>INFY US Equity</v>
      </c>
      <c r="C388" t="str">
        <f>$C$162</f>
        <v>RR037</v>
      </c>
      <c r="D388" t="str">
        <f>$D$162</f>
        <v>EFF_TAX_RATE</v>
      </c>
      <c r="E388" t="str">
        <f>$E$162</f>
        <v>Dynamic</v>
      </c>
      <c r="F388" t="e">
        <f ca="1">_xll.BDH($B$162,$C$162,$B$236,$B$237,CONCATENATE("Per=",$B$234),"Dts=H","Dir=H",CONCATENATE("Points=",$B$235),"Sort=R","Days=A","Fill=B",CONCATENATE("FX=", $B$233),"cols=12;rows=1")</f>
        <v>#NAME?</v>
      </c>
      <c r="G388">
        <v>26.762</v>
      </c>
      <c r="H388">
        <v>20.922499999999999</v>
      </c>
      <c r="I388">
        <v>28.058700000000002</v>
      </c>
      <c r="J388">
        <v>28.020299999999999</v>
      </c>
      <c r="K388">
        <v>28.560700000000001</v>
      </c>
      <c r="L388">
        <v>27.613900000000001</v>
      </c>
      <c r="M388">
        <v>26.3294</v>
      </c>
      <c r="N388">
        <v>28.819700000000001</v>
      </c>
      <c r="O388">
        <v>26.702400000000001</v>
      </c>
      <c r="P388">
        <v>21.278500000000001</v>
      </c>
      <c r="Q388">
        <v>13.305300000000001</v>
      </c>
      <c r="R388" t="str">
        <f>""</f>
        <v/>
      </c>
      <c r="S388" t="str">
        <f>""</f>
        <v/>
      </c>
      <c r="T388" t="str">
        <f>""</f>
        <v/>
      </c>
      <c r="U388" t="str">
        <f>""</f>
        <v/>
      </c>
      <c r="V388" t="str">
        <f>""</f>
        <v/>
      </c>
      <c r="W388" t="str">
        <f>""</f>
        <v/>
      </c>
      <c r="X388" t="str">
        <f>""</f>
        <v/>
      </c>
      <c r="Y388" t="str">
        <f>""</f>
        <v/>
      </c>
      <c r="Z388" t="str">
        <f>""</f>
        <v/>
      </c>
      <c r="AA388" t="str">
        <f>""</f>
        <v/>
      </c>
      <c r="AB388" t="str">
        <f>""</f>
        <v/>
      </c>
      <c r="AC388" t="str">
        <f>""</f>
        <v/>
      </c>
    </row>
    <row r="389" spans="1:29" x14ac:dyDescent="0.25">
      <c r="A389" t="str">
        <f>$A$163</f>
        <v xml:space="preserve">    International Business Machines Corp</v>
      </c>
      <c r="B389" t="str">
        <f>$B$163</f>
        <v>IBM US Equity</v>
      </c>
      <c r="C389" t="str">
        <f>$C$163</f>
        <v>RR037</v>
      </c>
      <c r="D389" t="str">
        <f>$D$163</f>
        <v>EFF_TAX_RATE</v>
      </c>
      <c r="E389" t="str">
        <f>$E$163</f>
        <v>Dynamic</v>
      </c>
      <c r="F389" t="e">
        <f ca="1">_xll.BDH($B$163,$C$163,$B$236,$B$237,CONCATENATE("Per=",$B$234),"Dts=H","Dir=H",CONCATENATE("Points=",$B$235),"Sort=R","Days=A","Fill=B",CONCATENATE("FX=", $B$233),"cols=12;rows=1")</f>
        <v>#NAME?</v>
      </c>
      <c r="G389">
        <v>23.091200000000001</v>
      </c>
      <c r="H389">
        <v>49.491199999999999</v>
      </c>
      <c r="I389">
        <v>3.6414999999999997</v>
      </c>
      <c r="J389">
        <v>16.186900000000001</v>
      </c>
      <c r="K389">
        <v>21.184799999999999</v>
      </c>
      <c r="L389">
        <v>16.6082</v>
      </c>
      <c r="M389">
        <v>24.582999999999998</v>
      </c>
      <c r="N389">
        <v>24.5108</v>
      </c>
      <c r="O389">
        <v>24.793399999999998</v>
      </c>
      <c r="P389">
        <v>25.984100000000002</v>
      </c>
      <c r="Q389">
        <v>26.21</v>
      </c>
      <c r="R389" t="str">
        <f>""</f>
        <v/>
      </c>
      <c r="S389" t="str">
        <f>""</f>
        <v/>
      </c>
      <c r="T389" t="str">
        <f>""</f>
        <v/>
      </c>
      <c r="U389" t="str">
        <f>""</f>
        <v/>
      </c>
      <c r="V389" t="str">
        <f>""</f>
        <v/>
      </c>
      <c r="W389" t="str">
        <f>""</f>
        <v/>
      </c>
      <c r="X389" t="str">
        <f>""</f>
        <v/>
      </c>
      <c r="Y389" t="str">
        <f>""</f>
        <v/>
      </c>
      <c r="Z389" t="str">
        <f>""</f>
        <v/>
      </c>
      <c r="AA389" t="str">
        <f>""</f>
        <v/>
      </c>
      <c r="AB389" t="str">
        <f>""</f>
        <v/>
      </c>
      <c r="AC389" t="str">
        <f>""</f>
        <v/>
      </c>
    </row>
    <row r="390" spans="1:29" x14ac:dyDescent="0.25">
      <c r="A390" t="str">
        <f>$A$164</f>
        <v xml:space="preserve">    Tata Consultancy Services Ltd</v>
      </c>
      <c r="B390" t="str">
        <f>$B$164</f>
        <v>TCS IN Equity</v>
      </c>
      <c r="C390" t="str">
        <f>$C$164</f>
        <v>RR037</v>
      </c>
      <c r="D390" t="str">
        <f>$D$164</f>
        <v>EFF_TAX_RATE</v>
      </c>
      <c r="E390" t="str">
        <f>$E$164</f>
        <v>Dynamic</v>
      </c>
      <c r="F390" t="e">
        <f ca="1">_xll.BDH($B$164,$C$164,$B$236,$B$237,CONCATENATE("Per=",$B$234),"Dts=H","Dir=H",CONCATENATE("Points=",$B$235),"Sort=R","Days=A","Fill=B",CONCATENATE("FX=", $B$233),"cols=12;rows=1")</f>
        <v>#NAME?</v>
      </c>
      <c r="G390">
        <v>24.0623</v>
      </c>
      <c r="H390">
        <v>24.087800000000001</v>
      </c>
      <c r="I390">
        <v>23.631699999999999</v>
      </c>
      <c r="J390">
        <v>23.564</v>
      </c>
      <c r="K390">
        <v>23.453600000000002</v>
      </c>
      <c r="L390">
        <v>23.9054</v>
      </c>
      <c r="M390">
        <v>22.189599999999999</v>
      </c>
      <c r="N390">
        <v>24.418500000000002</v>
      </c>
      <c r="O390">
        <v>16.6128</v>
      </c>
      <c r="P390">
        <v>14.439399999999999</v>
      </c>
      <c r="Q390">
        <v>13.641299999999999</v>
      </c>
      <c r="R390" t="str">
        <f>""</f>
        <v/>
      </c>
      <c r="S390" t="str">
        <f>""</f>
        <v/>
      </c>
      <c r="T390" t="str">
        <f>""</f>
        <v/>
      </c>
      <c r="U390" t="str">
        <f>""</f>
        <v/>
      </c>
      <c r="V390" t="str">
        <f>""</f>
        <v/>
      </c>
      <c r="W390" t="str">
        <f>""</f>
        <v/>
      </c>
      <c r="X390" t="str">
        <f>""</f>
        <v/>
      </c>
      <c r="Y390" t="str">
        <f>""</f>
        <v/>
      </c>
      <c r="Z390" t="str">
        <f>""</f>
        <v/>
      </c>
      <c r="AA390" t="str">
        <f>""</f>
        <v/>
      </c>
      <c r="AB390" t="str">
        <f>""</f>
        <v/>
      </c>
      <c r="AC390" t="str">
        <f>""</f>
        <v/>
      </c>
    </row>
    <row r="391" spans="1:29" x14ac:dyDescent="0.25">
      <c r="A391" t="str">
        <f>$A$165</f>
        <v xml:space="preserve">    Tech Mahindra Ltd</v>
      </c>
      <c r="B391" t="str">
        <f>$B$165</f>
        <v>TECHM IN Equity</v>
      </c>
      <c r="C391" t="str">
        <f>$C$165</f>
        <v>RR037</v>
      </c>
      <c r="D391" t="str">
        <f>$D$165</f>
        <v>EFF_TAX_RATE</v>
      </c>
      <c r="E391" t="str">
        <f>$E$165</f>
        <v>Dynamic</v>
      </c>
      <c r="F391" t="e">
        <f ca="1">_xll.BDH($B$165,$C$165,$B$236,$B$237,CONCATENATE("Per=",$B$234),"Dts=H","Dir=H",CONCATENATE("Points=",$B$235),"Sort=R","Days=A","Fill=B",CONCATENATE("FX=", $B$233),"cols=12;rows=1")</f>
        <v>#NAME?</v>
      </c>
      <c r="G391">
        <v>22.6295</v>
      </c>
      <c r="H391">
        <v>22.3949</v>
      </c>
      <c r="I391">
        <v>26.008299999999998</v>
      </c>
      <c r="J391">
        <v>21.523599999999998</v>
      </c>
      <c r="K391">
        <v>26.519400000000001</v>
      </c>
      <c r="L391">
        <v>19.7211</v>
      </c>
      <c r="M391">
        <v>22.503599999999999</v>
      </c>
      <c r="N391">
        <v>20.953600000000002</v>
      </c>
      <c r="O391">
        <v>14.998900000000001</v>
      </c>
      <c r="P391">
        <v>16.997199999999999</v>
      </c>
      <c r="Q391">
        <v>10.410600000000001</v>
      </c>
      <c r="R391" t="str">
        <f>""</f>
        <v/>
      </c>
      <c r="S391" t="str">
        <f>""</f>
        <v/>
      </c>
      <c r="T391" t="str">
        <f>""</f>
        <v/>
      </c>
      <c r="U391" t="str">
        <f>""</f>
        <v/>
      </c>
      <c r="V391" t="str">
        <f>""</f>
        <v/>
      </c>
      <c r="W391" t="str">
        <f>""</f>
        <v/>
      </c>
      <c r="X391" t="str">
        <f>""</f>
        <v/>
      </c>
      <c r="Y391" t="str">
        <f>""</f>
        <v/>
      </c>
      <c r="Z391" t="str">
        <f>""</f>
        <v/>
      </c>
      <c r="AA391" t="str">
        <f>""</f>
        <v/>
      </c>
      <c r="AB391" t="str">
        <f>""</f>
        <v/>
      </c>
      <c r="AC391" t="str">
        <f>""</f>
        <v/>
      </c>
    </row>
    <row r="392" spans="1:29" x14ac:dyDescent="0.25">
      <c r="A392" t="str">
        <f>$A$166</f>
        <v xml:space="preserve">    Wipro Ltd</v>
      </c>
      <c r="B392" t="str">
        <f>$B$166</f>
        <v>WIT US Equity</v>
      </c>
      <c r="C392" t="str">
        <f>$C$166</f>
        <v>RR037</v>
      </c>
      <c r="D392" t="str">
        <f>$D$166</f>
        <v>EFF_TAX_RATE</v>
      </c>
      <c r="E392" t="str">
        <f>$E$166</f>
        <v>Dynamic</v>
      </c>
      <c r="F392" t="e">
        <f ca="1">_xll.BDH($B$166,$C$166,$B$236,$B$237,CONCATENATE("Per=",$B$234),"Dts=H","Dir=H",CONCATENATE("Points=",$B$235),"Sort=R","Days=A","Fill=B",CONCATENATE("FX=", $B$233),"cols=12;rows=1")</f>
        <v>#NAME?</v>
      </c>
      <c r="G392">
        <v>21.8706</v>
      </c>
      <c r="H392">
        <v>21.849399999999999</v>
      </c>
      <c r="I392">
        <v>22.847000000000001</v>
      </c>
      <c r="J392">
        <v>22.0702</v>
      </c>
      <c r="K392">
        <v>22.048100000000002</v>
      </c>
      <c r="L392">
        <v>22.3751</v>
      </c>
      <c r="M392">
        <v>21.517600000000002</v>
      </c>
      <c r="N392">
        <v>19.7319</v>
      </c>
      <c r="O392">
        <v>15.410500000000001</v>
      </c>
      <c r="P392">
        <v>16.6313</v>
      </c>
      <c r="Q392">
        <v>14.2933</v>
      </c>
      <c r="R392" t="str">
        <f>""</f>
        <v/>
      </c>
      <c r="S392" t="str">
        <f>""</f>
        <v/>
      </c>
      <c r="T392" t="str">
        <f>""</f>
        <v/>
      </c>
      <c r="U392" t="str">
        <f>""</f>
        <v/>
      </c>
      <c r="V392" t="str">
        <f>""</f>
        <v/>
      </c>
      <c r="W392" t="str">
        <f>""</f>
        <v/>
      </c>
      <c r="X392" t="str">
        <f>""</f>
        <v/>
      </c>
      <c r="Y392" t="str">
        <f>""</f>
        <v/>
      </c>
      <c r="Z392" t="str">
        <f>""</f>
        <v/>
      </c>
      <c r="AA392" t="str">
        <f>""</f>
        <v/>
      </c>
      <c r="AB392" t="str">
        <f>""</f>
        <v/>
      </c>
      <c r="AC392" t="str">
        <f>""</f>
        <v/>
      </c>
    </row>
    <row r="393" spans="1:29" x14ac:dyDescent="0.25">
      <c r="A393" t="str">
        <f>$A$169</f>
        <v xml:space="preserve">    Accenture PLC</v>
      </c>
      <c r="B393" t="str">
        <f>$B$169</f>
        <v>ACN US Equity</v>
      </c>
      <c r="C393" t="str">
        <f>$C$169</f>
        <v>RR028</v>
      </c>
      <c r="D393" t="str">
        <f>$D$169</f>
        <v>RETURN_ON_ASSET</v>
      </c>
      <c r="E393" t="str">
        <f>$E$169</f>
        <v>Dynamic</v>
      </c>
      <c r="F393" t="e">
        <f ca="1">_xll.BDH($B$169,$C$169,$B$236,$B$237,CONCATENATE("Per=",$B$234),"Dts=H","Dir=H",CONCATENATE("Points=",$B$235),"Sort=R","Days=A","Fill=B",CONCATENATE("FX=", $B$233),"cols=12;rows=1")</f>
        <v>#NAME?</v>
      </c>
      <c r="G393">
        <v>17.225300000000001</v>
      </c>
      <c r="H393">
        <v>15.9133</v>
      </c>
      <c r="I393">
        <v>21.189</v>
      </c>
      <c r="J393">
        <v>16.901800000000001</v>
      </c>
      <c r="K393">
        <v>16.906400000000001</v>
      </c>
      <c r="L393">
        <v>19.574300000000001</v>
      </c>
      <c r="M393">
        <v>15.7639</v>
      </c>
      <c r="N393">
        <v>15.946300000000001</v>
      </c>
      <c r="O393">
        <v>14.1936</v>
      </c>
      <c r="P393">
        <v>12.898099999999999</v>
      </c>
      <c r="Q393">
        <v>14.6183</v>
      </c>
      <c r="R393" t="str">
        <f>""</f>
        <v/>
      </c>
      <c r="S393" t="str">
        <f>""</f>
        <v/>
      </c>
      <c r="T393" t="str">
        <f>""</f>
        <v/>
      </c>
      <c r="U393" t="str">
        <f>""</f>
        <v/>
      </c>
      <c r="V393" t="str">
        <f>""</f>
        <v/>
      </c>
      <c r="W393" t="str">
        <f>""</f>
        <v/>
      </c>
      <c r="X393" t="str">
        <f>""</f>
        <v/>
      </c>
      <c r="Y393" t="str">
        <f>""</f>
        <v/>
      </c>
      <c r="Z393" t="str">
        <f>""</f>
        <v/>
      </c>
      <c r="AA393" t="str">
        <f>""</f>
        <v/>
      </c>
      <c r="AB393" t="str">
        <f>""</f>
        <v/>
      </c>
      <c r="AC393" t="str">
        <f>""</f>
        <v/>
      </c>
    </row>
    <row r="394" spans="1:29" x14ac:dyDescent="0.25">
      <c r="A394" t="str">
        <f>$A$170</f>
        <v xml:space="preserve">    Amdocs Ltd</v>
      </c>
      <c r="B394" t="str">
        <f>$B$170</f>
        <v>DOX US Equity</v>
      </c>
      <c r="C394" t="str">
        <f>$C$170</f>
        <v>RR028</v>
      </c>
      <c r="D394" t="str">
        <f>$D$170</f>
        <v>RETURN_ON_ASSET</v>
      </c>
      <c r="E394" t="str">
        <f>$E$170</f>
        <v>Dynamic</v>
      </c>
      <c r="F394" t="e">
        <f ca="1">_xll.BDH($B$170,$C$170,$B$236,$B$237,CONCATENATE("Per=",$B$234),"Dts=H","Dir=H",CONCATENATE("Points=",$B$235),"Sort=R","Days=A","Fill=B",CONCATENATE("FX=", $B$233),"cols=12;rows=1")</f>
        <v>#NAME?</v>
      </c>
      <c r="G394">
        <v>6.6696</v>
      </c>
      <c r="H394">
        <v>8.2337000000000007</v>
      </c>
      <c r="I394">
        <v>7.6825999999999999</v>
      </c>
      <c r="J394">
        <v>8.4902999999999995</v>
      </c>
      <c r="K394">
        <v>8.3497000000000003</v>
      </c>
      <c r="L394">
        <v>8.6185000000000009</v>
      </c>
      <c r="M394">
        <v>8.4330999999999996</v>
      </c>
      <c r="N394">
        <v>7.3312999999999997</v>
      </c>
      <c r="O394">
        <v>7.5179</v>
      </c>
      <c r="P394">
        <v>7.3235999999999999</v>
      </c>
      <c r="Q394">
        <v>8.4914000000000005</v>
      </c>
      <c r="R394" t="str">
        <f>""</f>
        <v/>
      </c>
      <c r="S394" t="str">
        <f>""</f>
        <v/>
      </c>
      <c r="T394" t="str">
        <f>""</f>
        <v/>
      </c>
      <c r="U394" t="str">
        <f>""</f>
        <v/>
      </c>
      <c r="V394" t="str">
        <f>""</f>
        <v/>
      </c>
      <c r="W394" t="str">
        <f>""</f>
        <v/>
      </c>
      <c r="X394" t="str">
        <f>""</f>
        <v/>
      </c>
      <c r="Y394" t="str">
        <f>""</f>
        <v/>
      </c>
      <c r="Z394" t="str">
        <f>""</f>
        <v/>
      </c>
      <c r="AA394" t="str">
        <f>""</f>
        <v/>
      </c>
      <c r="AB394" t="str">
        <f>""</f>
        <v/>
      </c>
      <c r="AC394" t="str">
        <f>""</f>
        <v/>
      </c>
    </row>
    <row r="395" spans="1:29" x14ac:dyDescent="0.25">
      <c r="A395" t="str">
        <f>$A$171</f>
        <v xml:space="preserve">    Atos SE</v>
      </c>
      <c r="B395" t="str">
        <f>$B$171</f>
        <v>ATO FP Equity</v>
      </c>
      <c r="C395" t="str">
        <f>$C$171</f>
        <v>RR028</v>
      </c>
      <c r="D395" t="str">
        <f>$D$171</f>
        <v>RETURN_ON_ASSET</v>
      </c>
      <c r="E395" t="str">
        <f>$E$171</f>
        <v>Dynamic</v>
      </c>
      <c r="F395" t="e">
        <f ca="1">_xll.BDH($B$171,$C$171,$B$236,$B$237,CONCATENATE("Per=",$B$234),"Dts=H","Dir=H",CONCATENATE("Points=",$B$235),"Sort=R","Days=A","Fill=B",CONCATENATE("FX=", $B$233),"cols=12;rows=1")</f>
        <v>#NAME?</v>
      </c>
      <c r="G395">
        <v>3.5937999999999999</v>
      </c>
      <c r="H395">
        <v>4.4710000000000001</v>
      </c>
      <c r="I395">
        <v>4.8071000000000002</v>
      </c>
      <c r="J395">
        <v>4.1197999999999997</v>
      </c>
      <c r="K395">
        <v>3.2658</v>
      </c>
      <c r="L395">
        <v>3.5714999999999999</v>
      </c>
      <c r="M395">
        <v>3.0192000000000001</v>
      </c>
      <c r="N395">
        <v>3.0632000000000001</v>
      </c>
      <c r="O395">
        <v>2.5963000000000003</v>
      </c>
      <c r="P395">
        <v>8.9700000000000002E-2</v>
      </c>
      <c r="Q395">
        <v>0.48120000000000002</v>
      </c>
      <c r="R395" t="str">
        <f>""</f>
        <v/>
      </c>
      <c r="S395" t="str">
        <f>""</f>
        <v/>
      </c>
      <c r="T395" t="str">
        <f>""</f>
        <v/>
      </c>
      <c r="U395" t="str">
        <f>""</f>
        <v/>
      </c>
      <c r="V395" t="str">
        <f>""</f>
        <v/>
      </c>
      <c r="W395" t="str">
        <f>""</f>
        <v/>
      </c>
      <c r="X395" t="str">
        <f>""</f>
        <v/>
      </c>
      <c r="Y395" t="str">
        <f>""</f>
        <v/>
      </c>
      <c r="Z395" t="str">
        <f>""</f>
        <v/>
      </c>
      <c r="AA395" t="str">
        <f>""</f>
        <v/>
      </c>
      <c r="AB395" t="str">
        <f>""</f>
        <v/>
      </c>
      <c r="AC395" t="str">
        <f>""</f>
        <v/>
      </c>
    </row>
    <row r="396" spans="1:29" x14ac:dyDescent="0.25">
      <c r="A396" t="str">
        <f>$A$172</f>
        <v xml:space="preserve">    Capgemini SE</v>
      </c>
      <c r="B396" t="str">
        <f>$B$172</f>
        <v>CAP FP Equity</v>
      </c>
      <c r="C396" t="str">
        <f>$C$172</f>
        <v>RR028</v>
      </c>
      <c r="D396" t="str">
        <f>$D$172</f>
        <v>RETURN_ON_ASSET</v>
      </c>
      <c r="E396" t="str">
        <f>$E$172</f>
        <v>Dynamic</v>
      </c>
      <c r="F396" t="e">
        <f ca="1">_xll.BDH($B$172,$C$172,$B$236,$B$237,CONCATENATE("Per=",$B$234),"Dts=H","Dir=H",CONCATENATE("Points=",$B$235),"Sort=R","Days=A","Fill=B",CONCATENATE("FX=", $B$233),"cols=12;rows=1")</f>
        <v>#NAME?</v>
      </c>
      <c r="G396">
        <v>4.5003000000000002</v>
      </c>
      <c r="H396">
        <v>5.0613000000000001</v>
      </c>
      <c r="I396">
        <v>5.6292</v>
      </c>
      <c r="J396">
        <v>8.1090999999999998</v>
      </c>
      <c r="K396">
        <v>5.3616999999999999</v>
      </c>
      <c r="L396">
        <v>4.2435</v>
      </c>
      <c r="M396">
        <v>3.258</v>
      </c>
      <c r="N396">
        <v>3.8509000000000002</v>
      </c>
      <c r="O396">
        <v>2.9196</v>
      </c>
      <c r="P396">
        <v>1.9842</v>
      </c>
      <c r="Q396">
        <v>5.0514999999999999</v>
      </c>
      <c r="R396" t="str">
        <f>""</f>
        <v/>
      </c>
      <c r="S396" t="str">
        <f>""</f>
        <v/>
      </c>
      <c r="T396" t="str">
        <f>""</f>
        <v/>
      </c>
      <c r="U396" t="str">
        <f>""</f>
        <v/>
      </c>
      <c r="V396" t="str">
        <f>""</f>
        <v/>
      </c>
      <c r="W396" t="str">
        <f>""</f>
        <v/>
      </c>
      <c r="X396" t="str">
        <f>""</f>
        <v/>
      </c>
      <c r="Y396" t="str">
        <f>""</f>
        <v/>
      </c>
      <c r="Z396" t="str">
        <f>""</f>
        <v/>
      </c>
      <c r="AA396" t="str">
        <f>""</f>
        <v/>
      </c>
      <c r="AB396" t="str">
        <f>""</f>
        <v/>
      </c>
      <c r="AC396" t="str">
        <f>""</f>
        <v/>
      </c>
    </row>
    <row r="397" spans="1:29" x14ac:dyDescent="0.25">
      <c r="A397" t="str">
        <f>$A$173</f>
        <v xml:space="preserve">    CGI Inc</v>
      </c>
      <c r="B397" t="str">
        <f>$B$173</f>
        <v>GIB US Equity</v>
      </c>
      <c r="C397" t="str">
        <f>$C$173</f>
        <v>RR028</v>
      </c>
      <c r="D397" t="str">
        <f>$D$173</f>
        <v>RETURN_ON_ASSET</v>
      </c>
      <c r="E397" t="str">
        <f>$E$173</f>
        <v>Dynamic</v>
      </c>
      <c r="F397" t="e">
        <f ca="1">_xll.BDH($B$173,$C$173,$B$236,$B$237,CONCATENATE("Per=",$B$234),"Dts=H","Dir=H",CONCATENATE("Points=",$B$235),"Sort=R","Days=A","Fill=B",CONCATENATE("FX=", $B$233),"cols=12;rows=1")</f>
        <v>#NAME?</v>
      </c>
      <c r="G397">
        <v>9.7910000000000004</v>
      </c>
      <c r="H397">
        <v>8.9667999999999992</v>
      </c>
      <c r="I397">
        <v>9.1029999999999998</v>
      </c>
      <c r="J397">
        <v>8.4925999999999995</v>
      </c>
      <c r="K397">
        <v>7.7731000000000003</v>
      </c>
      <c r="L397">
        <v>4.2264999999999997</v>
      </c>
      <c r="M397">
        <v>1.714</v>
      </c>
      <c r="N397">
        <v>9.4583999999999993</v>
      </c>
      <c r="O397">
        <v>8.5196000000000005</v>
      </c>
      <c r="P397">
        <v>8.3495000000000008</v>
      </c>
      <c r="Q397">
        <v>8.1921999999999997</v>
      </c>
      <c r="R397" t="str">
        <f>""</f>
        <v/>
      </c>
      <c r="S397" t="str">
        <f>""</f>
        <v/>
      </c>
      <c r="T397" t="str">
        <f>""</f>
        <v/>
      </c>
      <c r="U397" t="str">
        <f>""</f>
        <v/>
      </c>
      <c r="V397" t="str">
        <f>""</f>
        <v/>
      </c>
      <c r="W397" t="str">
        <f>""</f>
        <v/>
      </c>
      <c r="X397" t="str">
        <f>""</f>
        <v/>
      </c>
      <c r="Y397" t="str">
        <f>""</f>
        <v/>
      </c>
      <c r="Z397" t="str">
        <f>""</f>
        <v/>
      </c>
      <c r="AA397" t="str">
        <f>""</f>
        <v/>
      </c>
      <c r="AB397" t="str">
        <f>""</f>
        <v/>
      </c>
      <c r="AC397" t="str">
        <f>""</f>
        <v/>
      </c>
    </row>
    <row r="398" spans="1:29" x14ac:dyDescent="0.25">
      <c r="A398" t="str">
        <f>$A$174</f>
        <v xml:space="preserve">    Cognizant Technology Solutions Corp</v>
      </c>
      <c r="B398" t="str">
        <f>$B$174</f>
        <v>CTSH US Equity</v>
      </c>
      <c r="C398" t="str">
        <f>$C$174</f>
        <v>RR028</v>
      </c>
      <c r="D398" t="str">
        <f>$D$174</f>
        <v>RETURN_ON_ASSET</v>
      </c>
      <c r="E398" t="str">
        <f>$E$174</f>
        <v>Dynamic</v>
      </c>
      <c r="F398" t="e">
        <f ca="1">_xll.BDH($B$174,$C$174,$B$236,$B$237,CONCATENATE("Per=",$B$234),"Dts=H","Dir=H",CONCATENATE("Points=",$B$235),"Sort=R","Days=A","Fill=B",CONCATENATE("FX=", $B$233),"cols=12;rows=1")</f>
        <v>#NAME?</v>
      </c>
      <c r="G398">
        <v>13.525600000000001</v>
      </c>
      <c r="H398">
        <v>10.202500000000001</v>
      </c>
      <c r="I398">
        <v>11.367699999999999</v>
      </c>
      <c r="J398">
        <v>13.2355</v>
      </c>
      <c r="K398">
        <v>14.676500000000001</v>
      </c>
      <c r="L398">
        <v>16.7652</v>
      </c>
      <c r="M398">
        <v>17.478100000000001</v>
      </c>
      <c r="N398">
        <v>17.513000000000002</v>
      </c>
      <c r="O398">
        <v>18.520700000000001</v>
      </c>
      <c r="P398">
        <v>18.7286</v>
      </c>
      <c r="Q398">
        <v>20.453800000000001</v>
      </c>
      <c r="R398" t="str">
        <f>""</f>
        <v/>
      </c>
      <c r="S398" t="str">
        <f>""</f>
        <v/>
      </c>
      <c r="T398" t="str">
        <f>""</f>
        <v/>
      </c>
      <c r="U398" t="str">
        <f>""</f>
        <v/>
      </c>
      <c r="V398" t="str">
        <f>""</f>
        <v/>
      </c>
      <c r="W398" t="str">
        <f>""</f>
        <v/>
      </c>
      <c r="X398" t="str">
        <f>""</f>
        <v/>
      </c>
      <c r="Y398" t="str">
        <f>""</f>
        <v/>
      </c>
      <c r="Z398" t="str">
        <f>""</f>
        <v/>
      </c>
      <c r="AA398" t="str">
        <f>""</f>
        <v/>
      </c>
      <c r="AB398" t="str">
        <f>""</f>
        <v/>
      </c>
      <c r="AC398" t="str">
        <f>""</f>
        <v/>
      </c>
    </row>
    <row r="399" spans="1:29" x14ac:dyDescent="0.25">
      <c r="A399" t="str">
        <f>$A$175</f>
        <v xml:space="preserve">    Conduent Inc</v>
      </c>
      <c r="B399" t="str">
        <f>$B$175</f>
        <v>CNDT US Equity</v>
      </c>
      <c r="C399" t="str">
        <f>$C$175</f>
        <v>RR028</v>
      </c>
      <c r="D399" t="str">
        <f>$D$175</f>
        <v>RETURN_ON_ASSET</v>
      </c>
      <c r="E399" t="str">
        <f>$E$175</f>
        <v>Dynamic</v>
      </c>
      <c r="F399" t="e">
        <f ca="1">_xll.BDH($B$175,$C$175,$B$236,$B$237,CONCATENATE("Per=",$B$234),"Dts=H","Dir=H",CONCATENATE("Points=",$B$235),"Sort=R","Days=A","Fill=B",CONCATENATE("FX=", $B$233),"cols=12;rows=1")</f>
        <v>#NAME?</v>
      </c>
      <c r="G399">
        <v>-5.8475999999999999</v>
      </c>
      <c r="H399">
        <v>2.3727</v>
      </c>
      <c r="I399">
        <v>-11.7254</v>
      </c>
      <c r="J399">
        <v>-4.1375000000000002</v>
      </c>
      <c r="M399">
        <v>1.5468</v>
      </c>
      <c r="R399" t="str">
        <f>""</f>
        <v/>
      </c>
      <c r="S399" t="str">
        <f>""</f>
        <v/>
      </c>
      <c r="T399" t="str">
        <f>""</f>
        <v/>
      </c>
      <c r="U399" t="str">
        <f>""</f>
        <v/>
      </c>
      <c r="V399" t="str">
        <f>""</f>
        <v/>
      </c>
      <c r="W399" t="str">
        <f>""</f>
        <v/>
      </c>
      <c r="X399" t="str">
        <f>""</f>
        <v/>
      </c>
      <c r="Y399" t="str">
        <f>""</f>
        <v/>
      </c>
      <c r="Z399" t="str">
        <f>""</f>
        <v/>
      </c>
      <c r="AA399" t="str">
        <f>""</f>
        <v/>
      </c>
      <c r="AB399" t="str">
        <f>""</f>
        <v/>
      </c>
      <c r="AC399" t="str">
        <f>""</f>
        <v/>
      </c>
    </row>
    <row r="400" spans="1:29" x14ac:dyDescent="0.25">
      <c r="A400" t="str">
        <f>$A$176</f>
        <v xml:space="preserve">    DXC Technology Co</v>
      </c>
      <c r="B400" t="str">
        <f>$B$176</f>
        <v>DXC US Equity</v>
      </c>
      <c r="C400" t="str">
        <f>$C$176</f>
        <v>RR028</v>
      </c>
      <c r="D400" t="str">
        <f>$D$176</f>
        <v>RETURN_ON_ASSET</v>
      </c>
      <c r="E400" t="str">
        <f>$E$176</f>
        <v>Dynamic</v>
      </c>
      <c r="F400" t="e">
        <f ca="1">_xll.BDH($B$176,$C$176,$B$236,$B$237,CONCATENATE("Per=",$B$234),"Dts=H","Dir=H",CONCATENATE("Points=",$B$235),"Sort=R","Days=A","Fill=B",CONCATENATE("FX=", $B$233),"cols=12;rows=1")</f>
        <v>#NAME?</v>
      </c>
      <c r="G400">
        <v>3.9594</v>
      </c>
      <c r="H400">
        <v>5.4950999999999999</v>
      </c>
      <c r="R400" t="str">
        <f>""</f>
        <v/>
      </c>
      <c r="S400" t="str">
        <f>""</f>
        <v/>
      </c>
      <c r="T400" t="str">
        <f>""</f>
        <v/>
      </c>
      <c r="U400" t="str">
        <f>""</f>
        <v/>
      </c>
      <c r="V400" t="str">
        <f>""</f>
        <v/>
      </c>
      <c r="W400" t="str">
        <f>""</f>
        <v/>
      </c>
      <c r="X400" t="str">
        <f>""</f>
        <v/>
      </c>
      <c r="Y400" t="str">
        <f>""</f>
        <v/>
      </c>
      <c r="Z400" t="str">
        <f>""</f>
        <v/>
      </c>
      <c r="AA400" t="str">
        <f>""</f>
        <v/>
      </c>
      <c r="AB400" t="str">
        <f>""</f>
        <v/>
      </c>
      <c r="AC400" t="str">
        <f>""</f>
        <v/>
      </c>
    </row>
    <row r="401" spans="1:29" x14ac:dyDescent="0.25">
      <c r="A401" t="str">
        <f>$A$177</f>
        <v xml:space="preserve">    EPAM Systems Inc</v>
      </c>
      <c r="B401" t="str">
        <f>$B$177</f>
        <v>EPAM US Equity</v>
      </c>
      <c r="C401" t="str">
        <f>$C$177</f>
        <v>RR028</v>
      </c>
      <c r="D401" t="str">
        <f>$D$177</f>
        <v>RETURN_ON_ASSET</v>
      </c>
      <c r="E401" t="str">
        <f>$E$177</f>
        <v>Dynamic</v>
      </c>
      <c r="F401" t="e">
        <f ca="1">_xll.BDH($B$177,$C$177,$B$236,$B$237,CONCATENATE("Per=",$B$234),"Dts=H","Dir=H",CONCATENATE("Points=",$B$235),"Sort=R","Days=A","Fill=B",CONCATENATE("FX=", $B$233),"cols=12;rows=1")</f>
        <v>#NAME?</v>
      </c>
      <c r="G401">
        <v>16.789000000000001</v>
      </c>
      <c r="H401">
        <v>6.6873000000000005</v>
      </c>
      <c r="I401">
        <v>11.6486</v>
      </c>
      <c r="J401">
        <v>12.3063</v>
      </c>
      <c r="K401">
        <v>13.5633</v>
      </c>
      <c r="L401">
        <v>15.821</v>
      </c>
      <c r="M401">
        <v>18.581700000000001</v>
      </c>
      <c r="N401">
        <v>21.823499999999999</v>
      </c>
      <c r="O401">
        <v>18.486000000000001</v>
      </c>
      <c r="R401" t="str">
        <f>""</f>
        <v/>
      </c>
      <c r="S401" t="str">
        <f>""</f>
        <v/>
      </c>
      <c r="T401" t="str">
        <f>""</f>
        <v/>
      </c>
      <c r="U401" t="str">
        <f>""</f>
        <v/>
      </c>
      <c r="V401" t="str">
        <f>""</f>
        <v/>
      </c>
      <c r="W401" t="str">
        <f>""</f>
        <v/>
      </c>
      <c r="X401" t="str">
        <f>""</f>
        <v/>
      </c>
      <c r="Y401" t="str">
        <f>""</f>
        <v/>
      </c>
      <c r="Z401" t="str">
        <f>""</f>
        <v/>
      </c>
      <c r="AA401" t="str">
        <f>""</f>
        <v/>
      </c>
      <c r="AB401" t="str">
        <f>""</f>
        <v/>
      </c>
      <c r="AC401" t="str">
        <f>""</f>
        <v/>
      </c>
    </row>
    <row r="402" spans="1:29" x14ac:dyDescent="0.25">
      <c r="A402" t="str">
        <f>$A$178</f>
        <v xml:space="preserve">    Genpact Ltd</v>
      </c>
      <c r="B402" t="str">
        <f>$B$178</f>
        <v>G US Equity</v>
      </c>
      <c r="C402" t="str">
        <f>$C$178</f>
        <v>RR028</v>
      </c>
      <c r="D402" t="str">
        <f>$D$178</f>
        <v>RETURN_ON_ASSET</v>
      </c>
      <c r="E402" t="str">
        <f>$E$178</f>
        <v>Dynamic</v>
      </c>
      <c r="F402" t="e">
        <f ca="1">_xll.BDH($B$178,$C$178,$B$236,$B$237,CONCATENATE("Per=",$B$234),"Dts=H","Dir=H",CONCATENATE("Points=",$B$235),"Sort=R","Days=A","Fill=B",CONCATENATE("FX=", $B$233),"cols=12;rows=1")</f>
        <v>#NAME?</v>
      </c>
      <c r="G402">
        <v>8.0818999999999992</v>
      </c>
      <c r="H402">
        <v>8.3058999999999994</v>
      </c>
      <c r="I402">
        <v>9.4969999999999999</v>
      </c>
      <c r="J402">
        <v>8.6638999999999999</v>
      </c>
      <c r="K402">
        <v>7.0693999999999999</v>
      </c>
      <c r="L402">
        <v>8.6762999999999995</v>
      </c>
      <c r="M402">
        <v>7.1154000000000002</v>
      </c>
      <c r="N402">
        <v>8.5780999999999992</v>
      </c>
      <c r="O402">
        <v>7.8098999999999998</v>
      </c>
      <c r="P402">
        <v>7.3929</v>
      </c>
      <c r="R402" t="str">
        <f>""</f>
        <v/>
      </c>
      <c r="S402" t="str">
        <f>""</f>
        <v/>
      </c>
      <c r="T402" t="str">
        <f>""</f>
        <v/>
      </c>
      <c r="U402" t="str">
        <f>""</f>
        <v/>
      </c>
      <c r="V402" t="str">
        <f>""</f>
        <v/>
      </c>
      <c r="W402" t="str">
        <f>""</f>
        <v/>
      </c>
      <c r="X402" t="str">
        <f>""</f>
        <v/>
      </c>
      <c r="Y402" t="str">
        <f>""</f>
        <v/>
      </c>
      <c r="Z402" t="str">
        <f>""</f>
        <v/>
      </c>
      <c r="AA402" t="str">
        <f>""</f>
        <v/>
      </c>
      <c r="AB402" t="str">
        <f>""</f>
        <v/>
      </c>
      <c r="AC402" t="str">
        <f>""</f>
        <v/>
      </c>
    </row>
    <row r="403" spans="1:29" x14ac:dyDescent="0.25">
      <c r="A403" t="str">
        <f>$A$179</f>
        <v xml:space="preserve">    HCL Technologies Ltd</v>
      </c>
      <c r="B403" t="str">
        <f>$B$179</f>
        <v>HCLT IN Equity</v>
      </c>
      <c r="C403" t="str">
        <f>$C$179</f>
        <v>RR028</v>
      </c>
      <c r="D403" t="str">
        <f>$D$179</f>
        <v>RETURN_ON_ASSET</v>
      </c>
      <c r="E403" t="str">
        <f>$E$179</f>
        <v>Dynamic</v>
      </c>
      <c r="F403" t="e">
        <f ca="1">_xll.BDH($B$179,$C$179,$B$236,$B$237,CONCATENATE("Per=",$B$234),"Dts=H","Dir=H",CONCATENATE("Points=",$B$235),"Sort=R","Days=A","Fill=B",CONCATENATE("FX=", $B$233),"cols=12;rows=1")</f>
        <v>#NAME?</v>
      </c>
      <c r="G403">
        <v>18.130700000000001</v>
      </c>
      <c r="H403">
        <v>18.597899999999999</v>
      </c>
      <c r="I403">
        <v>20.140999999999998</v>
      </c>
      <c r="L403">
        <v>23.507200000000001</v>
      </c>
      <c r="M403">
        <v>19.834900000000001</v>
      </c>
      <c r="N403">
        <v>15.0299</v>
      </c>
      <c r="O403">
        <v>12.424899999999999</v>
      </c>
      <c r="P403">
        <v>10.335599999999999</v>
      </c>
      <c r="Q403">
        <v>14.214399999999999</v>
      </c>
      <c r="R403" t="str">
        <f>""</f>
        <v/>
      </c>
      <c r="S403" t="str">
        <f>""</f>
        <v/>
      </c>
      <c r="T403" t="str">
        <f>""</f>
        <v/>
      </c>
      <c r="U403" t="str">
        <f>""</f>
        <v/>
      </c>
      <c r="V403" t="str">
        <f>""</f>
        <v/>
      </c>
      <c r="W403" t="str">
        <f>""</f>
        <v/>
      </c>
      <c r="X403" t="str">
        <f>""</f>
        <v/>
      </c>
      <c r="Y403" t="str">
        <f>""</f>
        <v/>
      </c>
      <c r="Z403" t="str">
        <f>""</f>
        <v/>
      </c>
      <c r="AA403" t="str">
        <f>""</f>
        <v/>
      </c>
      <c r="AB403" t="str">
        <f>""</f>
        <v/>
      </c>
      <c r="AC403" t="str">
        <f>""</f>
        <v/>
      </c>
    </row>
    <row r="404" spans="1:29" x14ac:dyDescent="0.25">
      <c r="A404" t="str">
        <f>$A$180</f>
        <v xml:space="preserve">    Indra Sistemas SA</v>
      </c>
      <c r="B404" t="str">
        <f>$B$180</f>
        <v>IDR SM Equity</v>
      </c>
      <c r="C404" t="str">
        <f>$C$180</f>
        <v>RR028</v>
      </c>
      <c r="D404" t="str">
        <f>$D$180</f>
        <v>RETURN_ON_ASSET</v>
      </c>
      <c r="E404" t="str">
        <f>$E$180</f>
        <v>Dynamic</v>
      </c>
      <c r="F404" t="e">
        <f ca="1">_xll.BDH($B$180,$C$180,$B$236,$B$237,CONCATENATE("Per=",$B$234),"Dts=H","Dir=H",CONCATENATE("Points=",$B$235),"Sort=R","Days=A","Fill=B",CONCATENATE("FX=", $B$233),"cols=12;rows=1")</f>
        <v>#NAME?</v>
      </c>
      <c r="G404">
        <v>3.0289000000000001</v>
      </c>
      <c r="H404">
        <v>3.5258000000000003</v>
      </c>
      <c r="I404">
        <v>2.1865999999999999</v>
      </c>
      <c r="J404">
        <v>-19.5915</v>
      </c>
      <c r="K404">
        <v>-2.5022000000000002</v>
      </c>
      <c r="L404">
        <v>3.0396000000000001</v>
      </c>
      <c r="M404">
        <v>3.6440999999999999</v>
      </c>
      <c r="N404">
        <v>5.5686</v>
      </c>
      <c r="O404">
        <v>6.8986999999999998</v>
      </c>
      <c r="P404">
        <v>7.9008000000000003</v>
      </c>
      <c r="Q404">
        <v>7.5655000000000001</v>
      </c>
      <c r="R404" t="str">
        <f>""</f>
        <v/>
      </c>
      <c r="S404" t="str">
        <f>""</f>
        <v/>
      </c>
      <c r="T404" t="str">
        <f>""</f>
        <v/>
      </c>
      <c r="U404" t="str">
        <f>""</f>
        <v/>
      </c>
      <c r="V404" t="str">
        <f>""</f>
        <v/>
      </c>
      <c r="W404" t="str">
        <f>""</f>
        <v/>
      </c>
      <c r="X404" t="str">
        <f>""</f>
        <v/>
      </c>
      <c r="Y404" t="str">
        <f>""</f>
        <v/>
      </c>
      <c r="Z404" t="str">
        <f>""</f>
        <v/>
      </c>
      <c r="AA404" t="str">
        <f>""</f>
        <v/>
      </c>
      <c r="AB404" t="str">
        <f>""</f>
        <v/>
      </c>
      <c r="AC404" t="str">
        <f>""</f>
        <v/>
      </c>
    </row>
    <row r="405" spans="1:29" x14ac:dyDescent="0.25">
      <c r="A405" t="str">
        <f>$A$181</f>
        <v xml:space="preserve">    Infosys Ltd</v>
      </c>
      <c r="B405" t="str">
        <f>$B$181</f>
        <v>INFY US Equity</v>
      </c>
      <c r="C405" t="str">
        <f>$C$181</f>
        <v>RR028</v>
      </c>
      <c r="D405" t="str">
        <f>$D$181</f>
        <v>RETURN_ON_ASSET</v>
      </c>
      <c r="E405" t="str">
        <f>$E$181</f>
        <v>Dynamic</v>
      </c>
      <c r="F405" t="e">
        <f ca="1">_xll.BDH($B$181,$C$181,$B$236,$B$237,CONCATENATE("Per=",$B$234),"Dts=H","Dir=H",CONCATENATE("Points=",$B$235),"Sort=R","Days=A","Fill=B",CONCATENATE("FX=", $B$233),"cols=12;rows=1")</f>
        <v>#NAME?</v>
      </c>
      <c r="G405">
        <v>18.713699999999999</v>
      </c>
      <c r="H405">
        <v>19.638000000000002</v>
      </c>
      <c r="I405">
        <v>18.087599999999998</v>
      </c>
      <c r="J405">
        <v>19.038499999999999</v>
      </c>
      <c r="K405">
        <v>19.981000000000002</v>
      </c>
      <c r="L405">
        <v>20.5945</v>
      </c>
      <c r="M405">
        <v>22.245799999999999</v>
      </c>
      <c r="N405">
        <v>23.8825</v>
      </c>
      <c r="O405">
        <v>23.206900000000001</v>
      </c>
      <c r="P405">
        <v>24.988399999999999</v>
      </c>
      <c r="Q405">
        <v>29.828900000000001</v>
      </c>
      <c r="R405" t="str">
        <f>""</f>
        <v/>
      </c>
      <c r="S405" t="str">
        <f>""</f>
        <v/>
      </c>
      <c r="T405" t="str">
        <f>""</f>
        <v/>
      </c>
      <c r="U405" t="str">
        <f>""</f>
        <v/>
      </c>
      <c r="V405" t="str">
        <f>""</f>
        <v/>
      </c>
      <c r="W405" t="str">
        <f>""</f>
        <v/>
      </c>
      <c r="X405" t="str">
        <f>""</f>
        <v/>
      </c>
      <c r="Y405" t="str">
        <f>""</f>
        <v/>
      </c>
      <c r="Z405" t="str">
        <f>""</f>
        <v/>
      </c>
      <c r="AA405" t="str">
        <f>""</f>
        <v/>
      </c>
      <c r="AB405" t="str">
        <f>""</f>
        <v/>
      </c>
      <c r="AC405" t="str">
        <f>""</f>
        <v/>
      </c>
    </row>
    <row r="406" spans="1:29" x14ac:dyDescent="0.25">
      <c r="A406" t="str">
        <f>$A$182</f>
        <v xml:space="preserve">    International Business Machines Corp</v>
      </c>
      <c r="B406" t="str">
        <f>$B$182</f>
        <v>IBM US Equity</v>
      </c>
      <c r="C406" t="str">
        <f>$C$182</f>
        <v>RR028</v>
      </c>
      <c r="D406" t="str">
        <f>$D$182</f>
        <v>RETURN_ON_ASSET</v>
      </c>
      <c r="E406" t="str">
        <f>$E$182</f>
        <v>Dynamic</v>
      </c>
      <c r="F406" t="e">
        <f ca="1">_xll.BDH($B$182,$C$182,$B$236,$B$237,CONCATENATE("Per=",$B$234),"Dts=H","Dir=H",CONCATENATE("Points=",$B$235),"Sort=R","Days=A","Fill=B",CONCATENATE("FX=", $B$233),"cols=12;rows=1")</f>
        <v>#NAME?</v>
      </c>
      <c r="G406">
        <v>7.0178000000000003</v>
      </c>
      <c r="H406">
        <v>4.7384000000000004</v>
      </c>
      <c r="I406">
        <v>10.4156</v>
      </c>
      <c r="J406">
        <v>11.582100000000001</v>
      </c>
      <c r="K406">
        <v>9.8746000000000009</v>
      </c>
      <c r="L406">
        <v>13.4316</v>
      </c>
      <c r="M406">
        <v>14.0923</v>
      </c>
      <c r="N406">
        <v>13.793900000000001</v>
      </c>
      <c r="O406">
        <v>13.3346</v>
      </c>
      <c r="P406">
        <v>12.2857</v>
      </c>
      <c r="Q406">
        <v>10.7273</v>
      </c>
      <c r="R406" t="str">
        <f>""</f>
        <v/>
      </c>
      <c r="S406" t="str">
        <f>""</f>
        <v/>
      </c>
      <c r="T406" t="str">
        <f>""</f>
        <v/>
      </c>
      <c r="U406" t="str">
        <f>""</f>
        <v/>
      </c>
      <c r="V406" t="str">
        <f>""</f>
        <v/>
      </c>
      <c r="W406" t="str">
        <f>""</f>
        <v/>
      </c>
      <c r="X406" t="str">
        <f>""</f>
        <v/>
      </c>
      <c r="Y406" t="str">
        <f>""</f>
        <v/>
      </c>
      <c r="Z406" t="str">
        <f>""</f>
        <v/>
      </c>
      <c r="AA406" t="str">
        <f>""</f>
        <v/>
      </c>
      <c r="AB406" t="str">
        <f>""</f>
        <v/>
      </c>
      <c r="AC406" t="str">
        <f>""</f>
        <v/>
      </c>
    </row>
    <row r="407" spans="1:29" x14ac:dyDescent="0.25">
      <c r="A407" t="str">
        <f>$A$183</f>
        <v xml:space="preserve">    Tata Consultancy Services Ltd</v>
      </c>
      <c r="B407" t="str">
        <f>$B$183</f>
        <v>TCS IN Equity</v>
      </c>
      <c r="C407" t="str">
        <f>$C$183</f>
        <v>RR028</v>
      </c>
      <c r="D407" t="str">
        <f>$D$183</f>
        <v>RETURN_ON_ASSET</v>
      </c>
      <c r="E407" t="str">
        <f>$E$183</f>
        <v>Dynamic</v>
      </c>
      <c r="F407" t="e">
        <f ca="1">_xll.BDH($B$183,$C$183,$B$236,$B$237,CONCATENATE("Per=",$B$234),"Dts=H","Dir=H",CONCATENATE("Points=",$B$235),"Sort=R","Days=A","Fill=B",CONCATENATE("FX=", $B$233),"cols=12;rows=1")</f>
        <v>#NAME?</v>
      </c>
      <c r="G407">
        <v>27.9178</v>
      </c>
      <c r="H407">
        <v>24.1633</v>
      </c>
      <c r="I407">
        <v>26.7483</v>
      </c>
      <c r="J407">
        <v>29.1221</v>
      </c>
      <c r="K407">
        <v>27.2896</v>
      </c>
      <c r="L407">
        <v>31.577100000000002</v>
      </c>
      <c r="M407">
        <v>29.770199999999999</v>
      </c>
      <c r="N407">
        <v>28.1402</v>
      </c>
      <c r="O407">
        <v>30.1889</v>
      </c>
      <c r="P407">
        <v>27.9849</v>
      </c>
      <c r="Q407">
        <v>26.1496</v>
      </c>
      <c r="R407" t="str">
        <f>""</f>
        <v/>
      </c>
      <c r="S407" t="str">
        <f>""</f>
        <v/>
      </c>
      <c r="T407" t="str">
        <f>""</f>
        <v/>
      </c>
      <c r="U407" t="str">
        <f>""</f>
        <v/>
      </c>
      <c r="V407" t="str">
        <f>""</f>
        <v/>
      </c>
      <c r="W407" t="str">
        <f>""</f>
        <v/>
      </c>
      <c r="X407" t="str">
        <f>""</f>
        <v/>
      </c>
      <c r="Y407" t="str">
        <f>""</f>
        <v/>
      </c>
      <c r="Z407" t="str">
        <f>""</f>
        <v/>
      </c>
      <c r="AA407" t="str">
        <f>""</f>
        <v/>
      </c>
      <c r="AB407" t="str">
        <f>""</f>
        <v/>
      </c>
      <c r="AC407" t="str">
        <f>""</f>
        <v/>
      </c>
    </row>
    <row r="408" spans="1:29" x14ac:dyDescent="0.25">
      <c r="A408" t="str">
        <f>$A$184</f>
        <v xml:space="preserve">    Tech Mahindra Ltd</v>
      </c>
      <c r="B408" t="str">
        <f>$B$184</f>
        <v>TECHM IN Equity</v>
      </c>
      <c r="C408" t="str">
        <f>$C$184</f>
        <v>RR028</v>
      </c>
      <c r="D408" t="str">
        <f>$D$184</f>
        <v>RETURN_ON_ASSET</v>
      </c>
      <c r="E408" t="str">
        <f>$E$184</f>
        <v>Dynamic</v>
      </c>
      <c r="F408" t="e">
        <f ca="1">_xll.BDH($B$184,$C$184,$B$236,$B$237,CONCATENATE("Per=",$B$234),"Dts=H","Dir=H",CONCATENATE("Points=",$B$235),"Sort=R","Days=A","Fill=B",CONCATENATE("FX=", $B$233),"cols=12;rows=1")</f>
        <v>#NAME?</v>
      </c>
      <c r="G408">
        <v>13.4544</v>
      </c>
      <c r="H408">
        <v>13.4497</v>
      </c>
      <c r="I408">
        <v>11.5778</v>
      </c>
      <c r="J408">
        <v>14.1265</v>
      </c>
      <c r="K408">
        <v>14.685499999999999</v>
      </c>
      <c r="L408">
        <v>24.305700000000002</v>
      </c>
      <c r="M408">
        <v>16.1952</v>
      </c>
      <c r="N408">
        <v>16.8871</v>
      </c>
      <c r="O408">
        <v>10.7752</v>
      </c>
      <c r="P408">
        <v>16.020600000000002</v>
      </c>
      <c r="Q408">
        <v>40.033099999999997</v>
      </c>
      <c r="R408" t="str">
        <f>""</f>
        <v/>
      </c>
      <c r="S408" t="str">
        <f>""</f>
        <v/>
      </c>
      <c r="T408" t="str">
        <f>""</f>
        <v/>
      </c>
      <c r="U408" t="str">
        <f>""</f>
        <v/>
      </c>
      <c r="V408" t="str">
        <f>""</f>
        <v/>
      </c>
      <c r="W408" t="str">
        <f>""</f>
        <v/>
      </c>
      <c r="X408" t="str">
        <f>""</f>
        <v/>
      </c>
      <c r="Y408" t="str">
        <f>""</f>
        <v/>
      </c>
      <c r="Z408" t="str">
        <f>""</f>
        <v/>
      </c>
      <c r="AA408" t="str">
        <f>""</f>
        <v/>
      </c>
      <c r="AB408" t="str">
        <f>""</f>
        <v/>
      </c>
      <c r="AC408" t="str">
        <f>""</f>
        <v/>
      </c>
    </row>
    <row r="409" spans="1:29" x14ac:dyDescent="0.25">
      <c r="A409" t="str">
        <f>$A$185</f>
        <v xml:space="preserve">    Wipro Ltd</v>
      </c>
      <c r="B409" t="str">
        <f>$B$185</f>
        <v>WIT US Equity</v>
      </c>
      <c r="C409" t="str">
        <f>$C$185</f>
        <v>RR028</v>
      </c>
      <c r="D409" t="str">
        <f>$D$185</f>
        <v>RETURN_ON_ASSET</v>
      </c>
      <c r="E409" t="str">
        <f>$E$185</f>
        <v>Dynamic</v>
      </c>
      <c r="F409" t="e">
        <f ca="1">_xll.BDH($B$185,$C$185,$B$236,$B$237,CONCATENATE("Per=",$B$234),"Dts=H","Dir=H",CONCATENATE("Points=",$B$235),"Sort=R","Days=A","Fill=B",CONCATENATE("FX=", $B$233),"cols=12;rows=1")</f>
        <v>#NAME?</v>
      </c>
      <c r="G409">
        <v>11.297599999999999</v>
      </c>
      <c r="H409">
        <v>10.305400000000001</v>
      </c>
      <c r="I409">
        <v>11.188700000000001</v>
      </c>
      <c r="J409">
        <v>13.4551</v>
      </c>
      <c r="K409">
        <v>15.699</v>
      </c>
      <c r="L409">
        <v>16.552900000000001</v>
      </c>
      <c r="M409">
        <v>15.155099999999999</v>
      </c>
      <c r="N409">
        <v>13.8041</v>
      </c>
      <c r="O409">
        <v>15.19</v>
      </c>
      <c r="P409">
        <v>15.3194</v>
      </c>
      <c r="Q409">
        <v>15.761900000000001</v>
      </c>
      <c r="R409" t="str">
        <f>""</f>
        <v/>
      </c>
      <c r="S409" t="str">
        <f>""</f>
        <v/>
      </c>
      <c r="T409" t="str">
        <f>""</f>
        <v/>
      </c>
      <c r="U409" t="str">
        <f>""</f>
        <v/>
      </c>
      <c r="V409" t="str">
        <f>""</f>
        <v/>
      </c>
      <c r="W409" t="str">
        <f>""</f>
        <v/>
      </c>
      <c r="X409" t="str">
        <f>""</f>
        <v/>
      </c>
      <c r="Y409" t="str">
        <f>""</f>
        <v/>
      </c>
      <c r="Z409" t="str">
        <f>""</f>
        <v/>
      </c>
      <c r="AA409" t="str">
        <f>""</f>
        <v/>
      </c>
      <c r="AB409" t="str">
        <f>""</f>
        <v/>
      </c>
      <c r="AC409" t="str">
        <f>""</f>
        <v/>
      </c>
    </row>
    <row r="410" spans="1:29" x14ac:dyDescent="0.25">
      <c r="A410" t="str">
        <f>$A$187</f>
        <v xml:space="preserve">    Accenture PLC</v>
      </c>
      <c r="B410" t="str">
        <f>$B$187</f>
        <v>ACN US Equity</v>
      </c>
      <c r="C410" t="str">
        <f>$C$187</f>
        <v>RR029</v>
      </c>
      <c r="D410" t="str">
        <f>$D$187</f>
        <v>RETURN_COM_EQY</v>
      </c>
      <c r="E410" t="str">
        <f>$E$187</f>
        <v>Dynamic</v>
      </c>
      <c r="F410" t="e">
        <f ca="1">_xll.BDH($B$187,$C$187,$B$236,$B$237,CONCATENATE("Per=",$B$234),"Dts=H","Dir=H",CONCATENATE("Points=",$B$235),"Sort=R","Days=A","Fill=B",CONCATENATE("FX=", $B$233),"cols=12;rows=1")</f>
        <v>#NAME?</v>
      </c>
      <c r="G410">
        <v>42.040599999999998</v>
      </c>
      <c r="H410">
        <v>41.747399999999999</v>
      </c>
      <c r="I410">
        <v>60.075899999999997</v>
      </c>
      <c r="J410">
        <v>51.468800000000002</v>
      </c>
      <c r="K410">
        <v>55.021299999999997</v>
      </c>
      <c r="L410">
        <v>72.081500000000005</v>
      </c>
      <c r="M410">
        <v>63.640599999999999</v>
      </c>
      <c r="N410">
        <v>67.841499999999996</v>
      </c>
      <c r="O410">
        <v>62.235300000000002</v>
      </c>
      <c r="P410">
        <v>58.593499999999999</v>
      </c>
      <c r="Q410">
        <v>73.493099999999998</v>
      </c>
      <c r="R410" t="str">
        <f>""</f>
        <v/>
      </c>
      <c r="S410" t="str">
        <f>""</f>
        <v/>
      </c>
      <c r="T410" t="str">
        <f>""</f>
        <v/>
      </c>
      <c r="U410" t="str">
        <f>""</f>
        <v/>
      </c>
      <c r="V410" t="str">
        <f>""</f>
        <v/>
      </c>
      <c r="W410" t="str">
        <f>""</f>
        <v/>
      </c>
      <c r="X410" t="str">
        <f>""</f>
        <v/>
      </c>
      <c r="Y410" t="str">
        <f>""</f>
        <v/>
      </c>
      <c r="Z410" t="str">
        <f>""</f>
        <v/>
      </c>
      <c r="AA410" t="str">
        <f>""</f>
        <v/>
      </c>
      <c r="AB410" t="str">
        <f>""</f>
        <v/>
      </c>
      <c r="AC410" t="str">
        <f>""</f>
        <v/>
      </c>
    </row>
    <row r="411" spans="1:29" x14ac:dyDescent="0.25">
      <c r="A411" t="str">
        <f>$A$188</f>
        <v xml:space="preserve">    Amdocs Ltd</v>
      </c>
      <c r="B411" t="str">
        <f>$B$188</f>
        <v>DOX US Equity</v>
      </c>
      <c r="C411" t="str">
        <f>$C$188</f>
        <v>RR029</v>
      </c>
      <c r="D411" t="str">
        <f>$D$188</f>
        <v>RETURN_COM_EQY</v>
      </c>
      <c r="E411" t="str">
        <f>$E$188</f>
        <v>Dynamic</v>
      </c>
      <c r="F411" t="e">
        <f ca="1">_xll.BDH($B$188,$C$188,$B$236,$B$237,CONCATENATE("Per=",$B$234),"Dts=H","Dir=H",CONCATENATE("Points=",$B$235),"Sort=R","Days=A","Fill=B",CONCATENATE("FX=", $B$233),"cols=12;rows=1")</f>
        <v>#NAME?</v>
      </c>
      <c r="G411">
        <v>10.016999999999999</v>
      </c>
      <c r="H411">
        <v>12.3316</v>
      </c>
      <c r="I411">
        <v>11.8284</v>
      </c>
      <c r="J411">
        <v>12.983000000000001</v>
      </c>
      <c r="K411">
        <v>12.6562</v>
      </c>
      <c r="L411">
        <v>13.076700000000001</v>
      </c>
      <c r="M411">
        <v>12.923999999999999</v>
      </c>
      <c r="N411">
        <v>11.0885</v>
      </c>
      <c r="O411">
        <v>10.676299999999999</v>
      </c>
      <c r="P411">
        <v>10.839600000000001</v>
      </c>
      <c r="Q411">
        <v>14.019399999999999</v>
      </c>
      <c r="R411" t="str">
        <f>""</f>
        <v/>
      </c>
      <c r="S411" t="str">
        <f>""</f>
        <v/>
      </c>
      <c r="T411" t="str">
        <f>""</f>
        <v/>
      </c>
      <c r="U411" t="str">
        <f>""</f>
        <v/>
      </c>
      <c r="V411" t="str">
        <f>""</f>
        <v/>
      </c>
      <c r="W411" t="str">
        <f>""</f>
        <v/>
      </c>
      <c r="X411" t="str">
        <f>""</f>
        <v/>
      </c>
      <c r="Y411" t="str">
        <f>""</f>
        <v/>
      </c>
      <c r="Z411" t="str">
        <f>""</f>
        <v/>
      </c>
      <c r="AA411" t="str">
        <f>""</f>
        <v/>
      </c>
      <c r="AB411" t="str">
        <f>""</f>
        <v/>
      </c>
      <c r="AC411" t="str">
        <f>""</f>
        <v/>
      </c>
    </row>
    <row r="412" spans="1:29" x14ac:dyDescent="0.25">
      <c r="A412" t="str">
        <f>$A$189</f>
        <v xml:space="preserve">    Atos SE</v>
      </c>
      <c r="B412" t="str">
        <f>$B$189</f>
        <v>ATO FP Equity</v>
      </c>
      <c r="C412" t="str">
        <f>$C$189</f>
        <v>RR029</v>
      </c>
      <c r="D412" t="str">
        <f>$D$189</f>
        <v>RETURN_COM_EQY</v>
      </c>
      <c r="E412" t="str">
        <f>$E$189</f>
        <v>Dynamic</v>
      </c>
      <c r="F412" t="e">
        <f ca="1">_xll.BDH($B$189,$C$189,$B$236,$B$237,CONCATENATE("Per=",$B$234),"Dts=H","Dir=H",CONCATENATE("Points=",$B$235),"Sort=R","Days=A","Fill=B",CONCATENATE("FX=", $B$233),"cols=12;rows=1")</f>
        <v>#NAME?</v>
      </c>
      <c r="G412">
        <v>11.7362</v>
      </c>
      <c r="H412">
        <v>13.3886</v>
      </c>
      <c r="I412">
        <v>14.1889</v>
      </c>
      <c r="J412">
        <v>11.5463</v>
      </c>
      <c r="K412">
        <v>8.6914999999999996</v>
      </c>
      <c r="L412">
        <v>9.9511000000000003</v>
      </c>
      <c r="M412">
        <v>9.5776000000000003</v>
      </c>
      <c r="N412">
        <v>9.1926000000000005</v>
      </c>
      <c r="O412">
        <v>7.3090000000000002</v>
      </c>
      <c r="P412">
        <v>0.25309999999999999</v>
      </c>
      <c r="Q412">
        <v>1.4025000000000001</v>
      </c>
      <c r="R412" t="str">
        <f>""</f>
        <v/>
      </c>
      <c r="S412" t="str">
        <f>""</f>
        <v/>
      </c>
      <c r="T412" t="str">
        <f>""</f>
        <v/>
      </c>
      <c r="U412" t="str">
        <f>""</f>
        <v/>
      </c>
      <c r="V412" t="str">
        <f>""</f>
        <v/>
      </c>
      <c r="W412" t="str">
        <f>""</f>
        <v/>
      </c>
      <c r="X412" t="str">
        <f>""</f>
        <v/>
      </c>
      <c r="Y412" t="str">
        <f>""</f>
        <v/>
      </c>
      <c r="Z412" t="str">
        <f>""</f>
        <v/>
      </c>
      <c r="AA412" t="str">
        <f>""</f>
        <v/>
      </c>
      <c r="AB412" t="str">
        <f>""</f>
        <v/>
      </c>
      <c r="AC412" t="str">
        <f>""</f>
        <v/>
      </c>
    </row>
    <row r="413" spans="1:29" x14ac:dyDescent="0.25">
      <c r="A413" t="str">
        <f>$A$190</f>
        <v xml:space="preserve">    Capgemini SE</v>
      </c>
      <c r="B413" t="str">
        <f>$B$190</f>
        <v>CAP FP Equity</v>
      </c>
      <c r="C413" t="str">
        <f>$C$190</f>
        <v>RR029</v>
      </c>
      <c r="D413" t="str">
        <f>$D$190</f>
        <v>RETURN_COM_EQY</v>
      </c>
      <c r="E413" t="str">
        <f>$E$190</f>
        <v>Dynamic</v>
      </c>
      <c r="F413" t="e">
        <f ca="1">_xll.BDH($B$190,$C$190,$B$236,$B$237,CONCATENATE("Per=",$B$234),"Dts=H","Dir=H",CONCATENATE("Points=",$B$235),"Sort=R","Days=A","Fill=B",CONCATENATE("FX=", $B$233),"cols=12;rows=1")</f>
        <v>#NAME?</v>
      </c>
      <c r="G413">
        <v>10.1136</v>
      </c>
      <c r="H413">
        <v>11.5266</v>
      </c>
      <c r="I413">
        <v>13.009399999999999</v>
      </c>
      <c r="J413">
        <v>18.821200000000001</v>
      </c>
      <c r="K413">
        <v>12.1913</v>
      </c>
      <c r="L413">
        <v>9.8880999999999997</v>
      </c>
      <c r="M413">
        <v>8.0797000000000008</v>
      </c>
      <c r="N413">
        <v>9.4282000000000004</v>
      </c>
      <c r="O413">
        <v>6.5674000000000001</v>
      </c>
      <c r="P413">
        <v>4.367</v>
      </c>
      <c r="Q413">
        <v>11.578900000000001</v>
      </c>
      <c r="R413" t="str">
        <f>""</f>
        <v/>
      </c>
      <c r="S413" t="str">
        <f>""</f>
        <v/>
      </c>
      <c r="T413" t="str">
        <f>""</f>
        <v/>
      </c>
      <c r="U413" t="str">
        <f>""</f>
        <v/>
      </c>
      <c r="V413" t="str">
        <f>""</f>
        <v/>
      </c>
      <c r="W413" t="str">
        <f>""</f>
        <v/>
      </c>
      <c r="X413" t="str">
        <f>""</f>
        <v/>
      </c>
      <c r="Y413" t="str">
        <f>""</f>
        <v/>
      </c>
      <c r="Z413" t="str">
        <f>""</f>
        <v/>
      </c>
      <c r="AA413" t="str">
        <f>""</f>
        <v/>
      </c>
      <c r="AB413" t="str">
        <f>""</f>
        <v/>
      </c>
      <c r="AC413" t="str">
        <f>""</f>
        <v/>
      </c>
    </row>
    <row r="414" spans="1:29" x14ac:dyDescent="0.25">
      <c r="A414" t="str">
        <f>$A$191</f>
        <v xml:space="preserve">    CGI Inc</v>
      </c>
      <c r="B414" t="str">
        <f>$B$191</f>
        <v>GIB US Equity</v>
      </c>
      <c r="C414" t="str">
        <f>$C$191</f>
        <v>RR029</v>
      </c>
      <c r="D414" t="str">
        <f>$D$191</f>
        <v>RETURN_COM_EQY</v>
      </c>
      <c r="E414" t="str">
        <f>$E$191</f>
        <v>Dynamic</v>
      </c>
      <c r="F414" t="e">
        <f ca="1">_xll.BDH($B$191,$C$191,$B$236,$B$237,CONCATENATE("Per=",$B$234),"Dts=H","Dir=H",CONCATENATE("Points=",$B$235),"Sort=R","Days=A","Fill=B",CONCATENATE("FX=", $B$233),"cols=12;rows=1")</f>
        <v>#NAME?</v>
      </c>
      <c r="G414">
        <v>17.7134</v>
      </c>
      <c r="H414">
        <v>16.3445</v>
      </c>
      <c r="I414">
        <v>17.035699999999999</v>
      </c>
      <c r="J414">
        <v>17.6599</v>
      </c>
      <c r="K414">
        <v>19.004899999999999</v>
      </c>
      <c r="L414">
        <v>12.19</v>
      </c>
      <c r="M414">
        <v>4.5574000000000003</v>
      </c>
      <c r="N414">
        <v>19.4648</v>
      </c>
      <c r="O414">
        <v>16.368400000000001</v>
      </c>
      <c r="P414">
        <v>14.8149</v>
      </c>
      <c r="Q414">
        <v>15.366300000000001</v>
      </c>
      <c r="R414" t="str">
        <f>""</f>
        <v/>
      </c>
      <c r="S414" t="str">
        <f>""</f>
        <v/>
      </c>
      <c r="T414" t="str">
        <f>""</f>
        <v/>
      </c>
      <c r="U414" t="str">
        <f>""</f>
        <v/>
      </c>
      <c r="V414" t="str">
        <f>""</f>
        <v/>
      </c>
      <c r="W414" t="str">
        <f>""</f>
        <v/>
      </c>
      <c r="X414" t="str">
        <f>""</f>
        <v/>
      </c>
      <c r="Y414" t="str">
        <f>""</f>
        <v/>
      </c>
      <c r="Z414" t="str">
        <f>""</f>
        <v/>
      </c>
      <c r="AA414" t="str">
        <f>""</f>
        <v/>
      </c>
      <c r="AB414" t="str">
        <f>""</f>
        <v/>
      </c>
      <c r="AC414" t="str">
        <f>""</f>
        <v/>
      </c>
    </row>
    <row r="415" spans="1:29" x14ac:dyDescent="0.25">
      <c r="A415" t="str">
        <f>$A$192</f>
        <v xml:space="preserve">    Cognizant Technology Solutions Corp</v>
      </c>
      <c r="B415" t="str">
        <f>$B$192</f>
        <v>CTSH US Equity</v>
      </c>
      <c r="C415" t="str">
        <f>$C$192</f>
        <v>RR029</v>
      </c>
      <c r="D415" t="str">
        <f>$D$192</f>
        <v>RETURN_COM_EQY</v>
      </c>
      <c r="E415" t="str">
        <f>$E$192</f>
        <v>Dynamic</v>
      </c>
      <c r="F415" t="e">
        <f ca="1">_xll.BDH($B$192,$C$192,$B$236,$B$237,CONCATENATE("Per=",$B$234),"Dts=H","Dir=H",CONCATENATE("Points=",$B$235),"Sort=R","Days=A","Fill=B",CONCATENATE("FX=", $B$233),"cols=12;rows=1")</f>
        <v>#NAME?</v>
      </c>
      <c r="G415">
        <v>19.019600000000001</v>
      </c>
      <c r="H415">
        <v>14.058</v>
      </c>
      <c r="I415">
        <v>15.5253</v>
      </c>
      <c r="J415">
        <v>19.0854</v>
      </c>
      <c r="K415">
        <v>20.745200000000001</v>
      </c>
      <c r="L415">
        <v>22.357800000000001</v>
      </c>
      <c r="M415">
        <v>23.872599999999998</v>
      </c>
      <c r="N415">
        <v>23.4465</v>
      </c>
      <c r="O415">
        <v>23.5199</v>
      </c>
      <c r="P415">
        <v>23.1648</v>
      </c>
      <c r="Q415">
        <v>25.0944</v>
      </c>
      <c r="R415" t="str">
        <f>""</f>
        <v/>
      </c>
      <c r="S415" t="str">
        <f>""</f>
        <v/>
      </c>
      <c r="T415" t="str">
        <f>""</f>
        <v/>
      </c>
      <c r="U415" t="str">
        <f>""</f>
        <v/>
      </c>
      <c r="V415" t="str">
        <f>""</f>
        <v/>
      </c>
      <c r="W415" t="str">
        <f>""</f>
        <v/>
      </c>
      <c r="X415" t="str">
        <f>""</f>
        <v/>
      </c>
      <c r="Y415" t="str">
        <f>""</f>
        <v/>
      </c>
      <c r="Z415" t="str">
        <f>""</f>
        <v/>
      </c>
      <c r="AA415" t="str">
        <f>""</f>
        <v/>
      </c>
      <c r="AB415" t="str">
        <f>""</f>
        <v/>
      </c>
      <c r="AC415" t="str">
        <f>""</f>
        <v/>
      </c>
    </row>
    <row r="416" spans="1:29" x14ac:dyDescent="0.25">
      <c r="A416" t="str">
        <f>$A$193</f>
        <v xml:space="preserve">    Conduent Inc</v>
      </c>
      <c r="B416" t="str">
        <f>$B$193</f>
        <v>CNDT US Equity</v>
      </c>
      <c r="C416" t="str">
        <f>$C$193</f>
        <v>RR029</v>
      </c>
      <c r="D416" t="str">
        <f>$D$193</f>
        <v>RETURN_COM_EQY</v>
      </c>
      <c r="E416" t="str">
        <f>$E$193</f>
        <v>Dynamic</v>
      </c>
      <c r="F416" t="e">
        <f ca="1">_xll.BDH($B$193,$C$193,$B$236,$B$237,CONCATENATE("Per=",$B$234),"Dts=H","Dir=H",CONCATENATE("Points=",$B$235),"Sort=R","Days=A","Fill=B",CONCATENATE("FX=", $B$233),"cols=12;rows=1")</f>
        <v>#NAME?</v>
      </c>
      <c r="G416">
        <v>-12.2841</v>
      </c>
      <c r="H416">
        <v>5.2762000000000002</v>
      </c>
      <c r="I416">
        <v>-23.2059</v>
      </c>
      <c r="J416">
        <v>-7.8312999999999997</v>
      </c>
      <c r="R416" t="str">
        <f>""</f>
        <v/>
      </c>
      <c r="S416" t="str">
        <f>""</f>
        <v/>
      </c>
      <c r="T416" t="str">
        <f>""</f>
        <v/>
      </c>
      <c r="U416" t="str">
        <f>""</f>
        <v/>
      </c>
      <c r="V416" t="str">
        <f>""</f>
        <v/>
      </c>
      <c r="W416" t="str">
        <f>""</f>
        <v/>
      </c>
      <c r="X416" t="str">
        <f>""</f>
        <v/>
      </c>
      <c r="Y416" t="str">
        <f>""</f>
        <v/>
      </c>
      <c r="Z416" t="str">
        <f>""</f>
        <v/>
      </c>
      <c r="AA416" t="str">
        <f>""</f>
        <v/>
      </c>
      <c r="AB416" t="str">
        <f>""</f>
        <v/>
      </c>
      <c r="AC416" t="str">
        <f>""</f>
        <v/>
      </c>
    </row>
    <row r="417" spans="1:29" x14ac:dyDescent="0.25">
      <c r="A417" t="str">
        <f>$A$194</f>
        <v xml:space="preserve">    DXC Technology Co</v>
      </c>
      <c r="B417" t="str">
        <f>$B$194</f>
        <v>DXC US Equity</v>
      </c>
      <c r="C417" t="str">
        <f>$C$194</f>
        <v>RR029</v>
      </c>
      <c r="D417" t="str">
        <f>$D$194</f>
        <v>RETURN_COM_EQY</v>
      </c>
      <c r="E417" t="str">
        <f>$E$194</f>
        <v>Dynamic</v>
      </c>
      <c r="F417" t="e">
        <f ca="1">_xll.BDH($B$194,$C$194,$B$236,$B$237,CONCATENATE("Per=",$B$234),"Dts=H","Dir=H",CONCATENATE("Points=",$B$235),"Sort=R","Days=A","Fill=B",CONCATENATE("FX=", $B$233),"cols=12;rows=1")</f>
        <v>#NAME?</v>
      </c>
      <c r="G417">
        <v>10.1008</v>
      </c>
      <c r="H417">
        <v>13.840299999999999</v>
      </c>
      <c r="R417" t="str">
        <f>""</f>
        <v/>
      </c>
      <c r="S417" t="str">
        <f>""</f>
        <v/>
      </c>
      <c r="T417" t="str">
        <f>""</f>
        <v/>
      </c>
      <c r="U417" t="str">
        <f>""</f>
        <v/>
      </c>
      <c r="V417" t="str">
        <f>""</f>
        <v/>
      </c>
      <c r="W417" t="str">
        <f>""</f>
        <v/>
      </c>
      <c r="X417" t="str">
        <f>""</f>
        <v/>
      </c>
      <c r="Y417" t="str">
        <f>""</f>
        <v/>
      </c>
      <c r="Z417" t="str">
        <f>""</f>
        <v/>
      </c>
      <c r="AA417" t="str">
        <f>""</f>
        <v/>
      </c>
      <c r="AB417" t="str">
        <f>""</f>
        <v/>
      </c>
      <c r="AC417" t="str">
        <f>""</f>
        <v/>
      </c>
    </row>
    <row r="418" spans="1:29" x14ac:dyDescent="0.25">
      <c r="A418" t="str">
        <f>$A$195</f>
        <v xml:space="preserve">    EPAM Systems Inc</v>
      </c>
      <c r="B418" t="str">
        <f>$B$195</f>
        <v>EPAM US Equity</v>
      </c>
      <c r="C418" t="str">
        <f>$C$195</f>
        <v>RR029</v>
      </c>
      <c r="D418" t="str">
        <f>$D$195</f>
        <v>RETURN_COM_EQY</v>
      </c>
      <c r="E418" t="str">
        <f>$E$195</f>
        <v>Dynamic</v>
      </c>
      <c r="F418" t="e">
        <f ca="1">_xll.BDH($B$195,$C$195,$B$236,$B$237,CONCATENATE("Per=",$B$234),"Dts=H","Dir=H",CONCATENATE("Points=",$B$235),"Sort=R","Days=A","Fill=B",CONCATENATE("FX=", $B$233),"cols=12;rows=1")</f>
        <v>#NAME?</v>
      </c>
      <c r="G418">
        <v>21.475000000000001</v>
      </c>
      <c r="H418">
        <v>8.2852999999999994</v>
      </c>
      <c r="I418">
        <v>14.2354</v>
      </c>
      <c r="J418">
        <v>15.679600000000001</v>
      </c>
      <c r="K418">
        <v>16.578199999999999</v>
      </c>
      <c r="L418">
        <v>18.718499999999999</v>
      </c>
      <c r="M418">
        <v>26.822900000000001</v>
      </c>
      <c r="N418">
        <v>14.557</v>
      </c>
      <c r="O418">
        <v>33.918399999999998</v>
      </c>
      <c r="R418" t="str">
        <f>""</f>
        <v/>
      </c>
      <c r="S418" t="str">
        <f>""</f>
        <v/>
      </c>
      <c r="T418" t="str">
        <f>""</f>
        <v/>
      </c>
      <c r="U418" t="str">
        <f>""</f>
        <v/>
      </c>
      <c r="V418" t="str">
        <f>""</f>
        <v/>
      </c>
      <c r="W418" t="str">
        <f>""</f>
        <v/>
      </c>
      <c r="X418" t="str">
        <f>""</f>
        <v/>
      </c>
      <c r="Y418" t="str">
        <f>""</f>
        <v/>
      </c>
      <c r="Z418" t="str">
        <f>""</f>
        <v/>
      </c>
      <c r="AA418" t="str">
        <f>""</f>
        <v/>
      </c>
      <c r="AB418" t="str">
        <f>""</f>
        <v/>
      </c>
      <c r="AC418" t="str">
        <f>""</f>
        <v/>
      </c>
    </row>
    <row r="419" spans="1:29" x14ac:dyDescent="0.25">
      <c r="A419" t="str">
        <f>$A$196</f>
        <v xml:space="preserve">    Genpact Ltd</v>
      </c>
      <c r="B419" t="str">
        <f>$B$196</f>
        <v>G US Equity</v>
      </c>
      <c r="C419" t="str">
        <f>$C$196</f>
        <v>RR029</v>
      </c>
      <c r="D419" t="str">
        <f>$D$196</f>
        <v>RETURN_COM_EQY</v>
      </c>
      <c r="E419" t="str">
        <f>$E$196</f>
        <v>Dynamic</v>
      </c>
      <c r="F419" t="e">
        <f ca="1">_xll.BDH($B$196,$C$196,$B$236,$B$237,CONCATENATE("Per=",$B$234),"Dts=H","Dir=H",CONCATENATE("Points=",$B$235),"Sort=R","Days=A","Fill=B",CONCATENATE("FX=", $B$233),"cols=12;rows=1")</f>
        <v>#NAME?</v>
      </c>
      <c r="G419">
        <v>19.943200000000001</v>
      </c>
      <c r="H419">
        <v>19.412800000000001</v>
      </c>
      <c r="I419">
        <v>20.8169</v>
      </c>
      <c r="J419">
        <v>18.522300000000001</v>
      </c>
      <c r="K419">
        <v>14.7248</v>
      </c>
      <c r="L419">
        <v>18.442599999999999</v>
      </c>
      <c r="M419">
        <v>13.7012</v>
      </c>
      <c r="N419">
        <v>12.6587</v>
      </c>
      <c r="O419">
        <v>10.626099999999999</v>
      </c>
      <c r="P419">
        <v>12.4855</v>
      </c>
      <c r="R419" t="str">
        <f>""</f>
        <v/>
      </c>
      <c r="S419" t="str">
        <f>""</f>
        <v/>
      </c>
      <c r="T419" t="str">
        <f>""</f>
        <v/>
      </c>
      <c r="U419" t="str">
        <f>""</f>
        <v/>
      </c>
      <c r="V419" t="str">
        <f>""</f>
        <v/>
      </c>
      <c r="W419" t="str">
        <f>""</f>
        <v/>
      </c>
      <c r="X419" t="str">
        <f>""</f>
        <v/>
      </c>
      <c r="Y419" t="str">
        <f>""</f>
        <v/>
      </c>
      <c r="Z419" t="str">
        <f>""</f>
        <v/>
      </c>
      <c r="AA419" t="str">
        <f>""</f>
        <v/>
      </c>
      <c r="AB419" t="str">
        <f>""</f>
        <v/>
      </c>
      <c r="AC419" t="str">
        <f>""</f>
        <v/>
      </c>
    </row>
    <row r="420" spans="1:29" x14ac:dyDescent="0.25">
      <c r="A420" t="str">
        <f>$A$197</f>
        <v xml:space="preserve">    HCL Technologies Ltd</v>
      </c>
      <c r="B420" t="str">
        <f>$B$197</f>
        <v>HCLT IN Equity</v>
      </c>
      <c r="C420" t="str">
        <f>$C$197</f>
        <v>RR029</v>
      </c>
      <c r="D420" t="str">
        <f>$D$197</f>
        <v>RETURN_COM_EQY</v>
      </c>
      <c r="E420" t="str">
        <f>$E$197</f>
        <v>Dynamic</v>
      </c>
      <c r="F420" t="e">
        <f ca="1">_xll.BDH($B$197,$C$197,$B$236,$B$237,CONCATENATE("Per=",$B$234),"Dts=H","Dir=H",CONCATENATE("Points=",$B$235),"Sort=R","Days=A","Fill=B",CONCATENATE("FX=", $B$233),"cols=12;rows=1")</f>
        <v>#NAME?</v>
      </c>
      <c r="G420">
        <v>24.7789</v>
      </c>
      <c r="H420">
        <v>25.156099999999999</v>
      </c>
      <c r="I420">
        <v>28.253</v>
      </c>
      <c r="L420">
        <v>37.406700000000001</v>
      </c>
      <c r="M420">
        <v>35.128399999999999</v>
      </c>
      <c r="N420">
        <v>27.702500000000001</v>
      </c>
      <c r="O420">
        <v>23.619700000000002</v>
      </c>
      <c r="P420">
        <v>22.4222</v>
      </c>
      <c r="Q420">
        <v>28.927099999999999</v>
      </c>
      <c r="R420" t="str">
        <f>""</f>
        <v/>
      </c>
      <c r="S420" t="str">
        <f>""</f>
        <v/>
      </c>
      <c r="T420" t="str">
        <f>""</f>
        <v/>
      </c>
      <c r="U420" t="str">
        <f>""</f>
        <v/>
      </c>
      <c r="V420" t="str">
        <f>""</f>
        <v/>
      </c>
      <c r="W420" t="str">
        <f>""</f>
        <v/>
      </c>
      <c r="X420" t="str">
        <f>""</f>
        <v/>
      </c>
      <c r="Y420" t="str">
        <f>""</f>
        <v/>
      </c>
      <c r="Z420" t="str">
        <f>""</f>
        <v/>
      </c>
      <c r="AA420" t="str">
        <f>""</f>
        <v/>
      </c>
      <c r="AB420" t="str">
        <f>""</f>
        <v/>
      </c>
      <c r="AC420" t="str">
        <f>""</f>
        <v/>
      </c>
    </row>
    <row r="421" spans="1:29" x14ac:dyDescent="0.25">
      <c r="A421" t="str">
        <f>$A$198</f>
        <v xml:space="preserve">    Indra Sistemas SA</v>
      </c>
      <c r="B421" t="str">
        <f>$B$198</f>
        <v>IDR SM Equity</v>
      </c>
      <c r="C421" t="str">
        <f>$C$198</f>
        <v>RR029</v>
      </c>
      <c r="D421" t="str">
        <f>$D$198</f>
        <v>RETURN_COM_EQY</v>
      </c>
      <c r="E421" t="str">
        <f>$E$198</f>
        <v>Dynamic</v>
      </c>
      <c r="F421" t="e">
        <f ca="1">_xll.BDH($B$198,$C$198,$B$236,$B$237,CONCATENATE("Per=",$B$234),"Dts=H","Dir=H",CONCATENATE("Points=",$B$235),"Sort=R","Days=A","Fill=B",CONCATENATE("FX=", $B$233),"cols=12;rows=1")</f>
        <v>#NAME?</v>
      </c>
      <c r="G421">
        <v>18.5928</v>
      </c>
      <c r="H421">
        <v>25.474399999999999</v>
      </c>
      <c r="I421">
        <v>21.224799999999998</v>
      </c>
      <c r="J421">
        <v>-103.8415</v>
      </c>
      <c r="K421">
        <v>-8.9019999999999992</v>
      </c>
      <c r="L421">
        <v>10.4681</v>
      </c>
      <c r="M421">
        <v>12.4291</v>
      </c>
      <c r="N421">
        <v>17.773299999999999</v>
      </c>
      <c r="O421">
        <v>19.609100000000002</v>
      </c>
      <c r="P421">
        <v>22.833400000000001</v>
      </c>
      <c r="Q421">
        <v>24.6846</v>
      </c>
      <c r="R421" t="str">
        <f>""</f>
        <v/>
      </c>
      <c r="S421" t="str">
        <f>""</f>
        <v/>
      </c>
      <c r="T421" t="str">
        <f>""</f>
        <v/>
      </c>
      <c r="U421" t="str">
        <f>""</f>
        <v/>
      </c>
      <c r="V421" t="str">
        <f>""</f>
        <v/>
      </c>
      <c r="W421" t="str">
        <f>""</f>
        <v/>
      </c>
      <c r="X421" t="str">
        <f>""</f>
        <v/>
      </c>
      <c r="Y421" t="str">
        <f>""</f>
        <v/>
      </c>
      <c r="Z421" t="str">
        <f>""</f>
        <v/>
      </c>
      <c r="AA421" t="str">
        <f>""</f>
        <v/>
      </c>
      <c r="AB421" t="str">
        <f>""</f>
        <v/>
      </c>
      <c r="AC421" t="str">
        <f>""</f>
        <v/>
      </c>
    </row>
    <row r="422" spans="1:29" x14ac:dyDescent="0.25">
      <c r="A422" t="str">
        <f>$A$199</f>
        <v xml:space="preserve">    Infosys Ltd</v>
      </c>
      <c r="B422" t="str">
        <f>$B$199</f>
        <v>INFY US Equity</v>
      </c>
      <c r="C422" t="str">
        <f>$C$199</f>
        <v>RR029</v>
      </c>
      <c r="D422" t="str">
        <f>$D$199</f>
        <v>RETURN_COM_EQY</v>
      </c>
      <c r="E422" t="str">
        <f>$E$199</f>
        <v>Dynamic</v>
      </c>
      <c r="F422" t="e">
        <f ca="1">_xll.BDH($B$199,$C$199,$B$236,$B$237,CONCATENATE("Per=",$B$234),"Dts=H","Dir=H",CONCATENATE("Points=",$B$235),"Sort=R","Days=A","Fill=B",CONCATENATE("FX=", $B$233),"cols=12;rows=1")</f>
        <v>#NAME?</v>
      </c>
      <c r="G422">
        <v>23.722000000000001</v>
      </c>
      <c r="H422">
        <v>23.940899999999999</v>
      </c>
      <c r="I422">
        <v>21.9589</v>
      </c>
      <c r="J422">
        <v>23.1557</v>
      </c>
      <c r="K422">
        <v>24.1053</v>
      </c>
      <c r="L422">
        <v>24.386500000000002</v>
      </c>
      <c r="M422">
        <v>25.720099999999999</v>
      </c>
      <c r="N422">
        <v>27.982600000000001</v>
      </c>
      <c r="O422">
        <v>27.313199999999998</v>
      </c>
      <c r="P422">
        <v>29.3855</v>
      </c>
      <c r="Q422">
        <v>37.367800000000003</v>
      </c>
      <c r="R422" t="str">
        <f>""</f>
        <v/>
      </c>
      <c r="S422" t="str">
        <f>""</f>
        <v/>
      </c>
      <c r="T422" t="str">
        <f>""</f>
        <v/>
      </c>
      <c r="U422" t="str">
        <f>""</f>
        <v/>
      </c>
      <c r="V422" t="str">
        <f>""</f>
        <v/>
      </c>
      <c r="W422" t="str">
        <f>""</f>
        <v/>
      </c>
      <c r="X422" t="str">
        <f>""</f>
        <v/>
      </c>
      <c r="Y422" t="str">
        <f>""</f>
        <v/>
      </c>
      <c r="Z422" t="str">
        <f>""</f>
        <v/>
      </c>
      <c r="AA422" t="str">
        <f>""</f>
        <v/>
      </c>
      <c r="AB422" t="str">
        <f>""</f>
        <v/>
      </c>
      <c r="AC422" t="str">
        <f>""</f>
        <v/>
      </c>
    </row>
    <row r="423" spans="1:29" x14ac:dyDescent="0.25">
      <c r="A423" t="str">
        <f>$A$200</f>
        <v xml:space="preserve">    International Business Machines Corp</v>
      </c>
      <c r="B423" t="str">
        <f>$B$200</f>
        <v>IBM US Equity</v>
      </c>
      <c r="C423" t="str">
        <f>$C$200</f>
        <v>RR029</v>
      </c>
      <c r="D423" t="str">
        <f>$D$200</f>
        <v>RETURN_COM_EQY</v>
      </c>
      <c r="E423" t="str">
        <f>$E$200</f>
        <v>Dynamic</v>
      </c>
      <c r="F423" t="e">
        <f ca="1">_xll.BDH($B$200,$C$200,$B$236,$B$237,CONCATENATE("Per=",$B$234),"Dts=H","Dir=H",CONCATENATE("Points=",$B$235),"Sort=R","Days=A","Fill=B",CONCATENATE("FX=", $B$233),"cols=12;rows=1")</f>
        <v>#NAME?</v>
      </c>
      <c r="G423">
        <v>50.763399999999997</v>
      </c>
      <c r="H423">
        <v>32.1051</v>
      </c>
      <c r="I423">
        <v>73.040499999999994</v>
      </c>
      <c r="J423">
        <v>100.9568</v>
      </c>
      <c r="K423">
        <v>69.370999999999995</v>
      </c>
      <c r="L423">
        <v>79.146299999999997</v>
      </c>
      <c r="M423">
        <v>85.153099999999995</v>
      </c>
      <c r="N423">
        <v>73.430000000000007</v>
      </c>
      <c r="O423">
        <v>64.938800000000001</v>
      </c>
      <c r="P423">
        <v>74.370599999999996</v>
      </c>
      <c r="Q423">
        <v>58.824399999999997</v>
      </c>
      <c r="R423" t="str">
        <f>""</f>
        <v/>
      </c>
      <c r="S423" t="str">
        <f>""</f>
        <v/>
      </c>
      <c r="T423" t="str">
        <f>""</f>
        <v/>
      </c>
      <c r="U423" t="str">
        <f>""</f>
        <v/>
      </c>
      <c r="V423" t="str">
        <f>""</f>
        <v/>
      </c>
      <c r="W423" t="str">
        <f>""</f>
        <v/>
      </c>
      <c r="X423" t="str">
        <f>""</f>
        <v/>
      </c>
      <c r="Y423" t="str">
        <f>""</f>
        <v/>
      </c>
      <c r="Z423" t="str">
        <f>""</f>
        <v/>
      </c>
      <c r="AA423" t="str">
        <f>""</f>
        <v/>
      </c>
      <c r="AB423" t="str">
        <f>""</f>
        <v/>
      </c>
      <c r="AC423" t="str">
        <f>""</f>
        <v/>
      </c>
    </row>
    <row r="424" spans="1:29" x14ac:dyDescent="0.25">
      <c r="A424" t="str">
        <f>$A$201</f>
        <v xml:space="preserve">    Tata Consultancy Services Ltd</v>
      </c>
      <c r="B424" t="str">
        <f>$B$201</f>
        <v>TCS IN Equity</v>
      </c>
      <c r="C424" t="str">
        <f>$C$201</f>
        <v>RR029</v>
      </c>
      <c r="D424" t="str">
        <f>$D$201</f>
        <v>RETURN_COM_EQY</v>
      </c>
      <c r="E424" t="str">
        <f>$E$201</f>
        <v>Dynamic</v>
      </c>
      <c r="F424" t="e">
        <f ca="1">_xll.BDH($B$201,$C$201,$B$236,$B$237,CONCATENATE("Per=",$B$234),"Dts=H","Dir=H",CONCATENATE("Points=",$B$235),"Sort=R","Days=A","Fill=B",CONCATENATE("FX=", $B$233),"cols=12;rows=1")</f>
        <v>#NAME?</v>
      </c>
      <c r="G424">
        <v>35.2042</v>
      </c>
      <c r="H424">
        <v>29.422000000000001</v>
      </c>
      <c r="I424">
        <v>32.555199999999999</v>
      </c>
      <c r="J424">
        <v>37.064</v>
      </c>
      <c r="K424">
        <v>34.8339</v>
      </c>
      <c r="L424">
        <v>40.725700000000003</v>
      </c>
      <c r="M424">
        <v>40.852899999999998</v>
      </c>
      <c r="N424">
        <v>38.556600000000003</v>
      </c>
      <c r="O424">
        <v>42.342500000000001</v>
      </c>
      <c r="P424">
        <v>41.103900000000003</v>
      </c>
      <c r="Q424">
        <v>37.756900000000002</v>
      </c>
      <c r="R424" t="str">
        <f>""</f>
        <v/>
      </c>
      <c r="S424" t="str">
        <f>""</f>
        <v/>
      </c>
      <c r="T424" t="str">
        <f>""</f>
        <v/>
      </c>
      <c r="U424" t="str">
        <f>""</f>
        <v/>
      </c>
      <c r="V424" t="str">
        <f>""</f>
        <v/>
      </c>
      <c r="W424" t="str">
        <f>""</f>
        <v/>
      </c>
      <c r="X424" t="str">
        <f>""</f>
        <v/>
      </c>
      <c r="Y424" t="str">
        <f>""</f>
        <v/>
      </c>
      <c r="Z424" t="str">
        <f>""</f>
        <v/>
      </c>
      <c r="AA424" t="str">
        <f>""</f>
        <v/>
      </c>
      <c r="AB424" t="str">
        <f>""</f>
        <v/>
      </c>
      <c r="AC424" t="str">
        <f>""</f>
        <v/>
      </c>
    </row>
    <row r="425" spans="1:29" x14ac:dyDescent="0.25">
      <c r="A425" t="str">
        <f>$A$202</f>
        <v xml:space="preserve">    Tech Mahindra Ltd</v>
      </c>
      <c r="B425" t="str">
        <f>$B$202</f>
        <v>TECHM IN Equity</v>
      </c>
      <c r="C425" t="str">
        <f>$C$202</f>
        <v>RR029</v>
      </c>
      <c r="D425" t="str">
        <f>$D$202</f>
        <v>RETURN_COM_EQY</v>
      </c>
      <c r="E425" t="str">
        <f>$E$202</f>
        <v>Dynamic</v>
      </c>
      <c r="F425" t="e">
        <f ca="1">_xll.BDH($B$202,$C$202,$B$236,$B$237,CONCATENATE("Per=",$B$234),"Dts=H","Dir=H",CONCATENATE("Points=",$B$235),"Sort=R","Days=A","Fill=B",CONCATENATE("FX=", $B$233),"cols=12;rows=1")</f>
        <v>#NAME?</v>
      </c>
      <c r="G425">
        <v>21.967400000000001</v>
      </c>
      <c r="H425">
        <v>21.540800000000001</v>
      </c>
      <c r="I425">
        <v>18.1313</v>
      </c>
      <c r="J425">
        <v>22.302</v>
      </c>
      <c r="K425">
        <v>24.522500000000001</v>
      </c>
      <c r="L425">
        <v>41.468800000000002</v>
      </c>
      <c r="M425">
        <v>27.178799999999999</v>
      </c>
      <c r="N425">
        <v>29.5989</v>
      </c>
      <c r="O425">
        <v>20.654399999999999</v>
      </c>
      <c r="P425">
        <v>29.007999999999999</v>
      </c>
      <c r="Q425">
        <v>63.398299999999999</v>
      </c>
      <c r="R425" t="str">
        <f>""</f>
        <v/>
      </c>
      <c r="S425" t="str">
        <f>""</f>
        <v/>
      </c>
      <c r="T425" t="str">
        <f>""</f>
        <v/>
      </c>
      <c r="U425" t="str">
        <f>""</f>
        <v/>
      </c>
      <c r="V425" t="str">
        <f>""</f>
        <v/>
      </c>
      <c r="W425" t="str">
        <f>""</f>
        <v/>
      </c>
      <c r="X425" t="str">
        <f>""</f>
        <v/>
      </c>
      <c r="Y425" t="str">
        <f>""</f>
        <v/>
      </c>
      <c r="Z425" t="str">
        <f>""</f>
        <v/>
      </c>
      <c r="AA425" t="str">
        <f>""</f>
        <v/>
      </c>
      <c r="AB425" t="str">
        <f>""</f>
        <v/>
      </c>
      <c r="AC425" t="str">
        <f>""</f>
        <v/>
      </c>
    </row>
    <row r="426" spans="1:29" x14ac:dyDescent="0.25">
      <c r="A426" t="str">
        <f>$A$203</f>
        <v xml:space="preserve">    Wipro Ltd</v>
      </c>
      <c r="B426" t="str">
        <f>$B$203</f>
        <v>WIT US Equity</v>
      </c>
      <c r="C426" t="str">
        <f>$C$203</f>
        <v>RR029</v>
      </c>
      <c r="D426" t="str">
        <f>$D$203</f>
        <v>RETURN_COM_EQY</v>
      </c>
      <c r="E426" t="str">
        <f>$E$203</f>
        <v>Dynamic</v>
      </c>
      <c r="F426" t="e">
        <f ca="1">_xll.BDH($B$203,$C$203,$B$236,$B$237,CONCATENATE("Per=",$B$234),"Dts=H","Dir=H",CONCATENATE("Points=",$B$235),"Sort=R","Days=A","Fill=B",CONCATENATE("FX=", $B$233),"cols=12;rows=1")</f>
        <v>#NAME?</v>
      </c>
      <c r="G426">
        <v>17.131599999999999</v>
      </c>
      <c r="H426">
        <v>15.964499999999999</v>
      </c>
      <c r="I426">
        <v>17.229199999999999</v>
      </c>
      <c r="J426">
        <v>20.402999999999999</v>
      </c>
      <c r="K426">
        <v>23.028700000000001</v>
      </c>
      <c r="L426">
        <v>24.857500000000002</v>
      </c>
      <c r="M426">
        <v>23.319600000000001</v>
      </c>
      <c r="N426">
        <v>21.230699999999999</v>
      </c>
      <c r="O426">
        <v>25.100300000000001</v>
      </c>
      <c r="P426">
        <v>29.058</v>
      </c>
      <c r="Q426">
        <v>30.798500000000001</v>
      </c>
      <c r="R426" t="str">
        <f>""</f>
        <v/>
      </c>
      <c r="S426" t="str">
        <f>""</f>
        <v/>
      </c>
      <c r="T426" t="str">
        <f>""</f>
        <v/>
      </c>
      <c r="U426" t="str">
        <f>""</f>
        <v/>
      </c>
      <c r="V426" t="str">
        <f>""</f>
        <v/>
      </c>
      <c r="W426" t="str">
        <f>""</f>
        <v/>
      </c>
      <c r="X426" t="str">
        <f>""</f>
        <v/>
      </c>
      <c r="Y426" t="str">
        <f>""</f>
        <v/>
      </c>
      <c r="Z426" t="str">
        <f>""</f>
        <v/>
      </c>
      <c r="AA426" t="str">
        <f>""</f>
        <v/>
      </c>
      <c r="AB426" t="str">
        <f>""</f>
        <v/>
      </c>
      <c r="AC426" t="str">
        <f>""</f>
        <v/>
      </c>
    </row>
    <row r="427" spans="1:29" x14ac:dyDescent="0.25">
      <c r="A427" t="str">
        <f>$A$205</f>
        <v xml:space="preserve">    Accenture PLC</v>
      </c>
      <c r="B427" t="str">
        <f>$B$205</f>
        <v>ACN US Equity</v>
      </c>
      <c r="C427" t="str">
        <f>$C$205</f>
        <v>RR710</v>
      </c>
      <c r="D427" t="str">
        <f>$D$205</f>
        <v>RETURN_ON_INV_CAPITAL</v>
      </c>
      <c r="E427" t="str">
        <f>$E$205</f>
        <v>Dynamic</v>
      </c>
      <c r="F427" t="e">
        <f ca="1">_xll.BDH($B$205,$C$205,$B$236,$B$237,CONCATENATE("Per=",$B$234),"Dts=H","Dir=H",CONCATENATE("Points=",$B$235),"Sort=R","Days=A","Fill=B",CONCATENATE("FX=", $B$233),"cols=12;rows=1")</f>
        <v>#NAME?</v>
      </c>
      <c r="G427">
        <v>48.910299999999999</v>
      </c>
      <c r="H427">
        <v>55.718400000000003</v>
      </c>
      <c r="I427">
        <v>63.369100000000003</v>
      </c>
      <c r="J427">
        <v>61.348799999999997</v>
      </c>
      <c r="K427">
        <v>59.843899999999998</v>
      </c>
      <c r="L427">
        <v>78.299400000000006</v>
      </c>
      <c r="M427">
        <v>69.563400000000001</v>
      </c>
      <c r="N427">
        <v>72.672799999999995</v>
      </c>
      <c r="O427">
        <v>67.210499999999996</v>
      </c>
      <c r="P427">
        <v>63.762300000000003</v>
      </c>
      <c r="Q427">
        <v>65.865499999999997</v>
      </c>
      <c r="R427" t="str">
        <f>""</f>
        <v/>
      </c>
      <c r="S427" t="str">
        <f>""</f>
        <v/>
      </c>
      <c r="T427" t="str">
        <f>""</f>
        <v/>
      </c>
      <c r="U427" t="str">
        <f>""</f>
        <v/>
      </c>
      <c r="V427" t="str">
        <f>""</f>
        <v/>
      </c>
      <c r="W427" t="str">
        <f>""</f>
        <v/>
      </c>
      <c r="X427" t="str">
        <f>""</f>
        <v/>
      </c>
      <c r="Y427" t="str">
        <f>""</f>
        <v/>
      </c>
      <c r="Z427" t="str">
        <f>""</f>
        <v/>
      </c>
      <c r="AA427" t="str">
        <f>""</f>
        <v/>
      </c>
      <c r="AB427" t="str">
        <f>""</f>
        <v/>
      </c>
      <c r="AC427" t="str">
        <f>""</f>
        <v/>
      </c>
    </row>
    <row r="428" spans="1:29" x14ac:dyDescent="0.25">
      <c r="A428" t="str">
        <f>$A$206</f>
        <v xml:space="preserve">    Amdocs Ltd</v>
      </c>
      <c r="B428" t="str">
        <f>$B$206</f>
        <v>DOX US Equity</v>
      </c>
      <c r="C428" t="str">
        <f>$C$206</f>
        <v>RR710</v>
      </c>
      <c r="D428" t="str">
        <f>$D$206</f>
        <v>RETURN_ON_INV_CAPITAL</v>
      </c>
      <c r="E428" t="str">
        <f>$E$206</f>
        <v>Dynamic</v>
      </c>
      <c r="F428" t="e">
        <f ca="1">_xll.BDH($B$206,$C$206,$B$236,$B$237,CONCATENATE("Per=",$B$234),"Dts=H","Dir=H",CONCATENATE("Points=",$B$235),"Sort=R","Days=A","Fill=B",CONCATENATE("FX=", $B$233),"cols=12;rows=1")</f>
        <v>#NAME?</v>
      </c>
      <c r="G428">
        <v>10.0329</v>
      </c>
      <c r="H428">
        <v>12.2935</v>
      </c>
      <c r="I428">
        <v>10.995900000000001</v>
      </c>
      <c r="J428">
        <v>11.507300000000001</v>
      </c>
      <c r="K428">
        <v>11.189399999999999</v>
      </c>
      <c r="L428">
        <v>11.618600000000001</v>
      </c>
      <c r="M428">
        <v>11.2951</v>
      </c>
      <c r="N428">
        <v>9.9632000000000005</v>
      </c>
      <c r="O428">
        <v>10.4834</v>
      </c>
      <c r="P428">
        <v>9.6669</v>
      </c>
      <c r="Q428">
        <v>11.543799999999999</v>
      </c>
      <c r="R428" t="str">
        <f>""</f>
        <v/>
      </c>
      <c r="S428" t="str">
        <f>""</f>
        <v/>
      </c>
      <c r="T428" t="str">
        <f>""</f>
        <v/>
      </c>
      <c r="U428" t="str">
        <f>""</f>
        <v/>
      </c>
      <c r="V428" t="str">
        <f>""</f>
        <v/>
      </c>
      <c r="W428" t="str">
        <f>""</f>
        <v/>
      </c>
      <c r="X428" t="str">
        <f>""</f>
        <v/>
      </c>
      <c r="Y428" t="str">
        <f>""</f>
        <v/>
      </c>
      <c r="Z428" t="str">
        <f>""</f>
        <v/>
      </c>
      <c r="AA428" t="str">
        <f>""</f>
        <v/>
      </c>
      <c r="AB428" t="str">
        <f>""</f>
        <v/>
      </c>
      <c r="AC428" t="str">
        <f>""</f>
        <v/>
      </c>
    </row>
    <row r="429" spans="1:29" x14ac:dyDescent="0.25">
      <c r="A429" t="str">
        <f>$A$207</f>
        <v xml:space="preserve">    Atos SE</v>
      </c>
      <c r="B429" t="str">
        <f>$B$207</f>
        <v>ATO FP Equity</v>
      </c>
      <c r="C429" t="str">
        <f>$C$207</f>
        <v>RR710</v>
      </c>
      <c r="D429" t="str">
        <f>$D$207</f>
        <v>RETURN_ON_INV_CAPITAL</v>
      </c>
      <c r="E429" t="str">
        <f>$E$207</f>
        <v>Dynamic</v>
      </c>
      <c r="F429" t="e">
        <f ca="1">_xll.BDH($B$207,$C$207,$B$236,$B$237,CONCATENATE("Per=",$B$234),"Dts=H","Dir=H",CONCATENATE("Points=",$B$235),"Sort=R","Days=A","Fill=B",CONCATENATE("FX=", $B$233),"cols=12;rows=1")</f>
        <v>#NAME?</v>
      </c>
      <c r="G429">
        <v>5.6058000000000003</v>
      </c>
      <c r="H429">
        <v>8.3194999999999997</v>
      </c>
      <c r="I429">
        <v>10.263400000000001</v>
      </c>
      <c r="J429">
        <v>8.4593000000000007</v>
      </c>
      <c r="K429">
        <v>6.5522999999999998</v>
      </c>
      <c r="L429">
        <v>5.4264999999999999</v>
      </c>
      <c r="M429">
        <v>3.4203000000000001</v>
      </c>
      <c r="N429">
        <v>6.7518000000000002</v>
      </c>
      <c r="O429">
        <v>6.6695000000000002</v>
      </c>
      <c r="P429">
        <v>1.319</v>
      </c>
      <c r="Q429">
        <v>3.2376</v>
      </c>
      <c r="R429" t="str">
        <f>""</f>
        <v/>
      </c>
      <c r="S429" t="str">
        <f>""</f>
        <v/>
      </c>
      <c r="T429" t="str">
        <f>""</f>
        <v/>
      </c>
      <c r="U429" t="str">
        <f>""</f>
        <v/>
      </c>
      <c r="V429" t="str">
        <f>""</f>
        <v/>
      </c>
      <c r="W429" t="str">
        <f>""</f>
        <v/>
      </c>
      <c r="X429" t="str">
        <f>""</f>
        <v/>
      </c>
      <c r="Y429" t="str">
        <f>""</f>
        <v/>
      </c>
      <c r="Z429" t="str">
        <f>""</f>
        <v/>
      </c>
      <c r="AA429" t="str">
        <f>""</f>
        <v/>
      </c>
      <c r="AB429" t="str">
        <f>""</f>
        <v/>
      </c>
      <c r="AC429" t="str">
        <f>""</f>
        <v/>
      </c>
    </row>
    <row r="430" spans="1:29" x14ac:dyDescent="0.25">
      <c r="A430" t="str">
        <f>$A$208</f>
        <v xml:space="preserve">    Capgemini SE</v>
      </c>
      <c r="B430" t="str">
        <f>$B$208</f>
        <v>CAP FP Equity</v>
      </c>
      <c r="C430" t="str">
        <f>$C$208</f>
        <v>RR710</v>
      </c>
      <c r="D430" t="str">
        <f>$D$208</f>
        <v>RETURN_ON_INV_CAPITAL</v>
      </c>
      <c r="E430" t="str">
        <f>$E$208</f>
        <v>Dynamic</v>
      </c>
      <c r="F430" t="e">
        <f ca="1">_xll.BDH($B$208,$C$208,$B$236,$B$237,CONCATENATE("Per=",$B$234),"Dts=H","Dir=H",CONCATENATE("Points=",$B$235),"Sort=R","Days=A","Fill=B",CONCATENATE("FX=", $B$233),"cols=12;rows=1")</f>
        <v>#NAME?</v>
      </c>
      <c r="G430">
        <v>7.8571999999999997</v>
      </c>
      <c r="H430">
        <v>9.2449999999999992</v>
      </c>
      <c r="I430">
        <v>11.258900000000001</v>
      </c>
      <c r="J430">
        <v>16.165299999999998</v>
      </c>
      <c r="K430">
        <v>13.358000000000001</v>
      </c>
      <c r="L430">
        <v>9.1670999999999996</v>
      </c>
      <c r="M430">
        <v>7.3623000000000003</v>
      </c>
      <c r="N430">
        <v>9.8954000000000004</v>
      </c>
      <c r="O430">
        <v>7.6642000000000001</v>
      </c>
      <c r="P430">
        <v>4.7663000000000002</v>
      </c>
      <c r="Q430">
        <v>12.6935</v>
      </c>
      <c r="R430" t="str">
        <f>""</f>
        <v/>
      </c>
      <c r="S430" t="str">
        <f>""</f>
        <v/>
      </c>
      <c r="T430" t="str">
        <f>""</f>
        <v/>
      </c>
      <c r="U430" t="str">
        <f>""</f>
        <v/>
      </c>
      <c r="V430" t="str">
        <f>""</f>
        <v/>
      </c>
      <c r="W430" t="str">
        <f>""</f>
        <v/>
      </c>
      <c r="X430" t="str">
        <f>""</f>
        <v/>
      </c>
      <c r="Y430" t="str">
        <f>""</f>
        <v/>
      </c>
      <c r="Z430" t="str">
        <f>""</f>
        <v/>
      </c>
      <c r="AA430" t="str">
        <f>""</f>
        <v/>
      </c>
      <c r="AB430" t="str">
        <f>""</f>
        <v/>
      </c>
      <c r="AC430" t="str">
        <f>""</f>
        <v/>
      </c>
    </row>
    <row r="431" spans="1:29" x14ac:dyDescent="0.25">
      <c r="A431" t="str">
        <f>$A$209</f>
        <v xml:space="preserve">    CGI Inc</v>
      </c>
      <c r="B431" t="str">
        <f>$B$209</f>
        <v>GIB US Equity</v>
      </c>
      <c r="C431" t="str">
        <f>$C$209</f>
        <v>RR710</v>
      </c>
      <c r="D431" t="str">
        <f>$D$209</f>
        <v>RETURN_ON_INV_CAPITAL</v>
      </c>
      <c r="E431" t="str">
        <f>$E$209</f>
        <v>Dynamic</v>
      </c>
      <c r="F431" t="e">
        <f ca="1">_xll.BDH($B$209,$C$209,$B$236,$B$237,CONCATENATE("Per=",$B$234),"Dts=H","Dir=H",CONCATENATE("Points=",$B$235),"Sort=R","Days=A","Fill=B",CONCATENATE("FX=", $B$233),"cols=12;rows=1")</f>
        <v>#NAME?</v>
      </c>
      <c r="G431">
        <v>14.1929</v>
      </c>
      <c r="H431">
        <v>12.954700000000001</v>
      </c>
      <c r="I431">
        <v>13.521699999999999</v>
      </c>
      <c r="J431">
        <v>13.270899999999999</v>
      </c>
      <c r="K431">
        <v>12.9678</v>
      </c>
      <c r="L431">
        <v>7.8903999999999996</v>
      </c>
      <c r="M431">
        <v>2.8447</v>
      </c>
      <c r="N431">
        <v>11.938000000000001</v>
      </c>
      <c r="O431">
        <v>176.60919999999999</v>
      </c>
      <c r="P431">
        <v>193.47620000000001</v>
      </c>
      <c r="Q431">
        <v>212.0427</v>
      </c>
      <c r="R431" t="str">
        <f>""</f>
        <v/>
      </c>
      <c r="S431" t="str">
        <f>""</f>
        <v/>
      </c>
      <c r="T431" t="str">
        <f>""</f>
        <v/>
      </c>
      <c r="U431" t="str">
        <f>""</f>
        <v/>
      </c>
      <c r="V431" t="str">
        <f>""</f>
        <v/>
      </c>
      <c r="W431" t="str">
        <f>""</f>
        <v/>
      </c>
      <c r="X431" t="str">
        <f>""</f>
        <v/>
      </c>
      <c r="Y431" t="str">
        <f>""</f>
        <v/>
      </c>
      <c r="Z431" t="str">
        <f>""</f>
        <v/>
      </c>
      <c r="AA431" t="str">
        <f>""</f>
        <v/>
      </c>
      <c r="AB431" t="str">
        <f>""</f>
        <v/>
      </c>
      <c r="AC431" t="str">
        <f>""</f>
        <v/>
      </c>
    </row>
    <row r="432" spans="1:29" x14ac:dyDescent="0.25">
      <c r="A432" t="str">
        <f>$A$210</f>
        <v xml:space="preserve">    Cognizant Technology Solutions Corp</v>
      </c>
      <c r="B432" t="str">
        <f>$B$210</f>
        <v>CTSH US Equity</v>
      </c>
      <c r="C432" t="str">
        <f>$C$210</f>
        <v>RR710</v>
      </c>
      <c r="D432" t="str">
        <f>$D$210</f>
        <v>RETURN_ON_INV_CAPITAL</v>
      </c>
      <c r="E432" t="str">
        <f>$E$210</f>
        <v>Dynamic</v>
      </c>
      <c r="F432" t="e">
        <f ca="1">_xll.BDH($B$210,$C$210,$B$236,$B$237,CONCATENATE("Per=",$B$234),"Dts=H","Dir=H",CONCATENATE("Points=",$B$235),"Sort=R","Days=A","Fill=B",CONCATENATE("FX=", $B$233),"cols=12;rows=1")</f>
        <v>#NAME?</v>
      </c>
      <c r="G432">
        <v>17.8813</v>
      </c>
      <c r="H432">
        <v>12.4232</v>
      </c>
      <c r="I432">
        <v>14.0189</v>
      </c>
      <c r="J432">
        <v>16.497199999999999</v>
      </c>
      <c r="K432">
        <v>18.459800000000001</v>
      </c>
      <c r="L432">
        <v>22.627700000000001</v>
      </c>
      <c r="M432">
        <v>24.049399999999999</v>
      </c>
      <c r="N432">
        <v>23.340399999999999</v>
      </c>
      <c r="O432">
        <v>23.5352</v>
      </c>
      <c r="P432">
        <v>22.919899999999998</v>
      </c>
      <c r="Q432">
        <v>25.331900000000001</v>
      </c>
      <c r="R432" t="str">
        <f>""</f>
        <v/>
      </c>
      <c r="S432" t="str">
        <f>""</f>
        <v/>
      </c>
      <c r="T432" t="str">
        <f>""</f>
        <v/>
      </c>
      <c r="U432" t="str">
        <f>""</f>
        <v/>
      </c>
      <c r="V432" t="str">
        <f>""</f>
        <v/>
      </c>
      <c r="W432" t="str">
        <f>""</f>
        <v/>
      </c>
      <c r="X432" t="str">
        <f>""</f>
        <v/>
      </c>
      <c r="Y432" t="str">
        <f>""</f>
        <v/>
      </c>
      <c r="Z432" t="str">
        <f>""</f>
        <v/>
      </c>
      <c r="AA432" t="str">
        <f>""</f>
        <v/>
      </c>
      <c r="AB432" t="str">
        <f>""</f>
        <v/>
      </c>
      <c r="AC432" t="str">
        <f>""</f>
        <v/>
      </c>
    </row>
    <row r="433" spans="1:29" x14ac:dyDescent="0.25">
      <c r="A433" t="str">
        <f>$A$211</f>
        <v xml:space="preserve">    Conduent Inc</v>
      </c>
      <c r="B433" t="str">
        <f>$B$211</f>
        <v>CNDT US Equity</v>
      </c>
      <c r="C433" t="str">
        <f>$C$211</f>
        <v>RR710</v>
      </c>
      <c r="D433" t="str">
        <f>$D$211</f>
        <v>RETURN_ON_INV_CAPITAL</v>
      </c>
      <c r="E433" t="str">
        <f>$E$211</f>
        <v>Dynamic</v>
      </c>
      <c r="F433" t="e">
        <f ca="1">_xll.BDH($B$211,$C$211,$B$236,$B$237,CONCATENATE("Per=",$B$234),"Dts=H","Dir=H",CONCATENATE("Points=",$B$235),"Sort=R","Days=A","Fill=B",CONCATENATE("FX=", $B$233),"cols=12;rows=1")</f>
        <v>#NAME?</v>
      </c>
      <c r="G433">
        <v>-6.0678999999999998</v>
      </c>
      <c r="H433">
        <v>4.6684999999999999</v>
      </c>
      <c r="I433">
        <v>-15.541600000000001</v>
      </c>
      <c r="J433">
        <v>-3.8031999999999999</v>
      </c>
      <c r="R433" t="str">
        <f>""</f>
        <v/>
      </c>
      <c r="S433" t="str">
        <f>""</f>
        <v/>
      </c>
      <c r="T433" t="str">
        <f>""</f>
        <v/>
      </c>
      <c r="U433" t="str">
        <f>""</f>
        <v/>
      </c>
      <c r="V433" t="str">
        <f>""</f>
        <v/>
      </c>
      <c r="W433" t="str">
        <f>""</f>
        <v/>
      </c>
      <c r="X433" t="str">
        <f>""</f>
        <v/>
      </c>
      <c r="Y433" t="str">
        <f>""</f>
        <v/>
      </c>
      <c r="Z433" t="str">
        <f>""</f>
        <v/>
      </c>
      <c r="AA433" t="str">
        <f>""</f>
        <v/>
      </c>
      <c r="AB433" t="str">
        <f>""</f>
        <v/>
      </c>
      <c r="AC433" t="str">
        <f>""</f>
        <v/>
      </c>
    </row>
    <row r="434" spans="1:29" x14ac:dyDescent="0.25">
      <c r="A434" t="str">
        <f>$A$212</f>
        <v xml:space="preserve">    DXC Technology Co</v>
      </c>
      <c r="B434" t="str">
        <f>$B$212</f>
        <v>DXC US Equity</v>
      </c>
      <c r="C434" t="str">
        <f>$C$212</f>
        <v>RR710</v>
      </c>
      <c r="D434" t="str">
        <f>$D$212</f>
        <v>RETURN_ON_INV_CAPITAL</v>
      </c>
      <c r="E434" t="str">
        <f>$E$212</f>
        <v>Dynamic</v>
      </c>
      <c r="F434" t="e">
        <f ca="1">_xll.BDH($B$212,$C$212,$B$236,$B$237,CONCATENATE("Per=",$B$234),"Dts=H","Dir=H",CONCATENATE("Points=",$B$235),"Sort=R","Days=A","Fill=B",CONCATENATE("FX=", $B$233),"cols=12;rows=1")</f>
        <v>#NAME?</v>
      </c>
      <c r="G434">
        <v>5.6124999999999998</v>
      </c>
      <c r="H434">
        <v>5.3933</v>
      </c>
      <c r="R434" t="str">
        <f>""</f>
        <v/>
      </c>
      <c r="S434" t="str">
        <f>""</f>
        <v/>
      </c>
      <c r="T434" t="str">
        <f>""</f>
        <v/>
      </c>
      <c r="U434" t="str">
        <f>""</f>
        <v/>
      </c>
      <c r="V434" t="str">
        <f>""</f>
        <v/>
      </c>
      <c r="W434" t="str">
        <f>""</f>
        <v/>
      </c>
      <c r="X434" t="str">
        <f>""</f>
        <v/>
      </c>
      <c r="Y434" t="str">
        <f>""</f>
        <v/>
      </c>
      <c r="Z434" t="str">
        <f>""</f>
        <v/>
      </c>
      <c r="AA434" t="str">
        <f>""</f>
        <v/>
      </c>
      <c r="AB434" t="str">
        <f>""</f>
        <v/>
      </c>
      <c r="AC434" t="str">
        <f>""</f>
        <v/>
      </c>
    </row>
    <row r="435" spans="1:29" x14ac:dyDescent="0.25">
      <c r="A435" t="str">
        <f>$A$213</f>
        <v xml:space="preserve">    EPAM Systems Inc</v>
      </c>
      <c r="B435" t="str">
        <f>$B$213</f>
        <v>EPAM US Equity</v>
      </c>
      <c r="C435" t="str">
        <f>$C$213</f>
        <v>RR710</v>
      </c>
      <c r="D435" t="str">
        <f>$D$213</f>
        <v>RETURN_ON_INV_CAPITAL</v>
      </c>
      <c r="E435" t="str">
        <f>$E$213</f>
        <v>Dynamic</v>
      </c>
      <c r="F435" t="e">
        <f ca="1">_xll.BDH($B$213,$C$213,$B$236,$B$237,CONCATENATE("Per=",$B$234),"Dts=H","Dir=H",CONCATENATE("Points=",$B$235),"Sort=R","Days=A","Fill=B",CONCATENATE("FX=", $B$233),"cols=12;rows=1")</f>
        <v>#NAME?</v>
      </c>
      <c r="G435">
        <v>20.415800000000001</v>
      </c>
      <c r="H435">
        <v>7.8995999999999995</v>
      </c>
      <c r="I435">
        <v>14.3188</v>
      </c>
      <c r="J435">
        <v>14.688000000000001</v>
      </c>
      <c r="K435">
        <v>15.8104</v>
      </c>
      <c r="L435">
        <v>17.949400000000001</v>
      </c>
      <c r="M435">
        <v>22.185500000000001</v>
      </c>
      <c r="N435">
        <v>27.634499999999999</v>
      </c>
      <c r="O435">
        <v>22.709499999999998</v>
      </c>
      <c r="R435" t="str">
        <f>""</f>
        <v/>
      </c>
      <c r="S435" t="str">
        <f>""</f>
        <v/>
      </c>
      <c r="T435" t="str">
        <f>""</f>
        <v/>
      </c>
      <c r="U435" t="str">
        <f>""</f>
        <v/>
      </c>
      <c r="V435" t="str">
        <f>""</f>
        <v/>
      </c>
      <c r="W435" t="str">
        <f>""</f>
        <v/>
      </c>
      <c r="X435" t="str">
        <f>""</f>
        <v/>
      </c>
      <c r="Y435" t="str">
        <f>""</f>
        <v/>
      </c>
      <c r="Z435" t="str">
        <f>""</f>
        <v/>
      </c>
      <c r="AA435" t="str">
        <f>""</f>
        <v/>
      </c>
      <c r="AB435" t="str">
        <f>""</f>
        <v/>
      </c>
      <c r="AC435" t="str">
        <f>""</f>
        <v/>
      </c>
    </row>
    <row r="436" spans="1:29" x14ac:dyDescent="0.25">
      <c r="A436" t="str">
        <f>$A$214</f>
        <v xml:space="preserve">    Genpact Ltd</v>
      </c>
      <c r="B436" t="str">
        <f>$B$214</f>
        <v>G US Equity</v>
      </c>
      <c r="C436" t="str">
        <f>$C$214</f>
        <v>RR710</v>
      </c>
      <c r="D436" t="str">
        <f>$D$214</f>
        <v>RETURN_ON_INV_CAPITAL</v>
      </c>
      <c r="E436" t="str">
        <f>$E$214</f>
        <v>Dynamic</v>
      </c>
      <c r="F436" t="e">
        <f ca="1">_xll.BDH($B$214,$C$214,$B$236,$B$237,CONCATENATE("Per=",$B$234),"Dts=H","Dir=H",CONCATENATE("Points=",$B$235),"Sort=R","Days=A","Fill=B",CONCATENATE("FX=", $B$233),"cols=12;rows=1")</f>
        <v>#NAME?</v>
      </c>
      <c r="G436">
        <v>10.235799999999999</v>
      </c>
      <c r="H436">
        <v>11.3683</v>
      </c>
      <c r="I436">
        <v>13.204000000000001</v>
      </c>
      <c r="J436">
        <v>13.0077</v>
      </c>
      <c r="K436">
        <v>11.4071</v>
      </c>
      <c r="L436">
        <v>12.6053</v>
      </c>
      <c r="M436">
        <v>10.4321</v>
      </c>
      <c r="N436">
        <v>9.89</v>
      </c>
      <c r="O436">
        <v>10.622299999999999</v>
      </c>
      <c r="P436">
        <v>12.620900000000001</v>
      </c>
      <c r="R436" t="str">
        <f>""</f>
        <v/>
      </c>
      <c r="S436" t="str">
        <f>""</f>
        <v/>
      </c>
      <c r="T436" t="str">
        <f>""</f>
        <v/>
      </c>
      <c r="U436" t="str">
        <f>""</f>
        <v/>
      </c>
      <c r="V436" t="str">
        <f>""</f>
        <v/>
      </c>
      <c r="W436" t="str">
        <f>""</f>
        <v/>
      </c>
      <c r="X436" t="str">
        <f>""</f>
        <v/>
      </c>
      <c r="Y436" t="str">
        <f>""</f>
        <v/>
      </c>
      <c r="Z436" t="str">
        <f>""</f>
        <v/>
      </c>
      <c r="AA436" t="str">
        <f>""</f>
        <v/>
      </c>
      <c r="AB436" t="str">
        <f>""</f>
        <v/>
      </c>
      <c r="AC436" t="str">
        <f>""</f>
        <v/>
      </c>
    </row>
    <row r="437" spans="1:29" x14ac:dyDescent="0.25">
      <c r="A437" t="str">
        <f>$A$215</f>
        <v xml:space="preserve">    HCL Technologies Ltd</v>
      </c>
      <c r="B437" t="str">
        <f>$B$215</f>
        <v>HCLT IN Equity</v>
      </c>
      <c r="C437" t="str">
        <f>$C$215</f>
        <v>RR710</v>
      </c>
      <c r="D437" t="str">
        <f>$D$215</f>
        <v>RETURN_ON_INV_CAPITAL</v>
      </c>
      <c r="E437" t="str">
        <f>$E$215</f>
        <v>Dynamic</v>
      </c>
      <c r="F437" t="e">
        <f ca="1">_xll.BDH($B$215,$C$215,$B$236,$B$237,CONCATENATE("Per=",$B$234),"Dts=H","Dir=H",CONCATENATE("Points=",$B$235),"Sort=R","Days=A","Fill=B",CONCATENATE("FX=", $B$233),"cols=12;rows=1")</f>
        <v>#NAME?</v>
      </c>
      <c r="G437">
        <v>22.587</v>
      </c>
      <c r="H437">
        <v>23.3324</v>
      </c>
      <c r="I437">
        <v>25.6069</v>
      </c>
      <c r="L437">
        <v>35.100900000000003</v>
      </c>
      <c r="M437">
        <v>28.5443</v>
      </c>
      <c r="N437">
        <v>21.385000000000002</v>
      </c>
      <c r="O437">
        <v>16.206</v>
      </c>
      <c r="P437">
        <v>15.4476</v>
      </c>
      <c r="Q437">
        <v>23.232600000000001</v>
      </c>
      <c r="R437" t="str">
        <f>""</f>
        <v/>
      </c>
      <c r="S437" t="str">
        <f>""</f>
        <v/>
      </c>
      <c r="T437" t="str">
        <f>""</f>
        <v/>
      </c>
      <c r="U437" t="str">
        <f>""</f>
        <v/>
      </c>
      <c r="V437" t="str">
        <f>""</f>
        <v/>
      </c>
      <c r="W437" t="str">
        <f>""</f>
        <v/>
      </c>
      <c r="X437" t="str">
        <f>""</f>
        <v/>
      </c>
      <c r="Y437" t="str">
        <f>""</f>
        <v/>
      </c>
      <c r="Z437" t="str">
        <f>""</f>
        <v/>
      </c>
      <c r="AA437" t="str">
        <f>""</f>
        <v/>
      </c>
      <c r="AB437" t="str">
        <f>""</f>
        <v/>
      </c>
      <c r="AC437" t="str">
        <f>""</f>
        <v/>
      </c>
    </row>
    <row r="438" spans="1:29" x14ac:dyDescent="0.25">
      <c r="A438" t="str">
        <f>$A$216</f>
        <v xml:space="preserve">    Indra Sistemas SA</v>
      </c>
      <c r="B438" t="str">
        <f>$B$216</f>
        <v>IDR SM Equity</v>
      </c>
      <c r="C438" t="str">
        <f>$C$216</f>
        <v>RR710</v>
      </c>
      <c r="D438" t="str">
        <f>$D$216</f>
        <v>RETURN_ON_INV_CAPITAL</v>
      </c>
      <c r="E438" t="str">
        <f>$E$216</f>
        <v>Dynamic</v>
      </c>
      <c r="F438" t="e">
        <f ca="1">_xll.BDH($B$216,$C$216,$B$236,$B$237,CONCATENATE("Per=",$B$234),"Dts=H","Dir=H",CONCATENATE("Points=",$B$235),"Sort=R","Days=A","Fill=B",CONCATENATE("FX=", $B$233),"cols=12;rows=1")</f>
        <v>#NAME?</v>
      </c>
      <c r="G438">
        <v>7.5438999999999998</v>
      </c>
      <c r="H438">
        <v>8.7402999999999995</v>
      </c>
      <c r="I438">
        <v>6.1417999999999999</v>
      </c>
      <c r="J438">
        <v>-36.456600000000002</v>
      </c>
      <c r="K438">
        <v>-2.6008</v>
      </c>
      <c r="L438">
        <v>7.9035000000000002</v>
      </c>
      <c r="M438">
        <v>9.4072999999999993</v>
      </c>
      <c r="N438">
        <v>13.1097</v>
      </c>
      <c r="O438">
        <v>15.246</v>
      </c>
      <c r="P438">
        <v>19.657499999999999</v>
      </c>
      <c r="Q438">
        <v>21.044</v>
      </c>
      <c r="R438" t="str">
        <f>""</f>
        <v/>
      </c>
      <c r="S438" t="str">
        <f>""</f>
        <v/>
      </c>
      <c r="T438" t="str">
        <f>""</f>
        <v/>
      </c>
      <c r="U438" t="str">
        <f>""</f>
        <v/>
      </c>
      <c r="V438" t="str">
        <f>""</f>
        <v/>
      </c>
      <c r="W438" t="str">
        <f>""</f>
        <v/>
      </c>
      <c r="X438" t="str">
        <f>""</f>
        <v/>
      </c>
      <c r="Y438" t="str">
        <f>""</f>
        <v/>
      </c>
      <c r="Z438" t="str">
        <f>""</f>
        <v/>
      </c>
      <c r="AA438" t="str">
        <f>""</f>
        <v/>
      </c>
      <c r="AB438" t="str">
        <f>""</f>
        <v/>
      </c>
      <c r="AC438" t="str">
        <f>""</f>
        <v/>
      </c>
    </row>
    <row r="439" spans="1:29" x14ac:dyDescent="0.25">
      <c r="A439" t="str">
        <f>$A$217</f>
        <v xml:space="preserve">    Infosys Ltd</v>
      </c>
      <c r="B439" t="str">
        <f>$B$217</f>
        <v>INFY US Equity</v>
      </c>
      <c r="C439" t="str">
        <f>$C$217</f>
        <v>RR710</v>
      </c>
      <c r="D439" t="str">
        <f>$D$217</f>
        <v>RETURN_ON_INV_CAPITAL</v>
      </c>
      <c r="E439" t="str">
        <f>$E$217</f>
        <v>Dynamic</v>
      </c>
      <c r="F439" t="e">
        <f ca="1">_xll.BDH($B$217,$C$217,$B$236,$B$237,CONCATENATE("Per=",$B$234),"Dts=H","Dir=H",CONCATENATE("Points=",$B$235),"Sort=R","Days=A","Fill=B",CONCATENATE("FX=", $B$233),"cols=12;rows=1")</f>
        <v>#NAME?</v>
      </c>
      <c r="G439">
        <v>20.934799999999999</v>
      </c>
      <c r="H439">
        <v>19.544799999999999</v>
      </c>
      <c r="I439">
        <v>17.660699999999999</v>
      </c>
      <c r="J439">
        <v>18.352899999999998</v>
      </c>
      <c r="K439">
        <v>17.910599999999999</v>
      </c>
      <c r="L439">
        <v>19.013500000000001</v>
      </c>
      <c r="M439">
        <v>19.994</v>
      </c>
      <c r="N439">
        <v>23.0975</v>
      </c>
      <c r="O439">
        <v>23.522400000000001</v>
      </c>
      <c r="P439">
        <v>25.309200000000001</v>
      </c>
      <c r="Q439">
        <v>36.834400000000002</v>
      </c>
      <c r="R439" t="str">
        <f>""</f>
        <v/>
      </c>
      <c r="S439" t="str">
        <f>""</f>
        <v/>
      </c>
      <c r="T439" t="str">
        <f>""</f>
        <v/>
      </c>
      <c r="U439" t="str">
        <f>""</f>
        <v/>
      </c>
      <c r="V439" t="str">
        <f>""</f>
        <v/>
      </c>
      <c r="W439" t="str">
        <f>""</f>
        <v/>
      </c>
      <c r="X439" t="str">
        <f>""</f>
        <v/>
      </c>
      <c r="Y439" t="str">
        <f>""</f>
        <v/>
      </c>
      <c r="Z439" t="str">
        <f>""</f>
        <v/>
      </c>
      <c r="AA439" t="str">
        <f>""</f>
        <v/>
      </c>
      <c r="AB439" t="str">
        <f>""</f>
        <v/>
      </c>
      <c r="AC439" t="str">
        <f>""</f>
        <v/>
      </c>
    </row>
    <row r="440" spans="1:29" x14ac:dyDescent="0.25">
      <c r="A440" t="str">
        <f>$A$218</f>
        <v xml:space="preserve">    International Business Machines Corp</v>
      </c>
      <c r="B440" t="str">
        <f>$B$218</f>
        <v>IBM US Equity</v>
      </c>
      <c r="C440" t="str">
        <f>$C$218</f>
        <v>RR710</v>
      </c>
      <c r="D440" t="str">
        <f>$D$218</f>
        <v>RETURN_ON_INV_CAPITAL</v>
      </c>
      <c r="E440" t="str">
        <f>$E$218</f>
        <v>Dynamic</v>
      </c>
      <c r="F440" t="e">
        <f ca="1">_xll.BDH($B$218,$C$218,$B$236,$B$237,CONCATENATE("Per=",$B$234),"Dts=H","Dir=H",CONCATENATE("Points=",$B$235),"Sort=R","Days=A","Fill=B",CONCATENATE("FX=", $B$233),"cols=12;rows=1")</f>
        <v>#NAME?</v>
      </c>
      <c r="G440">
        <v>17.569400000000002</v>
      </c>
      <c r="H440">
        <v>11.804</v>
      </c>
      <c r="I440">
        <v>21.280100000000001</v>
      </c>
      <c r="J440">
        <v>26.298400000000001</v>
      </c>
      <c r="K440">
        <v>24.8813</v>
      </c>
      <c r="L440">
        <v>29.084499999999998</v>
      </c>
      <c r="M440">
        <v>29.531300000000002</v>
      </c>
      <c r="N440">
        <v>27.2501</v>
      </c>
      <c r="O440">
        <v>24.126799999999999</v>
      </c>
      <c r="P440">
        <v>24.932300000000001</v>
      </c>
      <c r="Q440">
        <v>19.415099999999999</v>
      </c>
      <c r="R440" t="str">
        <f>""</f>
        <v/>
      </c>
      <c r="S440" t="str">
        <f>""</f>
        <v/>
      </c>
      <c r="T440" t="str">
        <f>""</f>
        <v/>
      </c>
      <c r="U440" t="str">
        <f>""</f>
        <v/>
      </c>
      <c r="V440" t="str">
        <f>""</f>
        <v/>
      </c>
      <c r="W440" t="str">
        <f>""</f>
        <v/>
      </c>
      <c r="X440" t="str">
        <f>""</f>
        <v/>
      </c>
      <c r="Y440" t="str">
        <f>""</f>
        <v/>
      </c>
      <c r="Z440" t="str">
        <f>""</f>
        <v/>
      </c>
      <c r="AA440" t="str">
        <f>""</f>
        <v/>
      </c>
      <c r="AB440" t="str">
        <f>""</f>
        <v/>
      </c>
      <c r="AC440" t="str">
        <f>""</f>
        <v/>
      </c>
    </row>
    <row r="441" spans="1:29" x14ac:dyDescent="0.25">
      <c r="A441" t="str">
        <f>$A$219</f>
        <v xml:space="preserve">    Tata Consultancy Services Ltd</v>
      </c>
      <c r="B441" t="str">
        <f>$B$219</f>
        <v>TCS IN Equity</v>
      </c>
      <c r="C441" t="str">
        <f>$C$219</f>
        <v>RR710</v>
      </c>
      <c r="D441" t="str">
        <f>$D$219</f>
        <v>RETURN_ON_INV_CAPITAL</v>
      </c>
      <c r="E441" t="str">
        <f>$E$219</f>
        <v>Dynamic</v>
      </c>
      <c r="F441" t="e">
        <f ca="1">_xll.BDH($B$219,$C$219,$B$236,$B$237,CONCATENATE("Per=",$B$234),"Dts=H","Dir=H",CONCATENATE("Points=",$B$235),"Sort=R","Days=A","Fill=B",CONCATENATE("FX=", $B$233),"cols=12;rows=1")</f>
        <v>#NAME?</v>
      </c>
      <c r="G441">
        <v>31.5624</v>
      </c>
      <c r="H441">
        <v>26.379100000000001</v>
      </c>
      <c r="I441">
        <v>28.7653</v>
      </c>
      <c r="J441">
        <v>33.922400000000003</v>
      </c>
      <c r="K441">
        <v>31.030799999999999</v>
      </c>
      <c r="L441">
        <v>38.1678</v>
      </c>
      <c r="M441">
        <v>35.390700000000002</v>
      </c>
      <c r="N441">
        <v>36.687199999999997</v>
      </c>
      <c r="O441">
        <v>38.790900000000001</v>
      </c>
      <c r="P441">
        <v>39.204599999999999</v>
      </c>
      <c r="Q441">
        <v>38.636000000000003</v>
      </c>
      <c r="R441" t="str">
        <f>""</f>
        <v/>
      </c>
      <c r="S441" t="str">
        <f>""</f>
        <v/>
      </c>
      <c r="T441" t="str">
        <f>""</f>
        <v/>
      </c>
      <c r="U441" t="str">
        <f>""</f>
        <v/>
      </c>
      <c r="V441" t="str">
        <f>""</f>
        <v/>
      </c>
      <c r="W441" t="str">
        <f>""</f>
        <v/>
      </c>
      <c r="X441" t="str">
        <f>""</f>
        <v/>
      </c>
      <c r="Y441" t="str">
        <f>""</f>
        <v/>
      </c>
      <c r="Z441" t="str">
        <f>""</f>
        <v/>
      </c>
      <c r="AA441" t="str">
        <f>""</f>
        <v/>
      </c>
      <c r="AB441" t="str">
        <f>""</f>
        <v/>
      </c>
      <c r="AC441" t="str">
        <f>""</f>
        <v/>
      </c>
    </row>
    <row r="442" spans="1:29" x14ac:dyDescent="0.25">
      <c r="A442" t="str">
        <f>$A$220</f>
        <v xml:space="preserve">    Tech Mahindra Ltd</v>
      </c>
      <c r="B442" t="str">
        <f>$B$220</f>
        <v>TECHM IN Equity</v>
      </c>
      <c r="C442" t="str">
        <f>$C$220</f>
        <v>RR710</v>
      </c>
      <c r="D442" t="str">
        <f>$D$220</f>
        <v>RETURN_ON_INV_CAPITAL</v>
      </c>
      <c r="E442" t="str">
        <f>$E$220</f>
        <v>Dynamic</v>
      </c>
      <c r="F442" t="e">
        <f ca="1">_xll.BDH($B$220,$C$220,$B$236,$B$237,CONCATENATE("Per=",$B$234),"Dts=H","Dir=H",CONCATENATE("Points=",$B$235),"Sort=R","Days=A","Fill=B",CONCATENATE("FX=", $B$233),"cols=12;rows=1")</f>
        <v>#NAME?</v>
      </c>
      <c r="G442">
        <v>18.1037</v>
      </c>
      <c r="H442">
        <v>13.4922</v>
      </c>
      <c r="I442">
        <v>14.5817</v>
      </c>
      <c r="J442">
        <v>19.774100000000001</v>
      </c>
      <c r="K442">
        <v>21.819700000000001</v>
      </c>
      <c r="L442">
        <v>34.489100000000001</v>
      </c>
      <c r="M442">
        <v>23.744499999999999</v>
      </c>
      <c r="N442">
        <v>23.559899999999999</v>
      </c>
      <c r="O442">
        <v>14.1029</v>
      </c>
      <c r="P442">
        <v>26.0992</v>
      </c>
      <c r="Q442">
        <v>61.610399999999998</v>
      </c>
      <c r="R442" t="str">
        <f>""</f>
        <v/>
      </c>
      <c r="S442" t="str">
        <f>""</f>
        <v/>
      </c>
      <c r="T442" t="str">
        <f>""</f>
        <v/>
      </c>
      <c r="U442" t="str">
        <f>""</f>
        <v/>
      </c>
      <c r="V442" t="str">
        <f>""</f>
        <v/>
      </c>
      <c r="W442" t="str">
        <f>""</f>
        <v/>
      </c>
      <c r="X442" t="str">
        <f>""</f>
        <v/>
      </c>
      <c r="Y442" t="str">
        <f>""</f>
        <v/>
      </c>
      <c r="Z442" t="str">
        <f>""</f>
        <v/>
      </c>
      <c r="AA442" t="str">
        <f>""</f>
        <v/>
      </c>
      <c r="AB442" t="str">
        <f>""</f>
        <v/>
      </c>
      <c r="AC442" t="str">
        <f>""</f>
        <v/>
      </c>
    </row>
    <row r="443" spans="1:29" x14ac:dyDescent="0.25">
      <c r="A443" t="str">
        <f>$A$221</f>
        <v xml:space="preserve">    Wipro Ltd</v>
      </c>
      <c r="B443" t="str">
        <f>$B$221</f>
        <v>WIT US Equity</v>
      </c>
      <c r="C443" t="str">
        <f>$C$221</f>
        <v>RR710</v>
      </c>
      <c r="D443" t="str">
        <f>$D$221</f>
        <v>RETURN_ON_INV_CAPITAL</v>
      </c>
      <c r="E443" t="str">
        <f>$E$221</f>
        <v>Dynamic</v>
      </c>
      <c r="F443" t="e">
        <f ca="1">_xll.BDH($B$221,$C$221,$B$236,$B$237,CONCATENATE("Per=",$B$234),"Dts=H","Dir=H",CONCATENATE("Points=",$B$235),"Sort=R","Days=A","Fill=B",CONCATENATE("FX=", $B$233),"cols=12;rows=1")</f>
        <v>#NAME?</v>
      </c>
      <c r="G443">
        <v>11.270799999999999</v>
      </c>
      <c r="H443">
        <v>9.673</v>
      </c>
      <c r="I443">
        <v>10.631499999999999</v>
      </c>
      <c r="J443">
        <v>13.183999999999999</v>
      </c>
      <c r="K443">
        <v>16.1922</v>
      </c>
      <c r="L443">
        <v>18.0336</v>
      </c>
      <c r="M443">
        <v>15.3583</v>
      </c>
      <c r="N443">
        <v>15.3574</v>
      </c>
      <c r="O443">
        <v>18.0229</v>
      </c>
      <c r="P443">
        <v>20.039100000000001</v>
      </c>
      <c r="Q443">
        <v>21.906099999999999</v>
      </c>
      <c r="R443" t="str">
        <f>""</f>
        <v/>
      </c>
      <c r="S443" t="str">
        <f>""</f>
        <v/>
      </c>
      <c r="T443" t="str">
        <f>""</f>
        <v/>
      </c>
      <c r="U443" t="str">
        <f>""</f>
        <v/>
      </c>
      <c r="V443" t="str">
        <f>""</f>
        <v/>
      </c>
      <c r="W443" t="str">
        <f>""</f>
        <v/>
      </c>
      <c r="X443" t="str">
        <f>""</f>
        <v/>
      </c>
      <c r="Y443" t="str">
        <f>""</f>
        <v/>
      </c>
      <c r="Z443" t="str">
        <f>""</f>
        <v/>
      </c>
      <c r="AA443" t="str">
        <f>""</f>
        <v/>
      </c>
      <c r="AB443" t="str">
        <f>""</f>
        <v/>
      </c>
      <c r="AC443" t="str">
        <f>""</f>
        <v/>
      </c>
    </row>
    <row r="444" spans="1:29" x14ac:dyDescent="0.25">
      <c r="A444" t="str">
        <f>""</f>
        <v/>
      </c>
      <c r="B444" t="str">
        <f>""</f>
        <v/>
      </c>
      <c r="C444" t="str">
        <f>""</f>
        <v/>
      </c>
      <c r="D444" t="str">
        <f>""</f>
        <v/>
      </c>
      <c r="E444" t="str">
        <f>""</f>
        <v/>
      </c>
      <c r="R444" t="str">
        <f>""</f>
        <v/>
      </c>
      <c r="S444" t="str">
        <f>""</f>
        <v/>
      </c>
      <c r="T444" t="str">
        <f>""</f>
        <v/>
      </c>
      <c r="U444" t="str">
        <f>""</f>
        <v/>
      </c>
      <c r="V444" t="str">
        <f>""</f>
        <v/>
      </c>
      <c r="W444" t="str">
        <f>""</f>
        <v/>
      </c>
      <c r="X444" t="str">
        <f>""</f>
        <v/>
      </c>
      <c r="Y444" t="str">
        <f>""</f>
        <v/>
      </c>
      <c r="Z444" t="str">
        <f>""</f>
        <v/>
      </c>
      <c r="AA444" t="str">
        <f>""</f>
        <v/>
      </c>
      <c r="AB444" t="str">
        <f>""</f>
        <v/>
      </c>
      <c r="AC444" t="str">
        <f>""</f>
        <v/>
      </c>
    </row>
    <row r="445" spans="1:29" x14ac:dyDescent="0.25">
      <c r="A445" t="str">
        <f>""</f>
        <v/>
      </c>
      <c r="B445" t="str">
        <f>""</f>
        <v/>
      </c>
      <c r="C445" t="str">
        <f>""</f>
        <v/>
      </c>
      <c r="D445" t="str">
        <f>""</f>
        <v/>
      </c>
      <c r="E445" t="str">
        <f>""</f>
        <v/>
      </c>
      <c r="R445" t="str">
        <f>""</f>
        <v/>
      </c>
      <c r="S445" t="str">
        <f>""</f>
        <v/>
      </c>
      <c r="T445" t="str">
        <f>""</f>
        <v/>
      </c>
      <c r="U445" t="str">
        <f>""</f>
        <v/>
      </c>
      <c r="V445" t="str">
        <f>""</f>
        <v/>
      </c>
      <c r="W445" t="str">
        <f>""</f>
        <v/>
      </c>
      <c r="X445" t="str">
        <f>""</f>
        <v/>
      </c>
      <c r="Y445" t="str">
        <f>""</f>
        <v/>
      </c>
      <c r="Z445" t="str">
        <f>""</f>
        <v/>
      </c>
      <c r="AA445" t="str">
        <f>""</f>
        <v/>
      </c>
      <c r="AB445" t="str">
        <f>""</f>
        <v/>
      </c>
      <c r="AC445" t="str">
        <f>""</f>
        <v/>
      </c>
    </row>
    <row r="446" spans="1:29" x14ac:dyDescent="0.25">
      <c r="A446" t="str">
        <f>""</f>
        <v/>
      </c>
      <c r="B446" t="str">
        <f>""</f>
        <v/>
      </c>
      <c r="C446" t="str">
        <f>""</f>
        <v/>
      </c>
      <c r="D446" t="str">
        <f>""</f>
        <v/>
      </c>
      <c r="E446" t="str">
        <f>""</f>
        <v/>
      </c>
      <c r="R446" t="str">
        <f>""</f>
        <v/>
      </c>
      <c r="S446" t="str">
        <f>""</f>
        <v/>
      </c>
      <c r="T446" t="str">
        <f>""</f>
        <v/>
      </c>
      <c r="U446" t="str">
        <f>""</f>
        <v/>
      </c>
      <c r="V446" t="str">
        <f>""</f>
        <v/>
      </c>
      <c r="W446" t="str">
        <f>""</f>
        <v/>
      </c>
      <c r="X446" t="str">
        <f>""</f>
        <v/>
      </c>
      <c r="Y446" t="str">
        <f>""</f>
        <v/>
      </c>
      <c r="Z446" t="str">
        <f>""</f>
        <v/>
      </c>
      <c r="AA446" t="str">
        <f>""</f>
        <v/>
      </c>
      <c r="AB446" t="str">
        <f>""</f>
        <v/>
      </c>
      <c r="AC446" t="str">
        <f>""</f>
        <v/>
      </c>
    </row>
    <row r="447" spans="1:29" x14ac:dyDescent="0.25">
      <c r="A447" t="str">
        <f>""</f>
        <v/>
      </c>
      <c r="B447" t="str">
        <f>""</f>
        <v/>
      </c>
      <c r="C447" t="str">
        <f>""</f>
        <v/>
      </c>
      <c r="D447" t="str">
        <f>""</f>
        <v/>
      </c>
      <c r="E447" t="str">
        <f>""</f>
        <v/>
      </c>
      <c r="R447" t="str">
        <f>""</f>
        <v/>
      </c>
      <c r="S447" t="str">
        <f>""</f>
        <v/>
      </c>
      <c r="T447" t="str">
        <f>""</f>
        <v/>
      </c>
      <c r="U447" t="str">
        <f>""</f>
        <v/>
      </c>
      <c r="V447" t="str">
        <f>""</f>
        <v/>
      </c>
      <c r="W447" t="str">
        <f>""</f>
        <v/>
      </c>
      <c r="X447" t="str">
        <f>""</f>
        <v/>
      </c>
      <c r="Y447" t="str">
        <f>""</f>
        <v/>
      </c>
      <c r="Z447" t="str">
        <f>""</f>
        <v/>
      </c>
      <c r="AA447" t="str">
        <f>""</f>
        <v/>
      </c>
      <c r="AB447" t="str">
        <f>""</f>
        <v/>
      </c>
      <c r="AC447" t="str">
        <f>""</f>
        <v/>
      </c>
    </row>
    <row r="448" spans="1:29" x14ac:dyDescent="0.25">
      <c r="A448" t="str">
        <f>""</f>
        <v/>
      </c>
      <c r="B448" t="str">
        <f>""</f>
        <v/>
      </c>
      <c r="C448" t="str">
        <f>""</f>
        <v/>
      </c>
      <c r="D448" t="str">
        <f>""</f>
        <v/>
      </c>
      <c r="E448" t="str">
        <f>""</f>
        <v/>
      </c>
      <c r="R448" t="str">
        <f>""</f>
        <v/>
      </c>
      <c r="S448" t="str">
        <f>""</f>
        <v/>
      </c>
      <c r="T448" t="str">
        <f>""</f>
        <v/>
      </c>
      <c r="U448" t="str">
        <f>""</f>
        <v/>
      </c>
      <c r="V448" t="str">
        <f>""</f>
        <v/>
      </c>
      <c r="W448" t="str">
        <f>""</f>
        <v/>
      </c>
      <c r="X448" t="str">
        <f>""</f>
        <v/>
      </c>
      <c r="Y448" t="str">
        <f>""</f>
        <v/>
      </c>
      <c r="Z448" t="str">
        <f>""</f>
        <v/>
      </c>
      <c r="AA448" t="str">
        <f>""</f>
        <v/>
      </c>
      <c r="AB448" t="str">
        <f>""</f>
        <v/>
      </c>
      <c r="AC448" t="str">
        <f>""</f>
        <v/>
      </c>
    </row>
    <row r="449" spans="1:29" x14ac:dyDescent="0.25">
      <c r="A449" t="str">
        <f>"~~~~~~~~~~~~~~~~~~~~~"</f>
        <v>~~~~~~~~~~~~~~~~~~~~~</v>
      </c>
      <c r="B449" t="str">
        <f>"~~~~~~~~~~~~~~~~~~~~~"</f>
        <v>~~~~~~~~~~~~~~~~~~~~~</v>
      </c>
      <c r="C449" t="str">
        <f>"~~~~~~~~~~~~~~~~~~~~~"</f>
        <v>~~~~~~~~~~~~~~~~~~~~~</v>
      </c>
      <c r="D449" t="str">
        <f>"~~~~~~~~~~~~~~~~~~~~~"</f>
        <v>~~~~~~~~~~~~~~~~~~~~~</v>
      </c>
      <c r="E449" t="str">
        <f>"~~~~~~~~~~~~~~~~~~~~~"</f>
        <v>~~~~~~~~~~~~~~~~~~~~~</v>
      </c>
      <c r="R449" t="str">
        <f>""</f>
        <v/>
      </c>
      <c r="S449" t="str">
        <f>""</f>
        <v/>
      </c>
      <c r="T449" t="str">
        <f>""</f>
        <v/>
      </c>
      <c r="U449" t="str">
        <f>""</f>
        <v/>
      </c>
      <c r="V449" t="str">
        <f>""</f>
        <v/>
      </c>
      <c r="W449" t="str">
        <f>""</f>
        <v/>
      </c>
      <c r="X449" t="str">
        <f>""</f>
        <v/>
      </c>
      <c r="Y449" t="str">
        <f>""</f>
        <v/>
      </c>
      <c r="Z449" t="str">
        <f>""</f>
        <v/>
      </c>
      <c r="AA449" t="str">
        <f>""</f>
        <v/>
      </c>
      <c r="AB449" t="str">
        <f>""</f>
        <v/>
      </c>
      <c r="AC449" t="str">
        <f>""</f>
        <v/>
      </c>
    </row>
    <row r="450" spans="1:29" x14ac:dyDescent="0.25">
      <c r="A450" t="str">
        <f>"Rows below for column date calculation"</f>
        <v>Rows below for column date calculation</v>
      </c>
      <c r="R450" t="str">
        <f>""</f>
        <v/>
      </c>
      <c r="S450" t="str">
        <f>""</f>
        <v/>
      </c>
      <c r="T450" t="str">
        <f>""</f>
        <v/>
      </c>
      <c r="U450" t="str">
        <f>""</f>
        <v/>
      </c>
      <c r="V450" t="str">
        <f>""</f>
        <v/>
      </c>
      <c r="W450" t="str">
        <f>""</f>
        <v/>
      </c>
      <c r="X450" t="str">
        <f>""</f>
        <v/>
      </c>
      <c r="Y450" t="str">
        <f>""</f>
        <v/>
      </c>
      <c r="Z450" t="str">
        <f>""</f>
        <v/>
      </c>
      <c r="AA450" t="str">
        <f>""</f>
        <v/>
      </c>
      <c r="AB450" t="str">
        <f>""</f>
        <v/>
      </c>
      <c r="AC450" t="str">
        <f>""</f>
        <v/>
      </c>
    </row>
    <row r="451" spans="1:29" x14ac:dyDescent="0.25">
      <c r="A451" t="str">
        <f>"Downloaded at"</f>
        <v>Downloaded at</v>
      </c>
      <c r="B451">
        <f>DATE(2020, 6,17)</f>
        <v>43999</v>
      </c>
      <c r="C451" t="str">
        <f>""</f>
        <v/>
      </c>
      <c r="D451" t="str">
        <f>""</f>
        <v/>
      </c>
      <c r="E451" t="str">
        <f>""</f>
        <v/>
      </c>
      <c r="R451" t="str">
        <f>""</f>
        <v/>
      </c>
      <c r="S451" t="str">
        <f>""</f>
        <v/>
      </c>
      <c r="T451" t="str">
        <f>""</f>
        <v/>
      </c>
      <c r="U451" t="str">
        <f>""</f>
        <v/>
      </c>
      <c r="V451" t="str">
        <f>""</f>
        <v/>
      </c>
      <c r="W451" t="str">
        <f>""</f>
        <v/>
      </c>
      <c r="X451" t="str">
        <f>""</f>
        <v/>
      </c>
      <c r="Y451" t="str">
        <f>""</f>
        <v/>
      </c>
      <c r="Z451" t="str">
        <f>""</f>
        <v/>
      </c>
      <c r="AA451" t="str">
        <f>""</f>
        <v/>
      </c>
      <c r="AB451" t="str">
        <f>""</f>
        <v/>
      </c>
      <c r="AC451" t="str">
        <f>""</f>
        <v/>
      </c>
    </row>
    <row r="452" spans="1:29" x14ac:dyDescent="0.25">
      <c r="A452" t="str">
        <f>"This is End Date"</f>
        <v>This is End Date</v>
      </c>
      <c r="B452">
        <f ca="1">$B$237</f>
        <v>44004</v>
      </c>
      <c r="C452" t="str">
        <f>""</f>
        <v/>
      </c>
      <c r="D452" t="str">
        <f>""</f>
        <v/>
      </c>
      <c r="E452" t="str">
        <f>""</f>
        <v/>
      </c>
      <c r="R452" t="str">
        <f>""</f>
        <v/>
      </c>
      <c r="S452" t="str">
        <f>""</f>
        <v/>
      </c>
      <c r="T452" t="str">
        <f>""</f>
        <v/>
      </c>
      <c r="U452" t="str">
        <f>""</f>
        <v/>
      </c>
      <c r="V452" t="str">
        <f>""</f>
        <v/>
      </c>
      <c r="W452" t="str">
        <f>""</f>
        <v/>
      </c>
      <c r="X452" t="str">
        <f>""</f>
        <v/>
      </c>
      <c r="Y452" t="str">
        <f>""</f>
        <v/>
      </c>
      <c r="Z452" t="str">
        <f>""</f>
        <v/>
      </c>
      <c r="AA452" t="str">
        <f>""</f>
        <v/>
      </c>
      <c r="AB452" t="str">
        <f>""</f>
        <v/>
      </c>
      <c r="AC452" t="str">
        <f>""</f>
        <v/>
      </c>
    </row>
    <row r="453" spans="1:29" x14ac:dyDescent="0.25">
      <c r="A453" t="str">
        <f>"Description"</f>
        <v>Description</v>
      </c>
      <c r="B453" t="str">
        <f>"Ticker"</f>
        <v>Ticker</v>
      </c>
      <c r="C453" t="str">
        <f>"Field ID"</f>
        <v>Field ID</v>
      </c>
      <c r="D453" t="str">
        <f>"Field Mnemonic"</f>
        <v>Field Mnemonic</v>
      </c>
      <c r="E453" t="str">
        <f>"Data State"</f>
        <v>Data State</v>
      </c>
      <c r="R453" t="str">
        <f>""</f>
        <v/>
      </c>
      <c r="S453" t="str">
        <f>""</f>
        <v/>
      </c>
      <c r="T453" t="str">
        <f>""</f>
        <v/>
      </c>
      <c r="U453" t="str">
        <f>""</f>
        <v/>
      </c>
      <c r="V453" t="str">
        <f>""</f>
        <v/>
      </c>
      <c r="W453" t="str">
        <f>""</f>
        <v/>
      </c>
      <c r="X453" t="str">
        <f>""</f>
        <v/>
      </c>
      <c r="Y453" t="str">
        <f>""</f>
        <v/>
      </c>
      <c r="Z453" t="str">
        <f>""</f>
        <v/>
      </c>
      <c r="AA453" t="str">
        <f>""</f>
        <v/>
      </c>
      <c r="AB453" t="str">
        <f>""</f>
        <v/>
      </c>
      <c r="AC453" t="str">
        <f>""</f>
        <v/>
      </c>
    </row>
    <row r="454" spans="1:29" x14ac:dyDescent="0.25">
      <c r="A454" t="str">
        <f>"Snapshot Date"</f>
        <v>Snapshot Date</v>
      </c>
      <c r="B454">
        <f>DATE(2020, 6,17)</f>
        <v>43999</v>
      </c>
      <c r="C454" t="str">
        <f>""</f>
        <v/>
      </c>
      <c r="D454" t="str">
        <f>""</f>
        <v/>
      </c>
      <c r="E454" t="str">
        <f>""</f>
        <v/>
      </c>
      <c r="R454" t="str">
        <f>""</f>
        <v/>
      </c>
      <c r="S454" t="str">
        <f>""</f>
        <v/>
      </c>
      <c r="T454" t="str">
        <f>""</f>
        <v/>
      </c>
      <c r="U454" t="str">
        <f>""</f>
        <v/>
      </c>
      <c r="V454" t="str">
        <f>""</f>
        <v/>
      </c>
      <c r="W454" t="str">
        <f>""</f>
        <v/>
      </c>
      <c r="X454" t="str">
        <f>""</f>
        <v/>
      </c>
      <c r="Y454" t="str">
        <f>""</f>
        <v/>
      </c>
      <c r="Z454" t="str">
        <f>""</f>
        <v/>
      </c>
      <c r="AA454" t="str">
        <f>""</f>
        <v/>
      </c>
      <c r="AB454" t="str">
        <f>""</f>
        <v/>
      </c>
      <c r="AC454" t="str">
        <f>""</f>
        <v/>
      </c>
    </row>
    <row r="455" spans="1:29" x14ac:dyDescent="0.25">
      <c r="A455" t="str">
        <f>"Snapshot header"</f>
        <v>Snapshot header</v>
      </c>
      <c r="B455">
        <f>2</f>
        <v>2</v>
      </c>
      <c r="C455" t="str">
        <f>"2019"</f>
        <v>2019</v>
      </c>
      <c r="D455" t="str">
        <f>"2018"</f>
        <v>2018</v>
      </c>
      <c r="E455" t="str">
        <f>"2017"</f>
        <v>2017</v>
      </c>
      <c r="F455" t="str">
        <f>"2016"</f>
        <v>2016</v>
      </c>
      <c r="G455" t="str">
        <f>"2015"</f>
        <v>2015</v>
      </c>
      <c r="H455" t="str">
        <f>"2014"</f>
        <v>2014</v>
      </c>
      <c r="I455" t="str">
        <f>"2013"</f>
        <v>2013</v>
      </c>
      <c r="J455" t="str">
        <f>"2012"</f>
        <v>2012</v>
      </c>
      <c r="K455" t="str">
        <f>"2011"</f>
        <v>2011</v>
      </c>
      <c r="L455" t="str">
        <f>"2010"</f>
        <v>2010</v>
      </c>
      <c r="M455" t="str">
        <f>"2009"</f>
        <v>2009</v>
      </c>
      <c r="N455" t="str">
        <f>"2008"</f>
        <v>2008</v>
      </c>
      <c r="R455" t="str">
        <f>""</f>
        <v/>
      </c>
      <c r="S455" t="str">
        <f>""</f>
        <v/>
      </c>
      <c r="T455" t="str">
        <f>""</f>
        <v/>
      </c>
      <c r="U455" t="str">
        <f>""</f>
        <v/>
      </c>
      <c r="V455" t="str">
        <f>""</f>
        <v/>
      </c>
      <c r="W455" t="str">
        <f>""</f>
        <v/>
      </c>
      <c r="X455" t="str">
        <f>""</f>
        <v/>
      </c>
      <c r="Y455" t="str">
        <f>""</f>
        <v/>
      </c>
      <c r="Z455" t="str">
        <f>""</f>
        <v/>
      </c>
      <c r="AA455" t="str">
        <f>""</f>
        <v/>
      </c>
      <c r="AB455" t="str">
        <f>""</f>
        <v/>
      </c>
      <c r="AC455" t="str">
        <f>""</f>
        <v/>
      </c>
    </row>
    <row r="456" spans="1:29" x14ac:dyDescent="0.25">
      <c r="A456" t="str">
        <f>"BDH snapshot header0"</f>
        <v>BDH snapshot header0</v>
      </c>
      <c r="B456">
        <f ca="1">IF(OR(ISERROR($C$456),ISBLANK($C$456),ISNUMBER(SEARCH("N/A",$C$456) ),ISERROR($C$457),ISBLANK($C$457)),0,1)</f>
        <v>0</v>
      </c>
      <c r="C456" t="e">
        <f ca="1">_xll.BDH($B$5,$C$5,$B$236,$B$454,"PER=CY","Dts=S","DtFmt=FI", "rows=2","Dir=H","Points=12","Sort=R","Days=A","Fill=B","FX=USD" )</f>
        <v>#NAME?</v>
      </c>
      <c r="R456" t="str">
        <f>""</f>
        <v/>
      </c>
      <c r="S456" t="str">
        <f>""</f>
        <v/>
      </c>
      <c r="T456" t="str">
        <f>""</f>
        <v/>
      </c>
      <c r="U456" t="str">
        <f>""</f>
        <v/>
      </c>
      <c r="V456" t="str">
        <f>""</f>
        <v/>
      </c>
      <c r="W456" t="str">
        <f>""</f>
        <v/>
      </c>
      <c r="X456" t="str">
        <f>""</f>
        <v/>
      </c>
      <c r="Y456" t="str">
        <f>""</f>
        <v/>
      </c>
      <c r="Z456" t="str">
        <f>""</f>
        <v/>
      </c>
      <c r="AA456" t="str">
        <f>""</f>
        <v/>
      </c>
      <c r="AB456" t="str">
        <f>""</f>
        <v/>
      </c>
      <c r="AC456" t="str">
        <f>""</f>
        <v/>
      </c>
    </row>
    <row r="457" spans="1:29" x14ac:dyDescent="0.25">
      <c r="A457" t="str">
        <f>"BDH snapshot result0"</f>
        <v>BDH snapshot result0</v>
      </c>
      <c r="R457" t="str">
        <f>""</f>
        <v/>
      </c>
      <c r="S457" t="str">
        <f>""</f>
        <v/>
      </c>
      <c r="T457" t="str">
        <f>""</f>
        <v/>
      </c>
      <c r="U457" t="str">
        <f>""</f>
        <v/>
      </c>
      <c r="V457" t="str">
        <f>""</f>
        <v/>
      </c>
      <c r="W457" t="str">
        <f>""</f>
        <v/>
      </c>
      <c r="X457" t="str">
        <f>""</f>
        <v/>
      </c>
      <c r="Y457" t="str">
        <f>""</f>
        <v/>
      </c>
      <c r="Z457" t="str">
        <f>""</f>
        <v/>
      </c>
      <c r="AA457" t="str">
        <f>""</f>
        <v/>
      </c>
      <c r="AB457" t="str">
        <f>""</f>
        <v/>
      </c>
      <c r="AC457" t="str">
        <f>""</f>
        <v/>
      </c>
    </row>
    <row r="458" spans="1:29" x14ac:dyDescent="0.25">
      <c r="A458" t="str">
        <f>"BDH snapshot header1"</f>
        <v>BDH snapshot header1</v>
      </c>
      <c r="B458">
        <f ca="1">IF(OR(ISERROR($C$458),ISBLANK($C$458),ISNUMBER(SEARCH("N/A",$C$458) ),ISERROR($C$459),ISBLANK($C$459)),0,1)</f>
        <v>0</v>
      </c>
      <c r="C458" t="e">
        <f ca="1">_xll.BDH($B$6,$C$6,$B$236,$B$454,"PER=CY","Dts=S","DtFmt=FI", "rows=2","Dir=H","Points=12","Sort=R","Days=A","Fill=B","FX=USD" )</f>
        <v>#NAME?</v>
      </c>
      <c r="R458" t="str">
        <f>""</f>
        <v/>
      </c>
      <c r="S458" t="str">
        <f>""</f>
        <v/>
      </c>
      <c r="T458" t="str">
        <f>""</f>
        <v/>
      </c>
      <c r="U458" t="str">
        <f>""</f>
        <v/>
      </c>
      <c r="V458" t="str">
        <f>""</f>
        <v/>
      </c>
      <c r="W458" t="str">
        <f>""</f>
        <v/>
      </c>
      <c r="X458" t="str">
        <f>""</f>
        <v/>
      </c>
      <c r="Y458" t="str">
        <f>""</f>
        <v/>
      </c>
      <c r="Z458" t="str">
        <f>""</f>
        <v/>
      </c>
      <c r="AA458" t="str">
        <f>""</f>
        <v/>
      </c>
      <c r="AB458" t="str">
        <f>""</f>
        <v/>
      </c>
      <c r="AC458" t="str">
        <f>""</f>
        <v/>
      </c>
    </row>
    <row r="459" spans="1:29" x14ac:dyDescent="0.25">
      <c r="A459" t="str">
        <f>"BDH snapshot result1"</f>
        <v>BDH snapshot result1</v>
      </c>
      <c r="R459" t="str">
        <f>""</f>
        <v/>
      </c>
      <c r="S459" t="str">
        <f>""</f>
        <v/>
      </c>
      <c r="T459" t="str">
        <f>""</f>
        <v/>
      </c>
      <c r="U459" t="str">
        <f>""</f>
        <v/>
      </c>
      <c r="V459" t="str">
        <f>""</f>
        <v/>
      </c>
      <c r="W459" t="str">
        <f>""</f>
        <v/>
      </c>
      <c r="X459" t="str">
        <f>""</f>
        <v/>
      </c>
      <c r="Y459" t="str">
        <f>""</f>
        <v/>
      </c>
      <c r="Z459" t="str">
        <f>""</f>
        <v/>
      </c>
      <c r="AA459" t="str">
        <f>""</f>
        <v/>
      </c>
      <c r="AB459" t="str">
        <f>""</f>
        <v/>
      </c>
      <c r="AC459" t="str">
        <f>""</f>
        <v/>
      </c>
    </row>
    <row r="460" spans="1:29" x14ac:dyDescent="0.25">
      <c r="A460" t="str">
        <f>"BDH snapshot header2"</f>
        <v>BDH snapshot header2</v>
      </c>
      <c r="B460">
        <f ca="1">IF(OR(ISERROR($C$460),ISBLANK($C$460),ISNUMBER(SEARCH("N/A",$C$460) ),ISERROR($C$461),ISBLANK($C$461)),0,1)</f>
        <v>0</v>
      </c>
      <c r="C460" t="e">
        <f ca="1">_xll.BDH($B$7,$C$7,$B$236,$B$454,"PER=CY","Dts=S","DtFmt=FI", "rows=2","Dir=H","Points=12","Sort=R","Days=A","Fill=B","FX=USD" )</f>
        <v>#NAME?</v>
      </c>
      <c r="R460" t="str">
        <f>""</f>
        <v/>
      </c>
      <c r="S460" t="str">
        <f>""</f>
        <v/>
      </c>
      <c r="T460" t="str">
        <f>""</f>
        <v/>
      </c>
      <c r="U460" t="str">
        <f>""</f>
        <v/>
      </c>
      <c r="V460" t="str">
        <f>""</f>
        <v/>
      </c>
      <c r="W460" t="str">
        <f>""</f>
        <v/>
      </c>
      <c r="X460" t="str">
        <f>""</f>
        <v/>
      </c>
      <c r="Y460" t="str">
        <f>""</f>
        <v/>
      </c>
      <c r="Z460" t="str">
        <f>""</f>
        <v/>
      </c>
      <c r="AA460" t="str">
        <f>""</f>
        <v/>
      </c>
      <c r="AB460" t="str">
        <f>""</f>
        <v/>
      </c>
      <c r="AC460" t="str">
        <f>""</f>
        <v/>
      </c>
    </row>
    <row r="461" spans="1:29" x14ac:dyDescent="0.25">
      <c r="A461" t="str">
        <f>"BDH snapshot result2"</f>
        <v>BDH snapshot result2</v>
      </c>
      <c r="R461" t="str">
        <f>""</f>
        <v/>
      </c>
      <c r="S461" t="str">
        <f>""</f>
        <v/>
      </c>
      <c r="T461" t="str">
        <f>""</f>
        <v/>
      </c>
      <c r="U461" t="str">
        <f>""</f>
        <v/>
      </c>
      <c r="V461" t="str">
        <f>""</f>
        <v/>
      </c>
      <c r="W461" t="str">
        <f>""</f>
        <v/>
      </c>
      <c r="X461" t="str">
        <f>""</f>
        <v/>
      </c>
      <c r="Y461" t="str">
        <f>""</f>
        <v/>
      </c>
      <c r="Z461" t="str">
        <f>""</f>
        <v/>
      </c>
      <c r="AA461" t="str">
        <f>""</f>
        <v/>
      </c>
      <c r="AB461" t="str">
        <f>""</f>
        <v/>
      </c>
      <c r="AC461" t="str">
        <f>""</f>
        <v/>
      </c>
    </row>
    <row r="462" spans="1:29" x14ac:dyDescent="0.25">
      <c r="A462" t="str">
        <f>"BDH snapshot"</f>
        <v>BDH snapshot</v>
      </c>
      <c r="B462">
        <f ca="1">IF($B$456&gt;=1,$B$456,IF($B$458&gt;=1,$B$458,IF($B$460&gt;=1,$B$460,$B$455)))</f>
        <v>2</v>
      </c>
      <c r="C462" t="str">
        <f ca="1">IF($B$456&gt;=1,$C$456,IF($B$458&gt;=1,$C$458,IF($B$460&gt;=1,$C$460,$C$455)))</f>
        <v>2019</v>
      </c>
      <c r="D462" t="str">
        <f ca="1">IF($B$456&gt;=1,$D$456,IF($B$458&gt;=1,$D$458,IF($B$460&gt;=1,$D$460,$D$455)))</f>
        <v>2018</v>
      </c>
      <c r="E462" t="str">
        <f ca="1">IF($B$456&gt;=1,$E$456,IF($B$458&gt;=1,$E$458,IF($B$460&gt;=1,$E$460,$E$455)))</f>
        <v>2017</v>
      </c>
      <c r="F462" t="str">
        <f ca="1">IF($B$456&gt;=1,$F$456,IF($B$458&gt;=1,$F$458,IF($B$460&gt;=1,$F$460,$F$455)))</f>
        <v>2016</v>
      </c>
      <c r="G462" t="str">
        <f ca="1">IF($B$456&gt;=1,$G$456,IF($B$458&gt;=1,$G$458,IF($B$460&gt;=1,$G$460,$G$455)))</f>
        <v>2015</v>
      </c>
      <c r="H462" t="str">
        <f ca="1">IF($B$456&gt;=1,$H$456,IF($B$458&gt;=1,$H$458,IF($B$460&gt;=1,$H$460,$H$455)))</f>
        <v>2014</v>
      </c>
      <c r="I462" t="str">
        <f ca="1">IF($B$456&gt;=1,$I$456,IF($B$458&gt;=1,$I$458,IF($B$460&gt;=1,$I$460,$I$455)))</f>
        <v>2013</v>
      </c>
      <c r="J462" t="str">
        <f ca="1">IF($B$456&gt;=1,$J$456,IF($B$458&gt;=1,$J$458,IF($B$460&gt;=1,$J$460,$J$455)))</f>
        <v>2012</v>
      </c>
      <c r="K462" t="str">
        <f ca="1">IF($B$456&gt;=1,$K$456,IF($B$458&gt;=1,$K$458,IF($B$460&gt;=1,$K$460,$K$455)))</f>
        <v>2011</v>
      </c>
      <c r="L462" t="str">
        <f ca="1">IF($B$456&gt;=1,$L$456,IF($B$458&gt;=1,$L$458,IF($B$460&gt;=1,$L$460,$L$455)))</f>
        <v>2010</v>
      </c>
      <c r="M462" t="str">
        <f ca="1">IF($B$456&gt;=1,$M$456,IF($B$458&gt;=1,$M$458,IF($B$460&gt;=1,$M$460,$M$455)))</f>
        <v>2009</v>
      </c>
      <c r="N462" t="str">
        <f ca="1">IF($B$456&gt;=1,$N$456,IF($B$458&gt;=1,$N$458,IF($B$460&gt;=1,$N$460,$N$455)))</f>
        <v>2008</v>
      </c>
      <c r="R462" t="str">
        <f>""</f>
        <v/>
      </c>
      <c r="S462" t="str">
        <f>""</f>
        <v/>
      </c>
      <c r="T462" t="str">
        <f>""</f>
        <v/>
      </c>
      <c r="U462" t="str">
        <f>""</f>
        <v/>
      </c>
      <c r="V462" t="str">
        <f>""</f>
        <v/>
      </c>
      <c r="W462" t="str">
        <f>""</f>
        <v/>
      </c>
      <c r="X462" t="str">
        <f>""</f>
        <v/>
      </c>
      <c r="Y462" t="str">
        <f>""</f>
        <v/>
      </c>
      <c r="Z462" t="str">
        <f>""</f>
        <v/>
      </c>
      <c r="AA462" t="str">
        <f>""</f>
        <v/>
      </c>
      <c r="AB462" t="str">
        <f>""</f>
        <v/>
      </c>
      <c r="AC462" t="str">
        <f>""</f>
        <v/>
      </c>
    </row>
    <row r="463" spans="1:29" x14ac:dyDescent="0.25">
      <c r="A463" t="str">
        <f>"BDH snapshot title"</f>
        <v>BDH snapshot title</v>
      </c>
      <c r="B463">
        <f ca="1">$B$462</f>
        <v>2</v>
      </c>
      <c r="C463" t="str">
        <f ca="1">SUBSTITUTE(SUBSTITUTE($C$462,"CY1 ",""),"C","")</f>
        <v>2019</v>
      </c>
      <c r="D463" t="str">
        <f ca="1">SUBSTITUTE(SUBSTITUTE($D$462,"CY1 ",""),"C","")</f>
        <v>2018</v>
      </c>
      <c r="E463" t="str">
        <f ca="1">SUBSTITUTE(SUBSTITUTE($E$462,"CY1 ",""),"C","")</f>
        <v>2017</v>
      </c>
      <c r="F463" t="str">
        <f ca="1">SUBSTITUTE(SUBSTITUTE($F$462,"CY1 ",""),"C","")</f>
        <v>2016</v>
      </c>
      <c r="G463" t="str">
        <f ca="1">SUBSTITUTE(SUBSTITUTE($G$462,"CY1 ",""),"C","")</f>
        <v>2015</v>
      </c>
      <c r="H463" t="str">
        <f ca="1">SUBSTITUTE(SUBSTITUTE($H$462,"CY1 ",""),"C","")</f>
        <v>2014</v>
      </c>
      <c r="I463" t="str">
        <f ca="1">SUBSTITUTE(SUBSTITUTE($I$462,"CY1 ",""),"C","")</f>
        <v>2013</v>
      </c>
      <c r="J463" t="str">
        <f ca="1">SUBSTITUTE(SUBSTITUTE($J$462,"CY1 ",""),"C","")</f>
        <v>2012</v>
      </c>
      <c r="K463" t="str">
        <f ca="1">SUBSTITUTE(SUBSTITUTE($K$462,"CY1 ",""),"C","")</f>
        <v>2011</v>
      </c>
      <c r="L463" t="str">
        <f ca="1">SUBSTITUTE(SUBSTITUTE($L$462,"CY1 ",""),"C","")</f>
        <v>2010</v>
      </c>
      <c r="M463" t="str">
        <f ca="1">SUBSTITUTE(SUBSTITUTE($M$462,"CY1 ",""),"C","")</f>
        <v>2009</v>
      </c>
      <c r="N463" t="str">
        <f ca="1">SUBSTITUTE(SUBSTITUTE($N$462,"CY1 ",""),"C","")</f>
        <v>2008</v>
      </c>
      <c r="R463" t="str">
        <f>""</f>
        <v/>
      </c>
      <c r="S463" t="str">
        <f>""</f>
        <v/>
      </c>
      <c r="T463" t="str">
        <f>""</f>
        <v/>
      </c>
      <c r="U463" t="str">
        <f>""</f>
        <v/>
      </c>
      <c r="V463" t="str">
        <f>""</f>
        <v/>
      </c>
      <c r="W463" t="str">
        <f>""</f>
        <v/>
      </c>
      <c r="X463" t="str">
        <f>""</f>
        <v/>
      </c>
      <c r="Y463" t="str">
        <f>""</f>
        <v/>
      </c>
      <c r="Z463" t="str">
        <f>""</f>
        <v/>
      </c>
      <c r="AA463" t="str">
        <f>""</f>
        <v/>
      </c>
      <c r="AB463" t="str">
        <f>""</f>
        <v/>
      </c>
      <c r="AC463" t="str">
        <f>""</f>
        <v/>
      </c>
    </row>
    <row r="464" spans="1:29" x14ac:dyDescent="0.25">
      <c r="A464" t="str">
        <f>"BDH dynamic header0"</f>
        <v>BDH dynamic header0</v>
      </c>
      <c r="B464">
        <f ca="1">IF(OR(ISERROR($C$464),ISBLANK($C$464),ISNUMBER(SEARCH("N/A",$C$464) ),ISERROR($C$465),ISBLANK($C$465)),0,1)</f>
        <v>0</v>
      </c>
      <c r="C464" t="e">
        <f ca="1">_xll.BDH($B$5,$C$5,$B$236,$B$237,"PER=CY","Dts=S","DtFmt=FI", "rows=2","Dir=H","Points=12","Sort=R","Days=A","Fill=B","FX=USD" )</f>
        <v>#NAME?</v>
      </c>
      <c r="R464" t="str">
        <f>""</f>
        <v/>
      </c>
      <c r="S464" t="str">
        <f>""</f>
        <v/>
      </c>
      <c r="T464" t="str">
        <f>""</f>
        <v/>
      </c>
      <c r="U464" t="str">
        <f>""</f>
        <v/>
      </c>
      <c r="V464" t="str">
        <f>""</f>
        <v/>
      </c>
      <c r="W464" t="str">
        <f>""</f>
        <v/>
      </c>
      <c r="X464" t="str">
        <f>""</f>
        <v/>
      </c>
      <c r="Y464" t="str">
        <f>""</f>
        <v/>
      </c>
      <c r="Z464" t="str">
        <f>""</f>
        <v/>
      </c>
      <c r="AA464" t="str">
        <f>""</f>
        <v/>
      </c>
      <c r="AB464" t="str">
        <f>""</f>
        <v/>
      </c>
      <c r="AC464" t="str">
        <f>""</f>
        <v/>
      </c>
    </row>
    <row r="465" spans="1:29" x14ac:dyDescent="0.25">
      <c r="A465" t="str">
        <f>"BDH dynamic result0"</f>
        <v>BDH dynamic result0</v>
      </c>
      <c r="R465" t="str">
        <f>""</f>
        <v/>
      </c>
      <c r="S465" t="str">
        <f>""</f>
        <v/>
      </c>
      <c r="T465" t="str">
        <f>""</f>
        <v/>
      </c>
      <c r="U465" t="str">
        <f>""</f>
        <v/>
      </c>
      <c r="V465" t="str">
        <f>""</f>
        <v/>
      </c>
      <c r="W465" t="str">
        <f>""</f>
        <v/>
      </c>
      <c r="X465" t="str">
        <f>""</f>
        <v/>
      </c>
      <c r="Y465" t="str">
        <f>""</f>
        <v/>
      </c>
      <c r="Z465" t="str">
        <f>""</f>
        <v/>
      </c>
      <c r="AA465" t="str">
        <f>""</f>
        <v/>
      </c>
      <c r="AB465" t="str">
        <f>""</f>
        <v/>
      </c>
      <c r="AC465" t="str">
        <f>""</f>
        <v/>
      </c>
    </row>
    <row r="466" spans="1:29" x14ac:dyDescent="0.25">
      <c r="A466" t="str">
        <f>"BDH dynamic header1"</f>
        <v>BDH dynamic header1</v>
      </c>
      <c r="B466">
        <f ca="1">IF(OR(ISERROR($C$466),ISBLANK($C$466),ISNUMBER(SEARCH("N/A",$C$466) ),ISERROR($C$467),ISBLANK($C$467)),0,1)</f>
        <v>0</v>
      </c>
      <c r="C466" t="e">
        <f ca="1">_xll.BDH($B$6,$C$6,$B$236,$B$237,"PER=CY","Dts=S","DtFmt=FI", "rows=2","Dir=H","Points=12","Sort=R","Days=A","Fill=B","FX=USD" )</f>
        <v>#NAME?</v>
      </c>
      <c r="R466" t="str">
        <f>""</f>
        <v/>
      </c>
      <c r="S466" t="str">
        <f>""</f>
        <v/>
      </c>
      <c r="T466" t="str">
        <f>""</f>
        <v/>
      </c>
      <c r="U466" t="str">
        <f>""</f>
        <v/>
      </c>
      <c r="V466" t="str">
        <f>""</f>
        <v/>
      </c>
      <c r="W466" t="str">
        <f>""</f>
        <v/>
      </c>
      <c r="X466" t="str">
        <f>""</f>
        <v/>
      </c>
      <c r="Y466" t="str">
        <f>""</f>
        <v/>
      </c>
      <c r="Z466" t="str">
        <f>""</f>
        <v/>
      </c>
      <c r="AA466" t="str">
        <f>""</f>
        <v/>
      </c>
      <c r="AB466" t="str">
        <f>""</f>
        <v/>
      </c>
      <c r="AC466" t="str">
        <f>""</f>
        <v/>
      </c>
    </row>
    <row r="467" spans="1:29" x14ac:dyDescent="0.25">
      <c r="A467" t="str">
        <f>"BDH dynamic result1"</f>
        <v>BDH dynamic result1</v>
      </c>
      <c r="R467" t="str">
        <f>""</f>
        <v/>
      </c>
      <c r="S467" t="str">
        <f>""</f>
        <v/>
      </c>
      <c r="T467" t="str">
        <f>""</f>
        <v/>
      </c>
      <c r="U467" t="str">
        <f>""</f>
        <v/>
      </c>
      <c r="V467" t="str">
        <f>""</f>
        <v/>
      </c>
      <c r="W467" t="str">
        <f>""</f>
        <v/>
      </c>
      <c r="X467" t="str">
        <f>""</f>
        <v/>
      </c>
      <c r="Y467" t="str">
        <f>""</f>
        <v/>
      </c>
      <c r="Z467" t="str">
        <f>""</f>
        <v/>
      </c>
      <c r="AA467" t="str">
        <f>""</f>
        <v/>
      </c>
      <c r="AB467" t="str">
        <f>""</f>
        <v/>
      </c>
      <c r="AC467" t="str">
        <f>""</f>
        <v/>
      </c>
    </row>
    <row r="468" spans="1:29" x14ac:dyDescent="0.25">
      <c r="A468" t="str">
        <f>"BDH dynamic header2"</f>
        <v>BDH dynamic header2</v>
      </c>
      <c r="B468">
        <f ca="1">IF(OR(ISERROR($C$468),ISBLANK($C$468),ISNUMBER(SEARCH("N/A",$C$468) ),ISERROR($C$469),ISBLANK($C$469)),0,1)</f>
        <v>0</v>
      </c>
      <c r="C468" t="e">
        <f ca="1">_xll.BDH($B$7,$C$7,$B$236,$B$237,"PER=CY","Dts=S","DtFmt=FI", "rows=2","Dir=H","Points=12","Sort=R","Days=A","Fill=B","FX=USD" )</f>
        <v>#NAME?</v>
      </c>
      <c r="R468" t="str">
        <f>""</f>
        <v/>
      </c>
      <c r="S468" t="str">
        <f>""</f>
        <v/>
      </c>
      <c r="T468" t="str">
        <f>""</f>
        <v/>
      </c>
      <c r="U468" t="str">
        <f>""</f>
        <v/>
      </c>
      <c r="V468" t="str">
        <f>""</f>
        <v/>
      </c>
      <c r="W468" t="str">
        <f>""</f>
        <v/>
      </c>
      <c r="X468" t="str">
        <f>""</f>
        <v/>
      </c>
      <c r="Y468" t="str">
        <f>""</f>
        <v/>
      </c>
      <c r="Z468" t="str">
        <f>""</f>
        <v/>
      </c>
      <c r="AA468" t="str">
        <f>""</f>
        <v/>
      </c>
      <c r="AB468" t="str">
        <f>""</f>
        <v/>
      </c>
      <c r="AC468" t="str">
        <f>""</f>
        <v/>
      </c>
    </row>
    <row r="469" spans="1:29" x14ac:dyDescent="0.25">
      <c r="A469" t="str">
        <f>"BDH dynamic result2"</f>
        <v>BDH dynamic result2</v>
      </c>
      <c r="R469" t="str">
        <f>""</f>
        <v/>
      </c>
      <c r="S469" t="str">
        <f>""</f>
        <v/>
      </c>
      <c r="T469" t="str">
        <f>""</f>
        <v/>
      </c>
      <c r="U469" t="str">
        <f>""</f>
        <v/>
      </c>
      <c r="V469" t="str">
        <f>""</f>
        <v/>
      </c>
      <c r="W469" t="str">
        <f>""</f>
        <v/>
      </c>
      <c r="X469" t="str">
        <f>""</f>
        <v/>
      </c>
      <c r="Y469" t="str">
        <f>""</f>
        <v/>
      </c>
      <c r="Z469" t="str">
        <f>""</f>
        <v/>
      </c>
      <c r="AA469" t="str">
        <f>""</f>
        <v/>
      </c>
      <c r="AB469" t="str">
        <f>""</f>
        <v/>
      </c>
      <c r="AC469" t="str">
        <f>""</f>
        <v/>
      </c>
    </row>
    <row r="470" spans="1:29" x14ac:dyDescent="0.25">
      <c r="A470" t="str">
        <f>"BDH dynamic"</f>
        <v>BDH dynamic</v>
      </c>
      <c r="B470">
        <f ca="1">IF($B$464&gt;=1,$B$464,IF($B$466&gt;=1,$B$466,IF($B$468&gt;=1,$B$468,$B$455)))</f>
        <v>2</v>
      </c>
      <c r="C470" t="str">
        <f ca="1">IF($B$464&gt;=1,$C$464,IF($B$466&gt;=1,$C$466,IF($B$468&gt;=1,$C$468,$C$455)))</f>
        <v>2019</v>
      </c>
      <c r="D470" t="str">
        <f ca="1">IF($B$464&gt;=1,$D$464,IF($B$466&gt;=1,$D$466,IF($B$468&gt;=1,$D$468,$D$455)))</f>
        <v>2018</v>
      </c>
      <c r="E470" t="str">
        <f ca="1">IF($B$464&gt;=1,$E$464,IF($B$466&gt;=1,$E$466,IF($B$468&gt;=1,$E$468,$E$455)))</f>
        <v>2017</v>
      </c>
      <c r="F470" t="str">
        <f ca="1">IF($B$464&gt;=1,$F$464,IF($B$466&gt;=1,$F$466,IF($B$468&gt;=1,$F$468,$F$455)))</f>
        <v>2016</v>
      </c>
      <c r="G470" t="str">
        <f ca="1">IF($B$464&gt;=1,$G$464,IF($B$466&gt;=1,$G$466,IF($B$468&gt;=1,$G$468,$G$455)))</f>
        <v>2015</v>
      </c>
      <c r="H470" t="str">
        <f ca="1">IF($B$464&gt;=1,$H$464,IF($B$466&gt;=1,$H$466,IF($B$468&gt;=1,$H$468,$H$455)))</f>
        <v>2014</v>
      </c>
      <c r="I470" t="str">
        <f ca="1">IF($B$464&gt;=1,$I$464,IF($B$466&gt;=1,$I$466,IF($B$468&gt;=1,$I$468,$I$455)))</f>
        <v>2013</v>
      </c>
      <c r="J470" t="str">
        <f ca="1">IF($B$464&gt;=1,$J$464,IF($B$466&gt;=1,$J$466,IF($B$468&gt;=1,$J$468,$J$455)))</f>
        <v>2012</v>
      </c>
      <c r="K470" t="str">
        <f ca="1">IF($B$464&gt;=1,$K$464,IF($B$466&gt;=1,$K$466,IF($B$468&gt;=1,$K$468,$K$455)))</f>
        <v>2011</v>
      </c>
      <c r="L470" t="str">
        <f ca="1">IF($B$464&gt;=1,$L$464,IF($B$466&gt;=1,$L$466,IF($B$468&gt;=1,$L$468,$L$455)))</f>
        <v>2010</v>
      </c>
      <c r="M470" t="str">
        <f ca="1">IF($B$464&gt;=1,$M$464,IF($B$466&gt;=1,$M$466,IF($B$468&gt;=1,$M$468,$M$455)))</f>
        <v>2009</v>
      </c>
      <c r="N470" t="str">
        <f ca="1">IF($B$464&gt;=1,$N$464,IF($B$466&gt;=1,$N$466,IF($B$468&gt;=1,$N$468,$N$455)))</f>
        <v>2008</v>
      </c>
      <c r="R470" t="str">
        <f>""</f>
        <v/>
      </c>
      <c r="S470" t="str">
        <f>""</f>
        <v/>
      </c>
      <c r="T470" t="str">
        <f>""</f>
        <v/>
      </c>
      <c r="U470" t="str">
        <f>""</f>
        <v/>
      </c>
      <c r="V470" t="str">
        <f>""</f>
        <v/>
      </c>
      <c r="W470" t="str">
        <f>""</f>
        <v/>
      </c>
      <c r="X470" t="str">
        <f>""</f>
        <v/>
      </c>
      <c r="Y470" t="str">
        <f>""</f>
        <v/>
      </c>
      <c r="Z470" t="str">
        <f>""</f>
        <v/>
      </c>
      <c r="AA470" t="str">
        <f>""</f>
        <v/>
      </c>
      <c r="AB470" t="str">
        <f>""</f>
        <v/>
      </c>
      <c r="AC470" t="str">
        <f>""</f>
        <v/>
      </c>
    </row>
    <row r="471" spans="1:29" x14ac:dyDescent="0.25">
      <c r="A471" t="str">
        <f>"BDH dynamic title"</f>
        <v>BDH dynamic title</v>
      </c>
      <c r="B471">
        <f ca="1">$B$470</f>
        <v>2</v>
      </c>
      <c r="C471" t="str">
        <f ca="1">SUBSTITUTE(SUBSTITUTE($C$470,"CY1 ",""),"C","")</f>
        <v>2019</v>
      </c>
      <c r="D471" t="str">
        <f ca="1">SUBSTITUTE(SUBSTITUTE($D$470,"CY1 ",""),"C","")</f>
        <v>2018</v>
      </c>
      <c r="E471" t="str">
        <f ca="1">SUBSTITUTE(SUBSTITUTE($E$470,"CY1 ",""),"C","")</f>
        <v>2017</v>
      </c>
      <c r="F471" t="str">
        <f ca="1">SUBSTITUTE(SUBSTITUTE($F$470,"CY1 ",""),"C","")</f>
        <v>2016</v>
      </c>
      <c r="G471" t="str">
        <f ca="1">SUBSTITUTE(SUBSTITUTE($G$470,"CY1 ",""),"C","")</f>
        <v>2015</v>
      </c>
      <c r="H471" t="str">
        <f ca="1">SUBSTITUTE(SUBSTITUTE($H$470,"CY1 ",""),"C","")</f>
        <v>2014</v>
      </c>
      <c r="I471" t="str">
        <f ca="1">SUBSTITUTE(SUBSTITUTE($I$470,"CY1 ",""),"C","")</f>
        <v>2013</v>
      </c>
      <c r="J471" t="str">
        <f ca="1">SUBSTITUTE(SUBSTITUTE($J$470,"CY1 ",""),"C","")</f>
        <v>2012</v>
      </c>
      <c r="K471" t="str">
        <f ca="1">SUBSTITUTE(SUBSTITUTE($K$470,"CY1 ",""),"C","")</f>
        <v>2011</v>
      </c>
      <c r="L471" t="str">
        <f ca="1">SUBSTITUTE(SUBSTITUTE($L$470,"CY1 ",""),"C","")</f>
        <v>2010</v>
      </c>
      <c r="M471" t="str">
        <f ca="1">SUBSTITUTE(SUBSTITUTE($M$470,"CY1 ",""),"C","")</f>
        <v>2009</v>
      </c>
      <c r="N471" t="str">
        <f ca="1">SUBSTITUTE(SUBSTITUTE($N$470,"CY1 ",""),"C","")</f>
        <v>2008</v>
      </c>
      <c r="R471" t="str">
        <f>""</f>
        <v/>
      </c>
      <c r="S471" t="str">
        <f>""</f>
        <v/>
      </c>
      <c r="T471" t="str">
        <f>""</f>
        <v/>
      </c>
      <c r="U471" t="str">
        <f>""</f>
        <v/>
      </c>
      <c r="V471" t="str">
        <f>""</f>
        <v/>
      </c>
      <c r="W471" t="str">
        <f>""</f>
        <v/>
      </c>
      <c r="X471" t="str">
        <f>""</f>
        <v/>
      </c>
      <c r="Y471" t="str">
        <f>""</f>
        <v/>
      </c>
      <c r="Z471" t="str">
        <f>""</f>
        <v/>
      </c>
      <c r="AA471" t="str">
        <f>""</f>
        <v/>
      </c>
      <c r="AB471" t="str">
        <f>""</f>
        <v/>
      </c>
      <c r="AC471" t="str">
        <f>""</f>
        <v/>
      </c>
    </row>
    <row r="472" spans="1:29" x14ac:dyDescent="0.25">
      <c r="A472" t="str">
        <f>"No error found"</f>
        <v>No error found</v>
      </c>
      <c r="B472" t="str">
        <f>""</f>
        <v/>
      </c>
      <c r="C472" t="str">
        <f>""</f>
        <v/>
      </c>
      <c r="D472" t="str">
        <f>""</f>
        <v/>
      </c>
      <c r="E472" t="str">
        <f>""</f>
        <v/>
      </c>
      <c r="R472" t="str">
        <f>""</f>
        <v/>
      </c>
      <c r="S472" t="str">
        <f>""</f>
        <v/>
      </c>
      <c r="T472" t="str">
        <f>""</f>
        <v/>
      </c>
      <c r="U472" t="str">
        <f>""</f>
        <v/>
      </c>
      <c r="V472" t="str">
        <f>""</f>
        <v/>
      </c>
      <c r="W472" t="str">
        <f>""</f>
        <v/>
      </c>
      <c r="X472" t="str">
        <f>""</f>
        <v/>
      </c>
      <c r="Y472" t="str">
        <f>""</f>
        <v/>
      </c>
      <c r="Z472" t="str">
        <f>""</f>
        <v/>
      </c>
      <c r="AA472" t="str">
        <f>""</f>
        <v/>
      </c>
      <c r="AB472" t="str">
        <f>""</f>
        <v/>
      </c>
      <c r="AC472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C16D-E419-436E-91BC-799D6ADDE080}">
  <dimension ref="A2:Y330"/>
  <sheetViews>
    <sheetView tabSelected="1" workbookViewId="0">
      <selection activeCell="D68" sqref="D68"/>
    </sheetView>
  </sheetViews>
  <sheetFormatPr defaultRowHeight="15" x14ac:dyDescent="0.25"/>
  <cols>
    <col min="1" max="1" width="53.7109375" customWidth="1"/>
    <col min="2" max="2" width="9.5703125" bestFit="1" customWidth="1"/>
  </cols>
  <sheetData>
    <row r="2" spans="1:25" x14ac:dyDescent="0.25">
      <c r="A2" t="s">
        <v>28</v>
      </c>
      <c r="B2" s="2">
        <v>2008</v>
      </c>
      <c r="C2" s="2">
        <v>2009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3">
        <v>2019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t="s">
        <v>45</v>
      </c>
    </row>
    <row r="4" spans="1:25" x14ac:dyDescent="0.25">
      <c r="A4" t="s">
        <v>48</v>
      </c>
      <c r="B4">
        <v>18.453172563333336</v>
      </c>
      <c r="C4">
        <v>1.925860069333333</v>
      </c>
      <c r="D4">
        <v>13.9889153846</v>
      </c>
      <c r="E4">
        <v>21.42179899826667</v>
      </c>
      <c r="F4">
        <v>15.031408218312501</v>
      </c>
      <c r="G4">
        <v>26.6486739899375</v>
      </c>
      <c r="H4">
        <v>8.4074593604000007</v>
      </c>
      <c r="I4">
        <v>8.5121854081333357</v>
      </c>
      <c r="J4">
        <v>6.9808094650625003</v>
      </c>
      <c r="K4">
        <v>3.4795207235294119</v>
      </c>
      <c r="L4">
        <v>6.7920567900588242</v>
      </c>
      <c r="M4">
        <v>5.5819916998823524</v>
      </c>
    </row>
    <row r="5" spans="1:25" x14ac:dyDescent="0.25">
      <c r="A5" t="s">
        <v>74</v>
      </c>
      <c r="B5">
        <v>35.259917649999998</v>
      </c>
      <c r="C5">
        <v>18.641153299999999</v>
      </c>
      <c r="D5">
        <v>29.614816390000001</v>
      </c>
      <c r="E5">
        <v>32.421999909999997</v>
      </c>
      <c r="F5">
        <v>22.805494809999999</v>
      </c>
      <c r="G5">
        <v>14.86114967</v>
      </c>
      <c r="H5" t="s">
        <v>46</v>
      </c>
      <c r="I5" t="s">
        <v>46</v>
      </c>
      <c r="J5">
        <v>16.585612229999999</v>
      </c>
      <c r="K5">
        <v>6.309913506</v>
      </c>
      <c r="L5">
        <v>10.053998350000001</v>
      </c>
      <c r="M5">
        <v>15.10124647</v>
      </c>
    </row>
    <row r="6" spans="1:25" x14ac:dyDescent="0.25">
      <c r="A6" t="s">
        <v>76</v>
      </c>
      <c r="B6">
        <v>9.7780785689999998</v>
      </c>
      <c r="C6">
        <v>5.6179175609999996</v>
      </c>
      <c r="D6">
        <v>1.7425664890000001</v>
      </c>
      <c r="E6">
        <v>5.1408228730000003</v>
      </c>
      <c r="F6">
        <v>9.3913137280000001</v>
      </c>
      <c r="G6">
        <v>-0.91489911499999999</v>
      </c>
      <c r="H6">
        <v>0.81713807400000005</v>
      </c>
      <c r="I6">
        <v>-2.977686329</v>
      </c>
      <c r="J6">
        <v>-4.9501053180000003</v>
      </c>
      <c r="K6">
        <v>11.137649270000001</v>
      </c>
      <c r="L6">
        <v>3.0778540040000002</v>
      </c>
      <c r="M6">
        <v>3.2284972779999999</v>
      </c>
    </row>
    <row r="7" spans="1:25" x14ac:dyDescent="0.25">
      <c r="A7" t="s">
        <v>78</v>
      </c>
      <c r="B7">
        <v>29.960460099999999</v>
      </c>
      <c r="C7">
        <v>4.8356612730000004</v>
      </c>
      <c r="D7">
        <v>20.926039930000002</v>
      </c>
      <c r="E7">
        <v>22.664630379999998</v>
      </c>
      <c r="F7">
        <v>19.618189359999999</v>
      </c>
      <c r="G7">
        <v>24.239195079999998</v>
      </c>
      <c r="H7">
        <v>6.355095446</v>
      </c>
      <c r="I7">
        <v>17.108347869999999</v>
      </c>
      <c r="J7">
        <v>9.6779359720000002</v>
      </c>
      <c r="K7">
        <v>2.9758775769999999</v>
      </c>
      <c r="L7">
        <v>17.23292022</v>
      </c>
      <c r="M7">
        <v>9.8167523439999993</v>
      </c>
    </row>
    <row r="8" spans="1:25" x14ac:dyDescent="0.25">
      <c r="A8" t="s">
        <v>80</v>
      </c>
      <c r="B8">
        <v>4.9035288399999999</v>
      </c>
      <c r="C8">
        <v>-7.59625591</v>
      </c>
      <c r="D8">
        <v>4.2941581900000001</v>
      </c>
      <c r="E8">
        <v>7.055171723</v>
      </c>
      <c r="F8">
        <v>-3.7805379920000002</v>
      </c>
      <c r="G8">
        <v>-4.3810875439999997</v>
      </c>
      <c r="H8">
        <v>-5.6665345089999999</v>
      </c>
      <c r="I8">
        <v>-11.910381170000001</v>
      </c>
      <c r="J8">
        <v>-2.2289915709999999</v>
      </c>
      <c r="K8">
        <v>-0.97598818799999998</v>
      </c>
      <c r="L8">
        <v>0.57114696899999995</v>
      </c>
      <c r="M8">
        <v>-3.070698948</v>
      </c>
    </row>
    <row r="9" spans="1:25" x14ac:dyDescent="0.25">
      <c r="A9" t="s">
        <v>82</v>
      </c>
      <c r="B9">
        <v>22.959638399999999</v>
      </c>
      <c r="C9">
        <v>7.9676754079999998</v>
      </c>
      <c r="D9">
        <v>24.295212750000001</v>
      </c>
      <c r="E9">
        <v>30.996575709999998</v>
      </c>
      <c r="F9">
        <v>28.829097659999999</v>
      </c>
      <c r="G9">
        <v>29.877814520000001</v>
      </c>
      <c r="H9">
        <v>15.69386437</v>
      </c>
      <c r="I9">
        <v>14.789038720000001</v>
      </c>
      <c r="J9">
        <v>8.5783185759999991</v>
      </c>
      <c r="K9">
        <v>4.3554922600000001</v>
      </c>
      <c r="L9">
        <v>18.975013000000001</v>
      </c>
      <c r="M9">
        <v>7.1594873789999998</v>
      </c>
    </row>
    <row r="10" spans="1:25" x14ac:dyDescent="0.25">
      <c r="A10" t="s">
        <v>84</v>
      </c>
      <c r="B10">
        <v>18.549693319999999</v>
      </c>
      <c r="C10">
        <v>3.5993459809999999</v>
      </c>
      <c r="D10">
        <v>11.12984823</v>
      </c>
      <c r="E10">
        <v>6.7993463289999996</v>
      </c>
      <c r="F10">
        <v>25.199919850000001</v>
      </c>
      <c r="G10">
        <v>173.9869928</v>
      </c>
      <c r="H10">
        <v>20.125428809999999</v>
      </c>
      <c r="I10">
        <v>17.120589890000002</v>
      </c>
      <c r="J10">
        <v>9.9893561609999999</v>
      </c>
      <c r="K10">
        <v>5.6007384839999999</v>
      </c>
      <c r="L10">
        <v>12.89836187</v>
      </c>
      <c r="M10">
        <v>6.1181655690000003</v>
      </c>
    </row>
    <row r="11" spans="1:25" x14ac:dyDescent="0.25">
      <c r="A11" t="s">
        <v>86</v>
      </c>
      <c r="B11">
        <v>28.628701280000001</v>
      </c>
      <c r="C11">
        <v>5.8888305220000001</v>
      </c>
      <c r="D11">
        <v>14.11573188</v>
      </c>
      <c r="E11">
        <v>19.781221219999999</v>
      </c>
      <c r="F11">
        <v>0.61429520000000004</v>
      </c>
      <c r="G11">
        <v>16.035280660000002</v>
      </c>
      <c r="H11">
        <v>8.1230757889999996</v>
      </c>
      <c r="I11">
        <v>9.1354396280000003</v>
      </c>
      <c r="J11">
        <v>7.4080868000000004</v>
      </c>
      <c r="K11">
        <v>-1.004901872</v>
      </c>
      <c r="L11">
        <v>7.5199450880000001</v>
      </c>
      <c r="M11">
        <v>4.162705152</v>
      </c>
    </row>
    <row r="12" spans="1:25" x14ac:dyDescent="0.25">
      <c r="A12" t="s">
        <v>88</v>
      </c>
      <c r="B12">
        <v>23.005896214500002</v>
      </c>
      <c r="C12">
        <v>14.935493464466667</v>
      </c>
      <c r="D12">
        <v>11.060105053866668</v>
      </c>
      <c r="E12">
        <v>11.924707142533332</v>
      </c>
      <c r="F12">
        <v>16.71235553813333</v>
      </c>
      <c r="G12">
        <v>19.634570966999998</v>
      </c>
      <c r="H12">
        <v>15.319241979666664</v>
      </c>
      <c r="I12">
        <v>13.224117087733333</v>
      </c>
      <c r="J12">
        <v>7.7024082493333328</v>
      </c>
      <c r="K12">
        <v>6.3493847076000005</v>
      </c>
      <c r="L12">
        <v>6.305733188375001</v>
      </c>
      <c r="M12">
        <v>5.2886489293529406</v>
      </c>
    </row>
    <row r="13" spans="1:25" x14ac:dyDescent="0.25">
      <c r="A13" t="s">
        <v>74</v>
      </c>
      <c r="B13">
        <v>30.796087719999999</v>
      </c>
      <c r="C13">
        <v>25.98798729</v>
      </c>
      <c r="D13">
        <v>27.649673750000002</v>
      </c>
      <c r="E13">
        <v>26.750607760000001</v>
      </c>
      <c r="F13">
        <v>28.216582500000001</v>
      </c>
      <c r="G13">
        <v>15.595081950000001</v>
      </c>
      <c r="H13" t="s">
        <v>46</v>
      </c>
      <c r="I13" t="s">
        <v>46</v>
      </c>
      <c r="J13" t="s">
        <v>46</v>
      </c>
      <c r="K13" t="s">
        <v>46</v>
      </c>
      <c r="L13">
        <v>11.45231126</v>
      </c>
      <c r="M13">
        <v>11.8763953</v>
      </c>
    </row>
    <row r="14" spans="1:25" x14ac:dyDescent="0.25">
      <c r="A14" t="s">
        <v>78</v>
      </c>
      <c r="B14">
        <v>31.586807490000002</v>
      </c>
      <c r="C14">
        <v>17.85396725</v>
      </c>
      <c r="D14">
        <v>18.108196159999999</v>
      </c>
      <c r="E14">
        <v>15.855344990000001</v>
      </c>
      <c r="F14">
        <v>21.063196479999998</v>
      </c>
      <c r="G14">
        <v>22.158887589999999</v>
      </c>
      <c r="H14">
        <v>16.485370400000001</v>
      </c>
      <c r="I14">
        <v>15.664902189999999</v>
      </c>
      <c r="J14">
        <v>10.957111279999999</v>
      </c>
      <c r="K14">
        <v>9.7692949969999994</v>
      </c>
      <c r="L14">
        <v>9.8082030509999996</v>
      </c>
      <c r="M14">
        <v>9.8545106029999996</v>
      </c>
    </row>
    <row r="15" spans="1:25" x14ac:dyDescent="0.25">
      <c r="A15" t="s">
        <v>82</v>
      </c>
      <c r="B15">
        <v>28.03239602</v>
      </c>
      <c r="C15">
        <v>17.133353329999998</v>
      </c>
      <c r="D15">
        <v>18.169004470000001</v>
      </c>
      <c r="E15">
        <v>20.689465909999999</v>
      </c>
      <c r="F15">
        <v>28.009667660000002</v>
      </c>
      <c r="G15">
        <v>29.898148249999998</v>
      </c>
      <c r="H15">
        <v>24.629184949999999</v>
      </c>
      <c r="I15">
        <v>19.926522179999999</v>
      </c>
      <c r="J15">
        <v>12.975590370000001</v>
      </c>
      <c r="K15">
        <v>9.1573408300000008</v>
      </c>
      <c r="L15">
        <v>10.468399359999999</v>
      </c>
      <c r="M15">
        <v>9.9851115929999992</v>
      </c>
    </row>
    <row r="16" spans="1:25" x14ac:dyDescent="0.25">
      <c r="A16" t="s">
        <v>84</v>
      </c>
      <c r="B16">
        <v>53.275777040000001</v>
      </c>
      <c r="C16">
        <v>16.45054592</v>
      </c>
      <c r="D16">
        <v>10.92498788</v>
      </c>
      <c r="E16">
        <v>7.1318924160000003</v>
      </c>
      <c r="F16">
        <v>14.11282462</v>
      </c>
      <c r="G16">
        <v>54.158519339999998</v>
      </c>
      <c r="H16">
        <v>60.320717989999999</v>
      </c>
      <c r="I16">
        <v>56.795182840000002</v>
      </c>
      <c r="J16">
        <v>15.66615191</v>
      </c>
      <c r="K16">
        <v>10.80268609</v>
      </c>
      <c r="L16">
        <v>9.4548689180000007</v>
      </c>
      <c r="M16">
        <v>8.1553756029999995</v>
      </c>
    </row>
    <row r="17" spans="1:13" x14ac:dyDescent="0.25">
      <c r="A17" t="s">
        <v>86</v>
      </c>
      <c r="B17">
        <v>34.327952930000002</v>
      </c>
      <c r="C17">
        <v>21.967810700000001</v>
      </c>
      <c r="D17">
        <v>15.836257809999999</v>
      </c>
      <c r="E17">
        <v>13.117067069999999</v>
      </c>
      <c r="F17">
        <v>11.20679264</v>
      </c>
      <c r="G17">
        <v>11.82686786</v>
      </c>
      <c r="H17">
        <v>8.0743700240000003</v>
      </c>
      <c r="I17">
        <v>11.043058950000001</v>
      </c>
      <c r="J17">
        <v>8.2198825410000005</v>
      </c>
      <c r="K17">
        <v>5.0845392809999996</v>
      </c>
      <c r="L17">
        <v>4.5634494390000002</v>
      </c>
      <c r="M17">
        <v>3.499517424</v>
      </c>
    </row>
    <row r="18" spans="1:13" x14ac:dyDescent="0.25">
      <c r="A18" t="s">
        <v>91</v>
      </c>
      <c r="B18">
        <v>19.897682178500002</v>
      </c>
      <c r="C18">
        <v>-0.2796322160666655</v>
      </c>
      <c r="D18">
        <v>20.247055099333327</v>
      </c>
      <c r="E18">
        <v>21.002509346133333</v>
      </c>
      <c r="F18">
        <v>13.221683896999997</v>
      </c>
      <c r="G18">
        <v>33.965887448000004</v>
      </c>
      <c r="H18">
        <v>-0.19403004619999956</v>
      </c>
      <c r="I18">
        <v>4.8497405495000008</v>
      </c>
      <c r="J18">
        <v>7.7559166282142851</v>
      </c>
      <c r="K18">
        <v>9.7721743972499997</v>
      </c>
      <c r="L18">
        <v>5.6990587842352953</v>
      </c>
      <c r="M18">
        <v>15.509857617533333</v>
      </c>
    </row>
    <row r="19" spans="1:13" x14ac:dyDescent="0.25">
      <c r="A19" t="s">
        <v>74</v>
      </c>
      <c r="B19">
        <v>21.48939919</v>
      </c>
      <c r="C19">
        <v>-6.1896935129999999</v>
      </c>
      <c r="D19">
        <v>27.131343529999999</v>
      </c>
      <c r="E19">
        <v>51.184000390000001</v>
      </c>
      <c r="F19">
        <v>51.781864980000002</v>
      </c>
      <c r="G19">
        <v>36.645543799999999</v>
      </c>
      <c r="H19" t="s">
        <v>46</v>
      </c>
      <c r="I19" t="s">
        <v>46</v>
      </c>
      <c r="J19">
        <v>18.63755656</v>
      </c>
      <c r="K19">
        <v>8.2968524000000006</v>
      </c>
      <c r="L19">
        <v>14.075349429999999</v>
      </c>
      <c r="M19">
        <v>17.835067089999999</v>
      </c>
    </row>
    <row r="20" spans="1:13" x14ac:dyDescent="0.25">
      <c r="A20" t="s">
        <v>78</v>
      </c>
      <c r="B20">
        <v>45.742649870000001</v>
      </c>
      <c r="C20">
        <v>2.4626670160000002</v>
      </c>
      <c r="D20">
        <v>14.11403733</v>
      </c>
      <c r="E20">
        <v>19.471207710000002</v>
      </c>
      <c r="F20">
        <v>5.9639909979999999</v>
      </c>
      <c r="G20">
        <v>16.68141593</v>
      </c>
      <c r="H20">
        <v>9.4122108460000007</v>
      </c>
      <c r="I20">
        <v>18.390406209999998</v>
      </c>
      <c r="J20">
        <v>8.9290942090000005</v>
      </c>
      <c r="K20">
        <v>2.1877015700000002</v>
      </c>
      <c r="L20">
        <v>9.8890116250000002</v>
      </c>
      <c r="M20">
        <v>6.586568379</v>
      </c>
    </row>
    <row r="21" spans="1:13" x14ac:dyDescent="0.25">
      <c r="A21" t="s">
        <v>82</v>
      </c>
      <c r="B21">
        <v>24.445231289999999</v>
      </c>
      <c r="C21">
        <v>21.26628358</v>
      </c>
      <c r="D21">
        <v>28.567435920000001</v>
      </c>
      <c r="E21">
        <v>29.13620603</v>
      </c>
      <c r="F21">
        <v>24.970714170000001</v>
      </c>
      <c r="G21">
        <v>39.314497690000003</v>
      </c>
      <c r="H21">
        <v>-1.853597435</v>
      </c>
      <c r="I21">
        <v>24.371816509999999</v>
      </c>
      <c r="J21">
        <v>5.3230327920000002</v>
      </c>
      <c r="K21">
        <v>0.63445885300000004</v>
      </c>
      <c r="L21">
        <v>21.497109120000001</v>
      </c>
      <c r="M21">
        <v>6.588872576</v>
      </c>
    </row>
    <row r="22" spans="1:13" x14ac:dyDescent="0.25">
      <c r="A22" t="s">
        <v>84</v>
      </c>
      <c r="B22">
        <v>52.207453119999997</v>
      </c>
      <c r="C22">
        <v>-11.68810916</v>
      </c>
      <c r="D22">
        <v>-11.416210489999999</v>
      </c>
      <c r="E22">
        <v>-8.3624040669999999</v>
      </c>
      <c r="F22">
        <v>54.905373070000003</v>
      </c>
      <c r="G22">
        <v>193.7649207</v>
      </c>
      <c r="H22">
        <v>-0.73856302900000004</v>
      </c>
      <c r="I22">
        <v>2.8341640780000001</v>
      </c>
      <c r="J22">
        <v>-2.0184517400000002</v>
      </c>
      <c r="K22">
        <v>12.551381320000001</v>
      </c>
      <c r="L22">
        <v>34.552828269999999</v>
      </c>
      <c r="M22">
        <v>-13.071388219999999</v>
      </c>
    </row>
    <row r="23" spans="1:13" x14ac:dyDescent="0.25">
      <c r="A23" t="s">
        <v>86</v>
      </c>
      <c r="B23">
        <v>23.10377583</v>
      </c>
      <c r="C23">
        <v>14.766874359999999</v>
      </c>
      <c r="D23">
        <v>9.9842000869999996</v>
      </c>
      <c r="E23">
        <v>8.2984381210000002</v>
      </c>
      <c r="F23">
        <v>10.32541206</v>
      </c>
      <c r="G23">
        <v>24.20025326</v>
      </c>
      <c r="H23">
        <v>7.7321551790000003</v>
      </c>
      <c r="I23">
        <v>3.2014453820000002</v>
      </c>
      <c r="J23">
        <v>4.3915226289999998</v>
      </c>
      <c r="K23">
        <v>-7.780903114</v>
      </c>
      <c r="L23">
        <v>11.77619552</v>
      </c>
      <c r="M23">
        <v>6.244350903</v>
      </c>
    </row>
    <row r="24" spans="1:13" x14ac:dyDescent="0.25">
      <c r="A24" t="s">
        <v>94</v>
      </c>
      <c r="B24">
        <v>44.127218560133329</v>
      </c>
      <c r="C24">
        <v>-6.6177062871333323</v>
      </c>
      <c r="D24">
        <v>210.45396240513338</v>
      </c>
      <c r="E24">
        <v>18.229316149666666</v>
      </c>
      <c r="F24">
        <v>12.71668963066667</v>
      </c>
      <c r="G24">
        <v>30.269210079399997</v>
      </c>
      <c r="H24">
        <v>10.182551499307692</v>
      </c>
      <c r="I24">
        <v>-23.869647509142858</v>
      </c>
      <c r="J24">
        <v>-6.2191400596666675</v>
      </c>
      <c r="K24">
        <v>1.9650384296666668</v>
      </c>
      <c r="L24">
        <v>21.845311264999999</v>
      </c>
      <c r="M24">
        <v>-15.608750856874998</v>
      </c>
    </row>
    <row r="25" spans="1:13" x14ac:dyDescent="0.25">
      <c r="A25" t="s">
        <v>74</v>
      </c>
      <c r="B25">
        <v>24.617875900000001</v>
      </c>
      <c r="C25">
        <v>-5.2231237320000004</v>
      </c>
      <c r="D25">
        <v>28.892455859999998</v>
      </c>
      <c r="E25">
        <v>45.537567459999998</v>
      </c>
      <c r="F25">
        <v>65.858528239999998</v>
      </c>
      <c r="G25">
        <v>39.525988230000003</v>
      </c>
      <c r="H25" t="s">
        <v>46</v>
      </c>
      <c r="I25" t="s">
        <v>46</v>
      </c>
      <c r="J25">
        <v>16.030446269999999</v>
      </c>
      <c r="K25">
        <v>3.1493452679999998</v>
      </c>
      <c r="L25">
        <v>8.5725696330000005</v>
      </c>
      <c r="M25">
        <v>9.2879770990000008</v>
      </c>
    </row>
    <row r="26" spans="1:13" x14ac:dyDescent="0.25">
      <c r="A26" t="s">
        <v>78</v>
      </c>
      <c r="B26">
        <v>28.28561096</v>
      </c>
      <c r="C26">
        <v>4.225621415</v>
      </c>
      <c r="D26">
        <v>9.7596771229999995</v>
      </c>
      <c r="E26">
        <v>21.636302860000001</v>
      </c>
      <c r="F26">
        <v>13.27378908</v>
      </c>
      <c r="G26">
        <v>13.028446649999999</v>
      </c>
      <c r="H26">
        <v>15.7821304</v>
      </c>
      <c r="I26">
        <v>9.4178717089999999</v>
      </c>
      <c r="J26">
        <v>6.4046086070000001</v>
      </c>
      <c r="K26">
        <v>13.16878981</v>
      </c>
      <c r="L26">
        <v>-0.26734205700000002</v>
      </c>
      <c r="M26">
        <v>9.9604966140000002</v>
      </c>
    </row>
    <row r="27" spans="1:13" x14ac:dyDescent="0.25">
      <c r="A27" t="s">
        <v>82</v>
      </c>
      <c r="B27">
        <v>4.4197819310000002</v>
      </c>
      <c r="C27">
        <v>33.022562000000001</v>
      </c>
      <c r="D27">
        <v>29.716848890000001</v>
      </c>
      <c r="E27">
        <v>14.696347530000001</v>
      </c>
      <c r="F27">
        <v>33.766723200000001</v>
      </c>
      <c r="G27">
        <v>37.484152700000003</v>
      </c>
      <c r="H27">
        <v>2.7766393439999999</v>
      </c>
      <c r="I27">
        <v>22.789353009999999</v>
      </c>
      <c r="J27">
        <v>8.3137127549999992</v>
      </c>
      <c r="K27">
        <v>0.584663818</v>
      </c>
      <c r="L27">
        <v>23.779715329999998</v>
      </c>
      <c r="M27">
        <v>3.7808549070000002</v>
      </c>
    </row>
    <row r="28" spans="1:13" x14ac:dyDescent="0.25">
      <c r="A28" t="s">
        <v>84</v>
      </c>
      <c r="B28">
        <v>206.66790739999999</v>
      </c>
      <c r="C28">
        <v>-31.171322379999999</v>
      </c>
      <c r="D28">
        <v>-10.12018812</v>
      </c>
      <c r="E28">
        <v>67.151162790000001</v>
      </c>
      <c r="F28">
        <v>16.927536230000001</v>
      </c>
      <c r="G28">
        <v>29.152206249999999</v>
      </c>
      <c r="H28">
        <v>-15.669865639999999</v>
      </c>
      <c r="I28">
        <v>25.67370721</v>
      </c>
      <c r="J28">
        <v>-6.8675746159999997</v>
      </c>
      <c r="K28">
        <v>33.851897950000001</v>
      </c>
      <c r="L28">
        <v>12.668526269999999</v>
      </c>
      <c r="M28">
        <v>-4.5530389930000004</v>
      </c>
    </row>
    <row r="29" spans="1:13" x14ac:dyDescent="0.25">
      <c r="A29" t="s">
        <v>86</v>
      </c>
      <c r="B29">
        <v>18.52343059</v>
      </c>
      <c r="C29">
        <v>18.537859009999998</v>
      </c>
      <c r="D29">
        <v>14.013024209999999</v>
      </c>
      <c r="E29">
        <v>4.6918123280000001</v>
      </c>
      <c r="F29">
        <v>9.8714367309999993</v>
      </c>
      <c r="G29">
        <v>27.005764330000002</v>
      </c>
      <c r="H29">
        <v>10.98866499</v>
      </c>
      <c r="I29">
        <v>2.8652482269999999</v>
      </c>
      <c r="J29">
        <v>-3.5852178709999998</v>
      </c>
      <c r="K29">
        <v>-3.5469107549999999</v>
      </c>
      <c r="L29">
        <v>18.544851139999999</v>
      </c>
      <c r="M29">
        <v>11.20747165</v>
      </c>
    </row>
    <row r="30" spans="1:13" x14ac:dyDescent="0.25">
      <c r="A30" t="s">
        <v>97</v>
      </c>
      <c r="B30">
        <v>32.960063736000002</v>
      </c>
      <c r="C30">
        <v>23.190266688000001</v>
      </c>
      <c r="D30">
        <v>17.860764325399998</v>
      </c>
      <c r="E30">
        <v>14.0691062806</v>
      </c>
      <c r="F30">
        <v>28.319835771133327</v>
      </c>
      <c r="G30">
        <v>13.333837020400003</v>
      </c>
      <c r="H30">
        <v>13.254711522615384</v>
      </c>
      <c r="I30">
        <v>19.153107092076919</v>
      </c>
      <c r="J30">
        <v>10.81245583669231</v>
      </c>
      <c r="K30">
        <v>6.2459168526923081</v>
      </c>
      <c r="L30">
        <v>6.7049648592142859</v>
      </c>
      <c r="M30">
        <v>7.3488887856666674</v>
      </c>
    </row>
    <row r="31" spans="1:13" x14ac:dyDescent="0.25">
      <c r="A31" t="s">
        <v>74</v>
      </c>
      <c r="B31">
        <v>22.43387027</v>
      </c>
      <c r="C31">
        <v>-2.5566482389999998</v>
      </c>
      <c r="D31">
        <v>15.03678736</v>
      </c>
      <c r="E31">
        <v>21.143932410000001</v>
      </c>
      <c r="F31">
        <v>45.986760850000003</v>
      </c>
      <c r="G31">
        <v>40.694892619999997</v>
      </c>
      <c r="H31" t="s">
        <v>46</v>
      </c>
      <c r="I31" t="s">
        <v>46</v>
      </c>
      <c r="J31" t="s">
        <v>46</v>
      </c>
      <c r="K31" t="s">
        <v>46</v>
      </c>
      <c r="L31">
        <v>9.6647572089999993</v>
      </c>
      <c r="M31">
        <v>8.3689633580000002</v>
      </c>
    </row>
    <row r="32" spans="1:13" x14ac:dyDescent="0.25">
      <c r="A32" t="s">
        <v>78</v>
      </c>
      <c r="B32">
        <v>32.447746279999997</v>
      </c>
      <c r="C32">
        <v>16.333037489999999</v>
      </c>
      <c r="D32">
        <v>13.640138309999999</v>
      </c>
      <c r="E32">
        <v>11.641803019999999</v>
      </c>
      <c r="F32">
        <v>14.783241930000001</v>
      </c>
      <c r="G32">
        <v>15.911573000000001</v>
      </c>
      <c r="H32">
        <v>14.02136642</v>
      </c>
      <c r="I32">
        <v>12.71261337</v>
      </c>
      <c r="J32">
        <v>10.46636906</v>
      </c>
      <c r="K32">
        <v>9.6289171539999998</v>
      </c>
      <c r="L32">
        <v>6.2938574090000001</v>
      </c>
      <c r="M32">
        <v>7.4649693700000004</v>
      </c>
    </row>
    <row r="33" spans="1:13" x14ac:dyDescent="0.25">
      <c r="A33" t="s">
        <v>82</v>
      </c>
      <c r="B33">
        <v>20.942626109999999</v>
      </c>
      <c r="C33">
        <v>18.33954267</v>
      </c>
      <c r="D33">
        <v>21.684378049999999</v>
      </c>
      <c r="E33">
        <v>25.55203667</v>
      </c>
      <c r="F33">
        <v>25.785724519999999</v>
      </c>
      <c r="G33">
        <v>28.247853809999999</v>
      </c>
      <c r="H33">
        <v>23.641722739999999</v>
      </c>
      <c r="I33">
        <v>20.16258294</v>
      </c>
      <c r="J33">
        <v>10.98037523</v>
      </c>
      <c r="K33">
        <v>10.185718380000001</v>
      </c>
      <c r="L33">
        <v>10.48116124</v>
      </c>
      <c r="M33">
        <v>8.9179597140000002</v>
      </c>
    </row>
    <row r="34" spans="1:13" x14ac:dyDescent="0.25">
      <c r="A34" t="s">
        <v>84</v>
      </c>
      <c r="B34">
        <v>54.465076029999999</v>
      </c>
      <c r="C34">
        <v>75.822730370000002</v>
      </c>
      <c r="D34">
        <v>23.794106630000002</v>
      </c>
      <c r="E34">
        <v>1.1223128570000001</v>
      </c>
      <c r="F34">
        <v>20.659851150000001</v>
      </c>
      <c r="G34">
        <v>36.157847400000001</v>
      </c>
      <c r="H34">
        <v>8.3928095789999997</v>
      </c>
      <c r="I34">
        <v>11.030684190000001</v>
      </c>
      <c r="J34">
        <v>-0.43438577699999997</v>
      </c>
      <c r="K34">
        <v>16.142175770000001</v>
      </c>
      <c r="L34">
        <v>11.989168510000001</v>
      </c>
      <c r="M34">
        <v>12.909309329999999</v>
      </c>
    </row>
    <row r="35" spans="1:13" x14ac:dyDescent="0.25">
      <c r="A35" t="s">
        <v>86</v>
      </c>
      <c r="B35">
        <v>22.18146617</v>
      </c>
      <c r="C35">
        <v>15.5145596</v>
      </c>
      <c r="D35">
        <v>17.00522406</v>
      </c>
      <c r="E35">
        <v>12.264234869999999</v>
      </c>
      <c r="F35">
        <v>9.4587948869999998</v>
      </c>
      <c r="G35">
        <v>13.468065660000001</v>
      </c>
      <c r="H35">
        <v>15.698826629999999</v>
      </c>
      <c r="I35">
        <v>13.1853573</v>
      </c>
      <c r="J35">
        <v>3.2516443330000002</v>
      </c>
      <c r="K35">
        <v>-1.468260903</v>
      </c>
      <c r="L35">
        <v>3.3032901909999999</v>
      </c>
      <c r="M35">
        <v>8.3371986469999992</v>
      </c>
    </row>
    <row r="36" spans="1:13" x14ac:dyDescent="0.25">
      <c r="A36" t="s">
        <v>100</v>
      </c>
    </row>
    <row r="37" spans="1:13" x14ac:dyDescent="0.25">
      <c r="A37" t="s">
        <v>101</v>
      </c>
      <c r="B37">
        <v>34.966045215000001</v>
      </c>
      <c r="C37">
        <v>35.158759947999997</v>
      </c>
      <c r="D37">
        <v>35.284276332000005</v>
      </c>
      <c r="E37">
        <v>33.700265584</v>
      </c>
      <c r="F37">
        <v>33.620739675999999</v>
      </c>
      <c r="G37">
        <v>33.716280089999998</v>
      </c>
      <c r="H37">
        <v>33.276126554166666</v>
      </c>
      <c r="I37">
        <v>32.615461653333341</v>
      </c>
      <c r="J37">
        <v>31.92296132615385</v>
      </c>
      <c r="K37">
        <v>32.342173974615385</v>
      </c>
      <c r="L37">
        <v>32.543260568571426</v>
      </c>
      <c r="M37">
        <v>32.023191274999995</v>
      </c>
    </row>
    <row r="38" spans="1:13" x14ac:dyDescent="0.25">
      <c r="A38" t="s">
        <v>74</v>
      </c>
      <c r="B38" t="s">
        <v>46</v>
      </c>
      <c r="C38" t="s">
        <v>46</v>
      </c>
      <c r="D38" t="s">
        <v>46</v>
      </c>
      <c r="E38" t="s">
        <v>46</v>
      </c>
      <c r="F38" t="s">
        <v>46</v>
      </c>
      <c r="G38">
        <v>38.589126460000003</v>
      </c>
      <c r="H38" t="s">
        <v>46</v>
      </c>
      <c r="I38">
        <v>34.211117170000001</v>
      </c>
      <c r="J38" t="s">
        <v>46</v>
      </c>
      <c r="K38" t="s">
        <v>46</v>
      </c>
      <c r="L38">
        <v>34.965942259999998</v>
      </c>
      <c r="M38">
        <v>37.720410630000003</v>
      </c>
    </row>
    <row r="39" spans="1:13" x14ac:dyDescent="0.25">
      <c r="A39" t="s">
        <v>78</v>
      </c>
      <c r="B39">
        <v>45.765915270000001</v>
      </c>
      <c r="C39">
        <v>42.749098580000002</v>
      </c>
      <c r="D39">
        <v>45.260172359999999</v>
      </c>
      <c r="E39">
        <v>41.281792850000002</v>
      </c>
      <c r="F39">
        <v>37.351308490000001</v>
      </c>
      <c r="G39">
        <v>35.88853649</v>
      </c>
      <c r="H39">
        <v>38.327800600000003</v>
      </c>
      <c r="I39" t="s">
        <v>46</v>
      </c>
      <c r="J39">
        <v>36.842182119999997</v>
      </c>
      <c r="K39">
        <v>36.005785430000003</v>
      </c>
      <c r="L39">
        <v>34.844874509999997</v>
      </c>
      <c r="M39">
        <v>33.107907169999997</v>
      </c>
    </row>
    <row r="40" spans="1:13" x14ac:dyDescent="0.25">
      <c r="A40" t="s">
        <v>82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>
        <v>47.36000868</v>
      </c>
      <c r="H40">
        <v>42.419254590000001</v>
      </c>
      <c r="I40">
        <v>43.94639471</v>
      </c>
      <c r="J40">
        <v>43.299764340000003</v>
      </c>
      <c r="K40">
        <v>42.09123993</v>
      </c>
      <c r="L40">
        <v>41.856987770000003</v>
      </c>
      <c r="M40">
        <v>41.177070260000001</v>
      </c>
    </row>
    <row r="41" spans="1:13" x14ac:dyDescent="0.25">
      <c r="A41" t="s">
        <v>84</v>
      </c>
      <c r="B41" t="s">
        <v>46</v>
      </c>
      <c r="C41" t="s">
        <v>46</v>
      </c>
      <c r="D41" t="s">
        <v>46</v>
      </c>
      <c r="E41" t="s">
        <v>46</v>
      </c>
      <c r="F41" t="s">
        <v>46</v>
      </c>
      <c r="G41" t="s">
        <v>46</v>
      </c>
      <c r="H41" t="s">
        <v>46</v>
      </c>
      <c r="I41" t="s">
        <v>46</v>
      </c>
      <c r="J41" t="s">
        <v>46</v>
      </c>
      <c r="K41" t="s">
        <v>46</v>
      </c>
      <c r="L41" t="s">
        <v>46</v>
      </c>
      <c r="M41" t="s">
        <v>46</v>
      </c>
    </row>
    <row r="42" spans="1:13" x14ac:dyDescent="0.25">
      <c r="A42" t="s">
        <v>86</v>
      </c>
      <c r="B42">
        <v>30.3651822</v>
      </c>
      <c r="C42">
        <v>31.779045969999999</v>
      </c>
      <c r="D42">
        <v>31.472071410000002</v>
      </c>
      <c r="E42">
        <v>29.249054359999999</v>
      </c>
      <c r="F42">
        <v>30.351150010000001</v>
      </c>
      <c r="G42">
        <v>31.957381250000001</v>
      </c>
      <c r="H42">
        <v>31.575461350000001</v>
      </c>
      <c r="I42">
        <v>30.38716728</v>
      </c>
      <c r="J42">
        <v>28.8621771</v>
      </c>
      <c r="K42">
        <v>29.235543830000001</v>
      </c>
      <c r="L42">
        <v>29.497904739999999</v>
      </c>
      <c r="M42">
        <v>28.537834790000002</v>
      </c>
    </row>
    <row r="43" spans="1:13" x14ac:dyDescent="0.25">
      <c r="A43" t="s">
        <v>104</v>
      </c>
      <c r="B43">
        <v>15.323846437333335</v>
      </c>
      <c r="C43">
        <v>14.945814077266668</v>
      </c>
      <c r="D43">
        <v>15.338385249733332</v>
      </c>
      <c r="E43">
        <v>15.235211953533334</v>
      </c>
      <c r="F43">
        <v>15.069235447066667</v>
      </c>
      <c r="G43">
        <v>15.117819672875001</v>
      </c>
      <c r="H43">
        <v>13.309275023866666</v>
      </c>
      <c r="I43">
        <v>11.86119248925</v>
      </c>
      <c r="J43">
        <v>11.668699216411763</v>
      </c>
      <c r="K43">
        <v>13.117544243470588</v>
      </c>
      <c r="L43">
        <v>12.98844779964706</v>
      </c>
      <c r="M43">
        <v>8.0727683491176467</v>
      </c>
    </row>
    <row r="44" spans="1:13" x14ac:dyDescent="0.25">
      <c r="A44" t="s">
        <v>74</v>
      </c>
      <c r="B44">
        <v>16.551589969999998</v>
      </c>
      <c r="C44">
        <v>12.54460795</v>
      </c>
      <c r="D44">
        <v>12.76106248</v>
      </c>
      <c r="E44">
        <v>15.2687279</v>
      </c>
      <c r="F44">
        <v>19.64109384</v>
      </c>
      <c r="G44">
        <v>24.10164558</v>
      </c>
      <c r="H44" t="s">
        <v>46</v>
      </c>
      <c r="I44">
        <v>20.06286686</v>
      </c>
      <c r="J44">
        <v>20.090216999999999</v>
      </c>
      <c r="K44">
        <v>19.504043979999999</v>
      </c>
      <c r="L44">
        <v>19.49863306</v>
      </c>
      <c r="M44">
        <v>19.58132045</v>
      </c>
    </row>
    <row r="45" spans="1:13" x14ac:dyDescent="0.25">
      <c r="A45" t="s">
        <v>78</v>
      </c>
      <c r="B45">
        <v>31.68303139</v>
      </c>
      <c r="C45">
        <v>30.252396449999999</v>
      </c>
      <c r="D45">
        <v>29.351659940000001</v>
      </c>
      <c r="E45">
        <v>28.834410389999999</v>
      </c>
      <c r="F45">
        <v>25.205689929999998</v>
      </c>
      <c r="G45">
        <v>23.559332179999998</v>
      </c>
      <c r="H45">
        <v>25.05110749</v>
      </c>
      <c r="I45">
        <v>25.01561474</v>
      </c>
      <c r="J45">
        <v>24.67875708</v>
      </c>
      <c r="K45">
        <v>24.315816340000001</v>
      </c>
      <c r="L45">
        <v>22.836407619999999</v>
      </c>
      <c r="M45">
        <v>21.339119520000001</v>
      </c>
    </row>
    <row r="46" spans="1:13" x14ac:dyDescent="0.25">
      <c r="A46" t="s">
        <v>82</v>
      </c>
      <c r="B46">
        <v>23.750578869999998</v>
      </c>
      <c r="C46">
        <v>26.753076700000001</v>
      </c>
      <c r="D46">
        <v>27.979201870000001</v>
      </c>
      <c r="E46">
        <v>27.646371739999999</v>
      </c>
      <c r="F46">
        <v>26.92511511</v>
      </c>
      <c r="G46">
        <v>29.101780040000001</v>
      </c>
      <c r="H46">
        <v>24.08543366</v>
      </c>
      <c r="I46">
        <v>26.498904700000001</v>
      </c>
      <c r="J46">
        <v>25.705711820000001</v>
      </c>
      <c r="K46">
        <v>24.777423970000001</v>
      </c>
      <c r="L46">
        <v>25.569597779999999</v>
      </c>
      <c r="M46">
        <v>24.581233390000001</v>
      </c>
    </row>
    <row r="47" spans="1:13" x14ac:dyDescent="0.25">
      <c r="A47" t="s">
        <v>84</v>
      </c>
      <c r="B47">
        <v>26.268282299999999</v>
      </c>
      <c r="C47">
        <v>21.591646130000001</v>
      </c>
      <c r="D47">
        <v>16.726975599999999</v>
      </c>
      <c r="E47">
        <v>13.80949779</v>
      </c>
      <c r="F47">
        <v>17.8114679</v>
      </c>
      <c r="G47">
        <v>19.444119929999999</v>
      </c>
      <c r="H47">
        <v>15.65559893</v>
      </c>
      <c r="I47">
        <v>13.25459912</v>
      </c>
      <c r="J47">
        <v>11.00278647</v>
      </c>
      <c r="K47">
        <v>11.77854541</v>
      </c>
      <c r="L47">
        <v>14.989594759999999</v>
      </c>
      <c r="M47">
        <v>11.019894089999999</v>
      </c>
    </row>
    <row r="48" spans="1:13" x14ac:dyDescent="0.25">
      <c r="A48" t="s">
        <v>86</v>
      </c>
      <c r="B48">
        <v>17.500340470000001</v>
      </c>
      <c r="C48">
        <v>19.090578369999999</v>
      </c>
      <c r="D48">
        <v>18.426815049999998</v>
      </c>
      <c r="E48">
        <v>16.327885779999999</v>
      </c>
      <c r="F48">
        <v>17.994634690000002</v>
      </c>
      <c r="G48">
        <v>19.80224239</v>
      </c>
      <c r="H48">
        <v>19.547860159999999</v>
      </c>
      <c r="I48">
        <v>18.14710015</v>
      </c>
      <c r="J48">
        <v>16.277557130000002</v>
      </c>
      <c r="K48">
        <v>15.197358639999999</v>
      </c>
      <c r="L48">
        <v>16.505218960000001</v>
      </c>
      <c r="M48">
        <v>16.806886559999999</v>
      </c>
    </row>
    <row r="49" spans="1:13" x14ac:dyDescent="0.25">
      <c r="A49" t="s">
        <v>107</v>
      </c>
      <c r="B49">
        <v>19.043938778533334</v>
      </c>
      <c r="C49">
        <v>18.766270195266667</v>
      </c>
      <c r="D49">
        <v>18.825905985000002</v>
      </c>
      <c r="E49">
        <v>18.427375169733338</v>
      </c>
      <c r="F49">
        <v>18.116471793866666</v>
      </c>
      <c r="G49">
        <v>18.5143620381875</v>
      </c>
      <c r="H49">
        <v>16.802166195400002</v>
      </c>
      <c r="I49">
        <v>15.202585471562502</v>
      </c>
      <c r="J49">
        <v>15.52768856017647</v>
      </c>
      <c r="K49">
        <v>17.039667132647057</v>
      </c>
      <c r="L49">
        <v>16.921182897588238</v>
      </c>
      <c r="M49">
        <v>13.398578316470589</v>
      </c>
    </row>
    <row r="50" spans="1:13" x14ac:dyDescent="0.25">
      <c r="A50" t="s">
        <v>74</v>
      </c>
      <c r="B50">
        <v>20.222085140000001</v>
      </c>
      <c r="C50">
        <v>15.98972998</v>
      </c>
      <c r="D50">
        <v>15.68336021</v>
      </c>
      <c r="E50">
        <v>17.905432170000001</v>
      </c>
      <c r="F50">
        <v>22.1302792</v>
      </c>
      <c r="G50">
        <v>26.327474909999999</v>
      </c>
      <c r="H50" t="s">
        <v>46</v>
      </c>
      <c r="I50">
        <v>21.453314939999999</v>
      </c>
      <c r="J50">
        <v>21.830900199999999</v>
      </c>
      <c r="K50">
        <v>22.238921080000001</v>
      </c>
      <c r="L50">
        <v>23.051526809999999</v>
      </c>
      <c r="M50">
        <v>23.599033819999999</v>
      </c>
    </row>
    <row r="51" spans="1:13" x14ac:dyDescent="0.25">
      <c r="A51" t="s">
        <v>78</v>
      </c>
      <c r="B51">
        <v>35.19107546</v>
      </c>
      <c r="C51">
        <v>34.39451236</v>
      </c>
      <c r="D51">
        <v>32.457001560000002</v>
      </c>
      <c r="E51">
        <v>31.612023480000001</v>
      </c>
      <c r="F51">
        <v>28.003568600000001</v>
      </c>
      <c r="G51">
        <v>26.300041889999999</v>
      </c>
      <c r="H51">
        <v>27.056021309999998</v>
      </c>
      <c r="I51">
        <v>27.352220500000001</v>
      </c>
      <c r="J51">
        <v>27.165469309999999</v>
      </c>
      <c r="K51">
        <v>26.957545159999999</v>
      </c>
      <c r="L51">
        <v>25.268823709999999</v>
      </c>
      <c r="M51">
        <v>24.525558700000001</v>
      </c>
    </row>
    <row r="52" spans="1:13" x14ac:dyDescent="0.25">
      <c r="A52" t="s">
        <v>82</v>
      </c>
      <c r="B52">
        <v>25.778703969999999</v>
      </c>
      <c r="C52">
        <v>28.953921749999999</v>
      </c>
      <c r="D52">
        <v>29.949113870000001</v>
      </c>
      <c r="E52">
        <v>29.52378654</v>
      </c>
      <c r="F52">
        <v>28.63956013</v>
      </c>
      <c r="G52">
        <v>30.7204579</v>
      </c>
      <c r="H52">
        <v>26.061040009999999</v>
      </c>
      <c r="I52">
        <v>28.236658510000002</v>
      </c>
      <c r="J52">
        <v>27.39009545</v>
      </c>
      <c r="K52">
        <v>26.41343904</v>
      </c>
      <c r="L52">
        <v>26.97336529</v>
      </c>
      <c r="M52">
        <v>26.829734500000001</v>
      </c>
    </row>
    <row r="53" spans="1:13" x14ac:dyDescent="0.25">
      <c r="A53" t="s">
        <v>84</v>
      </c>
      <c r="B53">
        <v>28.725334289999999</v>
      </c>
      <c r="C53">
        <v>24.486530890000001</v>
      </c>
      <c r="D53">
        <v>19.518695770000001</v>
      </c>
      <c r="E53">
        <v>16.747727560000001</v>
      </c>
      <c r="F53">
        <v>20.721362989999999</v>
      </c>
      <c r="G53">
        <v>22.217147959999998</v>
      </c>
      <c r="H53">
        <v>18.358361370000001</v>
      </c>
      <c r="I53">
        <v>16.118999630000001</v>
      </c>
      <c r="J53">
        <v>14.35924889</v>
      </c>
      <c r="K53">
        <v>15.30437495</v>
      </c>
      <c r="L53">
        <v>18.239830059999999</v>
      </c>
      <c r="M53">
        <v>14.9414862</v>
      </c>
    </row>
    <row r="54" spans="1:13" x14ac:dyDescent="0.25">
      <c r="A54" t="s">
        <v>86</v>
      </c>
      <c r="B54">
        <v>20.171209560000001</v>
      </c>
      <c r="C54">
        <v>21.86242554</v>
      </c>
      <c r="D54">
        <v>21.070901840000001</v>
      </c>
      <c r="E54">
        <v>19.050947520000001</v>
      </c>
      <c r="F54">
        <v>20.889711850000001</v>
      </c>
      <c r="G54">
        <v>22.35964345</v>
      </c>
      <c r="H54">
        <v>22.278801820000002</v>
      </c>
      <c r="I54">
        <v>21.06744204</v>
      </c>
      <c r="J54">
        <v>20.475761349999999</v>
      </c>
      <c r="K54">
        <v>19.074239590000001</v>
      </c>
      <c r="L54">
        <v>19.829306389999999</v>
      </c>
      <c r="M54">
        <v>20.225586329999999</v>
      </c>
    </row>
    <row r="55" spans="1:13" x14ac:dyDescent="0.25">
      <c r="A55" t="s">
        <v>110</v>
      </c>
      <c r="B55">
        <v>22.484851088599999</v>
      </c>
      <c r="C55">
        <v>18.880391168214285</v>
      </c>
      <c r="D55">
        <v>20.859324790333336</v>
      </c>
      <c r="E55">
        <v>23.523669920666666</v>
      </c>
      <c r="F55">
        <v>25.464327202666663</v>
      </c>
      <c r="G55">
        <v>23.121169223750002</v>
      </c>
      <c r="H55">
        <v>23.63921521538462</v>
      </c>
      <c r="I55">
        <v>21.77484127692308</v>
      </c>
      <c r="J55">
        <v>22.153104464066665</v>
      </c>
      <c r="K55">
        <v>27.290525985333336</v>
      </c>
      <c r="L55">
        <v>21.1727665730625</v>
      </c>
      <c r="M55">
        <v>21.836761561466673</v>
      </c>
    </row>
    <row r="56" spans="1:13" x14ac:dyDescent="0.25">
      <c r="A56" t="s">
        <v>74</v>
      </c>
      <c r="B56">
        <v>17.729253830000001</v>
      </c>
      <c r="C56">
        <v>14.495086349999999</v>
      </c>
      <c r="D56">
        <v>22.878446539999999</v>
      </c>
      <c r="E56">
        <v>24.38531996</v>
      </c>
      <c r="F56">
        <v>23.25114945</v>
      </c>
      <c r="G56">
        <v>19.557038129999999</v>
      </c>
      <c r="H56" t="s">
        <v>46</v>
      </c>
      <c r="I56">
        <v>20.400028469999999</v>
      </c>
      <c r="J56">
        <v>18.365986100000001</v>
      </c>
      <c r="K56">
        <v>20.881712629999999</v>
      </c>
      <c r="L56">
        <v>19.737062000000002</v>
      </c>
      <c r="M56">
        <v>20.940734729999999</v>
      </c>
    </row>
    <row r="57" spans="1:13" x14ac:dyDescent="0.25">
      <c r="A57" t="s">
        <v>78</v>
      </c>
      <c r="B57">
        <v>13.30534241</v>
      </c>
      <c r="C57">
        <v>21.27848101</v>
      </c>
      <c r="D57">
        <v>26.70241287</v>
      </c>
      <c r="E57">
        <v>28.819652489999999</v>
      </c>
      <c r="F57">
        <v>26.329371290000001</v>
      </c>
      <c r="G57">
        <v>27.613868119999999</v>
      </c>
      <c r="H57">
        <v>28.560667519999999</v>
      </c>
      <c r="I57">
        <v>28.020277480000001</v>
      </c>
      <c r="J57">
        <v>28.058743920000001</v>
      </c>
      <c r="K57">
        <v>20.922545629999998</v>
      </c>
      <c r="L57">
        <v>26.76203602</v>
      </c>
      <c r="M57">
        <v>24.39223883</v>
      </c>
    </row>
    <row r="58" spans="1:13" x14ac:dyDescent="0.25">
      <c r="A58" t="s">
        <v>82</v>
      </c>
      <c r="B58">
        <v>13.64130815</v>
      </c>
      <c r="C58">
        <v>14.43936581</v>
      </c>
      <c r="D58">
        <v>16.612767699999999</v>
      </c>
      <c r="E58">
        <v>24.4184752</v>
      </c>
      <c r="F58">
        <v>22.189607030000001</v>
      </c>
      <c r="G58">
        <v>23.905384250000001</v>
      </c>
      <c r="H58">
        <v>23.453605660000001</v>
      </c>
      <c r="I58">
        <v>23.563958419999999</v>
      </c>
      <c r="J58">
        <v>23.631675019999999</v>
      </c>
      <c r="K58">
        <v>24.087762519999998</v>
      </c>
      <c r="L58">
        <v>24.062266919999999</v>
      </c>
      <c r="M58">
        <v>23.198731299999999</v>
      </c>
    </row>
    <row r="59" spans="1:13" x14ac:dyDescent="0.25">
      <c r="A59" t="s">
        <v>84</v>
      </c>
      <c r="B59">
        <v>10.410596030000001</v>
      </c>
      <c r="C59">
        <v>16.997167139999998</v>
      </c>
      <c r="D59">
        <v>14.99886027</v>
      </c>
      <c r="E59">
        <v>20.953630799999999</v>
      </c>
      <c r="F59">
        <v>22.503583370000001</v>
      </c>
      <c r="G59">
        <v>19.721078980000001</v>
      </c>
      <c r="H59">
        <v>26.51944391</v>
      </c>
      <c r="I59">
        <v>21.523582340000001</v>
      </c>
      <c r="J59">
        <v>26.00830522</v>
      </c>
      <c r="K59">
        <v>22.394851190000001</v>
      </c>
      <c r="L59">
        <v>22.629528069999999</v>
      </c>
      <c r="M59">
        <v>22.942875799999999</v>
      </c>
    </row>
    <row r="60" spans="1:13" x14ac:dyDescent="0.25">
      <c r="A60" t="s">
        <v>86</v>
      </c>
      <c r="B60">
        <v>14.293300289999999</v>
      </c>
      <c r="C60">
        <v>16.63127326</v>
      </c>
      <c r="D60">
        <v>15.410486239999999</v>
      </c>
      <c r="E60">
        <v>19.731899640000002</v>
      </c>
      <c r="F60">
        <v>21.517634489999999</v>
      </c>
      <c r="G60">
        <v>22.375129940000001</v>
      </c>
      <c r="H60">
        <v>22.048118330000001</v>
      </c>
      <c r="I60">
        <v>22.070249619999998</v>
      </c>
      <c r="J60">
        <v>22.84696799</v>
      </c>
      <c r="K60">
        <v>21.849444739999999</v>
      </c>
      <c r="L60">
        <v>21.870640730000002</v>
      </c>
      <c r="M60">
        <v>20.242098729999999</v>
      </c>
    </row>
    <row r="61" spans="1:13" x14ac:dyDescent="0.25">
      <c r="A61" t="s">
        <v>113</v>
      </c>
    </row>
    <row r="62" spans="1:13" x14ac:dyDescent="0.25">
      <c r="A62" t="s">
        <v>114</v>
      </c>
      <c r="B62">
        <v>15.505325020846154</v>
      </c>
      <c r="C62">
        <v>12.257281821214287</v>
      </c>
      <c r="D62">
        <v>12.838841527200001</v>
      </c>
      <c r="E62">
        <v>13.644719223666668</v>
      </c>
      <c r="F62">
        <v>12.365481170625001</v>
      </c>
      <c r="G62">
        <v>14.300359223999999</v>
      </c>
      <c r="H62">
        <v>11.570949970428572</v>
      </c>
      <c r="I62">
        <v>9.5943052664666677</v>
      </c>
      <c r="J62">
        <v>10.5965194085625</v>
      </c>
      <c r="K62">
        <v>10.007528071882355</v>
      </c>
      <c r="L62">
        <v>10.461718123882353</v>
      </c>
      <c r="M62">
        <v>7.7678355460588246</v>
      </c>
    </row>
    <row r="63" spans="1:13" x14ac:dyDescent="0.25">
      <c r="A63" t="s">
        <v>74</v>
      </c>
      <c r="B63">
        <v>14.214429859999999</v>
      </c>
      <c r="C63">
        <v>10.33555102</v>
      </c>
      <c r="D63">
        <v>12.424915179999999</v>
      </c>
      <c r="E63">
        <v>15.02988824</v>
      </c>
      <c r="F63">
        <v>19.83493674</v>
      </c>
      <c r="G63">
        <v>23.507222720000001</v>
      </c>
      <c r="H63" t="s">
        <v>46</v>
      </c>
      <c r="I63" t="s">
        <v>46</v>
      </c>
      <c r="J63">
        <v>20.140961770000001</v>
      </c>
      <c r="K63">
        <v>18.597856799999999</v>
      </c>
      <c r="L63">
        <v>18.130744979999999</v>
      </c>
      <c r="M63">
        <v>15.919597270000001</v>
      </c>
    </row>
    <row r="64" spans="1:13" x14ac:dyDescent="0.25">
      <c r="A64" t="s">
        <v>78</v>
      </c>
      <c r="B64">
        <v>29.828887389999998</v>
      </c>
      <c r="C64">
        <v>24.98844802</v>
      </c>
      <c r="D64">
        <v>23.206858499999999</v>
      </c>
      <c r="E64">
        <v>23.882483019999999</v>
      </c>
      <c r="F64">
        <v>22.245835249999999</v>
      </c>
      <c r="G64">
        <v>20.59454964</v>
      </c>
      <c r="H64">
        <v>19.981038349999999</v>
      </c>
      <c r="I64">
        <v>19.038545679999999</v>
      </c>
      <c r="J64">
        <v>18.087646889999998</v>
      </c>
      <c r="K64">
        <v>19.63796747</v>
      </c>
      <c r="L64">
        <v>18.713706049999999</v>
      </c>
      <c r="M64">
        <v>18.696832780000001</v>
      </c>
    </row>
    <row r="65" spans="1:13" x14ac:dyDescent="0.25">
      <c r="A65" t="s">
        <v>82</v>
      </c>
      <c r="B65">
        <v>26.149619489999999</v>
      </c>
      <c r="C65">
        <v>27.98489593</v>
      </c>
      <c r="D65">
        <v>30.18893302</v>
      </c>
      <c r="E65">
        <v>28.140183019999998</v>
      </c>
      <c r="F65">
        <v>29.77016923</v>
      </c>
      <c r="G65">
        <v>31.577067799999998</v>
      </c>
      <c r="H65">
        <v>27.28956384</v>
      </c>
      <c r="I65">
        <v>29.12209657</v>
      </c>
      <c r="J65">
        <v>26.748267760000001</v>
      </c>
      <c r="K65">
        <v>24.163321830000001</v>
      </c>
      <c r="L65">
        <v>27.917786589999999</v>
      </c>
      <c r="M65">
        <v>26.942590790000001</v>
      </c>
    </row>
    <row r="66" spans="1:13" x14ac:dyDescent="0.25">
      <c r="A66" t="s">
        <v>84</v>
      </c>
      <c r="B66">
        <v>40.033147210000003</v>
      </c>
      <c r="C66">
        <v>16.02058319</v>
      </c>
      <c r="D66">
        <v>10.77518796</v>
      </c>
      <c r="E66">
        <v>16.887100749999998</v>
      </c>
      <c r="F66">
        <v>16.19517716</v>
      </c>
      <c r="G66">
        <v>24.305650289999999</v>
      </c>
      <c r="H66">
        <v>14.68550814</v>
      </c>
      <c r="I66">
        <v>14.126515120000001</v>
      </c>
      <c r="J66">
        <v>11.57781656</v>
      </c>
      <c r="K66">
        <v>13.44973869</v>
      </c>
      <c r="L66">
        <v>13.45436501</v>
      </c>
      <c r="M66">
        <v>11.39253062</v>
      </c>
    </row>
    <row r="67" spans="1:13" x14ac:dyDescent="0.25">
      <c r="A67" t="s">
        <v>86</v>
      </c>
      <c r="B67">
        <v>15.761916210000001</v>
      </c>
      <c r="C67">
        <v>15.319371350000001</v>
      </c>
      <c r="D67">
        <v>15.18997141</v>
      </c>
      <c r="E67">
        <v>13.80405328</v>
      </c>
      <c r="F67">
        <v>15.15511042</v>
      </c>
      <c r="G67">
        <v>16.552905729999999</v>
      </c>
      <c r="H67">
        <v>15.699010380000001</v>
      </c>
      <c r="I67">
        <v>13.45507222</v>
      </c>
      <c r="J67">
        <v>11.188657279999999</v>
      </c>
      <c r="K67">
        <v>10.30540049</v>
      </c>
      <c r="L67">
        <v>11.29757543</v>
      </c>
      <c r="M67">
        <v>11.782336190000001</v>
      </c>
    </row>
    <row r="68" spans="1:13" x14ac:dyDescent="0.25">
      <c r="A68" t="s">
        <v>117</v>
      </c>
      <c r="B68">
        <v>32.516317488461539</v>
      </c>
      <c r="C68">
        <v>26.621421876357147</v>
      </c>
      <c r="D68">
        <v>26.319912330200001</v>
      </c>
      <c r="E68">
        <v>26.930163457066666</v>
      </c>
      <c r="F68">
        <v>27.53051872193334</v>
      </c>
      <c r="G68">
        <v>29.011064345200001</v>
      </c>
      <c r="H68">
        <v>23.326623281499998</v>
      </c>
      <c r="I68">
        <v>17.198353859000001</v>
      </c>
      <c r="J68">
        <v>22.243941550624999</v>
      </c>
      <c r="K68">
        <v>19.400879276647061</v>
      </c>
      <c r="L68">
        <v>20.119610658823529</v>
      </c>
      <c r="M68">
        <v>13.279618085294119</v>
      </c>
    </row>
    <row r="69" spans="1:13" x14ac:dyDescent="0.25">
      <c r="A69" t="s">
        <v>74</v>
      </c>
      <c r="B69">
        <v>28.927137980000001</v>
      </c>
      <c r="C69">
        <v>22.422212980000001</v>
      </c>
      <c r="D69">
        <v>23.61972827</v>
      </c>
      <c r="E69">
        <v>27.702484439999999</v>
      </c>
      <c r="F69">
        <v>35.12839185</v>
      </c>
      <c r="G69">
        <v>37.406698489999997</v>
      </c>
      <c r="H69" t="s">
        <v>46</v>
      </c>
      <c r="I69" t="s">
        <v>46</v>
      </c>
      <c r="J69">
        <v>28.252974739999999</v>
      </c>
      <c r="K69">
        <v>25.156126050000001</v>
      </c>
      <c r="L69">
        <v>24.778918990000001</v>
      </c>
      <c r="M69">
        <v>24.146477130000001</v>
      </c>
    </row>
    <row r="70" spans="1:13" x14ac:dyDescent="0.25">
      <c r="A70" t="s">
        <v>78</v>
      </c>
      <c r="B70">
        <v>37.367780590000002</v>
      </c>
      <c r="C70">
        <v>29.38549862</v>
      </c>
      <c r="D70">
        <v>27.313233029999999</v>
      </c>
      <c r="E70">
        <v>27.982569779999999</v>
      </c>
      <c r="F70">
        <v>25.720057879999999</v>
      </c>
      <c r="G70">
        <v>24.38650131</v>
      </c>
      <c r="H70">
        <v>24.10526625</v>
      </c>
      <c r="I70">
        <v>23.15569022</v>
      </c>
      <c r="J70">
        <v>21.958906410000001</v>
      </c>
      <c r="K70">
        <v>23.94085359</v>
      </c>
      <c r="L70">
        <v>23.72200106</v>
      </c>
      <c r="M70">
        <v>25.451310599999999</v>
      </c>
    </row>
    <row r="71" spans="1:13" x14ac:dyDescent="0.25">
      <c r="A71" t="s">
        <v>82</v>
      </c>
      <c r="B71">
        <v>37.756873800000001</v>
      </c>
      <c r="C71">
        <v>41.103868400000003</v>
      </c>
      <c r="D71">
        <v>42.342464720000002</v>
      </c>
      <c r="E71">
        <v>38.556574449999999</v>
      </c>
      <c r="F71">
        <v>40.852886939999998</v>
      </c>
      <c r="G71">
        <v>40.725672400000001</v>
      </c>
      <c r="H71">
        <v>34.833910709999998</v>
      </c>
      <c r="I71">
        <v>37.064046869999999</v>
      </c>
      <c r="J71">
        <v>32.555230829999999</v>
      </c>
      <c r="K71">
        <v>29.42195083</v>
      </c>
      <c r="L71">
        <v>35.204170089999998</v>
      </c>
      <c r="M71">
        <v>36.378771180000001</v>
      </c>
    </row>
    <row r="72" spans="1:13" x14ac:dyDescent="0.25">
      <c r="A72" t="s">
        <v>84</v>
      </c>
      <c r="B72">
        <v>63.398325210000003</v>
      </c>
      <c r="C72">
        <v>29.008012919999999</v>
      </c>
      <c r="D72">
        <v>20.654386890000001</v>
      </c>
      <c r="E72">
        <v>29.59890845</v>
      </c>
      <c r="F72">
        <v>27.178810739999999</v>
      </c>
      <c r="G72">
        <v>41.46882445</v>
      </c>
      <c r="H72">
        <v>24.522535220000002</v>
      </c>
      <c r="I72">
        <v>22.301954559999999</v>
      </c>
      <c r="J72">
        <v>18.131306779999999</v>
      </c>
      <c r="K72">
        <v>21.540816329999998</v>
      </c>
      <c r="L72">
        <v>21.967383219999999</v>
      </c>
      <c r="M72">
        <v>19.160241249999999</v>
      </c>
    </row>
    <row r="73" spans="1:13" x14ac:dyDescent="0.25">
      <c r="A73" t="s">
        <v>86</v>
      </c>
      <c r="B73">
        <v>30.798450559999999</v>
      </c>
      <c r="C73">
        <v>29.0579842</v>
      </c>
      <c r="D73">
        <v>25.100266980000001</v>
      </c>
      <c r="E73">
        <v>21.230718830000001</v>
      </c>
      <c r="F73">
        <v>23.31961639</v>
      </c>
      <c r="G73">
        <v>24.85752681</v>
      </c>
      <c r="H73">
        <v>23.028659409999999</v>
      </c>
      <c r="I73">
        <v>20.40304459</v>
      </c>
      <c r="J73">
        <v>17.229237439999999</v>
      </c>
      <c r="K73">
        <v>15.9644751</v>
      </c>
      <c r="L73">
        <v>17.131597679999999</v>
      </c>
      <c r="M73">
        <v>17.27438622</v>
      </c>
    </row>
    <row r="74" spans="1:13" x14ac:dyDescent="0.25">
      <c r="A74" t="s">
        <v>120</v>
      </c>
      <c r="B74">
        <v>42.568756184999998</v>
      </c>
      <c r="C74">
        <v>34.230057476142861</v>
      </c>
      <c r="D74">
        <v>31.701443810066664</v>
      </c>
      <c r="E74">
        <v>22.168851445533335</v>
      </c>
      <c r="F74">
        <v>20.874883065533329</v>
      </c>
      <c r="G74">
        <v>23.158489745199997</v>
      </c>
      <c r="H74">
        <v>18.487316874214287</v>
      </c>
      <c r="I74">
        <v>15.081097037933331</v>
      </c>
      <c r="J74">
        <v>16.254831846187503</v>
      </c>
      <c r="K74">
        <v>14.89705881364706</v>
      </c>
      <c r="L74">
        <v>15.36776284758824</v>
      </c>
      <c r="M74">
        <v>10.008666566764706</v>
      </c>
    </row>
    <row r="75" spans="1:13" x14ac:dyDescent="0.25">
      <c r="A75" t="s">
        <v>74</v>
      </c>
      <c r="B75">
        <v>23.232610940000001</v>
      </c>
      <c r="C75">
        <v>15.4475578</v>
      </c>
      <c r="D75">
        <v>16.206045700000001</v>
      </c>
      <c r="E75">
        <v>21.384975730000001</v>
      </c>
      <c r="F75">
        <v>28.544308149999999</v>
      </c>
      <c r="G75">
        <v>35.100862429999999</v>
      </c>
      <c r="H75" t="s">
        <v>46</v>
      </c>
      <c r="I75" t="s">
        <v>46</v>
      </c>
      <c r="J75">
        <v>25.60693947</v>
      </c>
      <c r="K75">
        <v>23.332406020000001</v>
      </c>
      <c r="L75">
        <v>22.586966889999999</v>
      </c>
      <c r="M75">
        <v>21.450927759999999</v>
      </c>
    </row>
    <row r="76" spans="1:13" x14ac:dyDescent="0.25">
      <c r="A76" t="s">
        <v>78</v>
      </c>
      <c r="B76">
        <v>36.834443890000003</v>
      </c>
      <c r="C76">
        <v>25.30919183</v>
      </c>
      <c r="D76">
        <v>23.52236804</v>
      </c>
      <c r="E76">
        <v>23.09751936</v>
      </c>
      <c r="F76">
        <v>19.99396861</v>
      </c>
      <c r="G76">
        <v>19.01352378</v>
      </c>
      <c r="H76">
        <v>17.91062033</v>
      </c>
      <c r="I76">
        <v>18.352852370000001</v>
      </c>
      <c r="J76">
        <v>17.66072595</v>
      </c>
      <c r="K76">
        <v>19.544828299999999</v>
      </c>
      <c r="L76">
        <v>20.934795260000001</v>
      </c>
      <c r="M76">
        <v>21.526345589999998</v>
      </c>
    </row>
    <row r="77" spans="1:13" x14ac:dyDescent="0.25">
      <c r="A77" t="s">
        <v>82</v>
      </c>
      <c r="B77">
        <v>38.636016929999997</v>
      </c>
      <c r="C77">
        <v>39.204556150000002</v>
      </c>
      <c r="D77">
        <v>38.79088462</v>
      </c>
      <c r="E77">
        <v>36.68721189</v>
      </c>
      <c r="F77">
        <v>35.390740549999997</v>
      </c>
      <c r="G77">
        <v>38.167848990000003</v>
      </c>
      <c r="H77">
        <v>31.030772639999999</v>
      </c>
      <c r="I77">
        <v>33.922374740000002</v>
      </c>
      <c r="J77">
        <v>28.765293320000001</v>
      </c>
      <c r="K77">
        <v>26.37906362</v>
      </c>
      <c r="L77">
        <v>31.562413060000001</v>
      </c>
      <c r="M77">
        <v>31.210096660000001</v>
      </c>
    </row>
    <row r="78" spans="1:13" x14ac:dyDescent="0.25">
      <c r="A78" t="s">
        <v>84</v>
      </c>
      <c r="B78">
        <v>61.610445050000003</v>
      </c>
      <c r="C78">
        <v>26.099185859999999</v>
      </c>
      <c r="D78">
        <v>14.102923390000001</v>
      </c>
      <c r="E78">
        <v>23.559926749999999</v>
      </c>
      <c r="F78">
        <v>23.744452639999999</v>
      </c>
      <c r="G78">
        <v>34.48914955</v>
      </c>
      <c r="H78">
        <v>21.819700789999999</v>
      </c>
      <c r="I78">
        <v>19.77408866</v>
      </c>
      <c r="J78">
        <v>14.581662919999999</v>
      </c>
      <c r="K78">
        <v>13.49220566</v>
      </c>
      <c r="L78">
        <v>18.103691560000001</v>
      </c>
      <c r="M78">
        <v>12.85554793</v>
      </c>
    </row>
    <row r="79" spans="1:13" x14ac:dyDescent="0.25">
      <c r="A79" t="s">
        <v>86</v>
      </c>
      <c r="B79">
        <v>21.906138670000001</v>
      </c>
      <c r="C79">
        <v>20.03913713</v>
      </c>
      <c r="D79">
        <v>18.022905300000001</v>
      </c>
      <c r="E79">
        <v>15.35739781</v>
      </c>
      <c r="F79">
        <v>15.358341469999999</v>
      </c>
      <c r="G79">
        <v>18.03364131</v>
      </c>
      <c r="H79">
        <v>16.19215299</v>
      </c>
      <c r="I79">
        <v>13.18402305</v>
      </c>
      <c r="J79">
        <v>10.63149406</v>
      </c>
      <c r="K79">
        <v>9.6730089469999996</v>
      </c>
      <c r="L79">
        <v>11.27076183</v>
      </c>
      <c r="M79">
        <v>12.051443900000001</v>
      </c>
    </row>
    <row r="80" spans="1:13" x14ac:dyDescent="0.25">
      <c r="A80" t="s">
        <v>123</v>
      </c>
    </row>
    <row r="88" spans="1:13" x14ac:dyDescent="0.25">
      <c r="A88" t="s">
        <v>124</v>
      </c>
      <c r="B88" t="s">
        <v>124</v>
      </c>
      <c r="C88" t="s">
        <v>124</v>
      </c>
      <c r="D88" t="s">
        <v>124</v>
      </c>
      <c r="E88" t="s">
        <v>124</v>
      </c>
      <c r="F88" t="s">
        <v>124</v>
      </c>
      <c r="G88" t="s">
        <v>124</v>
      </c>
      <c r="H88" t="s">
        <v>124</v>
      </c>
      <c r="I88" t="s">
        <v>124</v>
      </c>
      <c r="J88" t="s">
        <v>124</v>
      </c>
      <c r="K88" t="s">
        <v>124</v>
      </c>
      <c r="L88" t="s">
        <v>124</v>
      </c>
      <c r="M88" t="s">
        <v>124</v>
      </c>
    </row>
    <row r="89" spans="1:13" x14ac:dyDescent="0.25">
      <c r="A89" t="s">
        <v>125</v>
      </c>
    </row>
    <row r="90" spans="1:13" x14ac:dyDescent="0.25">
      <c r="A90">
        <v>0</v>
      </c>
    </row>
    <row r="91" spans="1:13" x14ac:dyDescent="0.25">
      <c r="A91" t="s">
        <v>126</v>
      </c>
    </row>
    <row r="92" spans="1:13" x14ac:dyDescent="0.25">
      <c r="A92" t="s">
        <v>127</v>
      </c>
    </row>
    <row r="93" spans="1:13" x14ac:dyDescent="0.25">
      <c r="A93" t="s">
        <v>128</v>
      </c>
    </row>
    <row r="94" spans="1:13" x14ac:dyDescent="0.25">
      <c r="A94" t="s">
        <v>129</v>
      </c>
    </row>
    <row r="95" spans="1:13" x14ac:dyDescent="0.25">
      <c r="A95" t="s">
        <v>130</v>
      </c>
    </row>
    <row r="96" spans="1:13" x14ac:dyDescent="0.25">
      <c r="A96" t="s">
        <v>131</v>
      </c>
    </row>
    <row r="98" spans="1:13" x14ac:dyDescent="0.25">
      <c r="A98" t="s">
        <v>51</v>
      </c>
      <c r="B98">
        <v>5.4217000000000004</v>
      </c>
      <c r="C98">
        <v>11.497400000000001</v>
      </c>
      <c r="D98">
        <v>5.6550000000000002</v>
      </c>
      <c r="E98">
        <v>5.7216000000000005</v>
      </c>
      <c r="F98">
        <v>3.262</v>
      </c>
      <c r="G98">
        <v>4.8705999999999996</v>
      </c>
      <c r="H98">
        <v>2.0695999999999999</v>
      </c>
      <c r="I98">
        <v>8.8658999999999999</v>
      </c>
      <c r="J98">
        <v>18.441199999999998</v>
      </c>
      <c r="K98">
        <v>-0.33179999999999998</v>
      </c>
      <c r="L98">
        <v>-8.4651999999999994</v>
      </c>
      <c r="M98">
        <v>17.998100000000001</v>
      </c>
    </row>
    <row r="99" spans="1:13" x14ac:dyDescent="0.25">
      <c r="A99" t="s">
        <v>56</v>
      </c>
      <c r="B99">
        <v>2.8134999999999999</v>
      </c>
      <c r="C99">
        <v>2.7845</v>
      </c>
      <c r="D99">
        <v>4.0053000000000001</v>
      </c>
      <c r="E99">
        <v>2.0499999999999998</v>
      </c>
      <c r="F99">
        <v>2.2421000000000002</v>
      </c>
      <c r="G99">
        <v>6.5090000000000003</v>
      </c>
      <c r="H99">
        <v>3.0476000000000001</v>
      </c>
      <c r="I99">
        <v>2.1768999999999998</v>
      </c>
      <c r="J99">
        <v>6.4843000000000002</v>
      </c>
      <c r="K99">
        <v>4.2484000000000002</v>
      </c>
      <c r="L99">
        <v>-9.4711999999999996</v>
      </c>
      <c r="M99">
        <v>11.4916</v>
      </c>
    </row>
    <row r="100" spans="1:13" x14ac:dyDescent="0.25">
      <c r="A100" t="s">
        <v>58</v>
      </c>
      <c r="B100">
        <v>8.8278999999999996</v>
      </c>
      <c r="C100">
        <v>-11.2371</v>
      </c>
      <c r="D100">
        <v>-1.1674</v>
      </c>
      <c r="E100">
        <v>13.590400000000001</v>
      </c>
      <c r="F100">
        <v>18.0562</v>
      </c>
      <c r="G100">
        <v>5.0681000000000003</v>
      </c>
      <c r="H100">
        <v>-2.5972</v>
      </c>
      <c r="I100">
        <v>29.8246</v>
      </c>
      <c r="J100">
        <v>35.691000000000003</v>
      </c>
      <c r="K100">
        <v>-2.0752999999999999</v>
      </c>
      <c r="L100">
        <v>-8.8290000000000006</v>
      </c>
      <c r="M100">
        <v>-3.9603999999999999</v>
      </c>
    </row>
    <row r="101" spans="1:13" x14ac:dyDescent="0.25">
      <c r="A101" t="s">
        <v>60</v>
      </c>
      <c r="B101">
        <v>7.0319000000000003</v>
      </c>
      <c r="C101">
        <v>5.3653000000000004</v>
      </c>
      <c r="D101">
        <v>-0.11169999999999999</v>
      </c>
      <c r="E101">
        <v>5.2370999999999999</v>
      </c>
      <c r="F101">
        <v>12.6927</v>
      </c>
      <c r="G101">
        <v>4.7661999999999995</v>
      </c>
      <c r="H101">
        <v>-1.6758</v>
      </c>
      <c r="I101">
        <v>5.8908000000000005</v>
      </c>
      <c r="J101">
        <v>11.452199999999999</v>
      </c>
      <c r="K101">
        <v>3.8944000000000001</v>
      </c>
      <c r="L101">
        <v>-3.8921000000000001</v>
      </c>
      <c r="M101">
        <v>8.0399999999999999E-2</v>
      </c>
    </row>
    <row r="102" spans="1:13" x14ac:dyDescent="0.25">
      <c r="A102" t="s">
        <v>62</v>
      </c>
      <c r="B102">
        <v>5.2526000000000002</v>
      </c>
      <c r="C102">
        <v>6.1018999999999997</v>
      </c>
      <c r="D102">
        <v>1.5145</v>
      </c>
      <c r="E102">
        <v>3.8510999999999997</v>
      </c>
      <c r="F102">
        <v>-2.0247999999999999</v>
      </c>
      <c r="G102">
        <v>4.1158999999999999</v>
      </c>
      <c r="H102">
        <v>111.309</v>
      </c>
      <c r="I102">
        <v>12.985799999999999</v>
      </c>
      <c r="J102">
        <v>13.1782</v>
      </c>
      <c r="K102">
        <v>-2.4323999999999999</v>
      </c>
      <c r="L102">
        <v>3.2191999999999998</v>
      </c>
      <c r="M102">
        <v>1.9790999999999999</v>
      </c>
    </row>
    <row r="103" spans="1:13" x14ac:dyDescent="0.25">
      <c r="A103" t="s">
        <v>64</v>
      </c>
      <c r="B103">
        <v>4.0806000000000004</v>
      </c>
      <c r="C103">
        <v>8.8790999999999993</v>
      </c>
      <c r="D103">
        <v>9.8094000000000001</v>
      </c>
      <c r="E103">
        <v>8.6259999999999994</v>
      </c>
      <c r="F103">
        <v>20.9818</v>
      </c>
      <c r="G103">
        <v>16.052</v>
      </c>
      <c r="H103">
        <v>20.3733</v>
      </c>
      <c r="I103">
        <v>20.017700000000001</v>
      </c>
      <c r="J103">
        <v>33.289099999999998</v>
      </c>
      <c r="K103">
        <v>40.069000000000003</v>
      </c>
      <c r="L103">
        <v>16.417200000000001</v>
      </c>
      <c r="M103">
        <v>31.875599999999999</v>
      </c>
    </row>
    <row r="104" spans="1:13" x14ac:dyDescent="0.25">
      <c r="A104" t="s">
        <v>66</v>
      </c>
      <c r="B104">
        <v>-17.170400000000001</v>
      </c>
      <c r="C104">
        <v>-10.445</v>
      </c>
      <c r="D104">
        <v>-6.0236999999999998</v>
      </c>
      <c r="E104">
        <v>-3.8127</v>
      </c>
      <c r="F104">
        <v>-3.9781</v>
      </c>
      <c r="G104">
        <v>0.85770000000000002</v>
      </c>
      <c r="H104">
        <v>8.7300000000000003E-2</v>
      </c>
      <c r="I104">
        <v>9.5472999999999999</v>
      </c>
    </row>
    <row r="105" spans="1:13" x14ac:dyDescent="0.25">
      <c r="A105" t="s">
        <v>68</v>
      </c>
      <c r="B105">
        <v>-5.6666999999999996</v>
      </c>
      <c r="C105">
        <v>-4.5092999999999996</v>
      </c>
      <c r="D105">
        <v>-14.4168</v>
      </c>
    </row>
    <row r="106" spans="1:13" x14ac:dyDescent="0.25">
      <c r="A106" t="s">
        <v>70</v>
      </c>
      <c r="B106">
        <v>24.466000000000001</v>
      </c>
      <c r="C106">
        <v>27.0581</v>
      </c>
      <c r="D106">
        <v>25.0244</v>
      </c>
      <c r="E106">
        <v>26.911300000000001</v>
      </c>
      <c r="F106">
        <v>25.218399999999999</v>
      </c>
      <c r="G106">
        <v>31.508700000000001</v>
      </c>
      <c r="H106">
        <v>27.9664</v>
      </c>
      <c r="I106">
        <v>29.674900000000001</v>
      </c>
      <c r="J106">
        <v>50.8078</v>
      </c>
      <c r="K106">
        <v>47.942799999999998</v>
      </c>
      <c r="L106">
        <v>-6.6568000000000005</v>
      </c>
      <c r="M106">
        <v>40.849699999999999</v>
      </c>
    </row>
    <row r="107" spans="1:13" x14ac:dyDescent="0.25">
      <c r="A107" t="s">
        <v>72</v>
      </c>
      <c r="B107">
        <v>17.320499999999999</v>
      </c>
      <c r="C107">
        <v>9.6408000000000005</v>
      </c>
      <c r="D107">
        <v>6.4640000000000004</v>
      </c>
      <c r="E107">
        <v>4.4579000000000004</v>
      </c>
      <c r="F107">
        <v>7.9671000000000003</v>
      </c>
      <c r="G107">
        <v>6.9155999999999995</v>
      </c>
      <c r="H107">
        <v>12.094099999999999</v>
      </c>
      <c r="I107">
        <v>18.840800000000002</v>
      </c>
      <c r="J107">
        <v>27.1234</v>
      </c>
      <c r="K107">
        <v>12.4003</v>
      </c>
      <c r="L107">
        <v>7.6115000000000004</v>
      </c>
      <c r="M107">
        <v>26.4436</v>
      </c>
    </row>
    <row r="108" spans="1:13" x14ac:dyDescent="0.25">
      <c r="A108" t="s">
        <v>74</v>
      </c>
      <c r="B108">
        <v>15.1012</v>
      </c>
      <c r="C108">
        <v>10.054</v>
      </c>
      <c r="D108">
        <v>6.3098999999999998</v>
      </c>
      <c r="E108">
        <v>16.585599999999999</v>
      </c>
      <c r="H108">
        <v>14.8611</v>
      </c>
      <c r="I108">
        <v>22.805499999999999</v>
      </c>
      <c r="J108">
        <v>32.421999999999997</v>
      </c>
      <c r="K108">
        <v>29.614799999999999</v>
      </c>
      <c r="L108">
        <v>18.641200000000001</v>
      </c>
      <c r="M108">
        <v>35.259900000000002</v>
      </c>
    </row>
    <row r="109" spans="1:13" x14ac:dyDescent="0.25">
      <c r="A109" t="s">
        <v>76</v>
      </c>
      <c r="B109">
        <v>3.2284999999999999</v>
      </c>
      <c r="C109">
        <v>3.0779000000000001</v>
      </c>
      <c r="D109">
        <v>11.137600000000001</v>
      </c>
      <c r="E109">
        <v>-4.9500999999999999</v>
      </c>
      <c r="F109">
        <v>-2.9777</v>
      </c>
      <c r="G109">
        <v>0.81710000000000005</v>
      </c>
      <c r="H109">
        <v>-0.91490000000000005</v>
      </c>
      <c r="I109">
        <v>9.3912999999999993</v>
      </c>
      <c r="J109">
        <v>5.1407999999999996</v>
      </c>
      <c r="K109">
        <v>1.7425999999999999</v>
      </c>
      <c r="L109">
        <v>5.6178999999999997</v>
      </c>
      <c r="M109">
        <v>9.7781000000000002</v>
      </c>
    </row>
    <row r="110" spans="1:13" x14ac:dyDescent="0.25">
      <c r="A110" t="s">
        <v>78</v>
      </c>
      <c r="B110">
        <v>9.8168000000000006</v>
      </c>
      <c r="C110">
        <v>17.232900000000001</v>
      </c>
      <c r="D110">
        <v>2.9759000000000002</v>
      </c>
      <c r="E110">
        <v>9.6778999999999993</v>
      </c>
      <c r="F110">
        <v>17.1083</v>
      </c>
      <c r="G110">
        <v>6.3551000000000002</v>
      </c>
      <c r="H110">
        <v>24.2392</v>
      </c>
      <c r="I110">
        <v>19.618200000000002</v>
      </c>
      <c r="J110">
        <v>22.6646</v>
      </c>
      <c r="K110">
        <v>20.925999999999998</v>
      </c>
      <c r="L110">
        <v>4.8357000000000001</v>
      </c>
      <c r="M110">
        <v>29.9605</v>
      </c>
    </row>
    <row r="111" spans="1:13" x14ac:dyDescent="0.25">
      <c r="A111" t="s">
        <v>80</v>
      </c>
      <c r="B111">
        <v>-3.0707</v>
      </c>
      <c r="C111">
        <v>0.57110000000000005</v>
      </c>
      <c r="D111">
        <v>-0.97599999999999998</v>
      </c>
      <c r="E111">
        <v>-2.2290000000000001</v>
      </c>
      <c r="F111">
        <v>-11.910399999999999</v>
      </c>
      <c r="G111">
        <v>-5.6665000000000001</v>
      </c>
      <c r="H111">
        <v>-4.3811</v>
      </c>
      <c r="I111">
        <v>-3.7805</v>
      </c>
      <c r="J111">
        <v>7.0552000000000001</v>
      </c>
      <c r="K111">
        <v>4.2942</v>
      </c>
      <c r="L111">
        <v>-7.5963000000000003</v>
      </c>
      <c r="M111">
        <v>4.9035000000000002</v>
      </c>
    </row>
    <row r="112" spans="1:13" x14ac:dyDescent="0.25">
      <c r="A112" t="s">
        <v>82</v>
      </c>
      <c r="B112">
        <v>7.1595000000000004</v>
      </c>
      <c r="C112">
        <v>18.975000000000001</v>
      </c>
      <c r="D112">
        <v>4.3555000000000001</v>
      </c>
      <c r="E112">
        <v>8.5783000000000005</v>
      </c>
      <c r="F112">
        <v>14.789</v>
      </c>
      <c r="G112">
        <v>15.693899999999999</v>
      </c>
      <c r="H112">
        <v>29.877800000000001</v>
      </c>
      <c r="I112">
        <v>28.8291</v>
      </c>
      <c r="J112">
        <v>30.996600000000001</v>
      </c>
      <c r="K112">
        <v>24.295200000000001</v>
      </c>
      <c r="L112">
        <v>7.9676999999999998</v>
      </c>
      <c r="M112">
        <v>22.959600000000002</v>
      </c>
    </row>
    <row r="113" spans="1:13" x14ac:dyDescent="0.25">
      <c r="A113" t="s">
        <v>84</v>
      </c>
      <c r="B113">
        <v>6.1181999999999999</v>
      </c>
      <c r="C113">
        <v>12.898400000000001</v>
      </c>
      <c r="D113">
        <v>5.6006999999999998</v>
      </c>
      <c r="E113">
        <v>9.9893999999999998</v>
      </c>
      <c r="F113">
        <v>17.1206</v>
      </c>
      <c r="G113">
        <v>20.125399999999999</v>
      </c>
      <c r="H113">
        <v>173.98699999999999</v>
      </c>
      <c r="I113">
        <v>25.1999</v>
      </c>
      <c r="J113">
        <v>6.7992999999999997</v>
      </c>
      <c r="K113">
        <v>11.129799999999999</v>
      </c>
      <c r="L113">
        <v>3.5992999999999999</v>
      </c>
      <c r="M113">
        <v>18.549700000000001</v>
      </c>
    </row>
    <row r="114" spans="1:13" x14ac:dyDescent="0.25">
      <c r="A114" t="s">
        <v>86</v>
      </c>
      <c r="B114">
        <v>4.1627000000000001</v>
      </c>
      <c r="C114">
        <v>7.5198999999999998</v>
      </c>
      <c r="D114">
        <v>-1.0048999999999999</v>
      </c>
      <c r="E114">
        <v>7.4081000000000001</v>
      </c>
      <c r="F114">
        <v>9.1354000000000006</v>
      </c>
      <c r="G114">
        <v>8.1231000000000009</v>
      </c>
      <c r="H114">
        <v>16.035299999999999</v>
      </c>
      <c r="I114">
        <v>0.61429999999999996</v>
      </c>
      <c r="J114">
        <v>19.781199999999998</v>
      </c>
      <c r="K114">
        <v>14.1157</v>
      </c>
      <c r="L114">
        <v>5.8887999999999998</v>
      </c>
      <c r="M114">
        <v>28.628699999999998</v>
      </c>
    </row>
    <row r="115" spans="1:13" x14ac:dyDescent="0.25">
      <c r="A115" t="s">
        <v>51</v>
      </c>
      <c r="B115">
        <v>7.4884000000000004</v>
      </c>
      <c r="C115">
        <v>7.5902000000000003</v>
      </c>
      <c r="D115">
        <v>4.8733000000000004</v>
      </c>
      <c r="E115">
        <v>4.6131000000000002</v>
      </c>
      <c r="F115">
        <v>3.3944000000000001</v>
      </c>
      <c r="G115">
        <v>5.2318999999999996</v>
      </c>
      <c r="H115">
        <v>9.5882000000000005</v>
      </c>
      <c r="I115">
        <v>8.7218999999999998</v>
      </c>
      <c r="J115">
        <v>2.6160000000000001</v>
      </c>
      <c r="K115">
        <v>2.4878999999999998</v>
      </c>
      <c r="L115">
        <v>8.3259000000000007</v>
      </c>
      <c r="M115">
        <v>13.9815</v>
      </c>
    </row>
    <row r="116" spans="1:13" x14ac:dyDescent="0.25">
      <c r="A116" t="s">
        <v>56</v>
      </c>
      <c r="B116">
        <v>3.1995</v>
      </c>
      <c r="C116">
        <v>2.9434</v>
      </c>
      <c r="D116">
        <v>2.762</v>
      </c>
      <c r="E116">
        <v>3.5800999999999998</v>
      </c>
      <c r="F116">
        <v>3.9165000000000001</v>
      </c>
      <c r="G116">
        <v>3.8944000000000001</v>
      </c>
      <c r="H116">
        <v>3.8864000000000001</v>
      </c>
      <c r="I116">
        <v>4.2884000000000002</v>
      </c>
      <c r="J116">
        <v>0.16450000000000001</v>
      </c>
      <c r="K116">
        <v>1.7105999999999999</v>
      </c>
      <c r="L116">
        <v>4.8979999999999997</v>
      </c>
      <c r="M116">
        <v>15.7567</v>
      </c>
    </row>
    <row r="117" spans="1:13" x14ac:dyDescent="0.25">
      <c r="A117" t="s">
        <v>58</v>
      </c>
      <c r="B117">
        <v>-1.5329999999999999</v>
      </c>
      <c r="C117">
        <v>-0.1171</v>
      </c>
      <c r="D117">
        <v>9.8440999999999992</v>
      </c>
      <c r="E117">
        <v>12.1073</v>
      </c>
      <c r="F117">
        <v>6.5067000000000004</v>
      </c>
      <c r="G117">
        <v>9.9343000000000004</v>
      </c>
      <c r="H117">
        <v>19.7181</v>
      </c>
      <c r="I117">
        <v>19.9315</v>
      </c>
      <c r="J117">
        <v>6.6022999999999996</v>
      </c>
      <c r="K117">
        <v>-4.9978999999999996</v>
      </c>
      <c r="L117">
        <v>-1.6956</v>
      </c>
      <c r="M117">
        <v>0.99519999999999997</v>
      </c>
    </row>
    <row r="118" spans="1:13" x14ac:dyDescent="0.25">
      <c r="A118" t="s">
        <v>60</v>
      </c>
      <c r="B118">
        <v>4.0499000000000001</v>
      </c>
      <c r="C118">
        <v>3.4651000000000001</v>
      </c>
      <c r="D118">
        <v>5.8098999999999998</v>
      </c>
      <c r="E118">
        <v>7.5049999999999999</v>
      </c>
      <c r="F118">
        <v>5.0975000000000001</v>
      </c>
      <c r="G118">
        <v>2.9390000000000001</v>
      </c>
      <c r="H118">
        <v>5.0838000000000001</v>
      </c>
      <c r="I118">
        <v>7.0319000000000003</v>
      </c>
      <c r="J118">
        <v>3.6287000000000003</v>
      </c>
      <c r="K118">
        <v>-2.3E-2</v>
      </c>
      <c r="L118">
        <v>2.8242000000000003</v>
      </c>
      <c r="M118">
        <v>7.7940000000000005</v>
      </c>
    </row>
    <row r="119" spans="1:13" x14ac:dyDescent="0.25">
      <c r="A119" t="s">
        <v>62</v>
      </c>
      <c r="B119">
        <v>4.2705000000000002</v>
      </c>
      <c r="C119">
        <v>3.8056000000000001</v>
      </c>
      <c r="D119">
        <v>1.0847</v>
      </c>
      <c r="E119">
        <v>1.9407999999999999</v>
      </c>
      <c r="F119">
        <v>29.176500000000001</v>
      </c>
      <c r="G119">
        <v>35.462600000000002</v>
      </c>
      <c r="H119">
        <v>39.284100000000002</v>
      </c>
      <c r="I119">
        <v>7.6540999999999997</v>
      </c>
      <c r="J119">
        <v>4.4583000000000004</v>
      </c>
      <c r="K119">
        <v>0.89249999999999996</v>
      </c>
      <c r="L119">
        <v>4.0731999999999999</v>
      </c>
      <c r="M119">
        <v>0.1794</v>
      </c>
    </row>
    <row r="120" spans="1:13" x14ac:dyDescent="0.25">
      <c r="A120" t="s">
        <v>64</v>
      </c>
      <c r="B120">
        <v>7.5602</v>
      </c>
      <c r="C120">
        <v>9.1036999999999999</v>
      </c>
      <c r="D120">
        <v>13.005000000000001</v>
      </c>
      <c r="E120">
        <v>15.107100000000001</v>
      </c>
      <c r="F120">
        <v>19.115300000000001</v>
      </c>
      <c r="G120">
        <v>18.798100000000002</v>
      </c>
      <c r="H120">
        <v>24.410399999999999</v>
      </c>
      <c r="I120">
        <v>30.856100000000001</v>
      </c>
      <c r="J120">
        <v>29.534300000000002</v>
      </c>
      <c r="K120">
        <v>29.0747</v>
      </c>
      <c r="L120">
        <v>32.038899999999998</v>
      </c>
      <c r="M120">
        <v>47.0426</v>
      </c>
    </row>
    <row r="121" spans="1:13" x14ac:dyDescent="0.25">
      <c r="A121" t="s">
        <v>66</v>
      </c>
      <c r="B121">
        <v>-11.3325</v>
      </c>
      <c r="C121">
        <v>-6.8015999999999996</v>
      </c>
      <c r="D121">
        <v>-4.6101999999999999</v>
      </c>
      <c r="E121">
        <v>-2.3365</v>
      </c>
      <c r="F121">
        <v>-1.034</v>
      </c>
      <c r="G121">
        <v>3.4102000000000001</v>
      </c>
    </row>
    <row r="122" spans="1:13" x14ac:dyDescent="0.25">
      <c r="A122" t="s">
        <v>68</v>
      </c>
      <c r="B122">
        <v>-8.3064999999999998</v>
      </c>
    </row>
    <row r="123" spans="1:13" x14ac:dyDescent="0.25">
      <c r="A123" t="s">
        <v>70</v>
      </c>
      <c r="B123">
        <v>25.511199999999999</v>
      </c>
      <c r="C123">
        <v>26.3279</v>
      </c>
      <c r="D123">
        <v>25.715199999999999</v>
      </c>
      <c r="E123">
        <v>27.852</v>
      </c>
      <c r="F123">
        <v>28.205400000000001</v>
      </c>
      <c r="G123">
        <v>29.708600000000001</v>
      </c>
      <c r="H123">
        <v>35.766300000000001</v>
      </c>
      <c r="I123">
        <v>42.4923</v>
      </c>
      <c r="J123">
        <v>27.7027</v>
      </c>
      <c r="K123">
        <v>24.8276</v>
      </c>
      <c r="L123">
        <v>29.028099999999998</v>
      </c>
    </row>
    <row r="124" spans="1:13" x14ac:dyDescent="0.25">
      <c r="A124" t="s">
        <v>72</v>
      </c>
      <c r="B124">
        <v>11.0494</v>
      </c>
      <c r="C124">
        <v>6.8330000000000002</v>
      </c>
      <c r="D124">
        <v>6.2866</v>
      </c>
      <c r="E124">
        <v>6.4367000000000001</v>
      </c>
      <c r="F124">
        <v>8.9695999999999998</v>
      </c>
      <c r="G124">
        <v>12.5114</v>
      </c>
      <c r="H124">
        <v>19.195</v>
      </c>
      <c r="I124">
        <v>19.3034</v>
      </c>
      <c r="J124">
        <v>15.4207</v>
      </c>
      <c r="K124">
        <v>15.214600000000001</v>
      </c>
      <c r="L124">
        <v>22.250499999999999</v>
      </c>
      <c r="M124">
        <v>28.382300000000001</v>
      </c>
    </row>
    <row r="125" spans="1:13" x14ac:dyDescent="0.25">
      <c r="A125" t="s">
        <v>74</v>
      </c>
      <c r="B125">
        <v>11.8764</v>
      </c>
      <c r="C125">
        <v>11.452299999999999</v>
      </c>
      <c r="H125">
        <v>15.5951</v>
      </c>
      <c r="I125">
        <v>28.2166</v>
      </c>
      <c r="J125">
        <v>26.750599999999999</v>
      </c>
      <c r="K125">
        <v>27.649699999999999</v>
      </c>
      <c r="L125">
        <v>25.988</v>
      </c>
      <c r="M125">
        <v>30.796099999999999</v>
      </c>
    </row>
    <row r="126" spans="1:13" x14ac:dyDescent="0.25">
      <c r="A126" t="s">
        <v>76</v>
      </c>
      <c r="B126">
        <v>5.7488000000000001</v>
      </c>
      <c r="C126">
        <v>2.8788</v>
      </c>
      <c r="D126">
        <v>0.82340000000000002</v>
      </c>
      <c r="E126">
        <v>-2.3994</v>
      </c>
      <c r="F126">
        <v>-1.0373000000000001</v>
      </c>
      <c r="G126">
        <v>3.0011000000000001</v>
      </c>
      <c r="H126">
        <v>4.4530000000000003</v>
      </c>
      <c r="I126">
        <v>5.3785999999999996</v>
      </c>
      <c r="J126">
        <v>4.1527000000000003</v>
      </c>
      <c r="K126">
        <v>5.6619999999999999</v>
      </c>
      <c r="L126">
        <v>21.339700000000001</v>
      </c>
      <c r="M126">
        <v>25.555599999999998</v>
      </c>
    </row>
    <row r="127" spans="1:13" x14ac:dyDescent="0.25">
      <c r="A127" t="s">
        <v>78</v>
      </c>
      <c r="B127">
        <v>9.8544999999999998</v>
      </c>
      <c r="C127">
        <v>9.8081999999999994</v>
      </c>
      <c r="D127">
        <v>9.7692999999999994</v>
      </c>
      <c r="E127">
        <v>10.957100000000001</v>
      </c>
      <c r="F127">
        <v>15.664899999999999</v>
      </c>
      <c r="G127">
        <v>16.485399999999998</v>
      </c>
      <c r="H127">
        <v>22.158899999999999</v>
      </c>
      <c r="I127">
        <v>21.063199999999998</v>
      </c>
      <c r="J127">
        <v>15.8553</v>
      </c>
      <c r="K127">
        <v>18.1082</v>
      </c>
      <c r="L127">
        <v>17.853999999999999</v>
      </c>
      <c r="M127">
        <v>31.5868</v>
      </c>
    </row>
    <row r="128" spans="1:13" x14ac:dyDescent="0.25">
      <c r="A128" t="s">
        <v>80</v>
      </c>
      <c r="B128">
        <v>-1.1698</v>
      </c>
      <c r="C128">
        <v>-0.88460000000000005</v>
      </c>
      <c r="D128">
        <v>-5.1672000000000002</v>
      </c>
      <c r="E128">
        <v>-6.6889000000000003</v>
      </c>
      <c r="F128">
        <v>-7.3785999999999996</v>
      </c>
      <c r="G128">
        <v>-4.6126000000000005</v>
      </c>
      <c r="H128">
        <v>-0.50419999999999998</v>
      </c>
      <c r="I128">
        <v>2.4180999999999999</v>
      </c>
      <c r="J128">
        <v>1.046</v>
      </c>
      <c r="K128">
        <v>0.3644</v>
      </c>
      <c r="L128">
        <v>1.5558999999999998</v>
      </c>
      <c r="M128">
        <v>4.3761999999999999</v>
      </c>
    </row>
    <row r="129" spans="1:13" x14ac:dyDescent="0.25">
      <c r="A129" t="s">
        <v>82</v>
      </c>
      <c r="B129">
        <v>9.9850999999999992</v>
      </c>
      <c r="C129">
        <v>10.468400000000001</v>
      </c>
      <c r="D129">
        <v>9.1572999999999993</v>
      </c>
      <c r="E129">
        <v>12.9756</v>
      </c>
      <c r="F129">
        <v>19.926500000000001</v>
      </c>
      <c r="G129">
        <v>24.629200000000001</v>
      </c>
      <c r="H129">
        <v>29.898099999999999</v>
      </c>
      <c r="I129">
        <v>28.009699999999999</v>
      </c>
      <c r="J129">
        <v>20.689499999999999</v>
      </c>
      <c r="K129">
        <v>18.169</v>
      </c>
      <c r="L129">
        <v>17.133400000000002</v>
      </c>
      <c r="M129">
        <v>28.032399999999999</v>
      </c>
    </row>
    <row r="130" spans="1:13" x14ac:dyDescent="0.25">
      <c r="A130" t="s">
        <v>84</v>
      </c>
      <c r="B130">
        <v>8.1554000000000002</v>
      </c>
      <c r="C130">
        <v>9.4549000000000003</v>
      </c>
      <c r="D130">
        <v>10.8027</v>
      </c>
      <c r="E130">
        <v>15.6662</v>
      </c>
      <c r="F130">
        <v>56.795200000000001</v>
      </c>
      <c r="G130">
        <v>60.320700000000002</v>
      </c>
      <c r="H130">
        <v>54.158499999999997</v>
      </c>
      <c r="I130">
        <v>14.1128</v>
      </c>
      <c r="J130">
        <v>7.1318999999999999</v>
      </c>
      <c r="K130">
        <v>10.925000000000001</v>
      </c>
      <c r="L130">
        <v>16.450500000000002</v>
      </c>
      <c r="M130">
        <v>53.275799999999997</v>
      </c>
    </row>
    <row r="131" spans="1:13" x14ac:dyDescent="0.25">
      <c r="A131" t="s">
        <v>86</v>
      </c>
      <c r="B131">
        <v>3.4994999999999998</v>
      </c>
      <c r="C131">
        <v>4.5633999999999997</v>
      </c>
      <c r="D131">
        <v>5.0845000000000002</v>
      </c>
      <c r="E131">
        <v>8.2199000000000009</v>
      </c>
      <c r="F131">
        <v>11.043100000000001</v>
      </c>
      <c r="G131">
        <v>8.0744000000000007</v>
      </c>
      <c r="H131">
        <v>11.8269</v>
      </c>
      <c r="I131">
        <v>11.206799999999999</v>
      </c>
      <c r="J131">
        <v>13.117100000000001</v>
      </c>
      <c r="K131">
        <v>15.8363</v>
      </c>
      <c r="L131">
        <v>21.9678</v>
      </c>
      <c r="M131">
        <v>34.328000000000003</v>
      </c>
    </row>
    <row r="132" spans="1:13" x14ac:dyDescent="0.25">
      <c r="A132" t="s">
        <v>51</v>
      </c>
      <c r="B132">
        <v>5.4542000000000002</v>
      </c>
      <c r="C132">
        <v>25.5991</v>
      </c>
      <c r="D132">
        <v>-1.8973</v>
      </c>
      <c r="E132">
        <v>9.0068000000000001</v>
      </c>
      <c r="F132">
        <v>3.2621000000000002</v>
      </c>
      <c r="G132">
        <v>-0.21199999999999999</v>
      </c>
      <c r="H132">
        <v>10.4503</v>
      </c>
      <c r="I132">
        <v>12.0837</v>
      </c>
      <c r="J132">
        <v>17.529800000000002</v>
      </c>
      <c r="K132">
        <v>7.8624999999999998</v>
      </c>
      <c r="L132">
        <v>-10.2925</v>
      </c>
      <c r="M132">
        <v>19.2667</v>
      </c>
    </row>
    <row r="133" spans="1:13" x14ac:dyDescent="0.25">
      <c r="A133" t="s">
        <v>56</v>
      </c>
      <c r="B133">
        <v>21.2636</v>
      </c>
      <c r="C133">
        <v>-12.6584</v>
      </c>
      <c r="D133">
        <v>5.3654000000000002</v>
      </c>
      <c r="E133">
        <v>0.60640000000000005</v>
      </c>
      <c r="F133">
        <v>4.9092000000000002</v>
      </c>
      <c r="G133">
        <v>5.7995000000000001</v>
      </c>
      <c r="H133">
        <v>3.3620000000000001</v>
      </c>
      <c r="I133">
        <v>2.7728999999999999</v>
      </c>
      <c r="J133">
        <v>-3.3860000000000001</v>
      </c>
      <c r="K133">
        <v>7.2394999999999996</v>
      </c>
      <c r="L133">
        <v>-7.6729000000000003</v>
      </c>
      <c r="M133">
        <v>15.729900000000001</v>
      </c>
    </row>
    <row r="134" spans="1:13" x14ac:dyDescent="0.25">
      <c r="A134" t="s">
        <v>58</v>
      </c>
      <c r="B134">
        <v>38.254399999999997</v>
      </c>
      <c r="C134">
        <v>-24.790500000000002</v>
      </c>
      <c r="D134">
        <v>6.2945000000000002</v>
      </c>
      <c r="E134">
        <v>26.284199999999998</v>
      </c>
      <c r="F134">
        <v>32.686599999999999</v>
      </c>
      <c r="G134">
        <v>1.7593000000000001</v>
      </c>
      <c r="H134">
        <v>2.7170999999999998</v>
      </c>
      <c r="I134">
        <v>18.979099999999999</v>
      </c>
      <c r="J134">
        <v>56.234900000000003</v>
      </c>
      <c r="K134">
        <v>63.363599999999998</v>
      </c>
      <c r="L134">
        <v>-48.179200000000002</v>
      </c>
      <c r="M134">
        <v>0.63829999999999998</v>
      </c>
    </row>
    <row r="135" spans="1:13" x14ac:dyDescent="0.25">
      <c r="A135" t="s">
        <v>60</v>
      </c>
      <c r="B135">
        <v>27.366399999999999</v>
      </c>
      <c r="C135">
        <v>4.6495999999999995</v>
      </c>
      <c r="D135">
        <v>2.5569999999999999</v>
      </c>
      <c r="E135">
        <v>12.519399999999999</v>
      </c>
      <c r="F135">
        <v>21.665099999999999</v>
      </c>
      <c r="G135">
        <v>13.9009</v>
      </c>
      <c r="H135">
        <v>11.271000000000001</v>
      </c>
      <c r="I135">
        <v>6.5133999999999999</v>
      </c>
      <c r="J135">
        <v>17.744399999999999</v>
      </c>
      <c r="K135">
        <v>33.802799999999998</v>
      </c>
      <c r="L135">
        <v>-49.337400000000002</v>
      </c>
      <c r="M135">
        <v>17.625900000000001</v>
      </c>
    </row>
    <row r="136" spans="1:13" x14ac:dyDescent="0.25">
      <c r="A136" t="s">
        <v>62</v>
      </c>
      <c r="B136">
        <v>9.3003999999999998</v>
      </c>
      <c r="C136">
        <v>5.0471000000000004</v>
      </c>
      <c r="D136">
        <v>-3.4975999999999998</v>
      </c>
      <c r="E136">
        <v>4.1543999999999999</v>
      </c>
      <c r="F136">
        <v>10.0421</v>
      </c>
      <c r="G136">
        <v>44.192599999999999</v>
      </c>
      <c r="H136">
        <v>124.0947</v>
      </c>
      <c r="I136">
        <v>-30.6434</v>
      </c>
      <c r="J136">
        <v>5.9619999999999997</v>
      </c>
      <c r="K136">
        <v>4.9080000000000004</v>
      </c>
      <c r="L136">
        <v>9.5510000000000002</v>
      </c>
      <c r="M136">
        <v>2.4091</v>
      </c>
    </row>
    <row r="137" spans="1:13" x14ac:dyDescent="0.25">
      <c r="A137" t="s">
        <v>64</v>
      </c>
      <c r="B137">
        <v>-2.2431000000000001</v>
      </c>
      <c r="C137">
        <v>12.8249</v>
      </c>
      <c r="D137">
        <v>9.5952000000000002</v>
      </c>
      <c r="E137">
        <v>7.9287999999999998</v>
      </c>
      <c r="F137">
        <v>18.108000000000001</v>
      </c>
      <c r="G137">
        <v>12.6577</v>
      </c>
      <c r="H137">
        <v>22.380600000000001</v>
      </c>
      <c r="I137">
        <v>20.421399999999998</v>
      </c>
      <c r="J137">
        <v>29.692599999999999</v>
      </c>
      <c r="K137">
        <v>37.3185</v>
      </c>
      <c r="L137">
        <v>19.678899999999999</v>
      </c>
      <c r="M137">
        <v>35.832000000000001</v>
      </c>
    </row>
    <row r="138" spans="1:13" x14ac:dyDescent="0.25">
      <c r="A138" t="s">
        <v>66</v>
      </c>
      <c r="B138" t="s">
        <v>46</v>
      </c>
      <c r="C138">
        <v>-70.114900000000006</v>
      </c>
      <c r="F138">
        <v>-86.828199999999995</v>
      </c>
      <c r="G138">
        <v>-6.4103000000000003</v>
      </c>
    </row>
    <row r="139" spans="1:13" x14ac:dyDescent="0.25">
      <c r="A139" t="s">
        <v>68</v>
      </c>
      <c r="B139" t="s">
        <v>46</v>
      </c>
      <c r="C139">
        <v>5.4945000000000004</v>
      </c>
      <c r="D139">
        <v>74.655500000000004</v>
      </c>
    </row>
    <row r="140" spans="1:13" x14ac:dyDescent="0.25">
      <c r="A140" t="s">
        <v>70</v>
      </c>
      <c r="B140">
        <v>45.503300000000003</v>
      </c>
      <c r="C140">
        <v>40.145299999999999</v>
      </c>
      <c r="D140">
        <v>28.281199999999998</v>
      </c>
      <c r="E140">
        <v>27.335000000000001</v>
      </c>
      <c r="F140">
        <v>18.999500000000001</v>
      </c>
      <c r="G140">
        <v>13.1564</v>
      </c>
      <c r="H140">
        <v>19.151199999999999</v>
      </c>
      <c r="I140">
        <v>22.930299999999999</v>
      </c>
      <c r="J140">
        <v>60.242899999999999</v>
      </c>
      <c r="K140">
        <v>80.703699999999998</v>
      </c>
      <c r="L140">
        <v>42.913899999999998</v>
      </c>
      <c r="M140">
        <v>-14.271100000000001</v>
      </c>
    </row>
    <row r="141" spans="1:13" x14ac:dyDescent="0.25">
      <c r="A141" t="s">
        <v>72</v>
      </c>
      <c r="B141">
        <v>39.979399999999998</v>
      </c>
      <c r="C141">
        <v>6.0244999999999997</v>
      </c>
      <c r="D141">
        <v>0.76890000000000003</v>
      </c>
      <c r="E141">
        <v>1.4271</v>
      </c>
      <c r="F141">
        <v>11.6029</v>
      </c>
      <c r="G141">
        <v>-3.1993</v>
      </c>
      <c r="H141">
        <v>12.290699999999999</v>
      </c>
      <c r="I141">
        <v>16.627299999999998</v>
      </c>
      <c r="J141">
        <v>16.9483</v>
      </c>
      <c r="K141">
        <v>4.2408999999999999</v>
      </c>
      <c r="L141">
        <v>7.0812999999999997</v>
      </c>
    </row>
    <row r="142" spans="1:13" x14ac:dyDescent="0.25">
      <c r="A142" t="s">
        <v>74</v>
      </c>
      <c r="B142">
        <v>17.835100000000001</v>
      </c>
      <c r="C142">
        <v>14.0753</v>
      </c>
      <c r="D142">
        <v>8.2969000000000008</v>
      </c>
      <c r="E142">
        <v>18.637599999999999</v>
      </c>
      <c r="H142">
        <v>36.645499999999998</v>
      </c>
      <c r="I142">
        <v>51.7819</v>
      </c>
      <c r="J142">
        <v>51.183999999999997</v>
      </c>
      <c r="K142">
        <v>27.1313</v>
      </c>
      <c r="L142">
        <v>-6.1897000000000002</v>
      </c>
      <c r="M142">
        <v>21.4894</v>
      </c>
    </row>
    <row r="143" spans="1:13" x14ac:dyDescent="0.25">
      <c r="A143" t="s">
        <v>76</v>
      </c>
      <c r="B143">
        <v>18.157</v>
      </c>
      <c r="C143">
        <v>10.059900000000001</v>
      </c>
      <c r="D143">
        <v>16.077999999999999</v>
      </c>
      <c r="G143">
        <v>-91.303799999999995</v>
      </c>
      <c r="H143">
        <v>-0.66300000000000003</v>
      </c>
      <c r="I143">
        <v>-21.924299999999999</v>
      </c>
      <c r="J143">
        <v>5.1116000000000001</v>
      </c>
      <c r="K143">
        <v>-8.5358000000000001</v>
      </c>
      <c r="L143">
        <v>8.5503999999999998</v>
      </c>
      <c r="M143">
        <v>20.0778</v>
      </c>
    </row>
    <row r="144" spans="1:13" x14ac:dyDescent="0.25">
      <c r="A144" t="s">
        <v>78</v>
      </c>
      <c r="B144">
        <v>6.5865999999999998</v>
      </c>
      <c r="C144">
        <v>9.8889999999999993</v>
      </c>
      <c r="D144">
        <v>2.1877</v>
      </c>
      <c r="E144">
        <v>8.9291</v>
      </c>
      <c r="F144">
        <v>18.3904</v>
      </c>
      <c r="G144">
        <v>9.4122000000000003</v>
      </c>
      <c r="H144">
        <v>16.6814</v>
      </c>
      <c r="I144">
        <v>5.9640000000000004</v>
      </c>
      <c r="J144">
        <v>19.4712</v>
      </c>
      <c r="K144">
        <v>14.114000000000001</v>
      </c>
      <c r="L144">
        <v>2.4626999999999999</v>
      </c>
      <c r="M144">
        <v>45.742600000000003</v>
      </c>
    </row>
    <row r="145" spans="1:13" x14ac:dyDescent="0.25">
      <c r="A145" t="s">
        <v>80</v>
      </c>
      <c r="B145">
        <v>5.4226000000000001</v>
      </c>
      <c r="C145">
        <v>2.8186</v>
      </c>
      <c r="D145">
        <v>2.2643</v>
      </c>
      <c r="E145">
        <v>-15.9421</v>
      </c>
      <c r="F145">
        <v>-15.348700000000001</v>
      </c>
      <c r="G145">
        <v>-7.8037000000000001</v>
      </c>
      <c r="H145">
        <v>-6.1727999999999996</v>
      </c>
      <c r="I145">
        <v>2.6173999999999999</v>
      </c>
      <c r="J145">
        <v>9.2298000000000009</v>
      </c>
      <c r="K145">
        <v>4.4213000000000005</v>
      </c>
      <c r="L145">
        <v>2.8940999999999999</v>
      </c>
      <c r="M145">
        <v>14.2704</v>
      </c>
    </row>
    <row r="146" spans="1:13" x14ac:dyDescent="0.25">
      <c r="A146" t="s">
        <v>82</v>
      </c>
      <c r="B146">
        <v>6.5888999999999998</v>
      </c>
      <c r="C146">
        <v>21.4971</v>
      </c>
      <c r="D146">
        <v>0.63449999999999995</v>
      </c>
      <c r="E146">
        <v>5.3230000000000004</v>
      </c>
      <c r="F146">
        <v>24.3718</v>
      </c>
      <c r="G146">
        <v>-1.8536000000000001</v>
      </c>
      <c r="H146">
        <v>39.314500000000002</v>
      </c>
      <c r="I146">
        <v>24.970700000000001</v>
      </c>
      <c r="J146">
        <v>29.136199999999999</v>
      </c>
      <c r="K146">
        <v>28.567399999999999</v>
      </c>
      <c r="L146">
        <v>21.266300000000001</v>
      </c>
      <c r="M146">
        <v>24.4452</v>
      </c>
    </row>
    <row r="147" spans="1:13" x14ac:dyDescent="0.25">
      <c r="A147" t="s">
        <v>84</v>
      </c>
      <c r="B147">
        <v>-13.071400000000001</v>
      </c>
      <c r="C147">
        <v>34.552799999999998</v>
      </c>
      <c r="D147">
        <v>12.551399999999999</v>
      </c>
      <c r="E147">
        <v>-2.0185</v>
      </c>
      <c r="F147">
        <v>2.8342000000000001</v>
      </c>
      <c r="G147">
        <v>-0.73860000000000003</v>
      </c>
      <c r="H147">
        <v>193.76490000000001</v>
      </c>
      <c r="I147">
        <v>54.9054</v>
      </c>
      <c r="J147">
        <v>-8.3623999999999992</v>
      </c>
      <c r="K147">
        <v>-11.4162</v>
      </c>
      <c r="L147">
        <v>-11.6881</v>
      </c>
      <c r="M147">
        <v>52.207500000000003</v>
      </c>
    </row>
    <row r="148" spans="1:13" x14ac:dyDescent="0.25">
      <c r="A148" t="s">
        <v>86</v>
      </c>
      <c r="B148">
        <v>6.2443999999999997</v>
      </c>
      <c r="C148">
        <v>11.776199999999999</v>
      </c>
      <c r="D148">
        <v>-7.7808999999999999</v>
      </c>
      <c r="E148">
        <v>4.3914999999999997</v>
      </c>
      <c r="F148">
        <v>3.2014</v>
      </c>
      <c r="G148">
        <v>7.7321999999999997</v>
      </c>
      <c r="H148">
        <v>24.200299999999999</v>
      </c>
      <c r="I148">
        <v>10.3254</v>
      </c>
      <c r="J148">
        <v>8.2984000000000009</v>
      </c>
      <c r="K148">
        <v>9.9841999999999995</v>
      </c>
      <c r="L148">
        <v>14.7669</v>
      </c>
      <c r="M148">
        <v>23.1038</v>
      </c>
    </row>
    <row r="149" spans="1:13" x14ac:dyDescent="0.25">
      <c r="A149" t="s">
        <v>51</v>
      </c>
      <c r="B149">
        <v>15.9443</v>
      </c>
      <c r="C149">
        <v>16.187100000000001</v>
      </c>
      <c r="D149">
        <v>-15.5015</v>
      </c>
      <c r="E149">
        <v>35.112900000000003</v>
      </c>
      <c r="F149">
        <v>4.9569000000000001</v>
      </c>
      <c r="G149">
        <v>-8.6614000000000004</v>
      </c>
      <c r="H149">
        <v>27.959700000000002</v>
      </c>
      <c r="I149">
        <v>12.464600000000001</v>
      </c>
      <c r="J149">
        <v>26.523299999999999</v>
      </c>
      <c r="K149">
        <v>9.4117999999999995</v>
      </c>
      <c r="L149">
        <v>-7.9421999999999997</v>
      </c>
      <c r="M149">
        <v>34.466000000000001</v>
      </c>
    </row>
    <row r="150" spans="1:13" x14ac:dyDescent="0.25">
      <c r="A150" t="s">
        <v>56</v>
      </c>
      <c r="B150">
        <v>39.155900000000003</v>
      </c>
      <c r="C150">
        <v>-16.7224</v>
      </c>
      <c r="D150">
        <v>9.1241000000000003</v>
      </c>
      <c r="E150">
        <v>-5.1902999999999997</v>
      </c>
      <c r="F150">
        <v>9.0565999999999995</v>
      </c>
      <c r="G150">
        <v>3.5156000000000001</v>
      </c>
      <c r="H150">
        <v>9.8712</v>
      </c>
      <c r="I150">
        <v>24.5989</v>
      </c>
      <c r="J150">
        <v>10</v>
      </c>
      <c r="K150">
        <v>5.5900999999999996</v>
      </c>
      <c r="L150">
        <v>-12.0219</v>
      </c>
      <c r="M150">
        <v>3.9773000000000001</v>
      </c>
    </row>
    <row r="151" spans="1:13" x14ac:dyDescent="0.25">
      <c r="A151" t="s">
        <v>58</v>
      </c>
      <c r="B151">
        <v>-35.027999999999999</v>
      </c>
      <c r="C151">
        <v>-19.029199999999999</v>
      </c>
      <c r="D151">
        <v>2.5089999999999999</v>
      </c>
      <c r="E151">
        <v>39.152099999999997</v>
      </c>
      <c r="F151">
        <v>50.1873</v>
      </c>
      <c r="G151">
        <v>-10.402699999999999</v>
      </c>
      <c r="H151">
        <v>12.030099999999999</v>
      </c>
      <c r="I151">
        <v>11.2971</v>
      </c>
      <c r="J151">
        <v>43.113799999999998</v>
      </c>
      <c r="K151">
        <v>2683.3332999999998</v>
      </c>
      <c r="L151">
        <v>-81.25</v>
      </c>
      <c r="M151">
        <v>-54.285699999999999</v>
      </c>
    </row>
    <row r="152" spans="1:13" x14ac:dyDescent="0.25">
      <c r="A152" t="s">
        <v>60</v>
      </c>
      <c r="B152">
        <v>17.849</v>
      </c>
      <c r="C152">
        <v>-10.450799999999999</v>
      </c>
      <c r="D152">
        <v>-10.2941</v>
      </c>
      <c r="E152">
        <v>-18.440799999999999</v>
      </c>
      <c r="F152">
        <v>81.25</v>
      </c>
      <c r="G152">
        <v>31.428599999999999</v>
      </c>
      <c r="H152">
        <v>23.893799999999999</v>
      </c>
      <c r="I152">
        <v>-14.0684</v>
      </c>
      <c r="J152">
        <v>43.715800000000002</v>
      </c>
      <c r="K152">
        <v>48.780500000000004</v>
      </c>
      <c r="L152">
        <v>-60.828000000000003</v>
      </c>
      <c r="M152">
        <v>3.2894999999999999</v>
      </c>
    </row>
    <row r="153" spans="1:13" x14ac:dyDescent="0.25">
      <c r="A153" t="s">
        <v>62</v>
      </c>
      <c r="B153">
        <v>15.174099999999999</v>
      </c>
      <c r="C153">
        <v>15.517200000000001</v>
      </c>
      <c r="D153">
        <v>-0.85470000000000002</v>
      </c>
      <c r="E153">
        <v>11.7834</v>
      </c>
      <c r="F153">
        <v>12.9496</v>
      </c>
      <c r="G153">
        <v>87.837800000000001</v>
      </c>
      <c r="H153">
        <v>196</v>
      </c>
      <c r="I153">
        <v>-69.697000000000003</v>
      </c>
      <c r="J153">
        <v>29.921299999999999</v>
      </c>
      <c r="K153">
        <v>23.300999999999998</v>
      </c>
      <c r="L153">
        <v>9.5745000000000005</v>
      </c>
      <c r="M153">
        <v>32.394399999999997</v>
      </c>
    </row>
    <row r="154" spans="1:13" x14ac:dyDescent="0.25">
      <c r="A154" t="s">
        <v>64</v>
      </c>
      <c r="B154">
        <v>-8.5873000000000008</v>
      </c>
      <c r="C154">
        <v>42.125999999999998</v>
      </c>
      <c r="D154">
        <v>-0.78129999999999999</v>
      </c>
      <c r="E154">
        <v>-4.1199000000000003</v>
      </c>
      <c r="F154">
        <v>12.658200000000001</v>
      </c>
      <c r="G154">
        <v>16.4619</v>
      </c>
      <c r="H154">
        <v>16.6189</v>
      </c>
      <c r="I154">
        <v>19.9313</v>
      </c>
      <c r="J154">
        <v>19.2623</v>
      </c>
      <c r="K154">
        <v>34.065899999999999</v>
      </c>
      <c r="L154">
        <v>22.1477</v>
      </c>
      <c r="M154">
        <v>22.1311</v>
      </c>
    </row>
    <row r="155" spans="1:13" x14ac:dyDescent="0.25">
      <c r="A155" t="s">
        <v>66</v>
      </c>
      <c r="B155">
        <v>-350.97089999999997</v>
      </c>
      <c r="E155">
        <v>-193.93940000000001</v>
      </c>
    </row>
    <row r="156" spans="1:13" x14ac:dyDescent="0.25">
      <c r="A156" t="s">
        <v>68</v>
      </c>
      <c r="B156" t="s">
        <v>46</v>
      </c>
      <c r="C156">
        <v>-17.293199999999999</v>
      </c>
    </row>
    <row r="157" spans="1:13" x14ac:dyDescent="0.25">
      <c r="A157" t="s">
        <v>70</v>
      </c>
      <c r="B157">
        <v>6.4732000000000003</v>
      </c>
      <c r="C157">
        <v>220</v>
      </c>
      <c r="D157">
        <v>-28.934000000000001</v>
      </c>
      <c r="E157">
        <v>13.8728</v>
      </c>
      <c r="F157">
        <v>16.8919</v>
      </c>
      <c r="G157">
        <v>9.6295999999999999</v>
      </c>
      <c r="H157">
        <v>6.2991999999999999</v>
      </c>
      <c r="I157">
        <v>84.525199999999998</v>
      </c>
      <c r="J157">
        <v>-89.742900000000006</v>
      </c>
      <c r="K157">
        <v>258.82350000000002</v>
      </c>
      <c r="L157">
        <v>-6.5</v>
      </c>
      <c r="M157">
        <v>-64.788700000000006</v>
      </c>
    </row>
    <row r="158" spans="1:13" x14ac:dyDescent="0.25">
      <c r="A158" t="s">
        <v>72</v>
      </c>
      <c r="B158">
        <v>8.1081000000000003</v>
      </c>
      <c r="C158">
        <v>8.8234999999999992</v>
      </c>
      <c r="D158">
        <v>4.6154000000000002</v>
      </c>
      <c r="E158">
        <v>17.117100000000001</v>
      </c>
      <c r="F158">
        <v>27.586200000000002</v>
      </c>
      <c r="G158">
        <v>-13</v>
      </c>
      <c r="H158">
        <v>25</v>
      </c>
      <c r="I158">
        <v>-3.6145</v>
      </c>
      <c r="J158">
        <v>27.692299999999999</v>
      </c>
      <c r="K158">
        <v>10.169499999999999</v>
      </c>
      <c r="L158">
        <v>0</v>
      </c>
      <c r="M158">
        <v>353.84620000000001</v>
      </c>
    </row>
    <row r="159" spans="1:13" x14ac:dyDescent="0.25">
      <c r="A159" t="s">
        <v>74</v>
      </c>
      <c r="B159">
        <v>9.2880000000000003</v>
      </c>
      <c r="C159">
        <v>8.5725999999999996</v>
      </c>
      <c r="D159">
        <v>3.1493000000000002</v>
      </c>
      <c r="E159">
        <v>16.0304</v>
      </c>
      <c r="H159">
        <v>39.526000000000003</v>
      </c>
      <c r="I159">
        <v>65.858500000000006</v>
      </c>
      <c r="J159">
        <v>45.537599999999998</v>
      </c>
      <c r="K159">
        <v>28.892499999999998</v>
      </c>
      <c r="L159">
        <v>-5.2230999999999996</v>
      </c>
      <c r="M159">
        <v>24.617899999999999</v>
      </c>
    </row>
    <row r="160" spans="1:13" x14ac:dyDescent="0.25">
      <c r="A160" t="s">
        <v>76</v>
      </c>
      <c r="B160">
        <v>1.2652999999999999</v>
      </c>
      <c r="C160">
        <v>-7.8748000000000005</v>
      </c>
      <c r="D160">
        <v>72.786900000000003</v>
      </c>
      <c r="F160">
        <v>-597.57529999999997</v>
      </c>
      <c r="H160">
        <v>-13.4604</v>
      </c>
      <c r="I160">
        <v>-26.686699999999998</v>
      </c>
      <c r="J160">
        <v>-4.1040999999999999</v>
      </c>
      <c r="K160">
        <v>-4.4417999999999997</v>
      </c>
      <c r="L160">
        <v>6.5861999999999998</v>
      </c>
      <c r="M160">
        <v>24.456600000000002</v>
      </c>
    </row>
    <row r="161" spans="1:13" x14ac:dyDescent="0.25">
      <c r="A161" t="s">
        <v>78</v>
      </c>
      <c r="B161">
        <v>9.9604999999999997</v>
      </c>
      <c r="C161">
        <v>-0.26729999999999998</v>
      </c>
      <c r="D161">
        <v>13.168799999999999</v>
      </c>
      <c r="E161">
        <v>6.4046000000000003</v>
      </c>
      <c r="F161">
        <v>9.4178999999999995</v>
      </c>
      <c r="G161">
        <v>15.7821</v>
      </c>
      <c r="H161">
        <v>13.0284</v>
      </c>
      <c r="I161">
        <v>13.2738</v>
      </c>
      <c r="J161">
        <v>21.636299999999999</v>
      </c>
      <c r="K161">
        <v>9.7597000000000005</v>
      </c>
      <c r="L161">
        <v>4.2256</v>
      </c>
      <c r="M161">
        <v>28.285599999999999</v>
      </c>
    </row>
    <row r="162" spans="1:13" x14ac:dyDescent="0.25">
      <c r="A162" t="s">
        <v>80</v>
      </c>
      <c r="B162">
        <v>11.143800000000001</v>
      </c>
      <c r="C162">
        <v>55.011200000000002</v>
      </c>
      <c r="D162">
        <v>-50.401899999999998</v>
      </c>
      <c r="E162">
        <v>-8.9312000000000005</v>
      </c>
      <c r="F162">
        <v>-12.8827</v>
      </c>
      <c r="G162">
        <v>1.6861000000000002</v>
      </c>
      <c r="H162">
        <v>3.629</v>
      </c>
      <c r="I162">
        <v>12.3019</v>
      </c>
      <c r="J162">
        <v>13.3447</v>
      </c>
      <c r="K162">
        <v>15.5138</v>
      </c>
      <c r="L162">
        <v>11.576599999999999</v>
      </c>
      <c r="M162">
        <v>23.9071</v>
      </c>
    </row>
    <row r="163" spans="1:13" x14ac:dyDescent="0.25">
      <c r="A163" t="s">
        <v>82</v>
      </c>
      <c r="B163">
        <v>3.7808999999999999</v>
      </c>
      <c r="C163">
        <v>23.779699999999998</v>
      </c>
      <c r="D163">
        <v>0.5847</v>
      </c>
      <c r="E163">
        <v>8.3137000000000008</v>
      </c>
      <c r="F163">
        <v>22.789400000000001</v>
      </c>
      <c r="G163">
        <v>2.7766000000000002</v>
      </c>
      <c r="H163">
        <v>37.484200000000001</v>
      </c>
      <c r="I163">
        <v>33.7667</v>
      </c>
      <c r="J163">
        <v>14.696300000000001</v>
      </c>
      <c r="K163">
        <v>29.716799999999999</v>
      </c>
      <c r="L163">
        <v>33.022599999999997</v>
      </c>
      <c r="M163">
        <v>4.4198000000000004</v>
      </c>
    </row>
    <row r="164" spans="1:13" x14ac:dyDescent="0.25">
      <c r="A164" t="s">
        <v>84</v>
      </c>
      <c r="B164">
        <v>-4.5529999999999999</v>
      </c>
      <c r="C164">
        <v>12.6685</v>
      </c>
      <c r="D164">
        <v>33.851900000000001</v>
      </c>
      <c r="E164">
        <v>-6.8676000000000004</v>
      </c>
      <c r="F164">
        <v>25.6737</v>
      </c>
      <c r="G164">
        <v>-15.6699</v>
      </c>
      <c r="H164">
        <v>29.152200000000001</v>
      </c>
      <c r="I164">
        <v>16.927499999999998</v>
      </c>
      <c r="J164">
        <v>67.151200000000003</v>
      </c>
      <c r="K164">
        <v>-10.120200000000001</v>
      </c>
      <c r="L164">
        <v>-31.171299999999999</v>
      </c>
      <c r="M164">
        <v>206.6679</v>
      </c>
    </row>
    <row r="165" spans="1:13" x14ac:dyDescent="0.25">
      <c r="A165" t="s">
        <v>86</v>
      </c>
      <c r="B165">
        <v>11.2075</v>
      </c>
      <c r="C165">
        <v>18.544899999999998</v>
      </c>
      <c r="D165">
        <v>-3.5468999999999999</v>
      </c>
      <c r="E165">
        <v>-3.5851999999999999</v>
      </c>
      <c r="F165">
        <v>2.8651999999999997</v>
      </c>
      <c r="G165">
        <v>10.9887</v>
      </c>
      <c r="H165">
        <v>27.005800000000001</v>
      </c>
      <c r="I165">
        <v>9.8713999999999995</v>
      </c>
      <c r="J165">
        <v>4.6917999999999997</v>
      </c>
      <c r="K165">
        <v>14.013</v>
      </c>
      <c r="L165">
        <v>18.5379</v>
      </c>
      <c r="M165">
        <v>18.523399999999999</v>
      </c>
    </row>
    <row r="166" spans="1:13" x14ac:dyDescent="0.25">
      <c r="A166" t="s">
        <v>51</v>
      </c>
      <c r="B166">
        <v>4.4123999999999999</v>
      </c>
      <c r="C166">
        <v>9.8756000000000004</v>
      </c>
      <c r="D166">
        <v>6.2149000000000001</v>
      </c>
      <c r="E166">
        <v>9.0068999999999999</v>
      </c>
      <c r="F166">
        <v>7.0481999999999996</v>
      </c>
      <c r="G166">
        <v>9.5420999999999996</v>
      </c>
      <c r="H166">
        <v>22.110499999999998</v>
      </c>
      <c r="I166">
        <v>15.9</v>
      </c>
      <c r="J166">
        <v>8.4171999999999993</v>
      </c>
      <c r="K166">
        <v>10.64</v>
      </c>
      <c r="L166">
        <v>15.616199999999999</v>
      </c>
      <c r="M166">
        <v>20.1235</v>
      </c>
    </row>
    <row r="167" spans="1:13" x14ac:dyDescent="0.25">
      <c r="A167" t="s">
        <v>56</v>
      </c>
      <c r="B167">
        <v>8.1393000000000004</v>
      </c>
      <c r="C167">
        <v>-4.8445</v>
      </c>
      <c r="D167">
        <v>4.1058000000000003</v>
      </c>
      <c r="E167">
        <v>2.2909000000000002</v>
      </c>
      <c r="F167">
        <v>7.4436</v>
      </c>
      <c r="G167">
        <v>12.322800000000001</v>
      </c>
      <c r="H167">
        <v>14.620900000000001</v>
      </c>
      <c r="I167">
        <v>13.112299999999999</v>
      </c>
      <c r="J167">
        <v>0.72340000000000004</v>
      </c>
      <c r="K167">
        <v>-1.1495</v>
      </c>
      <c r="L167">
        <v>0.84209999999999996</v>
      </c>
      <c r="M167">
        <v>8.3169000000000004</v>
      </c>
    </row>
    <row r="168" spans="1:13" x14ac:dyDescent="0.25">
      <c r="A168" t="s">
        <v>58</v>
      </c>
      <c r="B168">
        <v>-18.6035</v>
      </c>
      <c r="C168">
        <v>4.9203999999999999</v>
      </c>
      <c r="D168">
        <v>28.912500000000001</v>
      </c>
      <c r="E168">
        <v>23.255400000000002</v>
      </c>
      <c r="F168">
        <v>14.6624</v>
      </c>
      <c r="G168">
        <v>3.7618999999999998</v>
      </c>
      <c r="H168">
        <v>21.292300000000001</v>
      </c>
      <c r="I168">
        <v>253.92410000000001</v>
      </c>
      <c r="J168">
        <v>95.471100000000007</v>
      </c>
      <c r="K168">
        <v>33.620399999999997</v>
      </c>
      <c r="M168">
        <v>-54.950099999999999</v>
      </c>
    </row>
    <row r="169" spans="1:13" x14ac:dyDescent="0.25">
      <c r="A169" t="s">
        <v>60</v>
      </c>
      <c r="B169">
        <v>-1.8094999999999999</v>
      </c>
      <c r="C169">
        <v>-13.1469</v>
      </c>
      <c r="D169">
        <v>9.8644999999999996</v>
      </c>
      <c r="E169">
        <v>24.7806</v>
      </c>
      <c r="F169">
        <v>43.4407</v>
      </c>
      <c r="G169">
        <v>11.848599999999999</v>
      </c>
      <c r="H169">
        <v>15.2309</v>
      </c>
      <c r="I169">
        <v>22.480699999999999</v>
      </c>
      <c r="J169">
        <v>-5.7367999999999997</v>
      </c>
      <c r="K169">
        <v>-15.564399999999999</v>
      </c>
      <c r="L169">
        <v>-17.743400000000001</v>
      </c>
      <c r="M169">
        <v>43.168900000000001</v>
      </c>
    </row>
    <row r="170" spans="1:13" x14ac:dyDescent="0.25">
      <c r="A170" t="s">
        <v>62</v>
      </c>
      <c r="B170">
        <v>9.6708999999999996</v>
      </c>
      <c r="C170">
        <v>8.5838999999999999</v>
      </c>
      <c r="D170">
        <v>7.7733999999999996</v>
      </c>
      <c r="E170">
        <v>33.3568</v>
      </c>
      <c r="F170">
        <v>84.495800000000003</v>
      </c>
      <c r="G170">
        <v>18.992699999999999</v>
      </c>
      <c r="H170">
        <v>5.2332000000000001</v>
      </c>
      <c r="I170">
        <v>-21.408100000000001</v>
      </c>
      <c r="J170">
        <v>20.629100000000001</v>
      </c>
      <c r="K170">
        <v>21.389700000000001</v>
      </c>
      <c r="L170">
        <v>38.226399999999998</v>
      </c>
      <c r="M170">
        <v>23.420100000000001</v>
      </c>
    </row>
    <row r="171" spans="1:13" x14ac:dyDescent="0.25">
      <c r="A171" t="s">
        <v>64</v>
      </c>
      <c r="B171">
        <v>8.8323</v>
      </c>
      <c r="C171">
        <v>10.5771</v>
      </c>
      <c r="D171">
        <v>2.3359999999999999</v>
      </c>
      <c r="E171">
        <v>7.9505999999999997</v>
      </c>
      <c r="F171">
        <v>15.2317</v>
      </c>
      <c r="G171">
        <v>17.6599</v>
      </c>
      <c r="H171">
        <v>18.595500000000001</v>
      </c>
      <c r="I171">
        <v>24.237100000000002</v>
      </c>
      <c r="J171">
        <v>24.997800000000002</v>
      </c>
      <c r="K171">
        <v>25.992100000000001</v>
      </c>
      <c r="L171">
        <v>30.1785</v>
      </c>
      <c r="M171">
        <v>34.674500000000002</v>
      </c>
    </row>
    <row r="172" spans="1:13" x14ac:dyDescent="0.25">
      <c r="A172" t="s">
        <v>66</v>
      </c>
      <c r="B172" t="s">
        <v>46</v>
      </c>
    </row>
    <row r="173" spans="1:13" x14ac:dyDescent="0.25">
      <c r="A173" t="s">
        <v>68</v>
      </c>
      <c r="B173" t="s">
        <v>46</v>
      </c>
    </row>
    <row r="174" spans="1:13" x14ac:dyDescent="0.25">
      <c r="A174" t="s">
        <v>70</v>
      </c>
      <c r="B174">
        <v>34.2819</v>
      </c>
      <c r="C174">
        <v>37.3232</v>
      </c>
      <c r="D174">
        <v>-1.8353000000000002</v>
      </c>
      <c r="E174">
        <v>13.4255</v>
      </c>
      <c r="F174">
        <v>10.853</v>
      </c>
      <c r="G174">
        <v>29.073699999999999</v>
      </c>
      <c r="H174">
        <v>-41.403700000000001</v>
      </c>
      <c r="I174">
        <v>-12.100300000000001</v>
      </c>
      <c r="J174">
        <v>-29.923500000000001</v>
      </c>
      <c r="K174">
        <v>5.7120999999999995</v>
      </c>
      <c r="L174">
        <v>-26.811800000000002</v>
      </c>
    </row>
    <row r="175" spans="1:13" x14ac:dyDescent="0.25">
      <c r="A175" t="s">
        <v>72</v>
      </c>
      <c r="B175">
        <v>7.1665000000000001</v>
      </c>
      <c r="C175">
        <v>10.0642</v>
      </c>
      <c r="D175">
        <v>16.057500000000001</v>
      </c>
      <c r="E175">
        <v>9.1393000000000004</v>
      </c>
      <c r="F175">
        <v>11.535</v>
      </c>
      <c r="G175">
        <v>1.5813000000000001</v>
      </c>
      <c r="H175">
        <v>15.441599999999999</v>
      </c>
      <c r="I175">
        <v>10.682600000000001</v>
      </c>
      <c r="J175">
        <v>12.049200000000001</v>
      </c>
      <c r="K175">
        <v>70.997600000000006</v>
      </c>
      <c r="L175">
        <v>127.66379999999999</v>
      </c>
      <c r="M175">
        <v>194.92259999999999</v>
      </c>
    </row>
    <row r="176" spans="1:13" x14ac:dyDescent="0.25">
      <c r="A176" t="s">
        <v>74</v>
      </c>
      <c r="B176">
        <v>8.3689999999999998</v>
      </c>
      <c r="C176">
        <v>9.6647999999999996</v>
      </c>
      <c r="H176">
        <v>40.694899999999997</v>
      </c>
      <c r="I176">
        <v>45.986800000000002</v>
      </c>
      <c r="J176">
        <v>21.143899999999999</v>
      </c>
      <c r="K176">
        <v>15.036799999999999</v>
      </c>
      <c r="L176">
        <v>-2.5566</v>
      </c>
      <c r="M176">
        <v>22.433900000000001</v>
      </c>
    </row>
    <row r="177" spans="1:13" x14ac:dyDescent="0.25">
      <c r="A177" t="s">
        <v>76</v>
      </c>
      <c r="B177">
        <v>17.251000000000001</v>
      </c>
      <c r="H177">
        <v>-15.2644</v>
      </c>
      <c r="I177">
        <v>-12.4176</v>
      </c>
      <c r="J177">
        <v>-0.78220000000000001</v>
      </c>
      <c r="K177">
        <v>8.2253000000000007</v>
      </c>
      <c r="L177">
        <v>15.178900000000001</v>
      </c>
      <c r="M177">
        <v>17.253699999999998</v>
      </c>
    </row>
    <row r="178" spans="1:13" x14ac:dyDescent="0.25">
      <c r="A178" t="s">
        <v>78</v>
      </c>
      <c r="B178">
        <v>7.4649999999999999</v>
      </c>
      <c r="C178">
        <v>6.2938999999999998</v>
      </c>
      <c r="D178">
        <v>9.6288999999999998</v>
      </c>
      <c r="E178">
        <v>10.4664</v>
      </c>
      <c r="F178">
        <v>12.7126</v>
      </c>
      <c r="G178">
        <v>14.0214</v>
      </c>
      <c r="H178">
        <v>15.9116</v>
      </c>
      <c r="I178">
        <v>14.783200000000001</v>
      </c>
      <c r="J178">
        <v>11.6418</v>
      </c>
      <c r="K178">
        <v>13.6401</v>
      </c>
      <c r="L178">
        <v>16.332999999999998</v>
      </c>
      <c r="M178">
        <v>32.447699999999998</v>
      </c>
    </row>
    <row r="179" spans="1:13" x14ac:dyDescent="0.25">
      <c r="A179" t="s">
        <v>80</v>
      </c>
      <c r="B179">
        <v>-5.1062000000000003</v>
      </c>
      <c r="C179">
        <v>-11.2028</v>
      </c>
      <c r="D179">
        <v>-26.721</v>
      </c>
      <c r="E179">
        <v>-6.9081000000000001</v>
      </c>
      <c r="F179">
        <v>-2.8113000000000001</v>
      </c>
      <c r="G179">
        <v>5.7735000000000003</v>
      </c>
      <c r="H179">
        <v>9.6705000000000005</v>
      </c>
      <c r="I179">
        <v>13.712300000000001</v>
      </c>
      <c r="J179">
        <v>13.467000000000001</v>
      </c>
      <c r="K179">
        <v>16.8874</v>
      </c>
      <c r="L179">
        <v>18.059699999999999</v>
      </c>
      <c r="M179">
        <v>22.04</v>
      </c>
    </row>
    <row r="180" spans="1:13" x14ac:dyDescent="0.25">
      <c r="A180" t="s">
        <v>82</v>
      </c>
      <c r="B180">
        <v>8.9179999999999993</v>
      </c>
      <c r="C180">
        <v>10.481199999999999</v>
      </c>
      <c r="D180">
        <v>10.185700000000001</v>
      </c>
      <c r="E180">
        <v>10.980399999999999</v>
      </c>
      <c r="F180">
        <v>20.162600000000001</v>
      </c>
      <c r="G180">
        <v>23.6417</v>
      </c>
      <c r="H180">
        <v>28.247900000000001</v>
      </c>
      <c r="I180">
        <v>25.785699999999999</v>
      </c>
      <c r="J180">
        <v>25.552</v>
      </c>
      <c r="K180">
        <v>21.6844</v>
      </c>
      <c r="L180">
        <v>18.339500000000001</v>
      </c>
      <c r="M180">
        <v>20.942599999999999</v>
      </c>
    </row>
    <row r="181" spans="1:13" x14ac:dyDescent="0.25">
      <c r="A181" t="s">
        <v>84</v>
      </c>
      <c r="B181">
        <v>12.9093</v>
      </c>
      <c r="C181">
        <v>11.9892</v>
      </c>
      <c r="D181">
        <v>16.142199999999999</v>
      </c>
      <c r="E181">
        <v>-0.43440000000000001</v>
      </c>
      <c r="F181">
        <v>11.0307</v>
      </c>
      <c r="G181">
        <v>8.3927999999999994</v>
      </c>
      <c r="H181">
        <v>36.157800000000002</v>
      </c>
      <c r="I181">
        <v>20.6599</v>
      </c>
      <c r="J181">
        <v>1.1223000000000001</v>
      </c>
      <c r="K181">
        <v>23.7941</v>
      </c>
      <c r="L181">
        <v>75.822699999999998</v>
      </c>
      <c r="M181">
        <v>54.4651</v>
      </c>
    </row>
    <row r="182" spans="1:13" x14ac:dyDescent="0.25">
      <c r="A182" t="s">
        <v>86</v>
      </c>
      <c r="B182">
        <v>8.3371999999999993</v>
      </c>
      <c r="C182">
        <v>3.3033000000000001</v>
      </c>
      <c r="D182">
        <v>-1.4682999999999999</v>
      </c>
      <c r="E182">
        <v>3.2515999999999998</v>
      </c>
      <c r="F182">
        <v>13.1854</v>
      </c>
      <c r="G182">
        <v>15.6988</v>
      </c>
      <c r="H182">
        <v>13.4681</v>
      </c>
      <c r="I182">
        <v>9.4588000000000001</v>
      </c>
      <c r="J182">
        <v>12.264200000000001</v>
      </c>
      <c r="K182">
        <v>17.005199999999999</v>
      </c>
      <c r="L182">
        <v>15.5146</v>
      </c>
      <c r="M182">
        <v>22.1815</v>
      </c>
    </row>
    <row r="183" spans="1:13" x14ac:dyDescent="0.25">
      <c r="A183" t="s">
        <v>51</v>
      </c>
      <c r="B183">
        <v>30.810300000000002</v>
      </c>
      <c r="C183">
        <v>30.4772</v>
      </c>
      <c r="D183">
        <v>30.002300000000002</v>
      </c>
      <c r="E183">
        <v>29.534800000000001</v>
      </c>
      <c r="F183">
        <v>29.802299999999999</v>
      </c>
      <c r="G183">
        <v>30.382899999999999</v>
      </c>
      <c r="H183">
        <v>30.8748</v>
      </c>
      <c r="I183">
        <v>30.182400000000001</v>
      </c>
      <c r="J183">
        <v>30.661200000000001</v>
      </c>
      <c r="K183">
        <v>31.396599999999999</v>
      </c>
      <c r="L183">
        <v>29.5245</v>
      </c>
      <c r="M183">
        <v>28.385999999999999</v>
      </c>
    </row>
    <row r="184" spans="1:13" x14ac:dyDescent="0.25">
      <c r="A184" t="s">
        <v>56</v>
      </c>
      <c r="B184">
        <v>35.077399999999997</v>
      </c>
      <c r="C184">
        <v>34.7074</v>
      </c>
      <c r="D184">
        <v>35.155000000000001</v>
      </c>
      <c r="E184">
        <v>35.236899999999999</v>
      </c>
      <c r="F184">
        <v>35.516300000000001</v>
      </c>
      <c r="G184">
        <v>35.265799999999999</v>
      </c>
      <c r="H184">
        <v>35.231699999999996</v>
      </c>
      <c r="I184">
        <v>35.770499999999998</v>
      </c>
      <c r="J184">
        <v>34.878999999999998</v>
      </c>
      <c r="K184">
        <v>36.142000000000003</v>
      </c>
      <c r="L184">
        <v>35.910400000000003</v>
      </c>
      <c r="M184">
        <v>35.919400000000003</v>
      </c>
    </row>
    <row r="185" spans="1:13" x14ac:dyDescent="0.25">
      <c r="A185" t="s">
        <v>58</v>
      </c>
      <c r="B185" t="s">
        <v>46</v>
      </c>
    </row>
    <row r="186" spans="1:13" x14ac:dyDescent="0.25">
      <c r="A186" t="s">
        <v>60</v>
      </c>
      <c r="B186">
        <v>27.2637</v>
      </c>
      <c r="C186">
        <v>27.051600000000001</v>
      </c>
      <c r="D186">
        <v>27.018000000000001</v>
      </c>
      <c r="E186">
        <v>26.764499999999998</v>
      </c>
      <c r="F186">
        <v>25.8246</v>
      </c>
      <c r="G186">
        <v>24.713899999999999</v>
      </c>
      <c r="H186">
        <v>24.336099999999998</v>
      </c>
      <c r="I186">
        <v>23.597000000000001</v>
      </c>
      <c r="J186">
        <v>23.398299999999999</v>
      </c>
      <c r="K186">
        <v>23.755299999999998</v>
      </c>
      <c r="L186">
        <v>23.951699999999999</v>
      </c>
      <c r="M186">
        <v>25.625699999999998</v>
      </c>
    </row>
    <row r="187" spans="1:13" x14ac:dyDescent="0.25">
      <c r="A187" t="s">
        <v>62</v>
      </c>
      <c r="B187">
        <v>15.0871</v>
      </c>
      <c r="C187">
        <v>14.817600000000001</v>
      </c>
      <c r="D187">
        <v>14.6371</v>
      </c>
      <c r="E187">
        <v>14.6241</v>
      </c>
      <c r="F187">
        <v>14.2707</v>
      </c>
      <c r="G187">
        <v>13.0471</v>
      </c>
      <c r="H187">
        <v>10.6332</v>
      </c>
      <c r="I187">
        <v>11.4322</v>
      </c>
      <c r="J187">
        <v>12.6181</v>
      </c>
      <c r="K187">
        <v>18.924800000000001</v>
      </c>
      <c r="L187">
        <v>17.117100000000001</v>
      </c>
      <c r="M187">
        <v>11.6553</v>
      </c>
    </row>
    <row r="188" spans="1:13" x14ac:dyDescent="0.25">
      <c r="A188" t="s">
        <v>64</v>
      </c>
      <c r="B188">
        <v>36.638300000000001</v>
      </c>
      <c r="C188">
        <v>38.989100000000001</v>
      </c>
      <c r="D188">
        <v>38.203899999999997</v>
      </c>
      <c r="E188">
        <v>39.882899999999999</v>
      </c>
      <c r="F188">
        <v>40.077300000000001</v>
      </c>
      <c r="G188">
        <v>40.161000000000001</v>
      </c>
      <c r="H188">
        <v>40.4574</v>
      </c>
      <c r="I188">
        <v>41.764699999999998</v>
      </c>
      <c r="J188">
        <v>42.190300000000001</v>
      </c>
      <c r="K188">
        <v>42.196300000000001</v>
      </c>
      <c r="L188">
        <v>43.591500000000003</v>
      </c>
      <c r="M188">
        <v>44.153199999999998</v>
      </c>
    </row>
    <row r="189" spans="1:13" x14ac:dyDescent="0.25">
      <c r="A189" t="s">
        <v>66</v>
      </c>
      <c r="B189">
        <v>21.782</v>
      </c>
      <c r="C189">
        <v>22.454999999999998</v>
      </c>
      <c r="D189">
        <v>21.454699999999999</v>
      </c>
      <c r="E189">
        <v>14.201000000000001</v>
      </c>
      <c r="F189">
        <v>10.2822</v>
      </c>
      <c r="G189">
        <v>16.4024</v>
      </c>
      <c r="H189">
        <v>18.011299999999999</v>
      </c>
    </row>
    <row r="190" spans="1:13" x14ac:dyDescent="0.25">
      <c r="A190" t="s">
        <v>68</v>
      </c>
      <c r="B190">
        <v>23.885200000000001</v>
      </c>
      <c r="C190">
        <v>27.9815</v>
      </c>
      <c r="D190">
        <v>24.9206</v>
      </c>
      <c r="E190">
        <v>21.8398</v>
      </c>
    </row>
    <row r="191" spans="1:13" x14ac:dyDescent="0.25">
      <c r="A191" t="s">
        <v>70</v>
      </c>
      <c r="B191">
        <v>35.120800000000003</v>
      </c>
      <c r="C191">
        <v>35.595399999999998</v>
      </c>
      <c r="D191">
        <v>36.478099999999998</v>
      </c>
      <c r="E191">
        <v>36.456699999999998</v>
      </c>
      <c r="F191">
        <v>37.983199999999997</v>
      </c>
      <c r="G191">
        <v>37.463999999999999</v>
      </c>
      <c r="H191">
        <v>37.373600000000003</v>
      </c>
      <c r="I191">
        <v>37.676000000000002</v>
      </c>
      <c r="J191">
        <v>38.619199999999999</v>
      </c>
      <c r="K191">
        <v>40.255299999999998</v>
      </c>
      <c r="L191">
        <v>41.291499999999999</v>
      </c>
      <c r="M191">
        <v>43.221200000000003</v>
      </c>
    </row>
    <row r="192" spans="1:13" x14ac:dyDescent="0.25">
      <c r="A192" t="s">
        <v>72</v>
      </c>
      <c r="B192">
        <v>34.820099999999996</v>
      </c>
      <c r="C192">
        <v>35.957900000000002</v>
      </c>
      <c r="D192">
        <v>38.564799999999998</v>
      </c>
      <c r="E192">
        <v>39.537599999999998</v>
      </c>
      <c r="F192">
        <v>39.3125</v>
      </c>
      <c r="G192">
        <v>39.5426</v>
      </c>
      <c r="H192">
        <v>38.106299999999997</v>
      </c>
      <c r="I192">
        <v>39.128100000000003</v>
      </c>
      <c r="J192">
        <v>37.210900000000002</v>
      </c>
      <c r="K192">
        <v>37.3673</v>
      </c>
      <c r="L192">
        <v>39.948099999999997</v>
      </c>
      <c r="M192">
        <v>40.506999999999998</v>
      </c>
    </row>
    <row r="193" spans="1:13" x14ac:dyDescent="0.25">
      <c r="A193" t="s">
        <v>74</v>
      </c>
      <c r="B193">
        <v>37.720399999999998</v>
      </c>
      <c r="C193">
        <v>34.965899999999998</v>
      </c>
      <c r="F193">
        <v>34.211100000000002</v>
      </c>
      <c r="H193">
        <v>38.589100000000002</v>
      </c>
    </row>
    <row r="194" spans="1:13" x14ac:dyDescent="0.25">
      <c r="A194" t="s">
        <v>76</v>
      </c>
      <c r="B194" t="s">
        <v>46</v>
      </c>
    </row>
    <row r="195" spans="1:13" x14ac:dyDescent="0.25">
      <c r="A195" t="s">
        <v>78</v>
      </c>
      <c r="B195">
        <v>33.107900000000001</v>
      </c>
      <c r="C195">
        <v>34.844900000000003</v>
      </c>
      <c r="D195">
        <v>36.005800000000001</v>
      </c>
      <c r="E195">
        <v>36.842199999999998</v>
      </c>
      <c r="G195">
        <v>38.327800000000003</v>
      </c>
      <c r="H195">
        <v>35.888500000000001</v>
      </c>
      <c r="I195">
        <v>37.351300000000002</v>
      </c>
      <c r="J195">
        <v>41.281799999999997</v>
      </c>
      <c r="K195">
        <v>45.260199999999998</v>
      </c>
      <c r="L195">
        <v>42.749099999999999</v>
      </c>
      <c r="M195">
        <v>45.765900000000002</v>
      </c>
    </row>
    <row r="196" spans="1:13" x14ac:dyDescent="0.25">
      <c r="A196" t="s">
        <v>80</v>
      </c>
      <c r="B196">
        <v>47.296700000000001</v>
      </c>
      <c r="C196">
        <v>46.407299999999999</v>
      </c>
      <c r="D196">
        <v>46.681199999999997</v>
      </c>
      <c r="E196">
        <v>47.915999999999997</v>
      </c>
      <c r="F196">
        <v>49.771799999999999</v>
      </c>
      <c r="G196">
        <v>50.011299999999999</v>
      </c>
      <c r="H196">
        <v>49.492199999999997</v>
      </c>
      <c r="I196">
        <v>48.954099999999997</v>
      </c>
      <c r="J196">
        <v>46.894800000000004</v>
      </c>
      <c r="K196">
        <v>46.072899999999997</v>
      </c>
      <c r="L196">
        <v>45.724600000000002</v>
      </c>
      <c r="M196">
        <v>44.061599999999999</v>
      </c>
    </row>
    <row r="197" spans="1:13" x14ac:dyDescent="0.25">
      <c r="A197" t="s">
        <v>82</v>
      </c>
      <c r="B197">
        <v>41.177100000000003</v>
      </c>
      <c r="C197">
        <v>41.856999999999999</v>
      </c>
      <c r="D197">
        <v>42.091200000000001</v>
      </c>
      <c r="E197">
        <v>43.299799999999998</v>
      </c>
      <c r="F197">
        <v>43.946399999999997</v>
      </c>
      <c r="G197">
        <v>42.4193</v>
      </c>
      <c r="H197">
        <v>47.36</v>
      </c>
    </row>
    <row r="198" spans="1:13" x14ac:dyDescent="0.25">
      <c r="A198" t="s">
        <v>84</v>
      </c>
      <c r="B198" t="s">
        <v>46</v>
      </c>
    </row>
    <row r="199" spans="1:13" x14ac:dyDescent="0.25">
      <c r="A199" t="s">
        <v>86</v>
      </c>
      <c r="B199">
        <v>28.537800000000001</v>
      </c>
      <c r="C199">
        <v>29.497900000000001</v>
      </c>
      <c r="D199">
        <v>29.235499999999998</v>
      </c>
      <c r="E199">
        <v>28.862200000000001</v>
      </c>
      <c r="F199">
        <v>30.3872</v>
      </c>
      <c r="G199">
        <v>31.575500000000002</v>
      </c>
      <c r="H199">
        <v>31.9574</v>
      </c>
      <c r="I199">
        <v>30.351199999999999</v>
      </c>
      <c r="J199">
        <v>29.249099999999999</v>
      </c>
      <c r="K199">
        <v>31.472100000000001</v>
      </c>
      <c r="L199">
        <v>31.779</v>
      </c>
      <c r="M199">
        <v>30.365200000000002</v>
      </c>
    </row>
    <row r="200" spans="1:13" x14ac:dyDescent="0.25">
      <c r="A200" t="s">
        <v>51</v>
      </c>
      <c r="B200">
        <v>14.59</v>
      </c>
      <c r="C200">
        <v>14.389900000000001</v>
      </c>
      <c r="D200">
        <v>12.6004</v>
      </c>
      <c r="E200">
        <v>13.824</v>
      </c>
      <c r="F200">
        <v>13.477</v>
      </c>
      <c r="G200">
        <v>13.491899999999999</v>
      </c>
      <c r="H200">
        <v>14.274699999999999</v>
      </c>
      <c r="I200">
        <v>13.0014</v>
      </c>
      <c r="J200">
        <v>12.6877</v>
      </c>
      <c r="K200">
        <v>12.621600000000001</v>
      </c>
      <c r="L200">
        <v>11.4102</v>
      </c>
      <c r="M200">
        <v>11.897</v>
      </c>
    </row>
    <row r="201" spans="1:13" x14ac:dyDescent="0.25">
      <c r="A201" t="s">
        <v>56</v>
      </c>
      <c r="B201">
        <v>13.941599999999999</v>
      </c>
      <c r="C201">
        <v>10.775499999999999</v>
      </c>
      <c r="D201">
        <v>13.377599999999999</v>
      </c>
      <c r="E201">
        <v>12.9938</v>
      </c>
      <c r="F201">
        <v>14.160600000000001</v>
      </c>
      <c r="G201">
        <v>13.9085</v>
      </c>
      <c r="H201">
        <v>14.3925</v>
      </c>
      <c r="I201">
        <v>13.6275</v>
      </c>
      <c r="J201">
        <v>12.7249</v>
      </c>
      <c r="K201">
        <v>13.753399999999999</v>
      </c>
      <c r="L201">
        <v>12.8316</v>
      </c>
      <c r="M201">
        <v>13.266299999999999</v>
      </c>
    </row>
    <row r="202" spans="1:13" x14ac:dyDescent="0.25">
      <c r="A202" t="s">
        <v>58</v>
      </c>
      <c r="B202">
        <v>5.7127999999999997</v>
      </c>
      <c r="C202">
        <v>5.9542000000000002</v>
      </c>
      <c r="D202">
        <v>7.2941000000000003</v>
      </c>
      <c r="E202">
        <v>6.8126999999999995</v>
      </c>
      <c r="F202">
        <v>5.5149999999999997</v>
      </c>
      <c r="G202">
        <v>4.8644999999999996</v>
      </c>
      <c r="H202">
        <v>4.8370999999999995</v>
      </c>
      <c r="I202">
        <v>4.3124000000000002</v>
      </c>
      <c r="J202">
        <v>5.1039000000000003</v>
      </c>
      <c r="K202">
        <v>3.9855999999999998</v>
      </c>
      <c r="L202">
        <v>0.61050000000000004</v>
      </c>
      <c r="M202">
        <v>4.4012000000000002</v>
      </c>
    </row>
    <row r="203" spans="1:13" x14ac:dyDescent="0.25">
      <c r="A203" t="s">
        <v>60</v>
      </c>
      <c r="B203">
        <v>10.145099999999999</v>
      </c>
      <c r="C203">
        <v>9.4794</v>
      </c>
      <c r="D203">
        <v>9.4451000000000001</v>
      </c>
      <c r="E203">
        <v>9.1554000000000002</v>
      </c>
      <c r="F203">
        <v>8.5774000000000008</v>
      </c>
      <c r="G203">
        <v>8.0677000000000003</v>
      </c>
      <c r="H203">
        <v>7.1344000000000003</v>
      </c>
      <c r="I203">
        <v>5.9040999999999997</v>
      </c>
      <c r="J203">
        <v>6.1384999999999996</v>
      </c>
      <c r="K203">
        <v>5.6226000000000003</v>
      </c>
      <c r="L203">
        <v>3.9779999999999998</v>
      </c>
      <c r="M203">
        <v>8.5419</v>
      </c>
    </row>
    <row r="204" spans="1:13" x14ac:dyDescent="0.25">
      <c r="A204" t="s">
        <v>62</v>
      </c>
      <c r="B204">
        <v>14.447800000000001</v>
      </c>
      <c r="C204">
        <v>13.619400000000001</v>
      </c>
      <c r="D204">
        <v>13.7249</v>
      </c>
      <c r="E204">
        <v>14.351699999999999</v>
      </c>
      <c r="F204">
        <v>13.9217</v>
      </c>
      <c r="G204">
        <v>11.834300000000001</v>
      </c>
      <c r="H204">
        <v>7.2771999999999997</v>
      </c>
      <c r="I204">
        <v>6.0895999999999999</v>
      </c>
      <c r="J204">
        <v>12.5311</v>
      </c>
      <c r="K204">
        <v>13.144600000000001</v>
      </c>
      <c r="L204">
        <v>11.9993</v>
      </c>
      <c r="M204">
        <v>11.6553</v>
      </c>
    </row>
    <row r="205" spans="1:13" x14ac:dyDescent="0.25">
      <c r="A205" t="s">
        <v>64</v>
      </c>
      <c r="B205">
        <v>14.616</v>
      </c>
      <c r="C205">
        <v>17.3705</v>
      </c>
      <c r="D205">
        <v>16.752199999999998</v>
      </c>
      <c r="E205">
        <v>16.971900000000002</v>
      </c>
      <c r="F205">
        <v>17.251899999999999</v>
      </c>
      <c r="G205">
        <v>18.366499999999998</v>
      </c>
      <c r="H205">
        <v>18.974</v>
      </c>
      <c r="I205">
        <v>18.532699999999998</v>
      </c>
      <c r="J205">
        <v>18.566199999999998</v>
      </c>
      <c r="K205">
        <v>18.766999999999999</v>
      </c>
      <c r="L205">
        <v>18.864100000000001</v>
      </c>
      <c r="M205">
        <v>18.345700000000001</v>
      </c>
    </row>
    <row r="206" spans="1:13" x14ac:dyDescent="0.25">
      <c r="A206" t="s">
        <v>66</v>
      </c>
      <c r="B206">
        <v>-45.3996</v>
      </c>
      <c r="C206">
        <v>-5.1547999999999998</v>
      </c>
      <c r="D206">
        <v>1.8931</v>
      </c>
      <c r="E206">
        <v>-18.242799999999999</v>
      </c>
      <c r="F206">
        <v>-7.13</v>
      </c>
      <c r="G206">
        <v>2.335</v>
      </c>
      <c r="H206">
        <v>4.0704000000000002</v>
      </c>
    </row>
    <row r="207" spans="1:13" x14ac:dyDescent="0.25">
      <c r="A207" t="s">
        <v>68</v>
      </c>
      <c r="B207">
        <v>-29.268999999999998</v>
      </c>
      <c r="C207">
        <v>8.2927999999999997</v>
      </c>
      <c r="D207">
        <v>7.0629999999999997</v>
      </c>
      <c r="E207">
        <v>-0.37019999999999997</v>
      </c>
    </row>
    <row r="208" spans="1:13" x14ac:dyDescent="0.25">
      <c r="A208" t="s">
        <v>70</v>
      </c>
      <c r="B208">
        <v>13.202999999999999</v>
      </c>
      <c r="C208">
        <v>13.335599999999999</v>
      </c>
      <c r="D208">
        <v>11.9236</v>
      </c>
      <c r="E208">
        <v>11.5242</v>
      </c>
      <c r="F208">
        <v>11.5921</v>
      </c>
      <c r="G208">
        <v>11.8055</v>
      </c>
      <c r="H208">
        <v>13.7796</v>
      </c>
      <c r="I208">
        <v>15.2158</v>
      </c>
      <c r="J208">
        <v>16.4435</v>
      </c>
      <c r="K208">
        <v>14.782</v>
      </c>
      <c r="L208">
        <v>10.659000000000001</v>
      </c>
      <c r="M208">
        <v>6.3654999999999999</v>
      </c>
    </row>
    <row r="209" spans="1:13" x14ac:dyDescent="0.25">
      <c r="A209" t="s">
        <v>72</v>
      </c>
      <c r="B209">
        <v>12.196300000000001</v>
      </c>
      <c r="C209">
        <v>11.602</v>
      </c>
      <c r="D209">
        <v>12.103999999999999</v>
      </c>
      <c r="E209">
        <v>13.272600000000001</v>
      </c>
      <c r="F209">
        <v>13.5793</v>
      </c>
      <c r="G209">
        <v>12.8993</v>
      </c>
      <c r="H209">
        <v>14.5182</v>
      </c>
      <c r="I209">
        <v>13.8985</v>
      </c>
      <c r="J209">
        <v>13.5116</v>
      </c>
      <c r="K209">
        <v>14.127800000000001</v>
      </c>
      <c r="L209">
        <v>14.4794</v>
      </c>
      <c r="M209">
        <v>12.8466</v>
      </c>
    </row>
    <row r="210" spans="1:13" x14ac:dyDescent="0.25">
      <c r="A210" t="s">
        <v>74</v>
      </c>
      <c r="B210">
        <v>19.581299999999999</v>
      </c>
      <c r="C210">
        <v>19.4986</v>
      </c>
      <c r="D210">
        <v>19.504000000000001</v>
      </c>
      <c r="E210">
        <v>20.090199999999999</v>
      </c>
      <c r="F210">
        <v>20.062899999999999</v>
      </c>
      <c r="H210">
        <v>24.101600000000001</v>
      </c>
      <c r="I210">
        <v>19.641100000000002</v>
      </c>
      <c r="J210">
        <v>15.268700000000001</v>
      </c>
      <c r="K210">
        <v>12.761100000000001</v>
      </c>
      <c r="L210">
        <v>12.544599999999999</v>
      </c>
      <c r="M210">
        <v>16.551600000000001</v>
      </c>
    </row>
    <row r="211" spans="1:13" x14ac:dyDescent="0.25">
      <c r="A211" t="s">
        <v>76</v>
      </c>
      <c r="B211">
        <v>6.8983999999999996</v>
      </c>
      <c r="C211">
        <v>6.4226000000000001</v>
      </c>
      <c r="D211">
        <v>6.4969999999999999</v>
      </c>
      <c r="E211">
        <v>5.9623999999999997</v>
      </c>
      <c r="F211">
        <v>-22.504200000000001</v>
      </c>
      <c r="G211">
        <v>-1.4457</v>
      </c>
      <c r="H211">
        <v>6.8044000000000002</v>
      </c>
      <c r="I211">
        <v>7.3856000000000002</v>
      </c>
      <c r="J211">
        <v>9.9602000000000004</v>
      </c>
      <c r="K211">
        <v>9.8518000000000008</v>
      </c>
      <c r="L211">
        <v>11.356</v>
      </c>
      <c r="M211">
        <v>11.4048</v>
      </c>
    </row>
    <row r="212" spans="1:13" x14ac:dyDescent="0.25">
      <c r="A212" t="s">
        <v>78</v>
      </c>
      <c r="B212">
        <v>21.339099999999998</v>
      </c>
      <c r="C212">
        <v>22.836400000000001</v>
      </c>
      <c r="D212">
        <v>24.315799999999999</v>
      </c>
      <c r="E212">
        <v>24.678799999999999</v>
      </c>
      <c r="F212">
        <v>25.015599999999999</v>
      </c>
      <c r="G212">
        <v>25.051100000000002</v>
      </c>
      <c r="H212">
        <v>23.5593</v>
      </c>
      <c r="I212">
        <v>25.2057</v>
      </c>
      <c r="J212">
        <v>28.834399999999999</v>
      </c>
      <c r="K212">
        <v>29.351700000000001</v>
      </c>
      <c r="L212">
        <v>30.252400000000002</v>
      </c>
      <c r="M212">
        <v>31.683</v>
      </c>
    </row>
    <row r="213" spans="1:13" x14ac:dyDescent="0.25">
      <c r="A213" t="s">
        <v>80</v>
      </c>
      <c r="B213">
        <v>12.8262</v>
      </c>
      <c r="C213">
        <v>15.3171</v>
      </c>
      <c r="D213">
        <v>14.75</v>
      </c>
      <c r="E213">
        <v>14.356999999999999</v>
      </c>
      <c r="F213">
        <v>18.359200000000001</v>
      </c>
      <c r="G213">
        <v>19.171700000000001</v>
      </c>
      <c r="H213">
        <v>19.813600000000001</v>
      </c>
      <c r="I213">
        <v>20.492999999999999</v>
      </c>
      <c r="J213">
        <v>18.973800000000001</v>
      </c>
      <c r="K213">
        <v>18.1736</v>
      </c>
      <c r="L213">
        <v>17.7667</v>
      </c>
      <c r="M213">
        <v>15.3797</v>
      </c>
    </row>
    <row r="214" spans="1:13" x14ac:dyDescent="0.25">
      <c r="A214" t="s">
        <v>82</v>
      </c>
      <c r="B214">
        <v>24.581199999999999</v>
      </c>
      <c r="C214">
        <v>25.569600000000001</v>
      </c>
      <c r="D214">
        <v>24.7774</v>
      </c>
      <c r="E214">
        <v>25.7057</v>
      </c>
      <c r="F214">
        <v>26.498899999999999</v>
      </c>
      <c r="G214">
        <v>24.0854</v>
      </c>
      <c r="H214">
        <v>29.101800000000001</v>
      </c>
      <c r="I214">
        <v>26.9251</v>
      </c>
      <c r="J214">
        <v>27.6464</v>
      </c>
      <c r="K214">
        <v>27.979199999999999</v>
      </c>
      <c r="L214">
        <v>26.7531</v>
      </c>
      <c r="M214">
        <v>23.750599999999999</v>
      </c>
    </row>
    <row r="215" spans="1:13" x14ac:dyDescent="0.25">
      <c r="A215" t="s">
        <v>84</v>
      </c>
      <c r="B215">
        <v>11.0199</v>
      </c>
      <c r="C215">
        <v>14.989599999999999</v>
      </c>
      <c r="D215">
        <v>11.778499999999999</v>
      </c>
      <c r="E215">
        <v>11.002800000000001</v>
      </c>
      <c r="F215">
        <v>13.2546</v>
      </c>
      <c r="G215">
        <v>15.6556</v>
      </c>
      <c r="H215">
        <v>19.444099999999999</v>
      </c>
      <c r="I215">
        <v>17.811499999999999</v>
      </c>
      <c r="J215">
        <v>13.8095</v>
      </c>
      <c r="K215">
        <v>16.727</v>
      </c>
      <c r="L215">
        <v>21.5916</v>
      </c>
      <c r="M215">
        <v>26.2683</v>
      </c>
    </row>
    <row r="216" spans="1:13" x14ac:dyDescent="0.25">
      <c r="A216" t="s">
        <v>86</v>
      </c>
      <c r="B216">
        <v>16.806899999999999</v>
      </c>
      <c r="C216">
        <v>16.505199999999999</v>
      </c>
      <c r="D216">
        <v>15.1974</v>
      </c>
      <c r="E216">
        <v>16.2776</v>
      </c>
      <c r="F216">
        <v>18.147100000000002</v>
      </c>
      <c r="G216">
        <v>19.547899999999998</v>
      </c>
      <c r="H216">
        <v>19.802199999999999</v>
      </c>
      <c r="I216">
        <v>17.994599999999998</v>
      </c>
      <c r="J216">
        <v>16.3279</v>
      </c>
      <c r="K216">
        <v>18.4268</v>
      </c>
      <c r="L216">
        <v>19.090599999999998</v>
      </c>
      <c r="M216">
        <v>17.500299999999999</v>
      </c>
    </row>
    <row r="217" spans="1:13" x14ac:dyDescent="0.25">
      <c r="A217" t="s">
        <v>51</v>
      </c>
      <c r="B217">
        <v>16.655899999999999</v>
      </c>
      <c r="C217">
        <v>16.650700000000001</v>
      </c>
      <c r="D217">
        <v>14.7813</v>
      </c>
      <c r="E217">
        <v>15.9192</v>
      </c>
      <c r="F217">
        <v>15.439399999999999</v>
      </c>
      <c r="G217">
        <v>15.439399999999999</v>
      </c>
      <c r="H217">
        <v>16.2258</v>
      </c>
      <c r="I217">
        <v>14.9946</v>
      </c>
      <c r="J217">
        <v>14.5641</v>
      </c>
      <c r="K217">
        <v>14.677099999999999</v>
      </c>
      <c r="L217">
        <v>13.561999999999999</v>
      </c>
      <c r="M217">
        <v>13.8383</v>
      </c>
    </row>
    <row r="218" spans="1:13" x14ac:dyDescent="0.25">
      <c r="A218" t="s">
        <v>56</v>
      </c>
      <c r="B218">
        <v>18.976800000000001</v>
      </c>
      <c r="C218">
        <v>16.089500000000001</v>
      </c>
      <c r="D218">
        <v>18.9343</v>
      </c>
      <c r="E218">
        <v>18.689900000000002</v>
      </c>
      <c r="F218">
        <v>18.957999999999998</v>
      </c>
      <c r="G218">
        <v>18.476099999999999</v>
      </c>
      <c r="H218">
        <v>18.600000000000001</v>
      </c>
      <c r="I218">
        <v>18.543399999999998</v>
      </c>
      <c r="J218">
        <v>18.4358</v>
      </c>
      <c r="K218">
        <v>20.319299999999998</v>
      </c>
      <c r="L218">
        <v>19.752600000000001</v>
      </c>
      <c r="M218">
        <v>19.367799999999999</v>
      </c>
    </row>
    <row r="219" spans="1:13" x14ac:dyDescent="0.25">
      <c r="A219" t="s">
        <v>58</v>
      </c>
      <c r="B219">
        <v>12.849500000000001</v>
      </c>
      <c r="C219">
        <v>10.114599999999999</v>
      </c>
      <c r="D219">
        <v>11.9373</v>
      </c>
      <c r="E219">
        <v>11.099299999999999</v>
      </c>
      <c r="F219">
        <v>9.9835999999999991</v>
      </c>
      <c r="G219">
        <v>8.8827999999999996</v>
      </c>
      <c r="H219">
        <v>9.1715999999999998</v>
      </c>
      <c r="I219">
        <v>8.6971000000000007</v>
      </c>
      <c r="J219">
        <v>9.4899000000000004</v>
      </c>
      <c r="K219">
        <v>8.2420000000000009</v>
      </c>
      <c r="L219">
        <v>4.9405000000000001</v>
      </c>
      <c r="M219">
        <v>8.6920999999999999</v>
      </c>
    </row>
    <row r="220" spans="1:13" x14ac:dyDescent="0.25">
      <c r="A220" t="s">
        <v>60</v>
      </c>
      <c r="B220">
        <v>14.003500000000001</v>
      </c>
      <c r="C220">
        <v>11.767799999999999</v>
      </c>
      <c r="D220">
        <v>11.8483</v>
      </c>
      <c r="E220">
        <v>11.54</v>
      </c>
      <c r="F220">
        <v>10.793100000000001</v>
      </c>
      <c r="G220">
        <v>9.9971999999999994</v>
      </c>
      <c r="H220">
        <v>9.1953999999999994</v>
      </c>
      <c r="I220">
        <v>8.1255000000000006</v>
      </c>
      <c r="J220">
        <v>8.0779999999999994</v>
      </c>
      <c r="K220">
        <v>7.6463000000000001</v>
      </c>
      <c r="L220">
        <v>5.9371999999999998</v>
      </c>
      <c r="M220">
        <v>11.2629</v>
      </c>
    </row>
    <row r="221" spans="1:13" x14ac:dyDescent="0.25">
      <c r="A221" t="s">
        <v>62</v>
      </c>
      <c r="B221">
        <v>17.687000000000001</v>
      </c>
      <c r="C221">
        <v>17.032</v>
      </c>
      <c r="D221">
        <v>17.202999999999999</v>
      </c>
      <c r="E221">
        <v>18.096499999999999</v>
      </c>
      <c r="F221">
        <v>18.043800000000001</v>
      </c>
      <c r="G221">
        <v>16.065200000000001</v>
      </c>
      <c r="H221">
        <v>11.6</v>
      </c>
      <c r="I221">
        <v>10.9382</v>
      </c>
      <c r="J221">
        <v>17.818899999999999</v>
      </c>
      <c r="K221">
        <v>19.032399999999999</v>
      </c>
      <c r="L221">
        <v>17.700700000000001</v>
      </c>
      <c r="M221">
        <v>16.677700000000002</v>
      </c>
    </row>
    <row r="222" spans="1:13" x14ac:dyDescent="0.25">
      <c r="A222" t="s">
        <v>64</v>
      </c>
      <c r="B222">
        <v>19.215900000000001</v>
      </c>
      <c r="C222">
        <v>20.4589</v>
      </c>
      <c r="D222">
        <v>19.743400000000001</v>
      </c>
      <c r="E222">
        <v>19.782</v>
      </c>
      <c r="F222">
        <v>19.909800000000001</v>
      </c>
      <c r="G222">
        <v>20.394200000000001</v>
      </c>
      <c r="H222">
        <v>21.008700000000001</v>
      </c>
      <c r="I222">
        <v>20.664100000000001</v>
      </c>
      <c r="J222">
        <v>20.594899999999999</v>
      </c>
      <c r="K222">
        <v>21.166</v>
      </c>
      <c r="L222">
        <v>21.5899</v>
      </c>
      <c r="M222">
        <v>21.0015</v>
      </c>
    </row>
    <row r="223" spans="1:13" x14ac:dyDescent="0.25">
      <c r="A223" t="s">
        <v>66</v>
      </c>
      <c r="B223">
        <v>-35.280900000000003</v>
      </c>
      <c r="C223">
        <v>3.3746999999999998</v>
      </c>
      <c r="D223">
        <v>10.1129</v>
      </c>
      <c r="E223">
        <v>-8.6767000000000003</v>
      </c>
      <c r="F223">
        <v>1.8763000000000001</v>
      </c>
      <c r="G223">
        <v>13.6783</v>
      </c>
      <c r="H223">
        <v>14.740500000000001</v>
      </c>
    </row>
    <row r="224" spans="1:13" x14ac:dyDescent="0.25">
      <c r="A224" t="s">
        <v>68</v>
      </c>
      <c r="B224">
        <v>-15.9217</v>
      </c>
      <c r="C224">
        <v>18.040800000000001</v>
      </c>
      <c r="D224">
        <v>16.329999999999998</v>
      </c>
      <c r="E224">
        <v>8.0018999999999991</v>
      </c>
    </row>
    <row r="225" spans="1:13" x14ac:dyDescent="0.25">
      <c r="A225" t="s">
        <v>70</v>
      </c>
      <c r="B225">
        <v>17.913799999999998</v>
      </c>
      <c r="C225">
        <v>15.3238</v>
      </c>
      <c r="D225">
        <v>13.892799999999999</v>
      </c>
      <c r="E225">
        <v>13.540100000000001</v>
      </c>
      <c r="F225">
        <v>13.494999999999999</v>
      </c>
      <c r="G225">
        <v>14.2003</v>
      </c>
      <c r="H225">
        <v>16.503399999999999</v>
      </c>
      <c r="I225">
        <v>17.724299999999999</v>
      </c>
      <c r="J225">
        <v>18.6968</v>
      </c>
      <c r="K225">
        <v>17.5959</v>
      </c>
      <c r="L225">
        <v>14.405900000000001</v>
      </c>
      <c r="M225">
        <v>9.4091000000000005</v>
      </c>
    </row>
    <row r="226" spans="1:13" x14ac:dyDescent="0.25">
      <c r="A226" t="s">
        <v>72</v>
      </c>
      <c r="B226">
        <v>17.966699999999999</v>
      </c>
      <c r="C226">
        <v>15.058400000000001</v>
      </c>
      <c r="D226">
        <v>15.571999999999999</v>
      </c>
      <c r="E226">
        <v>16.452000000000002</v>
      </c>
      <c r="F226">
        <v>16.9437</v>
      </c>
      <c r="G226">
        <v>16.3917</v>
      </c>
      <c r="H226">
        <v>18.104500000000002</v>
      </c>
      <c r="I226">
        <v>18.072800000000001</v>
      </c>
      <c r="J226">
        <v>18.415800000000001</v>
      </c>
      <c r="K226">
        <v>20.0181</v>
      </c>
      <c r="L226">
        <v>21.585000000000001</v>
      </c>
      <c r="M226">
        <v>21.6919</v>
      </c>
    </row>
    <row r="227" spans="1:13" x14ac:dyDescent="0.25">
      <c r="A227" t="s">
        <v>74</v>
      </c>
      <c r="B227">
        <v>23.599</v>
      </c>
      <c r="C227">
        <v>23.051500000000001</v>
      </c>
      <c r="D227">
        <v>22.238900000000001</v>
      </c>
      <c r="E227">
        <v>21.8309</v>
      </c>
      <c r="F227">
        <v>21.453299999999999</v>
      </c>
      <c r="H227">
        <v>26.327500000000001</v>
      </c>
      <c r="I227">
        <v>22.130299999999998</v>
      </c>
      <c r="J227">
        <v>17.9054</v>
      </c>
      <c r="K227">
        <v>15.683400000000001</v>
      </c>
      <c r="L227">
        <v>15.989699999999999</v>
      </c>
      <c r="M227">
        <v>20.222100000000001</v>
      </c>
    </row>
    <row r="228" spans="1:13" x14ac:dyDescent="0.25">
      <c r="A228" t="s">
        <v>76</v>
      </c>
      <c r="B228">
        <v>10.806900000000001</v>
      </c>
      <c r="C228">
        <v>9.4414999999999996</v>
      </c>
      <c r="D228">
        <v>8.8424999999999994</v>
      </c>
      <c r="E228">
        <v>8.4662000000000006</v>
      </c>
      <c r="F228">
        <v>-19.505400000000002</v>
      </c>
      <c r="G228">
        <v>0.74060000000000004</v>
      </c>
      <c r="H228">
        <v>8.5859000000000005</v>
      </c>
      <c r="I228">
        <v>8.5641999999999996</v>
      </c>
      <c r="J228">
        <v>11.9992</v>
      </c>
      <c r="K228">
        <v>12.0025</v>
      </c>
      <c r="L228">
        <v>13.3513</v>
      </c>
      <c r="M228">
        <v>12.990600000000001</v>
      </c>
    </row>
    <row r="229" spans="1:13" x14ac:dyDescent="0.25">
      <c r="A229" t="s">
        <v>78</v>
      </c>
      <c r="B229">
        <v>24.525600000000001</v>
      </c>
      <c r="C229">
        <v>25.268799999999999</v>
      </c>
      <c r="D229">
        <v>26.9575</v>
      </c>
      <c r="E229">
        <v>27.165500000000002</v>
      </c>
      <c r="F229">
        <v>27.3522</v>
      </c>
      <c r="G229">
        <v>27.056000000000001</v>
      </c>
      <c r="H229">
        <v>26.3</v>
      </c>
      <c r="I229">
        <v>28.003599999999999</v>
      </c>
      <c r="J229">
        <v>31.611999999999998</v>
      </c>
      <c r="K229">
        <v>32.457000000000001</v>
      </c>
      <c r="L229">
        <v>34.394500000000001</v>
      </c>
      <c r="M229">
        <v>35.191099999999999</v>
      </c>
    </row>
    <row r="230" spans="1:13" x14ac:dyDescent="0.25">
      <c r="A230" t="s">
        <v>80</v>
      </c>
      <c r="B230">
        <v>22.781199999999998</v>
      </c>
      <c r="C230">
        <v>20.945799999999998</v>
      </c>
      <c r="D230">
        <v>20.488</v>
      </c>
      <c r="E230">
        <v>19.838799999999999</v>
      </c>
      <c r="F230">
        <v>23.075299999999999</v>
      </c>
      <c r="G230">
        <v>24.012599999999999</v>
      </c>
      <c r="H230">
        <v>24.569199999999999</v>
      </c>
      <c r="I230">
        <v>25.038399999999999</v>
      </c>
      <c r="J230">
        <v>23.4773</v>
      </c>
      <c r="K230">
        <v>23.009899999999998</v>
      </c>
      <c r="L230">
        <v>22.9819</v>
      </c>
      <c r="M230">
        <v>20.6388</v>
      </c>
    </row>
    <row r="231" spans="1:13" x14ac:dyDescent="0.25">
      <c r="A231" t="s">
        <v>82</v>
      </c>
      <c r="B231">
        <v>26.829699999999999</v>
      </c>
      <c r="C231">
        <v>26.973400000000002</v>
      </c>
      <c r="D231">
        <v>26.413399999999999</v>
      </c>
      <c r="E231">
        <v>27.3901</v>
      </c>
      <c r="F231">
        <v>28.236699999999999</v>
      </c>
      <c r="G231">
        <v>26.061</v>
      </c>
      <c r="H231">
        <v>30.720500000000001</v>
      </c>
      <c r="I231">
        <v>28.639600000000002</v>
      </c>
      <c r="J231">
        <v>29.523800000000001</v>
      </c>
      <c r="K231">
        <v>29.949100000000001</v>
      </c>
      <c r="L231">
        <v>28.953900000000001</v>
      </c>
      <c r="M231">
        <v>25.778700000000001</v>
      </c>
    </row>
    <row r="232" spans="1:13" x14ac:dyDescent="0.25">
      <c r="A232" t="s">
        <v>84</v>
      </c>
      <c r="B232">
        <v>14.9415</v>
      </c>
      <c r="C232">
        <v>18.239799999999999</v>
      </c>
      <c r="D232">
        <v>15.304399999999999</v>
      </c>
      <c r="E232">
        <v>14.3592</v>
      </c>
      <c r="F232">
        <v>16.119</v>
      </c>
      <c r="G232">
        <v>18.3584</v>
      </c>
      <c r="H232">
        <v>22.217099999999999</v>
      </c>
      <c r="I232">
        <v>20.721399999999999</v>
      </c>
      <c r="J232">
        <v>16.747700000000002</v>
      </c>
      <c r="K232">
        <v>19.518699999999999</v>
      </c>
      <c r="L232">
        <v>24.486499999999999</v>
      </c>
      <c r="M232">
        <v>28.725300000000001</v>
      </c>
    </row>
    <row r="233" spans="1:13" x14ac:dyDescent="0.25">
      <c r="A233" t="s">
        <v>86</v>
      </c>
      <c r="B233">
        <v>20.2256</v>
      </c>
      <c r="C233">
        <v>19.8293</v>
      </c>
      <c r="D233">
        <v>19.074200000000001</v>
      </c>
      <c r="E233">
        <v>20.4758</v>
      </c>
      <c r="F233">
        <v>21.067399999999999</v>
      </c>
      <c r="G233">
        <v>22.2788</v>
      </c>
      <c r="H233">
        <v>22.3596</v>
      </c>
      <c r="I233">
        <v>20.889700000000001</v>
      </c>
      <c r="J233">
        <v>19.050899999999999</v>
      </c>
      <c r="K233">
        <v>21.070900000000002</v>
      </c>
      <c r="L233">
        <v>21.862400000000001</v>
      </c>
      <c r="M233">
        <v>20.171199999999999</v>
      </c>
    </row>
    <row r="234" spans="1:13" x14ac:dyDescent="0.25">
      <c r="A234" t="s">
        <v>51</v>
      </c>
      <c r="B234">
        <v>22.482399999999998</v>
      </c>
      <c r="C234">
        <v>27.4358</v>
      </c>
      <c r="D234">
        <v>21.254200000000001</v>
      </c>
      <c r="E234">
        <v>22.378</v>
      </c>
      <c r="F234">
        <v>25.773299999999999</v>
      </c>
      <c r="G234">
        <v>26.100999999999999</v>
      </c>
      <c r="H234">
        <v>18.0853</v>
      </c>
      <c r="I234">
        <v>27.6433</v>
      </c>
      <c r="J234">
        <v>27.3</v>
      </c>
      <c r="K234">
        <v>29.3</v>
      </c>
      <c r="L234">
        <v>27.62</v>
      </c>
      <c r="M234">
        <v>29.3</v>
      </c>
    </row>
    <row r="235" spans="1:13" x14ac:dyDescent="0.25">
      <c r="A235" t="s">
        <v>56</v>
      </c>
      <c r="B235">
        <v>15.573700000000001</v>
      </c>
      <c r="C235">
        <v>15.9285</v>
      </c>
      <c r="D235">
        <v>14.834099999999999</v>
      </c>
      <c r="E235">
        <v>15.549300000000001</v>
      </c>
      <c r="F235">
        <v>13.097099999999999</v>
      </c>
      <c r="G235">
        <v>13.7735</v>
      </c>
      <c r="H235">
        <v>13.2578</v>
      </c>
      <c r="I235">
        <v>11.3591</v>
      </c>
      <c r="J235">
        <v>12.3935</v>
      </c>
      <c r="K235">
        <v>10.742900000000001</v>
      </c>
      <c r="L235">
        <v>10.9184</v>
      </c>
      <c r="M235">
        <v>9.2552000000000003</v>
      </c>
    </row>
    <row r="236" spans="1:13" x14ac:dyDescent="0.25">
      <c r="A236" t="s">
        <v>58</v>
      </c>
      <c r="B236">
        <v>18.061699999999998</v>
      </c>
      <c r="C236">
        <v>0.1764</v>
      </c>
      <c r="D236">
        <v>18.327200000000001</v>
      </c>
      <c r="E236">
        <v>18.310199999999998</v>
      </c>
      <c r="F236">
        <v>20.1617</v>
      </c>
      <c r="G236">
        <v>26.781600000000001</v>
      </c>
      <c r="H236">
        <v>27.090399999999999</v>
      </c>
      <c r="I236">
        <v>31.2197</v>
      </c>
      <c r="J236">
        <v>41.402500000000003</v>
      </c>
      <c r="K236">
        <v>32.840899999999998</v>
      </c>
      <c r="M236">
        <v>62.064500000000002</v>
      </c>
    </row>
    <row r="237" spans="1:13" x14ac:dyDescent="0.25">
      <c r="A237" t="s">
        <v>60</v>
      </c>
      <c r="B237">
        <v>37.075299999999999</v>
      </c>
      <c r="C237">
        <v>38.172499999999999</v>
      </c>
      <c r="D237">
        <v>27.2727</v>
      </c>
      <c r="E237">
        <v>9.3811999999999998</v>
      </c>
      <c r="G237">
        <v>26.819900000000001</v>
      </c>
      <c r="H237">
        <v>29.4498</v>
      </c>
      <c r="I237">
        <v>28.183700000000002</v>
      </c>
      <c r="J237">
        <v>20.612200000000001</v>
      </c>
      <c r="K237">
        <v>30.845800000000001</v>
      </c>
      <c r="L237">
        <v>25.523</v>
      </c>
      <c r="M237">
        <v>20.458600000000001</v>
      </c>
    </row>
    <row r="238" spans="1:13" x14ac:dyDescent="0.25">
      <c r="A238" t="s">
        <v>62</v>
      </c>
      <c r="B238">
        <v>24.6723</v>
      </c>
      <c r="C238">
        <v>23.3948</v>
      </c>
      <c r="D238">
        <v>26.9908</v>
      </c>
      <c r="E238">
        <v>26.436699999999998</v>
      </c>
      <c r="F238">
        <v>26.4192</v>
      </c>
      <c r="G238">
        <v>23.959900000000001</v>
      </c>
      <c r="H238">
        <v>27.3735</v>
      </c>
      <c r="I238">
        <v>49.974899999999998</v>
      </c>
      <c r="J238">
        <v>18.5365</v>
      </c>
      <c r="K238">
        <v>24.0656</v>
      </c>
      <c r="L238">
        <v>28.387499999999999</v>
      </c>
      <c r="M238">
        <v>24.447900000000001</v>
      </c>
    </row>
    <row r="239" spans="1:13" x14ac:dyDescent="0.25">
      <c r="A239" t="s">
        <v>64</v>
      </c>
      <c r="B239">
        <v>25.2851</v>
      </c>
      <c r="C239">
        <v>24.955300000000001</v>
      </c>
      <c r="D239">
        <v>43.427500000000002</v>
      </c>
      <c r="E239">
        <v>34.153599999999997</v>
      </c>
      <c r="F239">
        <v>24.953800000000001</v>
      </c>
      <c r="G239">
        <v>25.192299999999999</v>
      </c>
      <c r="H239">
        <v>27.2134</v>
      </c>
      <c r="I239">
        <v>24.238499999999998</v>
      </c>
      <c r="J239">
        <v>24.4221</v>
      </c>
      <c r="K239">
        <v>16.508500000000002</v>
      </c>
      <c r="L239">
        <v>16.011900000000001</v>
      </c>
      <c r="M239">
        <v>16.3749</v>
      </c>
    </row>
    <row r="240" spans="1:13" x14ac:dyDescent="0.25">
      <c r="A240" t="s">
        <v>66</v>
      </c>
      <c r="B240" t="s">
        <v>46</v>
      </c>
      <c r="H240">
        <v>34.782600000000002</v>
      </c>
    </row>
    <row r="241" spans="1:13" x14ac:dyDescent="0.25">
      <c r="A241" t="s">
        <v>68</v>
      </c>
      <c r="B241" t="s">
        <v>46</v>
      </c>
      <c r="C241">
        <v>19.009899999999998</v>
      </c>
    </row>
    <row r="242" spans="1:13" x14ac:dyDescent="0.25">
      <c r="A242" t="s">
        <v>70</v>
      </c>
      <c r="B242">
        <v>12.843299999999999</v>
      </c>
      <c r="C242">
        <v>3.8102999999999998</v>
      </c>
      <c r="D242">
        <v>58.257100000000001</v>
      </c>
      <c r="E242">
        <v>21.5078</v>
      </c>
      <c r="F242">
        <v>20.377099999999999</v>
      </c>
      <c r="G242">
        <v>19.909600000000001</v>
      </c>
      <c r="H242">
        <v>19.2471</v>
      </c>
      <c r="I242">
        <v>17.276800000000001</v>
      </c>
      <c r="J242">
        <v>15.9854</v>
      </c>
      <c r="K242">
        <v>8.9628999999999994</v>
      </c>
      <c r="L242">
        <v>6.1012000000000004</v>
      </c>
      <c r="M242">
        <v>47.748699999999999</v>
      </c>
    </row>
    <row r="243" spans="1:13" x14ac:dyDescent="0.25">
      <c r="A243" t="s">
        <v>72</v>
      </c>
      <c r="B243">
        <v>23.668500000000002</v>
      </c>
      <c r="C243">
        <v>22.308900000000001</v>
      </c>
      <c r="D243">
        <v>18.635400000000001</v>
      </c>
      <c r="E243">
        <v>18.837800000000001</v>
      </c>
      <c r="F243">
        <v>20.525700000000001</v>
      </c>
      <c r="G243">
        <v>23.005299999999998</v>
      </c>
      <c r="H243">
        <v>23.223800000000001</v>
      </c>
      <c r="I243">
        <v>29.816099999999999</v>
      </c>
      <c r="J243">
        <v>26.9956</v>
      </c>
      <c r="K243">
        <v>18.6663</v>
      </c>
      <c r="L243">
        <v>15.8742</v>
      </c>
      <c r="M243">
        <v>6.1516999999999999</v>
      </c>
    </row>
    <row r="244" spans="1:13" x14ac:dyDescent="0.25">
      <c r="A244" t="s">
        <v>74</v>
      </c>
      <c r="B244">
        <v>20.9407</v>
      </c>
      <c r="C244">
        <v>19.737100000000002</v>
      </c>
      <c r="D244">
        <v>20.881699999999999</v>
      </c>
      <c r="E244">
        <v>18.366</v>
      </c>
      <c r="F244">
        <v>20.399999999999999</v>
      </c>
      <c r="H244">
        <v>19.556999999999999</v>
      </c>
      <c r="I244">
        <v>23.251100000000001</v>
      </c>
      <c r="J244">
        <v>24.385300000000001</v>
      </c>
      <c r="K244">
        <v>22.878399999999999</v>
      </c>
      <c r="L244">
        <v>14.495100000000001</v>
      </c>
      <c r="M244">
        <v>17.729299999999999</v>
      </c>
    </row>
    <row r="245" spans="1:13" x14ac:dyDescent="0.25">
      <c r="A245" t="s">
        <v>76</v>
      </c>
      <c r="B245">
        <v>28.9818</v>
      </c>
      <c r="C245">
        <v>25.4192</v>
      </c>
      <c r="D245">
        <v>20.731300000000001</v>
      </c>
      <c r="E245">
        <v>43.188699999999997</v>
      </c>
      <c r="H245">
        <v>20.434200000000001</v>
      </c>
      <c r="I245">
        <v>21.878599999999999</v>
      </c>
      <c r="J245">
        <v>22.3874</v>
      </c>
      <c r="K245">
        <v>19.5608</v>
      </c>
      <c r="L245">
        <v>24.063800000000001</v>
      </c>
      <c r="M245">
        <v>25.881599999999999</v>
      </c>
    </row>
    <row r="246" spans="1:13" x14ac:dyDescent="0.25">
      <c r="A246" t="s">
        <v>78</v>
      </c>
      <c r="B246">
        <v>24.392199999999999</v>
      </c>
      <c r="C246">
        <v>26.762</v>
      </c>
      <c r="D246">
        <v>20.922499999999999</v>
      </c>
      <c r="E246">
        <v>28.058700000000002</v>
      </c>
      <c r="F246">
        <v>28.020299999999999</v>
      </c>
      <c r="G246">
        <v>28.560700000000001</v>
      </c>
      <c r="H246">
        <v>27.613900000000001</v>
      </c>
      <c r="I246">
        <v>26.3294</v>
      </c>
      <c r="J246">
        <v>28.819700000000001</v>
      </c>
      <c r="K246">
        <v>26.702400000000001</v>
      </c>
      <c r="L246">
        <v>21.278500000000001</v>
      </c>
      <c r="M246">
        <v>13.305300000000001</v>
      </c>
    </row>
    <row r="247" spans="1:13" x14ac:dyDescent="0.25">
      <c r="A247" t="s">
        <v>80</v>
      </c>
      <c r="B247">
        <v>7.1905999999999999</v>
      </c>
      <c r="C247">
        <v>23.091200000000001</v>
      </c>
      <c r="D247">
        <v>49.491199999999999</v>
      </c>
      <c r="E247">
        <v>3.6414999999999997</v>
      </c>
      <c r="F247">
        <v>16.186900000000001</v>
      </c>
      <c r="G247">
        <v>21.184799999999999</v>
      </c>
      <c r="H247">
        <v>16.6082</v>
      </c>
      <c r="I247">
        <v>24.582999999999998</v>
      </c>
      <c r="J247">
        <v>24.5108</v>
      </c>
      <c r="K247">
        <v>24.793399999999998</v>
      </c>
      <c r="L247">
        <v>25.984100000000002</v>
      </c>
      <c r="M247">
        <v>26.21</v>
      </c>
    </row>
    <row r="248" spans="1:13" x14ac:dyDescent="0.25">
      <c r="A248" t="s">
        <v>82</v>
      </c>
      <c r="B248">
        <v>23.198699999999999</v>
      </c>
      <c r="C248">
        <v>24.0623</v>
      </c>
      <c r="D248">
        <v>24.087800000000001</v>
      </c>
      <c r="E248">
        <v>23.631699999999999</v>
      </c>
      <c r="F248">
        <v>23.564</v>
      </c>
      <c r="G248">
        <v>23.453600000000002</v>
      </c>
      <c r="H248">
        <v>23.9054</v>
      </c>
      <c r="I248">
        <v>22.189599999999999</v>
      </c>
      <c r="J248">
        <v>24.418500000000002</v>
      </c>
      <c r="K248">
        <v>16.6128</v>
      </c>
      <c r="L248">
        <v>14.439399999999999</v>
      </c>
      <c r="M248">
        <v>13.641299999999999</v>
      </c>
    </row>
    <row r="249" spans="1:13" x14ac:dyDescent="0.25">
      <c r="A249" t="s">
        <v>84</v>
      </c>
      <c r="B249">
        <v>22.942900000000002</v>
      </c>
      <c r="C249">
        <v>22.6295</v>
      </c>
      <c r="D249">
        <v>22.3949</v>
      </c>
      <c r="E249">
        <v>26.008299999999998</v>
      </c>
      <c r="F249">
        <v>21.523599999999998</v>
      </c>
      <c r="G249">
        <v>26.519400000000001</v>
      </c>
      <c r="H249">
        <v>19.7211</v>
      </c>
      <c r="I249">
        <v>22.503599999999999</v>
      </c>
      <c r="J249">
        <v>20.953600000000002</v>
      </c>
      <c r="K249">
        <v>14.998900000000001</v>
      </c>
      <c r="L249">
        <v>16.997199999999999</v>
      </c>
      <c r="M249">
        <v>10.410600000000001</v>
      </c>
    </row>
    <row r="250" spans="1:13" x14ac:dyDescent="0.25">
      <c r="A250" t="s">
        <v>86</v>
      </c>
      <c r="B250">
        <v>20.242100000000001</v>
      </c>
      <c r="C250">
        <v>21.8706</v>
      </c>
      <c r="D250">
        <v>21.849399999999999</v>
      </c>
      <c r="E250">
        <v>22.847000000000001</v>
      </c>
      <c r="F250">
        <v>22.0702</v>
      </c>
      <c r="G250">
        <v>22.048100000000002</v>
      </c>
      <c r="H250">
        <v>22.3751</v>
      </c>
      <c r="I250">
        <v>21.517600000000002</v>
      </c>
      <c r="J250">
        <v>19.7319</v>
      </c>
      <c r="K250">
        <v>15.410500000000001</v>
      </c>
      <c r="L250">
        <v>16.6313</v>
      </c>
      <c r="M250">
        <v>14.2933</v>
      </c>
    </row>
    <row r="251" spans="1:13" x14ac:dyDescent="0.25">
      <c r="A251" t="s">
        <v>51</v>
      </c>
      <c r="B251">
        <v>17.622399999999999</v>
      </c>
      <c r="C251">
        <v>17.225300000000001</v>
      </c>
      <c r="D251">
        <v>15.9133</v>
      </c>
      <c r="E251">
        <v>21.189</v>
      </c>
      <c r="F251">
        <v>16.901800000000001</v>
      </c>
      <c r="G251">
        <v>16.906400000000001</v>
      </c>
      <c r="H251">
        <v>19.574300000000001</v>
      </c>
      <c r="I251">
        <v>15.7639</v>
      </c>
      <c r="J251">
        <v>15.946300000000001</v>
      </c>
      <c r="K251">
        <v>14.1936</v>
      </c>
      <c r="L251">
        <v>12.898099999999999</v>
      </c>
      <c r="M251">
        <v>14.6183</v>
      </c>
    </row>
    <row r="252" spans="1:13" x14ac:dyDescent="0.25">
      <c r="A252" t="s">
        <v>56</v>
      </c>
      <c r="B252">
        <v>9.0115999999999996</v>
      </c>
      <c r="C252">
        <v>6.6696</v>
      </c>
      <c r="D252">
        <v>8.2337000000000007</v>
      </c>
      <c r="E252">
        <v>7.6825999999999999</v>
      </c>
      <c r="F252">
        <v>8.4902999999999995</v>
      </c>
      <c r="G252">
        <v>8.3497000000000003</v>
      </c>
      <c r="H252">
        <v>8.6185000000000009</v>
      </c>
      <c r="I252">
        <v>8.4330999999999996</v>
      </c>
      <c r="J252">
        <v>7.3312999999999997</v>
      </c>
      <c r="K252">
        <v>7.5179</v>
      </c>
      <c r="L252">
        <v>7.3235999999999999</v>
      </c>
      <c r="M252">
        <v>8.4914000000000005</v>
      </c>
    </row>
    <row r="253" spans="1:13" x14ac:dyDescent="0.25">
      <c r="A253" t="s">
        <v>58</v>
      </c>
      <c r="B253">
        <v>16.899899999999999</v>
      </c>
      <c r="C253">
        <v>3.5937999999999999</v>
      </c>
      <c r="D253">
        <v>4.4710000000000001</v>
      </c>
      <c r="E253">
        <v>4.8071000000000002</v>
      </c>
      <c r="F253">
        <v>4.1197999999999997</v>
      </c>
      <c r="G253">
        <v>3.2658</v>
      </c>
      <c r="H253">
        <v>3.5714999999999999</v>
      </c>
      <c r="I253">
        <v>3.0192000000000001</v>
      </c>
      <c r="J253">
        <v>3.0632000000000001</v>
      </c>
      <c r="K253">
        <v>2.5963000000000003</v>
      </c>
      <c r="L253">
        <v>8.9700000000000002E-2</v>
      </c>
      <c r="M253">
        <v>0.48120000000000002</v>
      </c>
    </row>
    <row r="254" spans="1:13" x14ac:dyDescent="0.25">
      <c r="A254" t="s">
        <v>60</v>
      </c>
      <c r="B254">
        <v>4.9432999999999998</v>
      </c>
      <c r="C254">
        <v>4.5003000000000002</v>
      </c>
      <c r="D254">
        <v>5.0613000000000001</v>
      </c>
      <c r="E254">
        <v>5.6292</v>
      </c>
      <c r="F254">
        <v>8.1090999999999998</v>
      </c>
      <c r="G254">
        <v>5.3616999999999999</v>
      </c>
      <c r="H254">
        <v>4.2435</v>
      </c>
      <c r="I254">
        <v>3.258</v>
      </c>
      <c r="J254">
        <v>3.8509000000000002</v>
      </c>
      <c r="K254">
        <v>2.9196</v>
      </c>
      <c r="L254">
        <v>1.9842</v>
      </c>
      <c r="M254">
        <v>5.0514999999999999</v>
      </c>
    </row>
    <row r="255" spans="1:13" x14ac:dyDescent="0.25">
      <c r="A255" t="s">
        <v>62</v>
      </c>
      <c r="B255">
        <v>10.294700000000001</v>
      </c>
      <c r="C255">
        <v>9.7910000000000004</v>
      </c>
      <c r="D255">
        <v>8.9667999999999992</v>
      </c>
      <c r="E255">
        <v>9.1029999999999998</v>
      </c>
      <c r="F255">
        <v>8.4925999999999995</v>
      </c>
      <c r="G255">
        <v>7.7731000000000003</v>
      </c>
      <c r="H255">
        <v>4.2264999999999997</v>
      </c>
      <c r="I255">
        <v>1.714</v>
      </c>
      <c r="J255">
        <v>9.4583999999999993</v>
      </c>
      <c r="K255">
        <v>8.5196000000000005</v>
      </c>
      <c r="L255">
        <v>8.3495000000000008</v>
      </c>
      <c r="M255">
        <v>8.1921999999999997</v>
      </c>
    </row>
    <row r="256" spans="1:13" x14ac:dyDescent="0.25">
      <c r="A256" t="s">
        <v>64</v>
      </c>
      <c r="B256">
        <v>11.4945</v>
      </c>
      <c r="C256">
        <v>13.525600000000001</v>
      </c>
      <c r="D256">
        <v>10.202500000000001</v>
      </c>
      <c r="E256">
        <v>11.367699999999999</v>
      </c>
      <c r="F256">
        <v>13.2355</v>
      </c>
      <c r="G256">
        <v>14.676500000000001</v>
      </c>
      <c r="H256">
        <v>16.7652</v>
      </c>
      <c r="I256">
        <v>17.478100000000001</v>
      </c>
      <c r="J256">
        <v>17.513000000000002</v>
      </c>
      <c r="K256">
        <v>18.520700000000001</v>
      </c>
      <c r="L256">
        <v>18.7286</v>
      </c>
      <c r="M256">
        <v>20.453800000000001</v>
      </c>
    </row>
    <row r="257" spans="1:13" x14ac:dyDescent="0.25">
      <c r="A257" t="s">
        <v>66</v>
      </c>
      <c r="B257">
        <v>-34.554200000000002</v>
      </c>
      <c r="C257">
        <v>-5.8475999999999999</v>
      </c>
      <c r="D257">
        <v>2.3727</v>
      </c>
      <c r="E257">
        <v>-11.7254</v>
      </c>
      <c r="F257">
        <v>-4.1375000000000002</v>
      </c>
      <c r="I257">
        <v>1.5468</v>
      </c>
    </row>
    <row r="258" spans="1:13" x14ac:dyDescent="0.25">
      <c r="A258" t="s">
        <v>68</v>
      </c>
      <c r="B258">
        <v>-19.319900000000001</v>
      </c>
      <c r="C258">
        <v>3.9594</v>
      </c>
      <c r="D258">
        <v>5.4950999999999999</v>
      </c>
    </row>
    <row r="259" spans="1:13" x14ac:dyDescent="0.25">
      <c r="A259" t="s">
        <v>70</v>
      </c>
      <c r="B259">
        <v>13.5403</v>
      </c>
      <c r="C259">
        <v>16.789000000000001</v>
      </c>
      <c r="D259">
        <v>6.6873000000000005</v>
      </c>
      <c r="E259">
        <v>11.6486</v>
      </c>
      <c r="F259">
        <v>12.3063</v>
      </c>
      <c r="G259">
        <v>13.5633</v>
      </c>
      <c r="H259">
        <v>15.821</v>
      </c>
      <c r="I259">
        <v>18.581700000000001</v>
      </c>
      <c r="J259">
        <v>21.823499999999999</v>
      </c>
      <c r="K259">
        <v>18.486000000000001</v>
      </c>
    </row>
    <row r="260" spans="1:13" x14ac:dyDescent="0.25">
      <c r="A260" t="s">
        <v>72</v>
      </c>
      <c r="B260">
        <v>7.6376999999999997</v>
      </c>
      <c r="C260">
        <v>8.0818999999999992</v>
      </c>
      <c r="D260">
        <v>8.3058999999999994</v>
      </c>
      <c r="E260">
        <v>9.4969999999999999</v>
      </c>
      <c r="F260">
        <v>8.6638999999999999</v>
      </c>
      <c r="G260">
        <v>7.0693999999999999</v>
      </c>
      <c r="H260">
        <v>8.6762999999999995</v>
      </c>
      <c r="I260">
        <v>7.1154000000000002</v>
      </c>
      <c r="J260">
        <v>8.5780999999999992</v>
      </c>
      <c r="K260">
        <v>7.8098999999999998</v>
      </c>
      <c r="L260">
        <v>7.3929</v>
      </c>
    </row>
    <row r="261" spans="1:13" x14ac:dyDescent="0.25">
      <c r="A261" t="s">
        <v>74</v>
      </c>
      <c r="B261">
        <v>15.919599999999999</v>
      </c>
      <c r="C261">
        <v>18.130700000000001</v>
      </c>
      <c r="D261">
        <v>18.597899999999999</v>
      </c>
      <c r="E261">
        <v>20.140999999999998</v>
      </c>
      <c r="H261">
        <v>23.507200000000001</v>
      </c>
      <c r="I261">
        <v>19.834900000000001</v>
      </c>
      <c r="J261">
        <v>15.0299</v>
      </c>
      <c r="K261">
        <v>12.424899999999999</v>
      </c>
      <c r="L261">
        <v>10.335599999999999</v>
      </c>
      <c r="M261">
        <v>14.214399999999999</v>
      </c>
    </row>
    <row r="262" spans="1:13" x14ac:dyDescent="0.25">
      <c r="A262" t="s">
        <v>76</v>
      </c>
      <c r="B262">
        <v>2.9041999999999999</v>
      </c>
      <c r="C262">
        <v>3.0289000000000001</v>
      </c>
      <c r="D262">
        <v>3.5258000000000003</v>
      </c>
      <c r="E262">
        <v>2.1865999999999999</v>
      </c>
      <c r="F262">
        <v>-19.5915</v>
      </c>
      <c r="G262">
        <v>-2.5022000000000002</v>
      </c>
      <c r="H262">
        <v>3.0396000000000001</v>
      </c>
      <c r="I262">
        <v>3.6440999999999999</v>
      </c>
      <c r="J262">
        <v>5.5686</v>
      </c>
      <c r="K262">
        <v>6.8986999999999998</v>
      </c>
      <c r="L262">
        <v>7.9008000000000003</v>
      </c>
      <c r="M262">
        <v>7.5655000000000001</v>
      </c>
    </row>
    <row r="263" spans="1:13" x14ac:dyDescent="0.25">
      <c r="A263" t="s">
        <v>78</v>
      </c>
      <c r="B263">
        <v>18.6968</v>
      </c>
      <c r="C263">
        <v>18.713699999999999</v>
      </c>
      <c r="D263">
        <v>19.638000000000002</v>
      </c>
      <c r="E263">
        <v>18.087599999999998</v>
      </c>
      <c r="F263">
        <v>19.038499999999999</v>
      </c>
      <c r="G263">
        <v>19.981000000000002</v>
      </c>
      <c r="H263">
        <v>20.5945</v>
      </c>
      <c r="I263">
        <v>22.245799999999999</v>
      </c>
      <c r="J263">
        <v>23.8825</v>
      </c>
      <c r="K263">
        <v>23.206900000000001</v>
      </c>
      <c r="L263">
        <v>24.988399999999999</v>
      </c>
      <c r="M263">
        <v>29.828900000000001</v>
      </c>
    </row>
    <row r="264" spans="1:13" x14ac:dyDescent="0.25">
      <c r="A264" t="s">
        <v>80</v>
      </c>
      <c r="B264">
        <v>6.8448000000000002</v>
      </c>
      <c r="C264">
        <v>7.0178000000000003</v>
      </c>
      <c r="D264">
        <v>4.7384000000000004</v>
      </c>
      <c r="E264">
        <v>10.4156</v>
      </c>
      <c r="F264">
        <v>11.582100000000001</v>
      </c>
      <c r="G264">
        <v>9.8746000000000009</v>
      </c>
      <c r="H264">
        <v>13.4316</v>
      </c>
      <c r="I264">
        <v>14.0923</v>
      </c>
      <c r="J264">
        <v>13.793900000000001</v>
      </c>
      <c r="K264">
        <v>13.3346</v>
      </c>
      <c r="L264">
        <v>12.2857</v>
      </c>
      <c r="M264">
        <v>10.7273</v>
      </c>
    </row>
    <row r="265" spans="1:13" x14ac:dyDescent="0.25">
      <c r="A265" t="s">
        <v>82</v>
      </c>
      <c r="B265">
        <v>26.942599999999999</v>
      </c>
      <c r="C265">
        <v>27.9178</v>
      </c>
      <c r="D265">
        <v>24.1633</v>
      </c>
      <c r="E265">
        <v>26.7483</v>
      </c>
      <c r="F265">
        <v>29.1221</v>
      </c>
      <c r="G265">
        <v>27.2896</v>
      </c>
      <c r="H265">
        <v>31.577100000000002</v>
      </c>
      <c r="I265">
        <v>29.770199999999999</v>
      </c>
      <c r="J265">
        <v>28.1402</v>
      </c>
      <c r="K265">
        <v>30.1889</v>
      </c>
      <c r="L265">
        <v>27.9849</v>
      </c>
      <c r="M265">
        <v>26.1496</v>
      </c>
    </row>
    <row r="266" spans="1:13" x14ac:dyDescent="0.25">
      <c r="A266" t="s">
        <v>84</v>
      </c>
      <c r="B266">
        <v>11.3925</v>
      </c>
      <c r="C266">
        <v>13.4544</v>
      </c>
      <c r="D266">
        <v>13.4497</v>
      </c>
      <c r="E266">
        <v>11.5778</v>
      </c>
      <c r="F266">
        <v>14.1265</v>
      </c>
      <c r="G266">
        <v>14.685499999999999</v>
      </c>
      <c r="H266">
        <v>24.305700000000002</v>
      </c>
      <c r="I266">
        <v>16.1952</v>
      </c>
      <c r="J266">
        <v>16.8871</v>
      </c>
      <c r="K266">
        <v>10.7752</v>
      </c>
      <c r="L266">
        <v>16.020600000000002</v>
      </c>
      <c r="M266">
        <v>40.033099999999997</v>
      </c>
    </row>
    <row r="267" spans="1:13" x14ac:dyDescent="0.25">
      <c r="A267" t="s">
        <v>86</v>
      </c>
      <c r="B267">
        <v>11.782299999999999</v>
      </c>
      <c r="C267">
        <v>11.297599999999999</v>
      </c>
      <c r="D267">
        <v>10.305400000000001</v>
      </c>
      <c r="E267">
        <v>11.188700000000001</v>
      </c>
      <c r="F267">
        <v>13.4551</v>
      </c>
      <c r="G267">
        <v>15.699</v>
      </c>
      <c r="H267">
        <v>16.552900000000001</v>
      </c>
      <c r="I267">
        <v>15.155099999999999</v>
      </c>
      <c r="J267">
        <v>13.8041</v>
      </c>
      <c r="K267">
        <v>15.19</v>
      </c>
      <c r="L267">
        <v>15.3194</v>
      </c>
      <c r="M267">
        <v>15.761900000000001</v>
      </c>
    </row>
    <row r="268" spans="1:13" x14ac:dyDescent="0.25">
      <c r="A268" t="s">
        <v>51</v>
      </c>
      <c r="B268">
        <v>38.582000000000001</v>
      </c>
      <c r="C268">
        <v>42.040599999999998</v>
      </c>
      <c r="D268">
        <v>41.747399999999999</v>
      </c>
      <c r="E268">
        <v>60.075899999999997</v>
      </c>
      <c r="F268">
        <v>51.468800000000002</v>
      </c>
      <c r="G268">
        <v>55.021299999999997</v>
      </c>
      <c r="H268">
        <v>72.081500000000005</v>
      </c>
      <c r="I268">
        <v>63.640599999999999</v>
      </c>
      <c r="J268">
        <v>67.841499999999996</v>
      </c>
      <c r="K268">
        <v>62.235300000000002</v>
      </c>
      <c r="L268">
        <v>58.593499999999999</v>
      </c>
      <c r="M268">
        <v>73.493099999999998</v>
      </c>
    </row>
    <row r="269" spans="1:13" x14ac:dyDescent="0.25">
      <c r="A269" t="s">
        <v>56</v>
      </c>
      <c r="B269">
        <v>13.704499999999999</v>
      </c>
      <c r="C269">
        <v>10.016999999999999</v>
      </c>
      <c r="D269">
        <v>12.3316</v>
      </c>
      <c r="E269">
        <v>11.8284</v>
      </c>
      <c r="F269">
        <v>12.983000000000001</v>
      </c>
      <c r="G269">
        <v>12.6562</v>
      </c>
      <c r="H269">
        <v>13.076700000000001</v>
      </c>
      <c r="I269">
        <v>12.923999999999999</v>
      </c>
      <c r="J269">
        <v>11.0885</v>
      </c>
      <c r="K269">
        <v>10.676299999999999</v>
      </c>
      <c r="L269">
        <v>10.839600000000001</v>
      </c>
      <c r="M269">
        <v>14.019399999999999</v>
      </c>
    </row>
    <row r="270" spans="1:13" x14ac:dyDescent="0.25">
      <c r="A270" t="s">
        <v>58</v>
      </c>
      <c r="B270">
        <v>51.6997</v>
      </c>
      <c r="C270">
        <v>11.7362</v>
      </c>
      <c r="D270">
        <v>13.3886</v>
      </c>
      <c r="E270">
        <v>14.1889</v>
      </c>
      <c r="F270">
        <v>11.5463</v>
      </c>
      <c r="G270">
        <v>8.6914999999999996</v>
      </c>
      <c r="H270">
        <v>9.9511000000000003</v>
      </c>
      <c r="I270">
        <v>9.5776000000000003</v>
      </c>
      <c r="J270">
        <v>9.1926000000000005</v>
      </c>
      <c r="K270">
        <v>7.3090000000000002</v>
      </c>
      <c r="L270">
        <v>0.25309999999999999</v>
      </c>
      <c r="M270">
        <v>1.4025000000000001</v>
      </c>
    </row>
    <row r="271" spans="1:13" x14ac:dyDescent="0.25">
      <c r="A271" t="s">
        <v>60</v>
      </c>
      <c r="B271">
        <v>10.7646</v>
      </c>
      <c r="C271">
        <v>10.1136</v>
      </c>
      <c r="D271">
        <v>11.5266</v>
      </c>
      <c r="E271">
        <v>13.009399999999999</v>
      </c>
      <c r="F271">
        <v>18.821200000000001</v>
      </c>
      <c r="G271">
        <v>12.1913</v>
      </c>
      <c r="H271">
        <v>9.8880999999999997</v>
      </c>
      <c r="I271">
        <v>8.0797000000000008</v>
      </c>
      <c r="J271">
        <v>9.4282000000000004</v>
      </c>
      <c r="K271">
        <v>6.5674000000000001</v>
      </c>
      <c r="L271">
        <v>4.367</v>
      </c>
      <c r="M271">
        <v>11.578900000000001</v>
      </c>
    </row>
    <row r="272" spans="1:13" x14ac:dyDescent="0.25">
      <c r="A272" t="s">
        <v>62</v>
      </c>
      <c r="B272">
        <v>18.6191</v>
      </c>
      <c r="C272">
        <v>17.7134</v>
      </c>
      <c r="D272">
        <v>16.3445</v>
      </c>
      <c r="E272">
        <v>17.035699999999999</v>
      </c>
      <c r="F272">
        <v>17.6599</v>
      </c>
      <c r="G272">
        <v>19.004899999999999</v>
      </c>
      <c r="H272">
        <v>12.19</v>
      </c>
      <c r="I272">
        <v>4.5574000000000003</v>
      </c>
      <c r="J272">
        <v>19.4648</v>
      </c>
      <c r="K272">
        <v>16.368400000000001</v>
      </c>
      <c r="L272">
        <v>14.8149</v>
      </c>
      <c r="M272">
        <v>15.366300000000001</v>
      </c>
    </row>
    <row r="273" spans="1:13" x14ac:dyDescent="0.25">
      <c r="A273" t="s">
        <v>64</v>
      </c>
      <c r="B273">
        <v>16.412700000000001</v>
      </c>
      <c r="C273">
        <v>19.019600000000001</v>
      </c>
      <c r="D273">
        <v>14.058</v>
      </c>
      <c r="E273">
        <v>15.5253</v>
      </c>
      <c r="F273">
        <v>19.0854</v>
      </c>
      <c r="G273">
        <v>20.745200000000001</v>
      </c>
      <c r="H273">
        <v>22.357800000000001</v>
      </c>
      <c r="I273">
        <v>23.872599999999998</v>
      </c>
      <c r="J273">
        <v>23.4465</v>
      </c>
      <c r="K273">
        <v>23.5199</v>
      </c>
      <c r="L273">
        <v>23.1648</v>
      </c>
      <c r="M273">
        <v>25.0944</v>
      </c>
    </row>
    <row r="274" spans="1:13" x14ac:dyDescent="0.25">
      <c r="A274" t="s">
        <v>66</v>
      </c>
      <c r="B274">
        <v>-85.123199999999997</v>
      </c>
      <c r="C274">
        <v>-12.2841</v>
      </c>
      <c r="D274">
        <v>5.2762000000000002</v>
      </c>
      <c r="E274">
        <v>-23.2059</v>
      </c>
      <c r="F274">
        <v>-7.8312999999999997</v>
      </c>
    </row>
    <row r="275" spans="1:13" x14ac:dyDescent="0.25">
      <c r="A275" t="s">
        <v>68</v>
      </c>
      <c r="B275">
        <v>-66.337199999999996</v>
      </c>
      <c r="C275">
        <v>10.1008</v>
      </c>
      <c r="D275">
        <v>13.840299999999999</v>
      </c>
    </row>
    <row r="276" spans="1:13" x14ac:dyDescent="0.25">
      <c r="A276" t="s">
        <v>70</v>
      </c>
      <c r="B276">
        <v>18.2638</v>
      </c>
      <c r="C276">
        <v>21.475000000000001</v>
      </c>
      <c r="D276">
        <v>8.2852999999999994</v>
      </c>
      <c r="E276">
        <v>14.2354</v>
      </c>
      <c r="F276">
        <v>15.679600000000001</v>
      </c>
      <c r="G276">
        <v>16.578199999999999</v>
      </c>
      <c r="H276">
        <v>18.718499999999999</v>
      </c>
      <c r="I276">
        <v>26.822900000000001</v>
      </c>
      <c r="J276">
        <v>14.557</v>
      </c>
      <c r="K276">
        <v>33.918399999999998</v>
      </c>
    </row>
    <row r="277" spans="1:13" x14ac:dyDescent="0.25">
      <c r="A277" t="s">
        <v>72</v>
      </c>
      <c r="B277">
        <v>19.712</v>
      </c>
      <c r="C277">
        <v>19.943200000000001</v>
      </c>
      <c r="D277">
        <v>19.412800000000001</v>
      </c>
      <c r="E277">
        <v>20.8169</v>
      </c>
      <c r="F277">
        <v>18.522300000000001</v>
      </c>
      <c r="G277">
        <v>14.7248</v>
      </c>
      <c r="H277">
        <v>18.442599999999999</v>
      </c>
      <c r="I277">
        <v>13.7012</v>
      </c>
      <c r="J277">
        <v>12.6587</v>
      </c>
      <c r="K277">
        <v>10.626099999999999</v>
      </c>
      <c r="L277">
        <v>12.4855</v>
      </c>
    </row>
    <row r="278" spans="1:13" x14ac:dyDescent="0.25">
      <c r="A278" t="s">
        <v>74</v>
      </c>
      <c r="B278">
        <v>24.1465</v>
      </c>
      <c r="C278">
        <v>24.7789</v>
      </c>
      <c r="D278">
        <v>25.156099999999999</v>
      </c>
      <c r="E278">
        <v>28.253</v>
      </c>
      <c r="H278">
        <v>37.406700000000001</v>
      </c>
      <c r="I278">
        <v>35.128399999999999</v>
      </c>
      <c r="J278">
        <v>27.702500000000001</v>
      </c>
      <c r="K278">
        <v>23.619700000000002</v>
      </c>
      <c r="L278">
        <v>22.4222</v>
      </c>
      <c r="M278">
        <v>28.927099999999999</v>
      </c>
    </row>
    <row r="279" spans="1:13" x14ac:dyDescent="0.25">
      <c r="A279" t="s">
        <v>76</v>
      </c>
      <c r="B279">
        <v>16.9253</v>
      </c>
      <c r="C279">
        <v>18.5928</v>
      </c>
      <c r="D279">
        <v>25.474399999999999</v>
      </c>
      <c r="E279">
        <v>21.224799999999998</v>
      </c>
      <c r="F279">
        <v>-103.8415</v>
      </c>
      <c r="G279">
        <v>-8.9019999999999992</v>
      </c>
      <c r="H279">
        <v>10.4681</v>
      </c>
      <c r="I279">
        <v>12.4291</v>
      </c>
      <c r="J279">
        <v>17.773299999999999</v>
      </c>
      <c r="K279">
        <v>19.609100000000002</v>
      </c>
      <c r="L279">
        <v>22.833400000000001</v>
      </c>
      <c r="M279">
        <v>24.6846</v>
      </c>
    </row>
    <row r="280" spans="1:13" x14ac:dyDescent="0.25">
      <c r="A280" t="s">
        <v>78</v>
      </c>
      <c r="B280">
        <v>25.4513</v>
      </c>
      <c r="C280">
        <v>23.722000000000001</v>
      </c>
      <c r="D280">
        <v>23.940899999999999</v>
      </c>
      <c r="E280">
        <v>21.9589</v>
      </c>
      <c r="F280">
        <v>23.1557</v>
      </c>
      <c r="G280">
        <v>24.1053</v>
      </c>
      <c r="H280">
        <v>24.386500000000002</v>
      </c>
      <c r="I280">
        <v>25.720099999999999</v>
      </c>
      <c r="J280">
        <v>27.982600000000001</v>
      </c>
      <c r="K280">
        <v>27.313199999999998</v>
      </c>
      <c r="L280">
        <v>29.3855</v>
      </c>
      <c r="M280">
        <v>37.367800000000003</v>
      </c>
    </row>
    <row r="281" spans="1:13" x14ac:dyDescent="0.25">
      <c r="A281" t="s">
        <v>80</v>
      </c>
      <c r="B281">
        <v>50.120899999999999</v>
      </c>
      <c r="C281">
        <v>50.763399999999997</v>
      </c>
      <c r="D281">
        <v>32.1051</v>
      </c>
      <c r="E281">
        <v>73.040499999999994</v>
      </c>
      <c r="F281">
        <v>100.9568</v>
      </c>
      <c r="G281">
        <v>69.370999999999995</v>
      </c>
      <c r="H281">
        <v>79.146299999999997</v>
      </c>
      <c r="I281">
        <v>85.153099999999995</v>
      </c>
      <c r="J281">
        <v>73.430000000000007</v>
      </c>
      <c r="K281">
        <v>64.938800000000001</v>
      </c>
      <c r="L281">
        <v>74.370599999999996</v>
      </c>
      <c r="M281">
        <v>58.824399999999997</v>
      </c>
    </row>
    <row r="282" spans="1:13" x14ac:dyDescent="0.25">
      <c r="A282" t="s">
        <v>82</v>
      </c>
      <c r="B282">
        <v>36.378799999999998</v>
      </c>
      <c r="C282">
        <v>35.2042</v>
      </c>
      <c r="D282">
        <v>29.422000000000001</v>
      </c>
      <c r="E282">
        <v>32.555199999999999</v>
      </c>
      <c r="F282">
        <v>37.064</v>
      </c>
      <c r="G282">
        <v>34.8339</v>
      </c>
      <c r="H282">
        <v>40.725700000000003</v>
      </c>
      <c r="I282">
        <v>40.852899999999998</v>
      </c>
      <c r="J282">
        <v>38.556600000000003</v>
      </c>
      <c r="K282">
        <v>42.342500000000001</v>
      </c>
      <c r="L282">
        <v>41.103900000000003</v>
      </c>
      <c r="M282">
        <v>37.756900000000002</v>
      </c>
    </row>
    <row r="283" spans="1:13" x14ac:dyDescent="0.25">
      <c r="A283" t="s">
        <v>84</v>
      </c>
      <c r="B283">
        <v>19.1602</v>
      </c>
      <c r="C283">
        <v>21.967400000000001</v>
      </c>
      <c r="D283">
        <v>21.540800000000001</v>
      </c>
      <c r="E283">
        <v>18.1313</v>
      </c>
      <c r="F283">
        <v>22.302</v>
      </c>
      <c r="G283">
        <v>24.522500000000001</v>
      </c>
      <c r="H283">
        <v>41.468800000000002</v>
      </c>
      <c r="I283">
        <v>27.178799999999999</v>
      </c>
      <c r="J283">
        <v>29.5989</v>
      </c>
      <c r="K283">
        <v>20.654399999999999</v>
      </c>
      <c r="L283">
        <v>29.007999999999999</v>
      </c>
      <c r="M283">
        <v>63.398299999999999</v>
      </c>
    </row>
    <row r="284" spans="1:13" x14ac:dyDescent="0.25">
      <c r="A284" t="s">
        <v>86</v>
      </c>
      <c r="B284">
        <v>17.2744</v>
      </c>
      <c r="C284">
        <v>17.131599999999999</v>
      </c>
      <c r="D284">
        <v>15.964499999999999</v>
      </c>
      <c r="E284">
        <v>17.229199999999999</v>
      </c>
      <c r="F284">
        <v>20.402999999999999</v>
      </c>
      <c r="G284">
        <v>23.028700000000001</v>
      </c>
      <c r="H284">
        <v>24.857500000000002</v>
      </c>
      <c r="I284">
        <v>23.319600000000001</v>
      </c>
      <c r="J284">
        <v>21.230699999999999</v>
      </c>
      <c r="K284">
        <v>25.100300000000001</v>
      </c>
      <c r="L284">
        <v>29.058</v>
      </c>
      <c r="M284">
        <v>30.798500000000001</v>
      </c>
    </row>
    <row r="285" spans="1:13" x14ac:dyDescent="0.25">
      <c r="A285" t="s">
        <v>51</v>
      </c>
      <c r="B285">
        <v>48.595199999999998</v>
      </c>
      <c r="C285">
        <v>48.910299999999999</v>
      </c>
      <c r="D285">
        <v>55.718400000000003</v>
      </c>
      <c r="E285">
        <v>63.369100000000003</v>
      </c>
      <c r="F285">
        <v>61.348799999999997</v>
      </c>
      <c r="G285">
        <v>59.843899999999998</v>
      </c>
      <c r="H285">
        <v>78.299400000000006</v>
      </c>
      <c r="I285">
        <v>69.563400000000001</v>
      </c>
      <c r="J285">
        <v>72.672799999999995</v>
      </c>
      <c r="K285">
        <v>67.210499999999996</v>
      </c>
      <c r="L285">
        <v>63.762300000000003</v>
      </c>
      <c r="M285">
        <v>65.865499999999997</v>
      </c>
    </row>
    <row r="286" spans="1:13" x14ac:dyDescent="0.25">
      <c r="A286" t="s">
        <v>56</v>
      </c>
      <c r="B286">
        <v>13.4587</v>
      </c>
      <c r="C286">
        <v>10.0329</v>
      </c>
      <c r="D286">
        <v>12.2935</v>
      </c>
      <c r="E286">
        <v>10.995900000000001</v>
      </c>
      <c r="F286">
        <v>11.507300000000001</v>
      </c>
      <c r="G286">
        <v>11.189399999999999</v>
      </c>
      <c r="H286">
        <v>11.618600000000001</v>
      </c>
      <c r="I286">
        <v>11.2951</v>
      </c>
      <c r="J286">
        <v>9.9632000000000005</v>
      </c>
      <c r="K286">
        <v>10.4834</v>
      </c>
      <c r="L286">
        <v>9.6669</v>
      </c>
      <c r="M286">
        <v>11.543799999999999</v>
      </c>
    </row>
    <row r="287" spans="1:13" x14ac:dyDescent="0.25">
      <c r="A287" t="s">
        <v>58</v>
      </c>
      <c r="B287">
        <v>4.2382999999999997</v>
      </c>
      <c r="C287">
        <v>5.6058000000000003</v>
      </c>
      <c r="D287">
        <v>8.3194999999999997</v>
      </c>
      <c r="E287">
        <v>10.263400000000001</v>
      </c>
      <c r="F287">
        <v>8.4593000000000007</v>
      </c>
      <c r="G287">
        <v>6.5522999999999998</v>
      </c>
      <c r="H287">
        <v>5.4264999999999999</v>
      </c>
      <c r="I287">
        <v>3.4203000000000001</v>
      </c>
      <c r="J287">
        <v>6.7518000000000002</v>
      </c>
      <c r="K287">
        <v>6.6695000000000002</v>
      </c>
      <c r="L287">
        <v>1.319</v>
      </c>
      <c r="M287">
        <v>3.2376</v>
      </c>
    </row>
    <row r="288" spans="1:13" x14ac:dyDescent="0.25">
      <c r="A288" t="s">
        <v>60</v>
      </c>
      <c r="B288">
        <v>8.1720000000000006</v>
      </c>
      <c r="C288">
        <v>7.8571999999999997</v>
      </c>
      <c r="D288">
        <v>9.2449999999999992</v>
      </c>
      <c r="E288">
        <v>11.258900000000001</v>
      </c>
      <c r="F288">
        <v>16.165299999999998</v>
      </c>
      <c r="G288">
        <v>13.358000000000001</v>
      </c>
      <c r="H288">
        <v>9.1670999999999996</v>
      </c>
      <c r="I288">
        <v>7.3623000000000003</v>
      </c>
      <c r="J288">
        <v>9.8954000000000004</v>
      </c>
      <c r="K288">
        <v>7.6642000000000001</v>
      </c>
      <c r="L288">
        <v>4.7663000000000002</v>
      </c>
      <c r="M288">
        <v>12.6935</v>
      </c>
    </row>
    <row r="289" spans="1:25" x14ac:dyDescent="0.25">
      <c r="A289" t="s">
        <v>62</v>
      </c>
      <c r="B289">
        <v>14.623200000000001</v>
      </c>
      <c r="C289">
        <v>14.1929</v>
      </c>
      <c r="D289">
        <v>12.954700000000001</v>
      </c>
      <c r="E289">
        <v>13.521699999999999</v>
      </c>
      <c r="F289">
        <v>13.270899999999999</v>
      </c>
      <c r="G289">
        <v>12.9678</v>
      </c>
      <c r="H289">
        <v>7.8903999999999996</v>
      </c>
      <c r="I289">
        <v>2.8447</v>
      </c>
      <c r="J289">
        <v>11.938000000000001</v>
      </c>
      <c r="K289">
        <v>176.60919999999999</v>
      </c>
      <c r="L289">
        <v>193.47620000000001</v>
      </c>
      <c r="M289">
        <v>212.0427</v>
      </c>
    </row>
    <row r="290" spans="1:25" x14ac:dyDescent="0.25">
      <c r="A290" t="s">
        <v>64</v>
      </c>
      <c r="B290">
        <v>14.457100000000001</v>
      </c>
      <c r="C290">
        <v>17.8813</v>
      </c>
      <c r="D290">
        <v>12.4232</v>
      </c>
      <c r="E290">
        <v>14.0189</v>
      </c>
      <c r="F290">
        <v>16.497199999999999</v>
      </c>
      <c r="G290">
        <v>18.459800000000001</v>
      </c>
      <c r="H290">
        <v>22.627700000000001</v>
      </c>
      <c r="I290">
        <v>24.049399999999999</v>
      </c>
      <c r="J290">
        <v>23.340399999999999</v>
      </c>
      <c r="K290">
        <v>23.5352</v>
      </c>
      <c r="L290">
        <v>22.919899999999998</v>
      </c>
      <c r="M290">
        <v>25.331900000000001</v>
      </c>
    </row>
    <row r="291" spans="1:25" x14ac:dyDescent="0.25">
      <c r="A291" t="s">
        <v>66</v>
      </c>
      <c r="B291">
        <v>-45.578899999999997</v>
      </c>
      <c r="C291">
        <v>-6.0678999999999998</v>
      </c>
      <c r="D291">
        <v>4.6684999999999999</v>
      </c>
      <c r="E291">
        <v>-15.541600000000001</v>
      </c>
      <c r="F291">
        <v>-3.8031999999999999</v>
      </c>
    </row>
    <row r="292" spans="1:25" x14ac:dyDescent="0.25">
      <c r="A292" t="s">
        <v>68</v>
      </c>
      <c r="B292">
        <v>-33.831400000000002</v>
      </c>
      <c r="C292">
        <v>5.6124999999999998</v>
      </c>
      <c r="D292">
        <v>5.3933</v>
      </c>
    </row>
    <row r="293" spans="1:25" x14ac:dyDescent="0.25">
      <c r="A293" t="s">
        <v>70</v>
      </c>
      <c r="B293">
        <v>17.078299999999999</v>
      </c>
      <c r="C293">
        <v>20.415800000000001</v>
      </c>
      <c r="D293">
        <v>7.8995999999999995</v>
      </c>
      <c r="E293">
        <v>14.3188</v>
      </c>
      <c r="F293">
        <v>14.688000000000001</v>
      </c>
      <c r="G293">
        <v>15.8104</v>
      </c>
      <c r="H293">
        <v>17.949400000000001</v>
      </c>
      <c r="I293">
        <v>22.185500000000001</v>
      </c>
      <c r="J293">
        <v>27.634499999999999</v>
      </c>
      <c r="K293">
        <v>22.709499999999998</v>
      </c>
    </row>
    <row r="294" spans="1:25" x14ac:dyDescent="0.25">
      <c r="A294" t="s">
        <v>72</v>
      </c>
      <c r="B294">
        <v>10.673299999999999</v>
      </c>
      <c r="C294">
        <v>10.235799999999999</v>
      </c>
      <c r="D294">
        <v>11.3683</v>
      </c>
      <c r="E294">
        <v>13.204000000000001</v>
      </c>
      <c r="F294">
        <v>13.0077</v>
      </c>
      <c r="G294">
        <v>11.4071</v>
      </c>
      <c r="H294">
        <v>12.6053</v>
      </c>
      <c r="I294">
        <v>10.4321</v>
      </c>
      <c r="J294">
        <v>9.89</v>
      </c>
      <c r="K294">
        <v>10.622299999999999</v>
      </c>
      <c r="L294">
        <v>12.620900000000001</v>
      </c>
    </row>
    <row r="295" spans="1:25" x14ac:dyDescent="0.25">
      <c r="A295" t="s">
        <v>74</v>
      </c>
      <c r="B295">
        <v>21.450900000000001</v>
      </c>
      <c r="C295">
        <v>22.587</v>
      </c>
      <c r="D295">
        <v>23.3324</v>
      </c>
      <c r="E295">
        <v>25.6069</v>
      </c>
      <c r="H295">
        <v>35.100900000000003</v>
      </c>
      <c r="I295">
        <v>28.5443</v>
      </c>
      <c r="J295">
        <v>21.385000000000002</v>
      </c>
      <c r="K295">
        <v>16.206</v>
      </c>
      <c r="L295">
        <v>15.4476</v>
      </c>
      <c r="M295">
        <v>23.232600000000001</v>
      </c>
    </row>
    <row r="296" spans="1:25" x14ac:dyDescent="0.25">
      <c r="A296" t="s">
        <v>76</v>
      </c>
      <c r="B296">
        <v>7.1833</v>
      </c>
      <c r="C296">
        <v>7.5438999999999998</v>
      </c>
      <c r="D296">
        <v>8.7402999999999995</v>
      </c>
      <c r="E296">
        <v>6.1417999999999999</v>
      </c>
      <c r="F296">
        <v>-36.456600000000002</v>
      </c>
      <c r="G296">
        <v>-2.6008</v>
      </c>
      <c r="H296">
        <v>7.9035000000000002</v>
      </c>
      <c r="I296">
        <v>9.4072999999999993</v>
      </c>
      <c r="J296">
        <v>13.1097</v>
      </c>
      <c r="K296">
        <v>15.246</v>
      </c>
      <c r="L296">
        <v>19.657499999999999</v>
      </c>
      <c r="M296">
        <v>21.044</v>
      </c>
    </row>
    <row r="297" spans="1:25" x14ac:dyDescent="0.25">
      <c r="A297" t="s">
        <v>78</v>
      </c>
      <c r="B297">
        <v>21.526299999999999</v>
      </c>
      <c r="C297">
        <v>20.934799999999999</v>
      </c>
      <c r="D297">
        <v>19.544799999999999</v>
      </c>
      <c r="E297">
        <v>17.660699999999999</v>
      </c>
      <c r="F297">
        <v>18.352899999999998</v>
      </c>
      <c r="G297">
        <v>17.910599999999999</v>
      </c>
      <c r="H297">
        <v>19.013500000000001</v>
      </c>
      <c r="I297">
        <v>19.994</v>
      </c>
      <c r="J297">
        <v>23.0975</v>
      </c>
      <c r="K297">
        <v>23.522400000000001</v>
      </c>
      <c r="L297">
        <v>25.309200000000001</v>
      </c>
      <c r="M297">
        <v>36.834400000000002</v>
      </c>
    </row>
    <row r="298" spans="1:25" x14ac:dyDescent="0.25">
      <c r="A298" t="s">
        <v>80</v>
      </c>
      <c r="B298">
        <v>12.429</v>
      </c>
      <c r="C298">
        <v>17.569400000000002</v>
      </c>
      <c r="D298">
        <v>11.804</v>
      </c>
      <c r="E298">
        <v>21.280100000000001</v>
      </c>
      <c r="F298">
        <v>26.298400000000001</v>
      </c>
      <c r="G298">
        <v>24.8813</v>
      </c>
      <c r="H298">
        <v>29.084499999999998</v>
      </c>
      <c r="I298">
        <v>29.531300000000002</v>
      </c>
      <c r="J298">
        <v>27.2501</v>
      </c>
      <c r="K298">
        <v>24.126799999999999</v>
      </c>
      <c r="L298">
        <v>24.932300000000001</v>
      </c>
      <c r="M298">
        <v>19.415099999999999</v>
      </c>
      <c r="N298" t="s">
        <v>46</v>
      </c>
      <c r="O298" t="s">
        <v>46</v>
      </c>
      <c r="P298" t="s">
        <v>46</v>
      </c>
      <c r="Q298" t="s">
        <v>46</v>
      </c>
      <c r="R298" t="s">
        <v>46</v>
      </c>
      <c r="S298" t="s">
        <v>46</v>
      </c>
      <c r="T298" t="s">
        <v>46</v>
      </c>
      <c r="U298" t="s">
        <v>46</v>
      </c>
      <c r="V298" t="s">
        <v>46</v>
      </c>
      <c r="W298" t="s">
        <v>46</v>
      </c>
      <c r="X298" t="s">
        <v>46</v>
      </c>
      <c r="Y298" t="s">
        <v>46</v>
      </c>
    </row>
    <row r="299" spans="1:25" x14ac:dyDescent="0.25">
      <c r="A299" t="s">
        <v>82</v>
      </c>
      <c r="B299">
        <v>31.210100000000001</v>
      </c>
      <c r="C299">
        <v>31.5624</v>
      </c>
      <c r="D299">
        <v>26.379100000000001</v>
      </c>
      <c r="E299">
        <v>28.7653</v>
      </c>
      <c r="F299">
        <v>33.922400000000003</v>
      </c>
      <c r="G299">
        <v>31.030799999999999</v>
      </c>
      <c r="H299">
        <v>38.1678</v>
      </c>
      <c r="I299">
        <v>35.390700000000002</v>
      </c>
      <c r="J299">
        <v>36.687199999999997</v>
      </c>
      <c r="K299">
        <v>38.790900000000001</v>
      </c>
      <c r="L299">
        <v>39.204599999999999</v>
      </c>
      <c r="M299">
        <v>38.636000000000003</v>
      </c>
      <c r="N299" t="s">
        <v>46</v>
      </c>
      <c r="O299" t="s">
        <v>46</v>
      </c>
      <c r="P299" t="s">
        <v>46</v>
      </c>
      <c r="Q299" t="s">
        <v>46</v>
      </c>
      <c r="R299" t="s">
        <v>46</v>
      </c>
      <c r="S299" t="s">
        <v>46</v>
      </c>
      <c r="T299" t="s">
        <v>46</v>
      </c>
      <c r="U299" t="s">
        <v>46</v>
      </c>
      <c r="V299" t="s">
        <v>46</v>
      </c>
      <c r="W299" t="s">
        <v>46</v>
      </c>
      <c r="X299" t="s">
        <v>46</v>
      </c>
      <c r="Y299" t="s">
        <v>46</v>
      </c>
    </row>
    <row r="300" spans="1:25" x14ac:dyDescent="0.25">
      <c r="A300" t="s">
        <v>84</v>
      </c>
      <c r="B300">
        <v>12.855499999999999</v>
      </c>
      <c r="C300">
        <v>18.1037</v>
      </c>
      <c r="D300">
        <v>13.4922</v>
      </c>
      <c r="E300">
        <v>14.5817</v>
      </c>
      <c r="F300">
        <v>19.774100000000001</v>
      </c>
      <c r="G300">
        <v>21.819700000000001</v>
      </c>
      <c r="H300">
        <v>34.489100000000001</v>
      </c>
      <c r="I300">
        <v>23.744499999999999</v>
      </c>
      <c r="J300">
        <v>23.559899999999999</v>
      </c>
      <c r="K300">
        <v>14.1029</v>
      </c>
      <c r="L300">
        <v>26.0992</v>
      </c>
      <c r="M300">
        <v>61.610399999999998</v>
      </c>
      <c r="N300" t="s">
        <v>46</v>
      </c>
      <c r="O300" t="s">
        <v>46</v>
      </c>
      <c r="P300" t="s">
        <v>46</v>
      </c>
      <c r="Q300" t="s">
        <v>46</v>
      </c>
      <c r="R300" t="s">
        <v>46</v>
      </c>
      <c r="S300" t="s">
        <v>46</v>
      </c>
      <c r="T300" t="s">
        <v>46</v>
      </c>
      <c r="U300" t="s">
        <v>46</v>
      </c>
      <c r="V300" t="s">
        <v>46</v>
      </c>
      <c r="W300" t="s">
        <v>46</v>
      </c>
      <c r="X300" t="s">
        <v>46</v>
      </c>
      <c r="Y300" t="s">
        <v>46</v>
      </c>
    </row>
    <row r="301" spans="1:25" x14ac:dyDescent="0.25">
      <c r="A301" t="s">
        <v>86</v>
      </c>
      <c r="B301">
        <v>12.051399999999999</v>
      </c>
      <c r="C301">
        <v>11.270799999999999</v>
      </c>
      <c r="D301">
        <v>9.673</v>
      </c>
      <c r="E301">
        <v>10.631499999999999</v>
      </c>
      <c r="F301">
        <v>13.183999999999999</v>
      </c>
      <c r="G301">
        <v>16.1922</v>
      </c>
      <c r="H301">
        <v>18.0336</v>
      </c>
      <c r="I301">
        <v>15.3583</v>
      </c>
      <c r="J301">
        <v>15.3574</v>
      </c>
      <c r="K301">
        <v>18.0229</v>
      </c>
      <c r="L301">
        <v>20.039100000000001</v>
      </c>
      <c r="M301">
        <v>21.906099999999999</v>
      </c>
      <c r="N301" t="s">
        <v>46</v>
      </c>
      <c r="O301" t="s">
        <v>46</v>
      </c>
      <c r="P301" t="s">
        <v>46</v>
      </c>
      <c r="Q301" t="s">
        <v>46</v>
      </c>
      <c r="R301" t="s">
        <v>46</v>
      </c>
      <c r="S301" t="s">
        <v>46</v>
      </c>
      <c r="T301" t="s">
        <v>46</v>
      </c>
      <c r="U301" t="s">
        <v>46</v>
      </c>
      <c r="V301" t="s">
        <v>46</v>
      </c>
      <c r="W301" t="s">
        <v>46</v>
      </c>
      <c r="X301" t="s">
        <v>46</v>
      </c>
      <c r="Y301" t="s">
        <v>46</v>
      </c>
    </row>
    <row r="302" spans="1:25" x14ac:dyDescent="0.25">
      <c r="A302" t="s">
        <v>46</v>
      </c>
      <c r="N302" t="s">
        <v>46</v>
      </c>
      <c r="O302" t="s">
        <v>46</v>
      </c>
      <c r="P302" t="s">
        <v>46</v>
      </c>
      <c r="Q302" t="s">
        <v>46</v>
      </c>
      <c r="R302" t="s">
        <v>46</v>
      </c>
      <c r="S302" t="s">
        <v>46</v>
      </c>
      <c r="T302" t="s">
        <v>46</v>
      </c>
      <c r="U302" t="s">
        <v>46</v>
      </c>
      <c r="V302" t="s">
        <v>46</v>
      </c>
      <c r="W302" t="s">
        <v>46</v>
      </c>
      <c r="X302" t="s">
        <v>46</v>
      </c>
      <c r="Y302" t="s">
        <v>46</v>
      </c>
    </row>
    <row r="303" spans="1:25" x14ac:dyDescent="0.25">
      <c r="A303" t="s">
        <v>46</v>
      </c>
      <c r="N303" t="s">
        <v>46</v>
      </c>
      <c r="O303" t="s">
        <v>46</v>
      </c>
      <c r="P303" t="s">
        <v>46</v>
      </c>
      <c r="Q303" t="s">
        <v>46</v>
      </c>
      <c r="R303" t="s">
        <v>46</v>
      </c>
      <c r="S303" t="s">
        <v>46</v>
      </c>
      <c r="T303" t="s">
        <v>46</v>
      </c>
      <c r="U303" t="s">
        <v>46</v>
      </c>
      <c r="V303" t="s">
        <v>46</v>
      </c>
      <c r="W303" t="s">
        <v>46</v>
      </c>
      <c r="X303" t="s">
        <v>46</v>
      </c>
      <c r="Y303" t="s">
        <v>46</v>
      </c>
    </row>
    <row r="304" spans="1:25" x14ac:dyDescent="0.25">
      <c r="A304" t="s">
        <v>46</v>
      </c>
      <c r="N304" t="s">
        <v>46</v>
      </c>
      <c r="O304" t="s">
        <v>46</v>
      </c>
      <c r="P304" t="s">
        <v>46</v>
      </c>
      <c r="Q304" t="s">
        <v>46</v>
      </c>
      <c r="R304" t="s">
        <v>46</v>
      </c>
      <c r="S304" t="s">
        <v>46</v>
      </c>
      <c r="T304" t="s">
        <v>46</v>
      </c>
      <c r="U304" t="s">
        <v>46</v>
      </c>
      <c r="V304" t="s">
        <v>46</v>
      </c>
      <c r="W304" t="s">
        <v>46</v>
      </c>
      <c r="X304" t="s">
        <v>46</v>
      </c>
      <c r="Y304" t="s">
        <v>46</v>
      </c>
    </row>
    <row r="305" spans="1:25" x14ac:dyDescent="0.25">
      <c r="A305" t="s">
        <v>46</v>
      </c>
      <c r="N305" t="s">
        <v>46</v>
      </c>
      <c r="O305" t="s">
        <v>46</v>
      </c>
      <c r="P305" t="s">
        <v>46</v>
      </c>
      <c r="Q305" t="s">
        <v>46</v>
      </c>
      <c r="R305" t="s">
        <v>46</v>
      </c>
      <c r="S305" t="s">
        <v>46</v>
      </c>
      <c r="T305" t="s">
        <v>46</v>
      </c>
      <c r="U305" t="s">
        <v>46</v>
      </c>
      <c r="V305" t="s">
        <v>46</v>
      </c>
      <c r="W305" t="s">
        <v>46</v>
      </c>
      <c r="X305" t="s">
        <v>46</v>
      </c>
      <c r="Y305" t="s">
        <v>46</v>
      </c>
    </row>
    <row r="306" spans="1:25" x14ac:dyDescent="0.25">
      <c r="A306" t="s">
        <v>46</v>
      </c>
      <c r="N306" t="s">
        <v>46</v>
      </c>
      <c r="O306" t="s">
        <v>46</v>
      </c>
      <c r="P306" t="s">
        <v>46</v>
      </c>
      <c r="Q306" t="s">
        <v>46</v>
      </c>
      <c r="R306" t="s">
        <v>46</v>
      </c>
      <c r="S306" t="s">
        <v>46</v>
      </c>
      <c r="T306" t="s">
        <v>46</v>
      </c>
      <c r="U306" t="s">
        <v>46</v>
      </c>
      <c r="V306" t="s">
        <v>46</v>
      </c>
      <c r="W306" t="s">
        <v>46</v>
      </c>
      <c r="X306" t="s">
        <v>46</v>
      </c>
      <c r="Y306" t="s">
        <v>46</v>
      </c>
    </row>
    <row r="307" spans="1:25" x14ac:dyDescent="0.25">
      <c r="A307" t="s">
        <v>132</v>
      </c>
      <c r="N307" t="s">
        <v>46</v>
      </c>
      <c r="O307" t="s">
        <v>46</v>
      </c>
      <c r="P307" t="s">
        <v>46</v>
      </c>
      <c r="Q307" t="s">
        <v>46</v>
      </c>
      <c r="R307" t="s">
        <v>46</v>
      </c>
      <c r="S307" t="s">
        <v>46</v>
      </c>
      <c r="T307" t="s">
        <v>46</v>
      </c>
      <c r="U307" t="s">
        <v>46</v>
      </c>
      <c r="V307" t="s">
        <v>46</v>
      </c>
      <c r="W307" t="s">
        <v>46</v>
      </c>
      <c r="X307" t="s">
        <v>46</v>
      </c>
      <c r="Y307" t="s">
        <v>46</v>
      </c>
    </row>
    <row r="308" spans="1:25" x14ac:dyDescent="0.25">
      <c r="A308" t="s">
        <v>133</v>
      </c>
      <c r="N308" t="s">
        <v>46</v>
      </c>
      <c r="O308" t="s">
        <v>46</v>
      </c>
      <c r="P308" t="s">
        <v>46</v>
      </c>
      <c r="Q308" t="s">
        <v>46</v>
      </c>
      <c r="R308" t="s">
        <v>46</v>
      </c>
      <c r="S308" t="s">
        <v>46</v>
      </c>
      <c r="T308" t="s">
        <v>46</v>
      </c>
      <c r="U308" t="s">
        <v>46</v>
      </c>
      <c r="V308" t="s">
        <v>46</v>
      </c>
      <c r="W308" t="s">
        <v>46</v>
      </c>
      <c r="X308" t="s">
        <v>46</v>
      </c>
      <c r="Y308" t="s">
        <v>46</v>
      </c>
    </row>
    <row r="309" spans="1:25" x14ac:dyDescent="0.25">
      <c r="A309" t="s">
        <v>134</v>
      </c>
      <c r="N309" t="s">
        <v>46</v>
      </c>
      <c r="O309" t="s">
        <v>46</v>
      </c>
      <c r="P309" t="s">
        <v>46</v>
      </c>
      <c r="Q309" t="s">
        <v>46</v>
      </c>
      <c r="R309" t="s">
        <v>46</v>
      </c>
      <c r="S309" t="s">
        <v>46</v>
      </c>
      <c r="T309" t="s">
        <v>46</v>
      </c>
      <c r="U309" t="s">
        <v>46</v>
      </c>
      <c r="V309" t="s">
        <v>46</v>
      </c>
      <c r="W309" t="s">
        <v>46</v>
      </c>
      <c r="X309" t="s">
        <v>46</v>
      </c>
      <c r="Y309" t="s">
        <v>46</v>
      </c>
    </row>
    <row r="310" spans="1:25" x14ac:dyDescent="0.25">
      <c r="A310" t="s">
        <v>135</v>
      </c>
      <c r="N310" t="s">
        <v>46</v>
      </c>
      <c r="O310" t="s">
        <v>46</v>
      </c>
      <c r="P310" t="s">
        <v>46</v>
      </c>
      <c r="Q310" t="s">
        <v>46</v>
      </c>
      <c r="R310" t="s">
        <v>46</v>
      </c>
      <c r="S310" t="s">
        <v>46</v>
      </c>
      <c r="T310" t="s">
        <v>46</v>
      </c>
      <c r="U310" t="s">
        <v>46</v>
      </c>
      <c r="V310" t="s">
        <v>46</v>
      </c>
      <c r="W310" t="s">
        <v>46</v>
      </c>
      <c r="X310" t="s">
        <v>46</v>
      </c>
      <c r="Y310" t="s">
        <v>46</v>
      </c>
    </row>
    <row r="311" spans="1:25" x14ac:dyDescent="0.25">
      <c r="A311" t="s">
        <v>28</v>
      </c>
      <c r="N311" t="s">
        <v>46</v>
      </c>
      <c r="O311" t="s">
        <v>46</v>
      </c>
      <c r="P311" t="s">
        <v>46</v>
      </c>
      <c r="Q311" t="s">
        <v>46</v>
      </c>
      <c r="R311" t="s">
        <v>46</v>
      </c>
      <c r="S311" t="s">
        <v>46</v>
      </c>
      <c r="T311" t="s">
        <v>46</v>
      </c>
      <c r="U311" t="s">
        <v>46</v>
      </c>
      <c r="V311" t="s">
        <v>46</v>
      </c>
      <c r="W311" t="s">
        <v>46</v>
      </c>
      <c r="X311" t="s">
        <v>46</v>
      </c>
      <c r="Y311" t="s">
        <v>46</v>
      </c>
    </row>
    <row r="312" spans="1:25" x14ac:dyDescent="0.25">
      <c r="A312" t="s">
        <v>136</v>
      </c>
      <c r="N312" t="s">
        <v>46</v>
      </c>
      <c r="O312" t="s">
        <v>46</v>
      </c>
      <c r="P312" t="s">
        <v>46</v>
      </c>
      <c r="Q312" t="s">
        <v>46</v>
      </c>
      <c r="R312" t="s">
        <v>46</v>
      </c>
      <c r="S312" t="s">
        <v>46</v>
      </c>
      <c r="T312" t="s">
        <v>46</v>
      </c>
      <c r="U312" t="s">
        <v>46</v>
      </c>
      <c r="V312" t="s">
        <v>46</v>
      </c>
      <c r="W312" t="s">
        <v>46</v>
      </c>
      <c r="X312" t="s">
        <v>46</v>
      </c>
      <c r="Y312" t="s">
        <v>46</v>
      </c>
    </row>
    <row r="313" spans="1:25" x14ac:dyDescent="0.25">
      <c r="A313" t="s">
        <v>137</v>
      </c>
      <c r="B313" t="s">
        <v>41</v>
      </c>
      <c r="C313" t="s">
        <v>40</v>
      </c>
      <c r="D313" t="s">
        <v>39</v>
      </c>
      <c r="E313" t="s">
        <v>38</v>
      </c>
      <c r="F313" t="s">
        <v>37</v>
      </c>
      <c r="G313" t="s">
        <v>36</v>
      </c>
      <c r="H313" t="s">
        <v>35</v>
      </c>
      <c r="I313" t="s">
        <v>34</v>
      </c>
      <c r="J313" t="s">
        <v>33</v>
      </c>
      <c r="N313" t="s">
        <v>46</v>
      </c>
      <c r="O313" t="s">
        <v>46</v>
      </c>
      <c r="P313" t="s">
        <v>46</v>
      </c>
      <c r="Q313" t="s">
        <v>46</v>
      </c>
      <c r="R313" t="s">
        <v>46</v>
      </c>
      <c r="S313" t="s">
        <v>46</v>
      </c>
      <c r="T313" t="s">
        <v>46</v>
      </c>
      <c r="U313" t="s">
        <v>46</v>
      </c>
      <c r="V313" t="s">
        <v>46</v>
      </c>
      <c r="W313" t="s">
        <v>46</v>
      </c>
      <c r="X313" t="s">
        <v>46</v>
      </c>
      <c r="Y313" t="s">
        <v>46</v>
      </c>
    </row>
    <row r="314" spans="1:25" x14ac:dyDescent="0.25">
      <c r="A314" t="s">
        <v>138</v>
      </c>
      <c r="N314" t="s">
        <v>46</v>
      </c>
      <c r="O314" t="s">
        <v>46</v>
      </c>
      <c r="P314" t="s">
        <v>46</v>
      </c>
      <c r="Q314" t="s">
        <v>46</v>
      </c>
      <c r="R314" t="s">
        <v>46</v>
      </c>
      <c r="S314" t="s">
        <v>46</v>
      </c>
      <c r="T314" t="s">
        <v>46</v>
      </c>
      <c r="U314" t="s">
        <v>46</v>
      </c>
      <c r="V314" t="s">
        <v>46</v>
      </c>
      <c r="W314" t="s">
        <v>46</v>
      </c>
      <c r="X314" t="s">
        <v>46</v>
      </c>
      <c r="Y314" t="s">
        <v>46</v>
      </c>
    </row>
    <row r="315" spans="1:25" x14ac:dyDescent="0.25">
      <c r="A315" t="s">
        <v>139</v>
      </c>
      <c r="N315" t="s">
        <v>46</v>
      </c>
      <c r="O315" t="s">
        <v>46</v>
      </c>
      <c r="P315" t="s">
        <v>46</v>
      </c>
      <c r="Q315" t="s">
        <v>46</v>
      </c>
      <c r="R315" t="s">
        <v>46</v>
      </c>
      <c r="S315" t="s">
        <v>46</v>
      </c>
      <c r="T315" t="s">
        <v>46</v>
      </c>
      <c r="U315" t="s">
        <v>46</v>
      </c>
      <c r="V315" t="s">
        <v>46</v>
      </c>
      <c r="W315" t="s">
        <v>46</v>
      </c>
      <c r="X315" t="s">
        <v>46</v>
      </c>
      <c r="Y315" t="s">
        <v>46</v>
      </c>
    </row>
    <row r="316" spans="1:25" x14ac:dyDescent="0.25">
      <c r="A316" t="s">
        <v>140</v>
      </c>
      <c r="N316" t="s">
        <v>46</v>
      </c>
      <c r="O316" t="s">
        <v>46</v>
      </c>
      <c r="P316" t="s">
        <v>46</v>
      </c>
      <c r="Q316" t="s">
        <v>46</v>
      </c>
      <c r="R316" t="s">
        <v>46</v>
      </c>
      <c r="S316" t="s">
        <v>46</v>
      </c>
      <c r="T316" t="s">
        <v>46</v>
      </c>
      <c r="U316" t="s">
        <v>46</v>
      </c>
      <c r="V316" t="s">
        <v>46</v>
      </c>
      <c r="W316" t="s">
        <v>46</v>
      </c>
      <c r="X316" t="s">
        <v>46</v>
      </c>
      <c r="Y316" t="s">
        <v>46</v>
      </c>
    </row>
    <row r="317" spans="1:25" x14ac:dyDescent="0.25">
      <c r="A317" t="s">
        <v>141</v>
      </c>
      <c r="N317" t="s">
        <v>46</v>
      </c>
      <c r="O317" t="s">
        <v>46</v>
      </c>
      <c r="P317" t="s">
        <v>46</v>
      </c>
      <c r="Q317" t="s">
        <v>46</v>
      </c>
      <c r="R317" t="s">
        <v>46</v>
      </c>
      <c r="S317" t="s">
        <v>46</v>
      </c>
      <c r="T317" t="s">
        <v>46</v>
      </c>
      <c r="U317" t="s">
        <v>46</v>
      </c>
      <c r="V317" t="s">
        <v>46</v>
      </c>
      <c r="W317" t="s">
        <v>46</v>
      </c>
      <c r="X317" t="s">
        <v>46</v>
      </c>
      <c r="Y317" t="s">
        <v>46</v>
      </c>
    </row>
    <row r="318" spans="1:25" x14ac:dyDescent="0.25">
      <c r="A318" t="s">
        <v>142</v>
      </c>
      <c r="N318" t="s">
        <v>46</v>
      </c>
      <c r="O318" t="s">
        <v>46</v>
      </c>
      <c r="P318" t="s">
        <v>46</v>
      </c>
      <c r="Q318" t="s">
        <v>46</v>
      </c>
      <c r="R318" t="s">
        <v>46</v>
      </c>
      <c r="S318" t="s">
        <v>46</v>
      </c>
      <c r="T318" t="s">
        <v>46</v>
      </c>
      <c r="U318" t="s">
        <v>46</v>
      </c>
      <c r="V318" t="s">
        <v>46</v>
      </c>
      <c r="W318" t="s">
        <v>46</v>
      </c>
      <c r="X318" t="s">
        <v>46</v>
      </c>
      <c r="Y318" t="s">
        <v>46</v>
      </c>
    </row>
    <row r="319" spans="1:25" x14ac:dyDescent="0.25">
      <c r="A319" t="s">
        <v>143</v>
      </c>
      <c r="N319" t="s">
        <v>46</v>
      </c>
      <c r="O319" t="s">
        <v>46</v>
      </c>
      <c r="P319" t="s">
        <v>46</v>
      </c>
      <c r="Q319" t="s">
        <v>46</v>
      </c>
      <c r="R319" t="s">
        <v>46</v>
      </c>
      <c r="S319" t="s">
        <v>46</v>
      </c>
      <c r="T319" t="s">
        <v>46</v>
      </c>
      <c r="U319" t="s">
        <v>46</v>
      </c>
      <c r="V319" t="s">
        <v>46</v>
      </c>
      <c r="W319" t="s">
        <v>46</v>
      </c>
      <c r="X319" t="s">
        <v>46</v>
      </c>
      <c r="Y319" t="s">
        <v>46</v>
      </c>
    </row>
    <row r="320" spans="1:25" x14ac:dyDescent="0.25">
      <c r="A320" t="s">
        <v>144</v>
      </c>
      <c r="B320" t="s">
        <v>41</v>
      </c>
      <c r="C320" t="s">
        <v>40</v>
      </c>
      <c r="D320" t="s">
        <v>39</v>
      </c>
      <c r="E320" t="s">
        <v>38</v>
      </c>
      <c r="F320" t="s">
        <v>37</v>
      </c>
      <c r="G320" t="s">
        <v>36</v>
      </c>
      <c r="H320" t="s">
        <v>35</v>
      </c>
      <c r="I320" t="s">
        <v>34</v>
      </c>
      <c r="J320" t="s">
        <v>33</v>
      </c>
      <c r="N320" t="s">
        <v>46</v>
      </c>
      <c r="O320" t="s">
        <v>46</v>
      </c>
      <c r="P320" t="s">
        <v>46</v>
      </c>
      <c r="Q320" t="s">
        <v>46</v>
      </c>
      <c r="R320" t="s">
        <v>46</v>
      </c>
      <c r="S320" t="s">
        <v>46</v>
      </c>
      <c r="T320" t="s">
        <v>46</v>
      </c>
      <c r="U320" t="s">
        <v>46</v>
      </c>
      <c r="V320" t="s">
        <v>46</v>
      </c>
      <c r="W320" t="s">
        <v>46</v>
      </c>
      <c r="X320" t="s">
        <v>46</v>
      </c>
      <c r="Y320" t="s">
        <v>46</v>
      </c>
    </row>
    <row r="321" spans="1:25" x14ac:dyDescent="0.25">
      <c r="A321" t="s">
        <v>145</v>
      </c>
      <c r="B321" t="s">
        <v>41</v>
      </c>
      <c r="C321" t="s">
        <v>40</v>
      </c>
      <c r="D321" t="s">
        <v>39</v>
      </c>
      <c r="E321" t="s">
        <v>38</v>
      </c>
      <c r="F321" t="s">
        <v>37</v>
      </c>
      <c r="G321" t="s">
        <v>36</v>
      </c>
      <c r="H321" t="s">
        <v>35</v>
      </c>
      <c r="I321" t="s">
        <v>34</v>
      </c>
      <c r="J321" t="s">
        <v>33</v>
      </c>
      <c r="N321" t="s">
        <v>46</v>
      </c>
      <c r="O321" t="s">
        <v>46</v>
      </c>
      <c r="P321" t="s">
        <v>46</v>
      </c>
      <c r="Q321" t="s">
        <v>46</v>
      </c>
      <c r="R321" t="s">
        <v>46</v>
      </c>
      <c r="S321" t="s">
        <v>46</v>
      </c>
      <c r="T321" t="s">
        <v>46</v>
      </c>
      <c r="U321" t="s">
        <v>46</v>
      </c>
      <c r="V321" t="s">
        <v>46</v>
      </c>
      <c r="W321" t="s">
        <v>46</v>
      </c>
      <c r="X321" t="s">
        <v>46</v>
      </c>
      <c r="Y321" t="s">
        <v>46</v>
      </c>
    </row>
    <row r="322" spans="1:25" x14ac:dyDescent="0.25">
      <c r="A322" t="s">
        <v>146</v>
      </c>
      <c r="N322" t="s">
        <v>46</v>
      </c>
      <c r="O322" t="s">
        <v>46</v>
      </c>
      <c r="P322" t="s">
        <v>46</v>
      </c>
      <c r="Q322" t="s">
        <v>46</v>
      </c>
      <c r="R322" t="s">
        <v>46</v>
      </c>
      <c r="S322" t="s">
        <v>46</v>
      </c>
      <c r="T322" t="s">
        <v>46</v>
      </c>
      <c r="U322" t="s">
        <v>46</v>
      </c>
      <c r="V322" t="s">
        <v>46</v>
      </c>
      <c r="W322" t="s">
        <v>46</v>
      </c>
      <c r="X322" t="s">
        <v>46</v>
      </c>
      <c r="Y322" t="s">
        <v>46</v>
      </c>
    </row>
    <row r="323" spans="1:25" x14ac:dyDescent="0.25">
      <c r="A323" t="s">
        <v>147</v>
      </c>
      <c r="N323" t="s">
        <v>46</v>
      </c>
      <c r="O323" t="s">
        <v>46</v>
      </c>
      <c r="P323" t="s">
        <v>46</v>
      </c>
      <c r="Q323" t="s">
        <v>46</v>
      </c>
      <c r="R323" t="s">
        <v>46</v>
      </c>
      <c r="S323" t="s">
        <v>46</v>
      </c>
      <c r="T323" t="s">
        <v>46</v>
      </c>
      <c r="U323" t="s">
        <v>46</v>
      </c>
      <c r="V323" t="s">
        <v>46</v>
      </c>
      <c r="W323" t="s">
        <v>46</v>
      </c>
      <c r="X323" t="s">
        <v>46</v>
      </c>
      <c r="Y323" t="s">
        <v>46</v>
      </c>
    </row>
    <row r="324" spans="1:25" x14ac:dyDescent="0.25">
      <c r="A324" t="s">
        <v>148</v>
      </c>
      <c r="N324" t="s">
        <v>46</v>
      </c>
      <c r="O324" t="s">
        <v>46</v>
      </c>
      <c r="P324" t="s">
        <v>46</v>
      </c>
      <c r="Q324" t="s">
        <v>46</v>
      </c>
      <c r="R324" t="s">
        <v>46</v>
      </c>
      <c r="S324" t="s">
        <v>46</v>
      </c>
      <c r="T324" t="s">
        <v>46</v>
      </c>
      <c r="U324" t="s">
        <v>46</v>
      </c>
      <c r="V324" t="s">
        <v>46</v>
      </c>
      <c r="W324" t="s">
        <v>46</v>
      </c>
      <c r="X324" t="s">
        <v>46</v>
      </c>
      <c r="Y324" t="s">
        <v>46</v>
      </c>
    </row>
    <row r="325" spans="1:25" x14ac:dyDescent="0.25">
      <c r="A325" t="s">
        <v>149</v>
      </c>
      <c r="N325" t="s">
        <v>46</v>
      </c>
      <c r="O325" t="s">
        <v>46</v>
      </c>
      <c r="P325" t="s">
        <v>46</v>
      </c>
      <c r="Q325" t="s">
        <v>46</v>
      </c>
      <c r="R325" t="s">
        <v>46</v>
      </c>
      <c r="S325" t="s">
        <v>46</v>
      </c>
      <c r="T325" t="s">
        <v>46</v>
      </c>
      <c r="U325" t="s">
        <v>46</v>
      </c>
      <c r="V325" t="s">
        <v>46</v>
      </c>
      <c r="W325" t="s">
        <v>46</v>
      </c>
      <c r="X325" t="s">
        <v>46</v>
      </c>
      <c r="Y325" t="s">
        <v>46</v>
      </c>
    </row>
    <row r="326" spans="1:25" x14ac:dyDescent="0.25">
      <c r="A326" t="s">
        <v>150</v>
      </c>
      <c r="N326" t="s">
        <v>46</v>
      </c>
      <c r="O326" t="s">
        <v>46</v>
      </c>
      <c r="P326" t="s">
        <v>46</v>
      </c>
      <c r="Q326" t="s">
        <v>46</v>
      </c>
      <c r="R326" t="s">
        <v>46</v>
      </c>
      <c r="S326" t="s">
        <v>46</v>
      </c>
      <c r="T326" t="s">
        <v>46</v>
      </c>
      <c r="U326" t="s">
        <v>46</v>
      </c>
      <c r="V326" t="s">
        <v>46</v>
      </c>
      <c r="W326" t="s">
        <v>46</v>
      </c>
      <c r="X326" t="s">
        <v>46</v>
      </c>
      <c r="Y326" t="s">
        <v>46</v>
      </c>
    </row>
    <row r="327" spans="1:25" x14ac:dyDescent="0.25">
      <c r="A327" t="s">
        <v>151</v>
      </c>
      <c r="N327" t="s">
        <v>46</v>
      </c>
      <c r="O327" t="s">
        <v>46</v>
      </c>
      <c r="P327" t="s">
        <v>46</v>
      </c>
      <c r="Q327" t="s">
        <v>46</v>
      </c>
      <c r="R327" t="s">
        <v>46</v>
      </c>
      <c r="S327" t="s">
        <v>46</v>
      </c>
      <c r="T327" t="s">
        <v>46</v>
      </c>
      <c r="U327" t="s">
        <v>46</v>
      </c>
      <c r="V327" t="s">
        <v>46</v>
      </c>
      <c r="W327" t="s">
        <v>46</v>
      </c>
      <c r="X327" t="s">
        <v>46</v>
      </c>
      <c r="Y327" t="s">
        <v>46</v>
      </c>
    </row>
    <row r="328" spans="1:25" x14ac:dyDescent="0.25">
      <c r="A328" t="s">
        <v>152</v>
      </c>
      <c r="B328" t="s">
        <v>41</v>
      </c>
      <c r="C328" t="s">
        <v>40</v>
      </c>
      <c r="D328" t="s">
        <v>39</v>
      </c>
      <c r="E328" t="s">
        <v>38</v>
      </c>
      <c r="F328" t="s">
        <v>37</v>
      </c>
      <c r="G328" t="s">
        <v>36</v>
      </c>
      <c r="H328" t="s">
        <v>35</v>
      </c>
      <c r="I328" t="s">
        <v>34</v>
      </c>
      <c r="J328" t="s">
        <v>33</v>
      </c>
      <c r="N328" t="s">
        <v>46</v>
      </c>
      <c r="O328" t="s">
        <v>46</v>
      </c>
      <c r="P328" t="s">
        <v>46</v>
      </c>
      <c r="Q328" t="s">
        <v>46</v>
      </c>
      <c r="R328" t="s">
        <v>46</v>
      </c>
      <c r="S328" t="s">
        <v>46</v>
      </c>
      <c r="T328" t="s">
        <v>46</v>
      </c>
      <c r="U328" t="s">
        <v>46</v>
      </c>
      <c r="V328" t="s">
        <v>46</v>
      </c>
      <c r="W328" t="s">
        <v>46</v>
      </c>
      <c r="X328" t="s">
        <v>46</v>
      </c>
      <c r="Y328" t="s">
        <v>46</v>
      </c>
    </row>
    <row r="329" spans="1:25" x14ac:dyDescent="0.25">
      <c r="A329" t="s">
        <v>153</v>
      </c>
      <c r="B329" t="s">
        <v>41</v>
      </c>
      <c r="C329" t="s">
        <v>40</v>
      </c>
      <c r="D329" t="s">
        <v>39</v>
      </c>
      <c r="E329" t="s">
        <v>38</v>
      </c>
      <c r="F329" t="s">
        <v>37</v>
      </c>
      <c r="G329" t="s">
        <v>36</v>
      </c>
      <c r="H329" t="s">
        <v>35</v>
      </c>
      <c r="I329" t="s">
        <v>34</v>
      </c>
      <c r="J329" t="s">
        <v>33</v>
      </c>
      <c r="N329" t="s">
        <v>46</v>
      </c>
      <c r="O329" t="s">
        <v>46</v>
      </c>
      <c r="P329" t="s">
        <v>46</v>
      </c>
      <c r="Q329" t="s">
        <v>46</v>
      </c>
      <c r="R329" t="s">
        <v>46</v>
      </c>
      <c r="S329" t="s">
        <v>46</v>
      </c>
      <c r="T329" t="s">
        <v>46</v>
      </c>
      <c r="U329" t="s">
        <v>46</v>
      </c>
      <c r="V329" t="s">
        <v>46</v>
      </c>
      <c r="W329" t="s">
        <v>46</v>
      </c>
      <c r="X329" t="s">
        <v>46</v>
      </c>
      <c r="Y329" t="s">
        <v>46</v>
      </c>
    </row>
    <row r="330" spans="1:25" x14ac:dyDescent="0.25">
      <c r="A330" t="s">
        <v>154</v>
      </c>
      <c r="N330" t="s">
        <v>46</v>
      </c>
      <c r="O330" t="s">
        <v>46</v>
      </c>
      <c r="P330" t="s">
        <v>46</v>
      </c>
      <c r="Q330" t="s">
        <v>46</v>
      </c>
      <c r="R330" t="s">
        <v>46</v>
      </c>
      <c r="S330" t="s">
        <v>46</v>
      </c>
      <c r="T330" t="s">
        <v>46</v>
      </c>
      <c r="U330" t="s">
        <v>46</v>
      </c>
      <c r="V330" t="s">
        <v>46</v>
      </c>
      <c r="W330" t="s">
        <v>46</v>
      </c>
      <c r="X330" t="s">
        <v>46</v>
      </c>
      <c r="Y330" t="s">
        <v>46</v>
      </c>
    </row>
  </sheetData>
  <sortState xmlns:xlrd2="http://schemas.microsoft.com/office/spreadsheetml/2017/richdata2" columnSort="1" ref="B2:M79">
    <sortCondition ref="B2:M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Sarthak Dalmia</cp:lastModifiedBy>
  <dcterms:created xsi:type="dcterms:W3CDTF">2013-04-03T15:49:21Z</dcterms:created>
  <dcterms:modified xsi:type="dcterms:W3CDTF">2020-06-22T12:52:10Z</dcterms:modified>
</cp:coreProperties>
</file>