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_admin\blp\data\"/>
    </mc:Choice>
  </mc:AlternateContent>
  <xr:revisionPtr revIDLastSave="0" documentId="13_ncr:1_{C0214BF9-B680-4A43-A602-7C39D8A68E41}" xr6:coauthVersionLast="36" xr6:coauthVersionMax="36" xr10:uidLastSave="{00000000-0000-0000-0000-000000000000}"/>
  <bookViews>
    <workbookView xWindow="10395" yWindow="-105" windowWidth="14850" windowHeight="12735" activeTab="3" xr2:uid="{00000000-000D-0000-FFFF-FFFF00000000}"/>
  </bookViews>
  <sheets>
    <sheet name="BIData" sheetId="2" r:id="rId1"/>
    <sheet name="BiData1" sheetId="5" r:id="rId2"/>
    <sheet name="ReferenceData" sheetId="3" r:id="rId3"/>
    <sheet name="RefData1" sheetId="6" r:id="rId4"/>
    <sheet name="Help-Reference" sheetId="4" r:id="rId5"/>
  </sheets>
  <calcPr calcId="191029"/>
</workbook>
</file>

<file path=xl/calcChain.xml><?xml version="1.0" encoding="utf-8"?>
<calcChain xmlns="http://schemas.openxmlformats.org/spreadsheetml/2006/main">
  <c r="Q91" i="3" l="1"/>
  <c r="P91" i="3"/>
  <c r="O91" i="3"/>
  <c r="N91" i="3"/>
  <c r="M91" i="3"/>
  <c r="L91" i="3"/>
  <c r="E91" i="3"/>
  <c r="D91" i="3"/>
  <c r="C91" i="3"/>
  <c r="B91" i="3"/>
  <c r="A91" i="3"/>
  <c r="Q90" i="3"/>
  <c r="P90" i="3"/>
  <c r="O90" i="3"/>
  <c r="N90" i="3"/>
  <c r="M90" i="3"/>
  <c r="L90" i="3"/>
  <c r="H90" i="3"/>
  <c r="G90" i="3"/>
  <c r="F90" i="3"/>
  <c r="O2" i="3" s="1"/>
  <c r="E90" i="3"/>
  <c r="D90" i="3"/>
  <c r="C90" i="3"/>
  <c r="B90" i="3"/>
  <c r="B88" i="3" s="1"/>
  <c r="A90" i="3"/>
  <c r="Q89" i="3"/>
  <c r="P89" i="3"/>
  <c r="O89" i="3"/>
  <c r="N89" i="3"/>
  <c r="M89" i="3"/>
  <c r="L89" i="3"/>
  <c r="Q88" i="3"/>
  <c r="P88" i="3"/>
  <c r="O88" i="3"/>
  <c r="N88" i="3"/>
  <c r="M88" i="3"/>
  <c r="L88" i="3"/>
  <c r="A88" i="3"/>
  <c r="Q87" i="3"/>
  <c r="P87" i="3"/>
  <c r="O87" i="3"/>
  <c r="N87" i="3"/>
  <c r="M87" i="3"/>
  <c r="L87" i="3"/>
  <c r="B87" i="3"/>
  <c r="A87" i="3"/>
  <c r="Q86" i="3"/>
  <c r="P86" i="3"/>
  <c r="O86" i="3"/>
  <c r="N86" i="3"/>
  <c r="M86" i="3"/>
  <c r="L86" i="3"/>
  <c r="C86" i="3"/>
  <c r="A86" i="3"/>
  <c r="Q85" i="3"/>
  <c r="P85" i="3"/>
  <c r="O85" i="3"/>
  <c r="N85" i="3"/>
  <c r="M85" i="3"/>
  <c r="L85" i="3"/>
  <c r="B85" i="3"/>
  <c r="A85" i="3"/>
  <c r="Q84" i="3"/>
  <c r="P84" i="3"/>
  <c r="O84" i="3"/>
  <c r="N84" i="3"/>
  <c r="M84" i="3"/>
  <c r="L84" i="3"/>
  <c r="C84" i="3"/>
  <c r="B84" i="3"/>
  <c r="A84" i="3"/>
  <c r="Q83" i="3"/>
  <c r="P83" i="3"/>
  <c r="O83" i="3"/>
  <c r="N83" i="3"/>
  <c r="M83" i="3"/>
  <c r="L83" i="3"/>
  <c r="B83" i="3"/>
  <c r="A83" i="3"/>
  <c r="Q82" i="3"/>
  <c r="P82" i="3"/>
  <c r="O82" i="3"/>
  <c r="N82" i="3"/>
  <c r="M82" i="3"/>
  <c r="L82" i="3"/>
  <c r="Q81" i="3"/>
  <c r="P81" i="3"/>
  <c r="O81" i="3"/>
  <c r="N81" i="3"/>
  <c r="M81" i="3"/>
  <c r="L81" i="3"/>
  <c r="A81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E72" i="3"/>
  <c r="B72" i="3"/>
  <c r="B72" i="2" s="1"/>
  <c r="A72" i="3"/>
  <c r="Q71" i="3"/>
  <c r="P71" i="3"/>
  <c r="O71" i="3"/>
  <c r="N71" i="3"/>
  <c r="M71" i="3"/>
  <c r="L71" i="3"/>
  <c r="E71" i="3"/>
  <c r="B71" i="3"/>
  <c r="A71" i="3"/>
  <c r="A71" i="2" s="1"/>
  <c r="Q70" i="3"/>
  <c r="P70" i="3"/>
  <c r="O70" i="3"/>
  <c r="N70" i="3"/>
  <c r="M70" i="3"/>
  <c r="L70" i="3"/>
  <c r="E70" i="3"/>
  <c r="B70" i="3"/>
  <c r="A70" i="3"/>
  <c r="Q69" i="3"/>
  <c r="P69" i="3"/>
  <c r="O69" i="3"/>
  <c r="N69" i="3"/>
  <c r="M69" i="3"/>
  <c r="L69" i="3"/>
  <c r="E69" i="3"/>
  <c r="E69" i="2" s="1"/>
  <c r="B69" i="3"/>
  <c r="A69" i="3"/>
  <c r="Q68" i="3"/>
  <c r="P68" i="3"/>
  <c r="O68" i="3"/>
  <c r="N68" i="3"/>
  <c r="M68" i="3"/>
  <c r="L68" i="3"/>
  <c r="E68" i="3"/>
  <c r="B68" i="3"/>
  <c r="B68" i="2" s="1"/>
  <c r="A68" i="3"/>
  <c r="Q67" i="3"/>
  <c r="P67" i="3"/>
  <c r="O67" i="3"/>
  <c r="N67" i="3"/>
  <c r="M67" i="3"/>
  <c r="L67" i="3"/>
  <c r="E67" i="3"/>
  <c r="B67" i="3"/>
  <c r="A67" i="3"/>
  <c r="A67" i="2" s="1"/>
  <c r="Q66" i="3"/>
  <c r="P66" i="3"/>
  <c r="O66" i="3"/>
  <c r="N66" i="3"/>
  <c r="M66" i="3"/>
  <c r="L66" i="3"/>
  <c r="E66" i="3"/>
  <c r="B66" i="3"/>
  <c r="A66" i="3"/>
  <c r="Q65" i="3"/>
  <c r="P65" i="3"/>
  <c r="O65" i="3"/>
  <c r="N65" i="3"/>
  <c r="M65" i="3"/>
  <c r="L65" i="3"/>
  <c r="E65" i="3"/>
  <c r="B65" i="3"/>
  <c r="A65" i="3"/>
  <c r="Q64" i="3"/>
  <c r="P64" i="3"/>
  <c r="O64" i="3"/>
  <c r="N64" i="3"/>
  <c r="M64" i="3"/>
  <c r="L64" i="3"/>
  <c r="E64" i="3"/>
  <c r="B64" i="3"/>
  <c r="A64" i="3"/>
  <c r="Q63" i="3"/>
  <c r="P63" i="3"/>
  <c r="O63" i="3"/>
  <c r="N63" i="3"/>
  <c r="M63" i="3"/>
  <c r="L63" i="3"/>
  <c r="E63" i="3"/>
  <c r="B63" i="3"/>
  <c r="A63" i="3"/>
  <c r="Q62" i="3"/>
  <c r="P62" i="3"/>
  <c r="O62" i="3"/>
  <c r="N62" i="3"/>
  <c r="M62" i="3"/>
  <c r="L62" i="3"/>
  <c r="E62" i="3"/>
  <c r="B62" i="3"/>
  <c r="A62" i="3"/>
  <c r="Q61" i="3"/>
  <c r="P61" i="3"/>
  <c r="O61" i="3"/>
  <c r="N61" i="3"/>
  <c r="M61" i="3"/>
  <c r="L61" i="3"/>
  <c r="E61" i="3"/>
  <c r="E61" i="2" s="1"/>
  <c r="B61" i="3"/>
  <c r="A61" i="3"/>
  <c r="Q60" i="3"/>
  <c r="P60" i="3"/>
  <c r="O60" i="3"/>
  <c r="N60" i="3"/>
  <c r="M60" i="3"/>
  <c r="L60" i="3"/>
  <c r="E60" i="3"/>
  <c r="B60" i="3"/>
  <c r="B60" i="2" s="1"/>
  <c r="A60" i="3"/>
  <c r="Q59" i="3"/>
  <c r="P59" i="3"/>
  <c r="O59" i="3"/>
  <c r="N59" i="3"/>
  <c r="M59" i="3"/>
  <c r="L59" i="3"/>
  <c r="E59" i="3"/>
  <c r="B59" i="3"/>
  <c r="A59" i="3"/>
  <c r="Q58" i="3"/>
  <c r="P58" i="3"/>
  <c r="O58" i="3"/>
  <c r="N58" i="3"/>
  <c r="M58" i="3"/>
  <c r="L58" i="3"/>
  <c r="E58" i="3"/>
  <c r="B58" i="3"/>
  <c r="A58" i="3"/>
  <c r="Q57" i="3"/>
  <c r="P57" i="3"/>
  <c r="O57" i="3"/>
  <c r="N57" i="3"/>
  <c r="M57" i="3"/>
  <c r="L57" i="3"/>
  <c r="E57" i="3"/>
  <c r="B57" i="3"/>
  <c r="A57" i="3"/>
  <c r="Q56" i="3"/>
  <c r="P56" i="3"/>
  <c r="O56" i="3"/>
  <c r="N56" i="3"/>
  <c r="M56" i="3"/>
  <c r="L56" i="3"/>
  <c r="E56" i="3"/>
  <c r="B56" i="3"/>
  <c r="A56" i="3"/>
  <c r="Q55" i="3"/>
  <c r="P55" i="3"/>
  <c r="O55" i="3"/>
  <c r="N55" i="3"/>
  <c r="M55" i="3"/>
  <c r="L55" i="3"/>
  <c r="E55" i="3"/>
  <c r="B55" i="3"/>
  <c r="A55" i="3"/>
  <c r="Q54" i="3"/>
  <c r="P54" i="3"/>
  <c r="O54" i="3"/>
  <c r="N54" i="3"/>
  <c r="M54" i="3"/>
  <c r="L54" i="3"/>
  <c r="E54" i="3"/>
  <c r="B54" i="3"/>
  <c r="A54" i="3"/>
  <c r="Q53" i="3"/>
  <c r="P53" i="3"/>
  <c r="O53" i="3"/>
  <c r="N53" i="3"/>
  <c r="M53" i="3"/>
  <c r="L53" i="3"/>
  <c r="E53" i="3"/>
  <c r="E53" i="2" s="1"/>
  <c r="B53" i="3"/>
  <c r="A53" i="3"/>
  <c r="Q52" i="3"/>
  <c r="P52" i="3"/>
  <c r="O52" i="3"/>
  <c r="N52" i="3"/>
  <c r="M52" i="3"/>
  <c r="L52" i="3"/>
  <c r="E52" i="3"/>
  <c r="B52" i="3"/>
  <c r="A52" i="3"/>
  <c r="Q51" i="3"/>
  <c r="P51" i="3"/>
  <c r="O51" i="3"/>
  <c r="N51" i="3"/>
  <c r="M51" i="3"/>
  <c r="L51" i="3"/>
  <c r="E51" i="3"/>
  <c r="B51" i="3"/>
  <c r="A51" i="3"/>
  <c r="Q50" i="3"/>
  <c r="P50" i="3"/>
  <c r="O50" i="3"/>
  <c r="N50" i="3"/>
  <c r="M50" i="3"/>
  <c r="L50" i="3"/>
  <c r="E50" i="3"/>
  <c r="B50" i="3"/>
  <c r="A50" i="3"/>
  <c r="Q49" i="3"/>
  <c r="P49" i="3"/>
  <c r="O49" i="3"/>
  <c r="N49" i="3"/>
  <c r="M49" i="3"/>
  <c r="L49" i="3"/>
  <c r="E49" i="3"/>
  <c r="B49" i="3"/>
  <c r="A49" i="3"/>
  <c r="Q48" i="3"/>
  <c r="P48" i="3"/>
  <c r="O48" i="3"/>
  <c r="N48" i="3"/>
  <c r="M48" i="3"/>
  <c r="L48" i="3"/>
  <c r="E48" i="3"/>
  <c r="B48" i="3"/>
  <c r="A48" i="3"/>
  <c r="Q47" i="3"/>
  <c r="P47" i="3"/>
  <c r="O47" i="3"/>
  <c r="N47" i="3"/>
  <c r="M47" i="3"/>
  <c r="L47" i="3"/>
  <c r="E47" i="3"/>
  <c r="B47" i="3"/>
  <c r="A47" i="3"/>
  <c r="Q46" i="3"/>
  <c r="P46" i="3"/>
  <c r="O46" i="3"/>
  <c r="N46" i="3"/>
  <c r="M46" i="3"/>
  <c r="L46" i="3"/>
  <c r="E46" i="3"/>
  <c r="B46" i="3"/>
  <c r="A46" i="3"/>
  <c r="Q45" i="3"/>
  <c r="P45" i="3"/>
  <c r="O45" i="3"/>
  <c r="N45" i="3"/>
  <c r="M45" i="3"/>
  <c r="L45" i="3"/>
  <c r="E45" i="3"/>
  <c r="E45" i="2" s="1"/>
  <c r="B45" i="3"/>
  <c r="A45" i="3"/>
  <c r="Q44" i="3"/>
  <c r="P44" i="3"/>
  <c r="O44" i="3"/>
  <c r="N44" i="3"/>
  <c r="M44" i="3"/>
  <c r="L44" i="3"/>
  <c r="E44" i="3"/>
  <c r="B44" i="3"/>
  <c r="A44" i="3"/>
  <c r="Q43" i="3"/>
  <c r="P43" i="3"/>
  <c r="O43" i="3"/>
  <c r="N43" i="3"/>
  <c r="M43" i="3"/>
  <c r="L43" i="3"/>
  <c r="E43" i="3"/>
  <c r="B43" i="3"/>
  <c r="A43" i="3"/>
  <c r="A43" i="2" s="1"/>
  <c r="Q42" i="3"/>
  <c r="P42" i="3"/>
  <c r="O42" i="3"/>
  <c r="N42" i="3"/>
  <c r="M42" i="3"/>
  <c r="L42" i="3"/>
  <c r="E42" i="3"/>
  <c r="B42" i="3"/>
  <c r="A42" i="3"/>
  <c r="Q41" i="3"/>
  <c r="P41" i="3"/>
  <c r="O41" i="3"/>
  <c r="N41" i="3"/>
  <c r="M41" i="3"/>
  <c r="L41" i="3"/>
  <c r="E41" i="3"/>
  <c r="B41" i="3"/>
  <c r="A41" i="3"/>
  <c r="Q40" i="3"/>
  <c r="P40" i="3"/>
  <c r="O40" i="3"/>
  <c r="N40" i="3"/>
  <c r="M40" i="3"/>
  <c r="L40" i="3"/>
  <c r="E40" i="3"/>
  <c r="B40" i="3"/>
  <c r="A40" i="3"/>
  <c r="Q39" i="3"/>
  <c r="P39" i="3"/>
  <c r="O39" i="3"/>
  <c r="N39" i="3"/>
  <c r="M39" i="3"/>
  <c r="L39" i="3"/>
  <c r="E39" i="3"/>
  <c r="B39" i="3"/>
  <c r="A39" i="3"/>
  <c r="Q38" i="3"/>
  <c r="P38" i="3"/>
  <c r="O38" i="3"/>
  <c r="N38" i="3"/>
  <c r="M38" i="3"/>
  <c r="L38" i="3"/>
  <c r="E38" i="3"/>
  <c r="B38" i="3"/>
  <c r="A38" i="3"/>
  <c r="Q37" i="3"/>
  <c r="P37" i="3"/>
  <c r="O37" i="3"/>
  <c r="N37" i="3"/>
  <c r="M37" i="3"/>
  <c r="L37" i="3"/>
  <c r="E37" i="3"/>
  <c r="E37" i="2" s="1"/>
  <c r="B37" i="3"/>
  <c r="A37" i="3"/>
  <c r="Q36" i="3"/>
  <c r="P36" i="3"/>
  <c r="O36" i="3"/>
  <c r="N36" i="3"/>
  <c r="M36" i="3"/>
  <c r="L36" i="3"/>
  <c r="E36" i="3"/>
  <c r="B36" i="3"/>
  <c r="A36" i="3"/>
  <c r="Q35" i="3"/>
  <c r="P35" i="3"/>
  <c r="O35" i="3"/>
  <c r="N35" i="3"/>
  <c r="M35" i="3"/>
  <c r="L35" i="3"/>
  <c r="E35" i="3"/>
  <c r="B35" i="3"/>
  <c r="A35" i="3"/>
  <c r="Q34" i="3"/>
  <c r="P34" i="3"/>
  <c r="O34" i="3"/>
  <c r="N34" i="3"/>
  <c r="M34" i="3"/>
  <c r="L34" i="3"/>
  <c r="E34" i="3"/>
  <c r="B34" i="3"/>
  <c r="A34" i="3"/>
  <c r="Q33" i="3"/>
  <c r="P33" i="3"/>
  <c r="O33" i="3"/>
  <c r="N33" i="3"/>
  <c r="M33" i="3"/>
  <c r="L33" i="3"/>
  <c r="E33" i="3"/>
  <c r="B33" i="3"/>
  <c r="A33" i="3"/>
  <c r="Q32" i="3"/>
  <c r="P32" i="3"/>
  <c r="O32" i="3"/>
  <c r="N32" i="3"/>
  <c r="M32" i="3"/>
  <c r="L32" i="3"/>
  <c r="E32" i="3"/>
  <c r="B32" i="3"/>
  <c r="A32" i="3"/>
  <c r="Q31" i="3"/>
  <c r="P31" i="3"/>
  <c r="O31" i="3"/>
  <c r="N31" i="3"/>
  <c r="M31" i="3"/>
  <c r="L31" i="3"/>
  <c r="E31" i="3"/>
  <c r="B31" i="3"/>
  <c r="A31" i="3"/>
  <c r="Q30" i="3"/>
  <c r="P30" i="3"/>
  <c r="O30" i="3"/>
  <c r="N30" i="3"/>
  <c r="M30" i="3"/>
  <c r="L30" i="3"/>
  <c r="E30" i="3"/>
  <c r="B30" i="3"/>
  <c r="A30" i="3"/>
  <c r="Q29" i="3"/>
  <c r="P29" i="3"/>
  <c r="O29" i="3"/>
  <c r="N29" i="3"/>
  <c r="M29" i="3"/>
  <c r="L29" i="3"/>
  <c r="E29" i="3"/>
  <c r="E29" i="2" s="1"/>
  <c r="B29" i="3"/>
  <c r="A29" i="3"/>
  <c r="Q28" i="3"/>
  <c r="P28" i="3"/>
  <c r="O28" i="3"/>
  <c r="N28" i="3"/>
  <c r="M28" i="3"/>
  <c r="L28" i="3"/>
  <c r="E28" i="3"/>
  <c r="B28" i="3"/>
  <c r="B28" i="2" s="1"/>
  <c r="A28" i="3"/>
  <c r="Q27" i="3"/>
  <c r="P27" i="3"/>
  <c r="O27" i="3"/>
  <c r="N27" i="3"/>
  <c r="M27" i="3"/>
  <c r="L27" i="3"/>
  <c r="E27" i="3"/>
  <c r="B27" i="3"/>
  <c r="A27" i="3"/>
  <c r="Q26" i="3"/>
  <c r="P26" i="3"/>
  <c r="O26" i="3"/>
  <c r="N26" i="3"/>
  <c r="M26" i="3"/>
  <c r="L26" i="3"/>
  <c r="E26" i="3"/>
  <c r="B26" i="3"/>
  <c r="A26" i="3"/>
  <c r="Q25" i="3"/>
  <c r="P25" i="3"/>
  <c r="O25" i="3"/>
  <c r="N25" i="3"/>
  <c r="M25" i="3"/>
  <c r="L25" i="3"/>
  <c r="E25" i="3"/>
  <c r="B25" i="3"/>
  <c r="A25" i="3"/>
  <c r="Q24" i="3"/>
  <c r="P24" i="3"/>
  <c r="O24" i="3"/>
  <c r="N24" i="3"/>
  <c r="M24" i="3"/>
  <c r="L24" i="3"/>
  <c r="E24" i="3"/>
  <c r="B24" i="3"/>
  <c r="A24" i="3"/>
  <c r="Q23" i="3"/>
  <c r="P23" i="3"/>
  <c r="O23" i="3"/>
  <c r="N23" i="3"/>
  <c r="M23" i="3"/>
  <c r="L23" i="3"/>
  <c r="E23" i="3"/>
  <c r="B23" i="3"/>
  <c r="A23" i="3"/>
  <c r="Q22" i="3"/>
  <c r="P22" i="3"/>
  <c r="O22" i="3"/>
  <c r="N22" i="3"/>
  <c r="M22" i="3"/>
  <c r="L22" i="3"/>
  <c r="E22" i="3"/>
  <c r="B22" i="3"/>
  <c r="A22" i="3"/>
  <c r="Q21" i="3"/>
  <c r="P21" i="3"/>
  <c r="O21" i="3"/>
  <c r="N21" i="3"/>
  <c r="M21" i="3"/>
  <c r="L21" i="3"/>
  <c r="E21" i="3"/>
  <c r="E21" i="2" s="1"/>
  <c r="B21" i="3"/>
  <c r="A21" i="3"/>
  <c r="Q20" i="3"/>
  <c r="P20" i="3"/>
  <c r="O20" i="3"/>
  <c r="N20" i="3"/>
  <c r="M20" i="3"/>
  <c r="L20" i="3"/>
  <c r="E20" i="3"/>
  <c r="B20" i="3"/>
  <c r="A20" i="3"/>
  <c r="Q19" i="3"/>
  <c r="P19" i="3"/>
  <c r="O19" i="3"/>
  <c r="N19" i="3"/>
  <c r="M19" i="3"/>
  <c r="L19" i="3"/>
  <c r="E19" i="3"/>
  <c r="B19" i="3"/>
  <c r="A19" i="3"/>
  <c r="Q18" i="3"/>
  <c r="P18" i="3"/>
  <c r="O18" i="3"/>
  <c r="N18" i="3"/>
  <c r="M18" i="3"/>
  <c r="L18" i="3"/>
  <c r="E18" i="3"/>
  <c r="B18" i="3"/>
  <c r="A18" i="3"/>
  <c r="Q17" i="3"/>
  <c r="P17" i="3"/>
  <c r="O17" i="3"/>
  <c r="N17" i="3"/>
  <c r="M17" i="3"/>
  <c r="L17" i="3"/>
  <c r="E17" i="3"/>
  <c r="B17" i="3"/>
  <c r="A17" i="3"/>
  <c r="Q16" i="3"/>
  <c r="P16" i="3"/>
  <c r="O16" i="3"/>
  <c r="N16" i="3"/>
  <c r="M16" i="3"/>
  <c r="L16" i="3"/>
  <c r="E16" i="3"/>
  <c r="B16" i="3"/>
  <c r="A16" i="3"/>
  <c r="Q15" i="3"/>
  <c r="P15" i="3"/>
  <c r="O15" i="3"/>
  <c r="N15" i="3"/>
  <c r="M15" i="3"/>
  <c r="L15" i="3"/>
  <c r="E15" i="3"/>
  <c r="B15" i="3"/>
  <c r="A15" i="3"/>
  <c r="Q14" i="3"/>
  <c r="P14" i="3"/>
  <c r="O14" i="3"/>
  <c r="N14" i="3"/>
  <c r="M14" i="3"/>
  <c r="L14" i="3"/>
  <c r="E14" i="3"/>
  <c r="B14" i="3"/>
  <c r="A14" i="3"/>
  <c r="Q13" i="3"/>
  <c r="P13" i="3"/>
  <c r="O13" i="3"/>
  <c r="N13" i="3"/>
  <c r="M13" i="3"/>
  <c r="L13" i="3"/>
  <c r="E13" i="3"/>
  <c r="B13" i="3"/>
  <c r="A13" i="3"/>
  <c r="Q12" i="3"/>
  <c r="P12" i="3"/>
  <c r="O12" i="3"/>
  <c r="N12" i="3"/>
  <c r="M12" i="3"/>
  <c r="L12" i="3"/>
  <c r="E12" i="3"/>
  <c r="B12" i="3"/>
  <c r="A12" i="3"/>
  <c r="Q11" i="3"/>
  <c r="P11" i="3"/>
  <c r="O11" i="3"/>
  <c r="N11" i="3"/>
  <c r="M11" i="3"/>
  <c r="L11" i="3"/>
  <c r="E11" i="3"/>
  <c r="B11" i="3"/>
  <c r="A11" i="3"/>
  <c r="A11" i="2" s="1"/>
  <c r="Q10" i="3"/>
  <c r="P10" i="3"/>
  <c r="O10" i="3"/>
  <c r="N10" i="3"/>
  <c r="M10" i="3"/>
  <c r="L10" i="3"/>
  <c r="E10" i="3"/>
  <c r="B10" i="3"/>
  <c r="A10" i="3"/>
  <c r="Q9" i="3"/>
  <c r="P9" i="3"/>
  <c r="O9" i="3"/>
  <c r="N9" i="3"/>
  <c r="M9" i="3"/>
  <c r="L9" i="3"/>
  <c r="E9" i="3"/>
  <c r="B9" i="3"/>
  <c r="A9" i="3"/>
  <c r="Q8" i="3"/>
  <c r="P8" i="3"/>
  <c r="O8" i="3"/>
  <c r="N8" i="3"/>
  <c r="M8" i="3"/>
  <c r="L8" i="3"/>
  <c r="E8" i="3"/>
  <c r="B8" i="3"/>
  <c r="A8" i="3"/>
  <c r="Q7" i="3"/>
  <c r="P7" i="3"/>
  <c r="O7" i="3"/>
  <c r="N7" i="3"/>
  <c r="M7" i="3"/>
  <c r="L7" i="3"/>
  <c r="E7" i="3"/>
  <c r="B7" i="3"/>
  <c r="A7" i="3"/>
  <c r="Q6" i="3"/>
  <c r="P6" i="3"/>
  <c r="O6" i="3"/>
  <c r="N6" i="3"/>
  <c r="M6" i="3"/>
  <c r="L6" i="3"/>
  <c r="E6" i="3"/>
  <c r="B6" i="3"/>
  <c r="A6" i="3"/>
  <c r="Q5" i="3"/>
  <c r="P5" i="3"/>
  <c r="O5" i="3"/>
  <c r="N5" i="3"/>
  <c r="M5" i="3"/>
  <c r="L5" i="3"/>
  <c r="E5" i="3"/>
  <c r="E5" i="2" s="1"/>
  <c r="B5" i="3"/>
  <c r="A5" i="3"/>
  <c r="Q4" i="3"/>
  <c r="P4" i="3"/>
  <c r="O4" i="3"/>
  <c r="N4" i="3"/>
  <c r="M4" i="3"/>
  <c r="L4" i="3"/>
  <c r="E4" i="3"/>
  <c r="B4" i="3"/>
  <c r="A4" i="3"/>
  <c r="Q3" i="3"/>
  <c r="P3" i="3"/>
  <c r="O3" i="3"/>
  <c r="N3" i="3"/>
  <c r="M3" i="3"/>
  <c r="L3" i="3"/>
  <c r="E3" i="3"/>
  <c r="B3" i="3"/>
  <c r="A3" i="3"/>
  <c r="A3" i="2" s="1"/>
  <c r="Q2" i="3"/>
  <c r="P2" i="3"/>
  <c r="N2" i="3"/>
  <c r="M2" i="3"/>
  <c r="L2" i="3"/>
  <c r="K2" i="3"/>
  <c r="J2" i="3"/>
  <c r="I2" i="3"/>
  <c r="H2" i="2" s="1"/>
  <c r="H2" i="3"/>
  <c r="G2" i="3"/>
  <c r="F2" i="3"/>
  <c r="E2" i="3"/>
  <c r="D2" i="3"/>
  <c r="C2" i="3"/>
  <c r="B2" i="3"/>
  <c r="A2" i="3"/>
  <c r="E72" i="2"/>
  <c r="D72" i="2"/>
  <c r="C72" i="2"/>
  <c r="A72" i="2"/>
  <c r="E71" i="2"/>
  <c r="D71" i="2"/>
  <c r="C71" i="2"/>
  <c r="B71" i="2"/>
  <c r="E70" i="2"/>
  <c r="D70" i="2"/>
  <c r="C70" i="2"/>
  <c r="B70" i="2"/>
  <c r="A70" i="2"/>
  <c r="D69" i="2"/>
  <c r="C69" i="2"/>
  <c r="B69" i="2"/>
  <c r="A69" i="2"/>
  <c r="E68" i="2"/>
  <c r="D68" i="2"/>
  <c r="C68" i="2"/>
  <c r="A68" i="2"/>
  <c r="E67" i="2"/>
  <c r="D67" i="2"/>
  <c r="C67" i="2"/>
  <c r="B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D61" i="2"/>
  <c r="C61" i="2"/>
  <c r="B61" i="2"/>
  <c r="A61" i="2"/>
  <c r="E60" i="2"/>
  <c r="D60" i="2"/>
  <c r="C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D29" i="2"/>
  <c r="C29" i="2"/>
  <c r="B29" i="2"/>
  <c r="A29" i="2"/>
  <c r="E28" i="2"/>
  <c r="D28" i="2"/>
  <c r="C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K2" i="2"/>
  <c r="J2" i="2"/>
  <c r="I2" i="2"/>
  <c r="G2" i="2"/>
  <c r="F2" i="2"/>
  <c r="E2" i="2"/>
  <c r="D2" i="2"/>
  <c r="C2" i="2"/>
  <c r="B2" i="2"/>
  <c r="A2" i="2"/>
  <c r="K72" i="3"/>
  <c r="G72" i="3"/>
  <c r="J71" i="3"/>
  <c r="F71" i="3"/>
  <c r="I70" i="3"/>
  <c r="H69" i="3"/>
  <c r="K68" i="3"/>
  <c r="G68" i="3"/>
  <c r="J67" i="3"/>
  <c r="F67" i="3"/>
  <c r="I66" i="3"/>
  <c r="H65" i="3"/>
  <c r="K64" i="3"/>
  <c r="G64" i="3"/>
  <c r="J63" i="3"/>
  <c r="F63" i="3"/>
  <c r="I62" i="3"/>
  <c r="H61" i="3"/>
  <c r="K60" i="3"/>
  <c r="G60" i="3"/>
  <c r="J59" i="3"/>
  <c r="F59" i="3"/>
  <c r="I58" i="3"/>
  <c r="H57" i="3"/>
  <c r="K56" i="3"/>
  <c r="G56" i="3"/>
  <c r="J55" i="3"/>
  <c r="F55" i="3"/>
  <c r="I54" i="3"/>
  <c r="H53" i="3"/>
  <c r="K52" i="3"/>
  <c r="G52" i="3"/>
  <c r="I50" i="3"/>
  <c r="H49" i="3"/>
  <c r="K48" i="3"/>
  <c r="G48" i="3"/>
  <c r="J47" i="3"/>
  <c r="F47" i="3"/>
  <c r="I46" i="3"/>
  <c r="H45" i="3"/>
  <c r="K44" i="3"/>
  <c r="G44" i="3"/>
  <c r="J43" i="3"/>
  <c r="F43" i="3"/>
  <c r="I42" i="3"/>
  <c r="H41" i="3"/>
  <c r="K40" i="3"/>
  <c r="G40" i="3"/>
  <c r="J39" i="3"/>
  <c r="F39" i="3"/>
  <c r="I38" i="3"/>
  <c r="H37" i="3"/>
  <c r="K36" i="3"/>
  <c r="G36" i="3"/>
  <c r="J35" i="3"/>
  <c r="F35" i="3"/>
  <c r="I34" i="3"/>
  <c r="H33" i="3"/>
  <c r="K32" i="3"/>
  <c r="G32" i="3"/>
  <c r="J31" i="3"/>
  <c r="F31" i="3"/>
  <c r="I30" i="3"/>
  <c r="K28" i="3"/>
  <c r="G28" i="3"/>
  <c r="J27" i="3"/>
  <c r="F27" i="3"/>
  <c r="I26" i="3"/>
  <c r="H25" i="3"/>
  <c r="K24" i="3"/>
  <c r="G24" i="3"/>
  <c r="J23" i="3"/>
  <c r="F23" i="3"/>
  <c r="I22" i="3"/>
  <c r="H21" i="3"/>
  <c r="K20" i="3"/>
  <c r="G20" i="3"/>
  <c r="J19" i="3"/>
  <c r="F19" i="3"/>
  <c r="I18" i="3"/>
  <c r="H17" i="3"/>
  <c r="K16" i="3"/>
  <c r="G16" i="3"/>
  <c r="J15" i="3"/>
  <c r="F15" i="3"/>
  <c r="I14" i="3"/>
  <c r="H13" i="3"/>
  <c r="K12" i="3"/>
  <c r="G12" i="3"/>
  <c r="J11" i="3"/>
  <c r="F11" i="3"/>
  <c r="I10" i="3"/>
  <c r="H9" i="3"/>
  <c r="K8" i="3"/>
  <c r="G8" i="3"/>
  <c r="J7" i="3"/>
  <c r="F7" i="3"/>
  <c r="H5" i="3"/>
  <c r="J72" i="3"/>
  <c r="F72" i="3"/>
  <c r="I71" i="3"/>
  <c r="H70" i="3"/>
  <c r="K69" i="3"/>
  <c r="G69" i="3"/>
  <c r="J68" i="3"/>
  <c r="F68" i="3"/>
  <c r="I67" i="3"/>
  <c r="H66" i="3"/>
  <c r="K65" i="3"/>
  <c r="G65" i="3"/>
  <c r="J64" i="3"/>
  <c r="F64" i="3"/>
  <c r="I63" i="3"/>
  <c r="H62" i="3"/>
  <c r="K61" i="3"/>
  <c r="G61" i="3"/>
  <c r="J60" i="3"/>
  <c r="F60" i="3"/>
  <c r="I59" i="3"/>
  <c r="H58" i="3"/>
  <c r="K57" i="3"/>
  <c r="G57" i="3"/>
  <c r="J56" i="3"/>
  <c r="F56" i="3"/>
  <c r="I55" i="3"/>
  <c r="H54" i="3"/>
  <c r="K53" i="3"/>
  <c r="G53" i="3"/>
  <c r="J52" i="3"/>
  <c r="F52" i="3"/>
  <c r="H50" i="3"/>
  <c r="K49" i="3"/>
  <c r="G49" i="3"/>
  <c r="J48" i="3"/>
  <c r="F48" i="3"/>
  <c r="I47" i="3"/>
  <c r="H46" i="3"/>
  <c r="K45" i="3"/>
  <c r="G45" i="3"/>
  <c r="J44" i="3"/>
  <c r="F44" i="3"/>
  <c r="I43" i="3"/>
  <c r="H42" i="3"/>
  <c r="K41" i="3"/>
  <c r="G41" i="3"/>
  <c r="J40" i="3"/>
  <c r="F40" i="3"/>
  <c r="I39" i="3"/>
  <c r="H38" i="3"/>
  <c r="K37" i="3"/>
  <c r="G37" i="3"/>
  <c r="J36" i="3"/>
  <c r="F36" i="3"/>
  <c r="I35" i="3"/>
  <c r="H34" i="3"/>
  <c r="K33" i="3"/>
  <c r="G33" i="3"/>
  <c r="J32" i="3"/>
  <c r="F32" i="3"/>
  <c r="I31" i="3"/>
  <c r="H30" i="3"/>
  <c r="J28" i="3"/>
  <c r="F28" i="3"/>
  <c r="I27" i="3"/>
  <c r="H26" i="3"/>
  <c r="K25" i="3"/>
  <c r="G25" i="3"/>
  <c r="J24" i="3"/>
  <c r="F24" i="3"/>
  <c r="I23" i="3"/>
  <c r="H22" i="3"/>
  <c r="K21" i="3"/>
  <c r="G21" i="3"/>
  <c r="J20" i="3"/>
  <c r="F20" i="3"/>
  <c r="I19" i="3"/>
  <c r="H18" i="3"/>
  <c r="K17" i="3"/>
  <c r="G17" i="3"/>
  <c r="J16" i="3"/>
  <c r="F16" i="3"/>
  <c r="I15" i="3"/>
  <c r="H14" i="3"/>
  <c r="K13" i="3"/>
  <c r="G13" i="3"/>
  <c r="J12" i="3"/>
  <c r="F12" i="3"/>
  <c r="I11" i="3"/>
  <c r="H10" i="3"/>
  <c r="K9" i="3"/>
  <c r="G9" i="3"/>
  <c r="J8" i="3"/>
  <c r="F8" i="3"/>
  <c r="I7" i="3"/>
  <c r="I72" i="3"/>
  <c r="H71" i="3"/>
  <c r="K70" i="3"/>
  <c r="G70" i="3"/>
  <c r="J69" i="3"/>
  <c r="F69" i="3"/>
  <c r="I68" i="3"/>
  <c r="H67" i="3"/>
  <c r="K66" i="3"/>
  <c r="G66" i="3"/>
  <c r="J65" i="3"/>
  <c r="F65" i="3"/>
  <c r="I64" i="3"/>
  <c r="H63" i="3"/>
  <c r="K62" i="3"/>
  <c r="G62" i="3"/>
  <c r="J61" i="3"/>
  <c r="F61" i="3"/>
  <c r="I60" i="3"/>
  <c r="H59" i="3"/>
  <c r="K58" i="3"/>
  <c r="G58" i="3"/>
  <c r="J57" i="3"/>
  <c r="F57" i="3"/>
  <c r="I56" i="3"/>
  <c r="H55" i="3"/>
  <c r="K54" i="3"/>
  <c r="G54" i="3"/>
  <c r="J53" i="3"/>
  <c r="F53" i="3"/>
  <c r="I52" i="3"/>
  <c r="K50" i="3"/>
  <c r="G50" i="3"/>
  <c r="J49" i="3"/>
  <c r="F49" i="3"/>
  <c r="I48" i="3"/>
  <c r="H47" i="3"/>
  <c r="K46" i="3"/>
  <c r="G46" i="3"/>
  <c r="J45" i="3"/>
  <c r="F45" i="3"/>
  <c r="I44" i="3"/>
  <c r="H43" i="3"/>
  <c r="K42" i="3"/>
  <c r="G42" i="3"/>
  <c r="J41" i="3"/>
  <c r="F41" i="3"/>
  <c r="I40" i="3"/>
  <c r="H39" i="3"/>
  <c r="K38" i="3"/>
  <c r="G38" i="3"/>
  <c r="J37" i="3"/>
  <c r="F37" i="3"/>
  <c r="I36" i="3"/>
  <c r="H35" i="3"/>
  <c r="K34" i="3"/>
  <c r="G34" i="3"/>
  <c r="J33" i="3"/>
  <c r="F33" i="3"/>
  <c r="I32" i="3"/>
  <c r="H31" i="3"/>
  <c r="K30" i="3"/>
  <c r="G30" i="3"/>
  <c r="I28" i="3"/>
  <c r="H27" i="3"/>
  <c r="K26" i="3"/>
  <c r="G26" i="3"/>
  <c r="J25" i="3"/>
  <c r="F25" i="3"/>
  <c r="I24" i="3"/>
  <c r="H23" i="3"/>
  <c r="K22" i="3"/>
  <c r="G22" i="3"/>
  <c r="J21" i="3"/>
  <c r="F21" i="3"/>
  <c r="I20" i="3"/>
  <c r="H19" i="3"/>
  <c r="K18" i="3"/>
  <c r="G18" i="3"/>
  <c r="J17" i="3"/>
  <c r="F17" i="3"/>
  <c r="I16" i="3"/>
  <c r="H15" i="3"/>
  <c r="K14" i="3"/>
  <c r="G14" i="3"/>
  <c r="J13" i="3"/>
  <c r="F13" i="3"/>
  <c r="I12" i="3"/>
  <c r="H11" i="3"/>
  <c r="K10" i="3"/>
  <c r="G10" i="3"/>
  <c r="J9" i="3"/>
  <c r="F9" i="3"/>
  <c r="I8" i="3"/>
  <c r="H7" i="3"/>
  <c r="J5" i="3"/>
  <c r="F5" i="3"/>
  <c r="K71" i="3"/>
  <c r="F70" i="3"/>
  <c r="H68" i="3"/>
  <c r="I65" i="3"/>
  <c r="K63" i="3"/>
  <c r="F62" i="3"/>
  <c r="H60" i="3"/>
  <c r="I57" i="3"/>
  <c r="K55" i="3"/>
  <c r="F54" i="3"/>
  <c r="H52" i="3"/>
  <c r="I49" i="3"/>
  <c r="K47" i="3"/>
  <c r="F46" i="3"/>
  <c r="H44" i="3"/>
  <c r="I41" i="3"/>
  <c r="K39" i="3"/>
  <c r="F38" i="3"/>
  <c r="H36" i="3"/>
  <c r="I33" i="3"/>
  <c r="K31" i="3"/>
  <c r="F30" i="3"/>
  <c r="H28" i="3"/>
  <c r="I25" i="3"/>
  <c r="K23" i="3"/>
  <c r="F22" i="3"/>
  <c r="H20" i="3"/>
  <c r="I17" i="3"/>
  <c r="K15" i="3"/>
  <c r="F14" i="3"/>
  <c r="H12" i="3"/>
  <c r="I9" i="3"/>
  <c r="K7" i="3"/>
  <c r="I5" i="3"/>
  <c r="A82" i="3"/>
  <c r="G71" i="3"/>
  <c r="J66" i="3"/>
  <c r="G63" i="3"/>
  <c r="J58" i="3"/>
  <c r="G55" i="3"/>
  <c r="J50" i="3"/>
  <c r="G47" i="3"/>
  <c r="J42" i="3"/>
  <c r="G39" i="3"/>
  <c r="J34" i="3"/>
  <c r="G31" i="3"/>
  <c r="J26" i="3"/>
  <c r="G23" i="3"/>
  <c r="J18" i="3"/>
  <c r="G15" i="3"/>
  <c r="J10" i="3"/>
  <c r="G7" i="3"/>
  <c r="G5" i="3"/>
  <c r="J70" i="3"/>
  <c r="F66" i="3"/>
  <c r="I61" i="3"/>
  <c r="G59" i="3"/>
  <c r="J54" i="3"/>
  <c r="F50" i="3"/>
  <c r="I45" i="3"/>
  <c r="G43" i="3"/>
  <c r="J38" i="3"/>
  <c r="F34" i="3"/>
  <c r="G27" i="3"/>
  <c r="J22" i="3"/>
  <c r="F18" i="3"/>
  <c r="I13" i="3"/>
  <c r="G11" i="3"/>
  <c r="H72" i="3"/>
  <c r="K67" i="3"/>
  <c r="H56" i="3"/>
  <c r="H40" i="3"/>
  <c r="K35" i="3"/>
  <c r="H24" i="3"/>
  <c r="K19" i="3"/>
  <c r="H8" i="3"/>
  <c r="I69" i="3"/>
  <c r="F58" i="3"/>
  <c r="J46" i="3"/>
  <c r="K43" i="3"/>
  <c r="I37" i="3"/>
  <c r="F26" i="3"/>
  <c r="J14" i="3"/>
  <c r="K11" i="3"/>
  <c r="K5" i="3"/>
  <c r="H48" i="3"/>
  <c r="G19" i="3"/>
  <c r="H16" i="3"/>
  <c r="J62" i="3"/>
  <c r="K59" i="3"/>
  <c r="I53" i="3"/>
  <c r="F42" i="3"/>
  <c r="J30" i="3"/>
  <c r="K27" i="3"/>
  <c r="I21" i="3"/>
  <c r="F10" i="3"/>
  <c r="G67" i="3"/>
  <c r="H64" i="3"/>
  <c r="G35" i="3"/>
  <c r="H32" i="3"/>
  <c r="I32" i="2" l="1"/>
  <c r="J35" i="2"/>
  <c r="I64" i="2"/>
  <c r="J67" i="2"/>
  <c r="K10" i="2"/>
  <c r="H21" i="2"/>
  <c r="F27" i="2"/>
  <c r="J29" i="3"/>
  <c r="G29" i="2" s="1"/>
  <c r="G30" i="2"/>
  <c r="K42" i="2"/>
  <c r="H53" i="2"/>
  <c r="F59" i="2"/>
  <c r="G62" i="2"/>
  <c r="I16" i="2"/>
  <c r="J19" i="2"/>
  <c r="I48" i="2"/>
  <c r="F5" i="2"/>
  <c r="F11" i="2"/>
  <c r="G14" i="2"/>
  <c r="K26" i="2"/>
  <c r="H37" i="2"/>
  <c r="F43" i="2"/>
  <c r="G46" i="2"/>
  <c r="K58" i="2"/>
  <c r="H69" i="2"/>
  <c r="I8" i="2"/>
  <c r="F19" i="2"/>
  <c r="I24" i="2"/>
  <c r="F35" i="2"/>
  <c r="I40" i="2"/>
  <c r="I56" i="2"/>
  <c r="F67" i="2"/>
  <c r="I72" i="2"/>
  <c r="J11" i="2"/>
  <c r="H13" i="2"/>
  <c r="K18" i="2"/>
  <c r="G22" i="2"/>
  <c r="J27" i="2"/>
  <c r="K34" i="2"/>
  <c r="G38" i="2"/>
  <c r="J43" i="2"/>
  <c r="H45" i="2"/>
  <c r="K50" i="2"/>
  <c r="G54" i="2"/>
  <c r="J59" i="2"/>
  <c r="H61" i="2"/>
  <c r="K66" i="2"/>
  <c r="G70" i="2"/>
  <c r="J5" i="2"/>
  <c r="G6" i="3"/>
  <c r="J6" i="2" s="1"/>
  <c r="J7" i="2"/>
  <c r="G10" i="2"/>
  <c r="J15" i="2"/>
  <c r="G18" i="2"/>
  <c r="J23" i="2"/>
  <c r="G26" i="2"/>
  <c r="J31" i="2"/>
  <c r="G34" i="2"/>
  <c r="J39" i="2"/>
  <c r="G42" i="2"/>
  <c r="J47" i="2"/>
  <c r="G50" i="2"/>
  <c r="J55" i="2"/>
  <c r="G58" i="2"/>
  <c r="J63" i="2"/>
  <c r="G66" i="2"/>
  <c r="J71" i="2"/>
  <c r="H5" i="2"/>
  <c r="K6" i="3"/>
  <c r="F6" i="2" s="1"/>
  <c r="F7" i="2"/>
  <c r="H9" i="2"/>
  <c r="I12" i="2"/>
  <c r="K14" i="2"/>
  <c r="F15" i="2"/>
  <c r="H17" i="2"/>
  <c r="I20" i="2"/>
  <c r="K22" i="2"/>
  <c r="F23" i="2"/>
  <c r="H25" i="2"/>
  <c r="I28" i="2"/>
  <c r="F29" i="3"/>
  <c r="K29" i="2" s="1"/>
  <c r="K30" i="2"/>
  <c r="F31" i="2"/>
  <c r="H33" i="2"/>
  <c r="I36" i="2"/>
  <c r="K38" i="2"/>
  <c r="F39" i="2"/>
  <c r="H41" i="2"/>
  <c r="I44" i="2"/>
  <c r="K46" i="2"/>
  <c r="F47" i="2"/>
  <c r="H49" i="2"/>
  <c r="H51" i="3"/>
  <c r="I51" i="2" s="1"/>
  <c r="I52" i="2"/>
  <c r="K54" i="2"/>
  <c r="F55" i="2"/>
  <c r="H57" i="2"/>
  <c r="I60" i="2"/>
  <c r="K62" i="2"/>
  <c r="F63" i="2"/>
  <c r="H65" i="2"/>
  <c r="I68" i="2"/>
  <c r="K70" i="2"/>
  <c r="F71" i="2"/>
  <c r="K5" i="2"/>
  <c r="G5" i="2"/>
  <c r="H6" i="3"/>
  <c r="I6" i="2" s="1"/>
  <c r="I7" i="2"/>
  <c r="H8" i="2"/>
  <c r="K9" i="2"/>
  <c r="G9" i="2"/>
  <c r="J10" i="2"/>
  <c r="F10" i="2"/>
  <c r="I11" i="2"/>
  <c r="H12" i="2"/>
  <c r="K13" i="2"/>
  <c r="G13" i="2"/>
  <c r="J14" i="2"/>
  <c r="F14" i="2"/>
  <c r="I15" i="2"/>
  <c r="H16" i="2"/>
  <c r="K17" i="2"/>
  <c r="G17" i="2"/>
  <c r="J18" i="2"/>
  <c r="F18" i="2"/>
  <c r="I19" i="2"/>
  <c r="H20" i="2"/>
  <c r="K21" i="2"/>
  <c r="G21" i="2"/>
  <c r="J22" i="2"/>
  <c r="F22" i="2"/>
  <c r="I23" i="2"/>
  <c r="H24" i="2"/>
  <c r="K25" i="2"/>
  <c r="G25" i="2"/>
  <c r="J26" i="2"/>
  <c r="F26" i="2"/>
  <c r="I27" i="2"/>
  <c r="H28" i="2"/>
  <c r="G29" i="3"/>
  <c r="J29" i="2" s="1"/>
  <c r="J30" i="2"/>
  <c r="K29" i="3"/>
  <c r="F29" i="2" s="1"/>
  <c r="F30" i="2"/>
  <c r="I31" i="2"/>
  <c r="H32" i="2"/>
  <c r="K33" i="2"/>
  <c r="G33" i="2"/>
  <c r="J34" i="2"/>
  <c r="F34" i="2"/>
  <c r="I35" i="2"/>
  <c r="H36" i="2"/>
  <c r="K37" i="2"/>
  <c r="G37" i="2"/>
  <c r="J38" i="2"/>
  <c r="F38" i="2"/>
  <c r="I39" i="2"/>
  <c r="H40" i="2"/>
  <c r="K41" i="2"/>
  <c r="G41" i="2"/>
  <c r="J42" i="2"/>
  <c r="F42" i="2"/>
  <c r="I43" i="2"/>
  <c r="H44" i="2"/>
  <c r="K45" i="2"/>
  <c r="G45" i="2"/>
  <c r="J46" i="2"/>
  <c r="F46" i="2"/>
  <c r="I47" i="2"/>
  <c r="H48" i="2"/>
  <c r="K49" i="2"/>
  <c r="G49" i="2"/>
  <c r="J50" i="2"/>
  <c r="F50" i="2"/>
  <c r="I51" i="3"/>
  <c r="H51" i="2" s="1"/>
  <c r="H52" i="2"/>
  <c r="K53" i="2"/>
  <c r="G53" i="2"/>
  <c r="J54" i="2"/>
  <c r="F54" i="2"/>
  <c r="I55" i="2"/>
  <c r="H56" i="2"/>
  <c r="K57" i="2"/>
  <c r="G57" i="2"/>
  <c r="J58" i="2"/>
  <c r="F58" i="2"/>
  <c r="I59" i="2"/>
  <c r="H60" i="2"/>
  <c r="K61" i="2"/>
  <c r="G61" i="2"/>
  <c r="J62" i="2"/>
  <c r="F62" i="2"/>
  <c r="I63" i="2"/>
  <c r="H64" i="2"/>
  <c r="K65" i="2"/>
  <c r="G65" i="2"/>
  <c r="J66" i="2"/>
  <c r="F66" i="2"/>
  <c r="I67" i="2"/>
  <c r="H68" i="2"/>
  <c r="K69" i="2"/>
  <c r="G69" i="2"/>
  <c r="J70" i="2"/>
  <c r="F70" i="2"/>
  <c r="I71" i="2"/>
  <c r="H72" i="2"/>
  <c r="I6" i="3"/>
  <c r="H6" i="2" s="1"/>
  <c r="H7" i="2"/>
  <c r="K8" i="2"/>
  <c r="G8" i="2"/>
  <c r="J9" i="2"/>
  <c r="F9" i="2"/>
  <c r="I10" i="2"/>
  <c r="H11" i="2"/>
  <c r="K12" i="2"/>
  <c r="G12" i="2"/>
  <c r="J13" i="2"/>
  <c r="F13" i="2"/>
  <c r="I14" i="2"/>
  <c r="H15" i="2"/>
  <c r="K16" i="2"/>
  <c r="G16" i="2"/>
  <c r="J17" i="2"/>
  <c r="F17" i="2"/>
  <c r="I18" i="2"/>
  <c r="H19" i="2"/>
  <c r="K20" i="2"/>
  <c r="G20" i="2"/>
  <c r="J21" i="2"/>
  <c r="F21" i="2"/>
  <c r="I22" i="2"/>
  <c r="H23" i="2"/>
  <c r="K24" i="2"/>
  <c r="G24" i="2"/>
  <c r="J25" i="2"/>
  <c r="F25" i="2"/>
  <c r="I26" i="2"/>
  <c r="H27" i="2"/>
  <c r="K28" i="2"/>
  <c r="G28" i="2"/>
  <c r="H29" i="3"/>
  <c r="I29" i="2" s="1"/>
  <c r="I30" i="2"/>
  <c r="H31" i="2"/>
  <c r="K32" i="2"/>
  <c r="G32" i="2"/>
  <c r="J33" i="2"/>
  <c r="F33" i="2"/>
  <c r="I34" i="2"/>
  <c r="H35" i="2"/>
  <c r="K36" i="2"/>
  <c r="G36" i="2"/>
  <c r="J37" i="2"/>
  <c r="F37" i="2"/>
  <c r="I38" i="2"/>
  <c r="H39" i="2"/>
  <c r="K40" i="2"/>
  <c r="G40" i="2"/>
  <c r="J41" i="2"/>
  <c r="F41" i="2"/>
  <c r="I42" i="2"/>
  <c r="H43" i="2"/>
  <c r="K44" i="2"/>
  <c r="G44" i="2"/>
  <c r="J45" i="2"/>
  <c r="F45" i="2"/>
  <c r="I46" i="2"/>
  <c r="H47" i="2"/>
  <c r="K48" i="2"/>
  <c r="G48" i="2"/>
  <c r="J49" i="2"/>
  <c r="F49" i="2"/>
  <c r="I50" i="2"/>
  <c r="F51" i="3"/>
  <c r="K51" i="2" s="1"/>
  <c r="K52" i="2"/>
  <c r="J51" i="3"/>
  <c r="G51" i="2" s="1"/>
  <c r="G52" i="2"/>
  <c r="J53" i="2"/>
  <c r="F53" i="2"/>
  <c r="I54" i="2"/>
  <c r="H55" i="2"/>
  <c r="K56" i="2"/>
  <c r="G56" i="2"/>
  <c r="J57" i="2"/>
  <c r="F57" i="2"/>
  <c r="I58" i="2"/>
  <c r="H59" i="2"/>
  <c r="K60" i="2"/>
  <c r="G60" i="2"/>
  <c r="J61" i="2"/>
  <c r="F61" i="2"/>
  <c r="I62" i="2"/>
  <c r="H63" i="2"/>
  <c r="K64" i="2"/>
  <c r="G64" i="2"/>
  <c r="J65" i="2"/>
  <c r="F65" i="2"/>
  <c r="I66" i="2"/>
  <c r="H67" i="2"/>
  <c r="K68" i="2"/>
  <c r="G68" i="2"/>
  <c r="J69" i="2"/>
  <c r="F69" i="2"/>
  <c r="I70" i="2"/>
  <c r="H71" i="2"/>
  <c r="K72" i="2"/>
  <c r="G72" i="2"/>
  <c r="I5" i="2"/>
  <c r="F6" i="3"/>
  <c r="K6" i="2" s="1"/>
  <c r="K7" i="2"/>
  <c r="J6" i="3"/>
  <c r="G6" i="2" s="1"/>
  <c r="G7" i="2"/>
  <c r="J8" i="2"/>
  <c r="F8" i="2"/>
  <c r="I9" i="2"/>
  <c r="H10" i="2"/>
  <c r="K11" i="2"/>
  <c r="G11" i="2"/>
  <c r="J12" i="2"/>
  <c r="F12" i="2"/>
  <c r="I13" i="2"/>
  <c r="H14" i="2"/>
  <c r="K15" i="2"/>
  <c r="G15" i="2"/>
  <c r="J16" i="2"/>
  <c r="F16" i="2"/>
  <c r="I17" i="2"/>
  <c r="H18" i="2"/>
  <c r="K19" i="2"/>
  <c r="G19" i="2"/>
  <c r="J20" i="2"/>
  <c r="F20" i="2"/>
  <c r="I21" i="2"/>
  <c r="H22" i="2"/>
  <c r="K23" i="2"/>
  <c r="G23" i="2"/>
  <c r="J24" i="2"/>
  <c r="F24" i="2"/>
  <c r="I25" i="2"/>
  <c r="H26" i="2"/>
  <c r="K27" i="2"/>
  <c r="G27" i="2"/>
  <c r="J28" i="2"/>
  <c r="F28" i="2"/>
  <c r="I29" i="3"/>
  <c r="H29" i="2" s="1"/>
  <c r="H30" i="2"/>
  <c r="K31" i="2"/>
  <c r="G31" i="2"/>
  <c r="J32" i="2"/>
  <c r="F32" i="2"/>
  <c r="I33" i="2"/>
  <c r="H34" i="2"/>
  <c r="K35" i="2"/>
  <c r="G35" i="2"/>
  <c r="J36" i="2"/>
  <c r="F36" i="2"/>
  <c r="I37" i="2"/>
  <c r="H38" i="2"/>
  <c r="K39" i="2"/>
  <c r="G39" i="2"/>
  <c r="J40" i="2"/>
  <c r="F40" i="2"/>
  <c r="I41" i="2"/>
  <c r="H42" i="2"/>
  <c r="K43" i="2"/>
  <c r="G43" i="2"/>
  <c r="J44" i="2"/>
  <c r="F44" i="2"/>
  <c r="I45" i="2"/>
  <c r="H46" i="2"/>
  <c r="K47" i="2"/>
  <c r="G47" i="2"/>
  <c r="J48" i="2"/>
  <c r="F48" i="2"/>
  <c r="I49" i="2"/>
  <c r="H50" i="2"/>
  <c r="G51" i="3"/>
  <c r="J51" i="2" s="1"/>
  <c r="J52" i="2"/>
  <c r="F52" i="2"/>
  <c r="K51" i="3"/>
  <c r="F51" i="2" s="1"/>
  <c r="I53" i="2"/>
  <c r="H54" i="2"/>
  <c r="K55" i="2"/>
  <c r="G55" i="2"/>
  <c r="J56" i="2"/>
  <c r="F56" i="2"/>
  <c r="I57" i="2"/>
  <c r="H58" i="2"/>
  <c r="K59" i="2"/>
  <c r="G59" i="2"/>
  <c r="J60" i="2"/>
  <c r="F60" i="2"/>
  <c r="I61" i="2"/>
  <c r="H62" i="2"/>
  <c r="K63" i="2"/>
  <c r="G63" i="2"/>
  <c r="J64" i="2"/>
  <c r="F64" i="2"/>
  <c r="I65" i="2"/>
  <c r="H66" i="2"/>
  <c r="K67" i="2"/>
  <c r="G67" i="2"/>
  <c r="J68" i="2"/>
  <c r="F68" i="2"/>
  <c r="I69" i="2"/>
  <c r="H70" i="2"/>
  <c r="K71" i="2"/>
  <c r="G71" i="2"/>
  <c r="J72" i="2"/>
  <c r="F72" i="2"/>
  <c r="B86" i="3"/>
</calcChain>
</file>

<file path=xl/sharedStrings.xml><?xml version="1.0" encoding="utf-8"?>
<sst xmlns="http://schemas.openxmlformats.org/spreadsheetml/2006/main" count="1207" uniqueCount="132">
  <si>
    <t>**IMPORTANT NOTE**</t>
  </si>
  <si>
    <t>This document, the information contained herein and any derived information created therefrom are for the exclusive use of VENKATESAPRASAD HARISH at BITS PILANI HYDERABA.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</si>
  <si>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</si>
  <si>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</si>
  <si>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</si>
  <si>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</si>
  <si>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</si>
  <si>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</si>
  <si>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</si>
  <si>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</si>
  <si>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</si>
  <si>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</si>
  <si>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</si>
  <si>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</si>
  <si>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</si>
  <si>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</si>
  <si>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</si>
  <si>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</si>
  <si>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</si>
  <si>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</si>
  <si>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</si>
  <si>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</si>
  <si>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</si>
  <si>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</si>
  <si>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</si>
  <si>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</si>
  <si>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</si>
  <si>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</si>
  <si>
    <t>Description</t>
  </si>
  <si>
    <t>Ticker</t>
  </si>
  <si>
    <t>Field ID</t>
  </si>
  <si>
    <t>Field Mnemonic</t>
  </si>
  <si>
    <t>Data State</t>
  </si>
  <si>
    <t>2014</t>
  </si>
  <si>
    <t>2015</t>
  </si>
  <si>
    <t>2016</t>
  </si>
  <si>
    <t>2017</t>
  </si>
  <si>
    <t>2018</t>
  </si>
  <si>
    <t>2019</t>
  </si>
  <si>
    <t>***** Source: IDC *****</t>
  </si>
  <si>
    <t/>
  </si>
  <si>
    <t>Heading</t>
  </si>
  <si>
    <t>Denominated in billions of US$</t>
  </si>
  <si>
    <t>Static</t>
  </si>
  <si>
    <t>Project Oriented</t>
  </si>
  <si>
    <t>Sum</t>
  </si>
  <si>
    <t xml:space="preserve">    Deloitte</t>
  </si>
  <si>
    <t xml:space="preserve">    Accenture</t>
  </si>
  <si>
    <t xml:space="preserve">    PWC</t>
  </si>
  <si>
    <t xml:space="preserve">    IBM</t>
  </si>
  <si>
    <t xml:space="preserve">    Ernst &amp; Young</t>
  </si>
  <si>
    <t xml:space="preserve">    Capgemini/CPM Braxis</t>
  </si>
  <si>
    <t xml:space="preserve">    McKinsey &amp; Company</t>
  </si>
  <si>
    <t xml:space="preserve">    NTT DATA</t>
  </si>
  <si>
    <t xml:space="preserve">    Boston Consulting Group</t>
  </si>
  <si>
    <t xml:space="preserve">    Hitachi</t>
  </si>
  <si>
    <t xml:space="preserve">    Fujitsu</t>
  </si>
  <si>
    <t>6702 JP Equity</t>
  </si>
  <si>
    <t xml:space="preserve">    Tata Consultancy Services</t>
  </si>
  <si>
    <t xml:space="preserve">    KPMG</t>
  </si>
  <si>
    <t xml:space="preserve">    Infosys</t>
  </si>
  <si>
    <t>INFO IN Equity</t>
  </si>
  <si>
    <t xml:space="preserve">    NEC</t>
  </si>
  <si>
    <t>6701 JP Equity</t>
  </si>
  <si>
    <t xml:space="preserve">    DXC</t>
  </si>
  <si>
    <t xml:space="preserve">    Cognizant</t>
  </si>
  <si>
    <t>CTSH US Equity</t>
  </si>
  <si>
    <t xml:space="preserve">    CGI</t>
  </si>
  <si>
    <t>GIB US Equity</t>
  </si>
  <si>
    <t xml:space="preserve">    Booz Allen</t>
  </si>
  <si>
    <t>BAH US Equity</t>
  </si>
  <si>
    <t xml:space="preserve">    Leidos</t>
  </si>
  <si>
    <t>LDOS US Equity</t>
  </si>
  <si>
    <t xml:space="preserve">    Other</t>
  </si>
  <si>
    <t xml:space="preserve">    </t>
  </si>
  <si>
    <t>Support and Training</t>
  </si>
  <si>
    <t xml:space="preserve">    Dell</t>
  </si>
  <si>
    <t xml:space="preserve">    Cisco</t>
  </si>
  <si>
    <t xml:space="preserve">    Oracle</t>
  </si>
  <si>
    <t xml:space="preserve">    Hewlett Packard Enterprise</t>
  </si>
  <si>
    <t xml:space="preserve">    Microsoft</t>
  </si>
  <si>
    <t xml:space="preserve">    SAP</t>
  </si>
  <si>
    <t>SAP GR Equity</t>
  </si>
  <si>
    <t xml:space="preserve">    BT</t>
  </si>
  <si>
    <t>BT/A LN Equity</t>
  </si>
  <si>
    <t xml:space="preserve">    NetApp</t>
  </si>
  <si>
    <t>NTAP US Equity</t>
  </si>
  <si>
    <t xml:space="preserve">    General Dynamics</t>
  </si>
  <si>
    <t>GD US Equity</t>
  </si>
  <si>
    <t xml:space="preserve">    CACI</t>
  </si>
  <si>
    <t>CACI US Equity</t>
  </si>
  <si>
    <t xml:space="preserve">    NTT</t>
  </si>
  <si>
    <t>9613 JP Equity</t>
  </si>
  <si>
    <t xml:space="preserve">    Avaya</t>
  </si>
  <si>
    <t>AVYA US Equity</t>
  </si>
  <si>
    <t xml:space="preserve">    HCL Technologies</t>
  </si>
  <si>
    <t>HCLT IN Equity</t>
  </si>
  <si>
    <t xml:space="preserve">    Juniper</t>
  </si>
  <si>
    <t>JNPR US Equity</t>
  </si>
  <si>
    <t xml:space="preserve">    Otsuka Shokai</t>
  </si>
  <si>
    <t>4768 JP Equity</t>
  </si>
  <si>
    <t>Outsourcing</t>
  </si>
  <si>
    <t xml:space="preserve">    ADP</t>
  </si>
  <si>
    <t xml:space="preserve">    ATOS</t>
  </si>
  <si>
    <t>ATO FP Equity</t>
  </si>
  <si>
    <t xml:space="preserve">    Northrup Grumman</t>
  </si>
  <si>
    <t>NOC US Equity</t>
  </si>
  <si>
    <t xml:space="preserve">    Capgemini</t>
  </si>
  <si>
    <t>CAP FP Equity</t>
  </si>
  <si>
    <t xml:space="preserve">    AT&amp;T</t>
  </si>
  <si>
    <t>T US Equity</t>
  </si>
  <si>
    <t xml:space="preserve">    Synnex</t>
  </si>
  <si>
    <t>SNX US Equity</t>
  </si>
  <si>
    <t xml:space="preserve">    Equinix</t>
  </si>
  <si>
    <t>EQIX US Equity</t>
  </si>
  <si>
    <t xml:space="preserve">    Deutsche Telekom</t>
  </si>
  <si>
    <t>DTE GY Equity</t>
  </si>
  <si>
    <t>~~~~~~~~~~</t>
  </si>
  <si>
    <t>All rows below have been added for reference by formula rows above.</t>
  </si>
  <si>
    <t>Currency</t>
  </si>
  <si>
    <t>USD</t>
  </si>
  <si>
    <t>Periodicity</t>
  </si>
  <si>
    <t>CY</t>
  </si>
  <si>
    <t>AY</t>
  </si>
  <si>
    <t>Number of Periods</t>
  </si>
  <si>
    <t>Start Date</t>
  </si>
  <si>
    <t>-6CY</t>
  </si>
  <si>
    <t>-6AY</t>
  </si>
  <si>
    <t>End Date</t>
  </si>
  <si>
    <t>HeaderStatus</t>
  </si>
  <si>
    <t>Snapshot header</t>
  </si>
  <si>
    <t>No error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</si>
</sst>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ccyreader">
      <tp>
        <v>0</v>
        <stp/>
        <stp>#track</stp>
        <stp>DBG</stp>
        <stp>BIHITX</stp>
        <stp>1.0</stp>
        <stp>RepeatHit</stp>
        <tr r="A8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1" width="9.1406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IFERROR(IF(0=LEN(ReferenceData!$K$2),"",ReferenceData!$K$2),"")</f>
        <v>2014</v>
      </c>
      <c r="G2" t="str">
        <f>IFERROR(IF(0=LEN(ReferenceData!$J$2),"",ReferenceData!$J$2),"")</f>
        <v>2015</v>
      </c>
      <c r="H2" t="str">
        <f>IFERROR(IF(0=LEN(ReferenceData!$I$2),"",ReferenceData!$I$2),"")</f>
        <v>2016</v>
      </c>
      <c r="I2" t="str">
        <f>IFERROR(IF(0=LEN(ReferenceData!$H$2),"",ReferenceData!$H$2),"")</f>
        <v>2017</v>
      </c>
      <c r="J2" t="str">
        <f>IFERROR(IF(0=LEN(ReferenceData!$G$2),"",ReferenceData!$G$2),"")</f>
        <v>2018</v>
      </c>
      <c r="K2" t="str">
        <f>IFERROR(IF(0=LEN(ReferenceData!$F$2),"",ReferenceData!$F$2),"")</f>
        <v>2019</v>
      </c>
    </row>
    <row r="3" spans="1:11" x14ac:dyDescent="0.25">
      <c r="A3" t="str">
        <f>IFERROR(IF(0=LEN(ReferenceData!$A$3),"",ReferenceData!$A$3),"")</f>
        <v>***** Source: IDC *****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Heading</v>
      </c>
      <c r="F3" t="str">
        <f>IFERROR(IF(0=LEN(ReferenceData!$K$3),"",ReferenceData!$K$3),"")</f>
        <v/>
      </c>
      <c r="G3" t="str">
        <f>IFERROR(IF(0=LEN(ReferenceData!$J$3),"",ReferenceData!$J$3),"")</f>
        <v/>
      </c>
      <c r="H3" t="str">
        <f>IFERROR(IF(0=LEN(ReferenceData!$I$3),"",ReferenceData!$I$3),"")</f>
        <v/>
      </c>
      <c r="I3" t="str">
        <f>IFERROR(IF(0=LEN(ReferenceData!$H$3),"",ReferenceData!$H$3),"")</f>
        <v/>
      </c>
      <c r="J3" t="str">
        <f>IFERROR(IF(0=LEN(ReferenceData!$G$3),"",ReferenceData!$G$3),"")</f>
        <v/>
      </c>
      <c r="K3" t="str">
        <f>IFERROR(IF(0=LEN(ReferenceData!$F$3),"",ReferenceData!$F$3),"")</f>
        <v/>
      </c>
    </row>
    <row r="4" spans="1:11" x14ac:dyDescent="0.25">
      <c r="A4" t="str">
        <f>IFERROR(IF(0=LEN(ReferenceData!$A$4),"",ReferenceData!$A$4),"")</f>
        <v>Denominated in billions of US$</v>
      </c>
      <c r="B4" t="str">
        <f>IFERROR(IF(0=LEN(ReferenceData!$B$4),"",ReferenceData!$B$4),"")</f>
        <v/>
      </c>
      <c r="C4" t="str">
        <f>IFERROR(IF(0=LEN(ReferenceData!$C$4),"",ReferenceData!$C$4),"")</f>
        <v/>
      </c>
      <c r="D4" t="str">
        <f>IFERROR(IF(0=LEN(ReferenceData!$D$4),"",ReferenceData!$D$4),"")</f>
        <v/>
      </c>
      <c r="E4" t="str">
        <f>IFERROR(IF(0=LEN(ReferenceData!$E$4),"",ReferenceData!$E$4),"")</f>
        <v>Heading</v>
      </c>
      <c r="F4" t="str">
        <f>IFERROR(IF(0=LEN(ReferenceData!$K$4),"",ReferenceData!$K$4),"")</f>
        <v/>
      </c>
      <c r="G4" t="str">
        <f>IFERROR(IF(0=LEN(ReferenceData!$J$4),"",ReferenceData!$J$4),"")</f>
        <v/>
      </c>
      <c r="H4" t="str">
        <f>IFERROR(IF(0=LEN(ReferenceData!$I$4),"",ReferenceData!$I$4),"")</f>
        <v/>
      </c>
      <c r="I4" t="str">
        <f>IFERROR(IF(0=LEN(ReferenceData!$H$4),"",ReferenceData!$H$4),"")</f>
        <v/>
      </c>
      <c r="J4" t="str">
        <f>IFERROR(IF(0=LEN(ReferenceData!$G$4),"",ReferenceData!$G$4),"")</f>
        <v/>
      </c>
      <c r="K4" t="str">
        <f>IFERROR(IF(0=LEN(ReferenceData!$F$4),"",ReferenceData!$F$4),"")</f>
        <v/>
      </c>
    </row>
    <row r="5" spans="1:11" x14ac:dyDescent="0.25">
      <c r="A5" t="str">
        <f>IFERROR(IF(0=LEN(ReferenceData!$A$5),"",ReferenceData!$A$5),"")</f>
        <v/>
      </c>
      <c r="B5" t="str">
        <f>IFERROR(IF(0=LEN(ReferenceData!$B$5),"",ReferenceData!$B$5),"")</f>
        <v/>
      </c>
      <c r="C5" t="str">
        <f>IFERROR(IF(0=LEN(ReferenceData!$C$5),"",ReferenceData!$C$5),"")</f>
        <v/>
      </c>
      <c r="D5" t="str">
        <f>IFERROR(IF(0=LEN(ReferenceData!$D$5),"",ReferenceData!$D$5),"")</f>
        <v/>
      </c>
      <c r="E5" t="str">
        <f>IFERROR(IF(0=LEN(ReferenceData!$E$5),"",ReferenceData!$E$5),"")</f>
        <v>Static</v>
      </c>
      <c r="F5" t="str">
        <f ca="1">IFERROR(IF(0=LEN(ReferenceData!$K$5),"",ReferenceData!$K$5),"")</f>
        <v/>
      </c>
      <c r="G5" t="str">
        <f ca="1">IFERROR(IF(0=LEN(ReferenceData!$J$5),"",ReferenceData!$J$5),"")</f>
        <v/>
      </c>
      <c r="H5" t="str">
        <f ca="1">IFERROR(IF(0=LEN(ReferenceData!$I$5),"",ReferenceData!$I$5),"")</f>
        <v/>
      </c>
      <c r="I5" t="str">
        <f ca="1">IFERROR(IF(0=LEN(ReferenceData!$H$5),"",ReferenceData!$H$5),"")</f>
        <v/>
      </c>
      <c r="J5" t="str">
        <f ca="1">IFERROR(IF(0=LEN(ReferenceData!$G$5),"",ReferenceData!$G$5),"")</f>
        <v/>
      </c>
      <c r="K5" t="str">
        <f ca="1">IFERROR(IF(0=LEN(ReferenceData!$F$5),"",ReferenceData!$F$5),"")</f>
        <v/>
      </c>
    </row>
    <row r="6" spans="1:11" x14ac:dyDescent="0.25">
      <c r="A6" t="str">
        <f>IFERROR(IF(0=LEN(ReferenceData!$A$6),"",ReferenceData!$A$6),"")</f>
        <v>Project Oriented</v>
      </c>
      <c r="B6" t="str">
        <f>IFERROR(IF(0=LEN(ReferenceData!$B$6),"",ReferenceData!$B$6),"")</f>
        <v/>
      </c>
      <c r="C6" t="str">
        <f>IFERROR(IF(0=LEN(ReferenceData!$C$6),"",ReferenceData!$C$6),"")</f>
        <v/>
      </c>
      <c r="D6" t="str">
        <f>IFERROR(IF(0=LEN(ReferenceData!$D$6),"",ReferenceData!$D$6),"")</f>
        <v/>
      </c>
      <c r="E6" t="str">
        <f>IFERROR(IF(0=LEN(ReferenceData!$E$6),"",ReferenceData!$E$6),"")</f>
        <v>Sum</v>
      </c>
      <c r="F6">
        <f ca="1">IFERROR(IF(0=LEN(ReferenceData!$K$6),"",ReferenceData!$K$6),"")</f>
        <v>335.50700000000001</v>
      </c>
      <c r="G6">
        <f ca="1">IFERROR(IF(0=LEN(ReferenceData!$J$6),"",ReferenceData!$J$6),"")</f>
        <v>331.84399999999999</v>
      </c>
      <c r="H6">
        <f ca="1">IFERROR(IF(0=LEN(ReferenceData!$I$6),"",ReferenceData!$I$6),"")</f>
        <v>344.37299999999999</v>
      </c>
      <c r="I6">
        <f ca="1">IFERROR(IF(0=LEN(ReferenceData!$H$6),"",ReferenceData!$H$6),"")</f>
        <v>364.70300000000003</v>
      </c>
      <c r="J6">
        <f ca="1">IFERROR(IF(0=LEN(ReferenceData!$G$6),"",ReferenceData!$G$6),"")</f>
        <v>389.46100000000001</v>
      </c>
      <c r="K6">
        <f ca="1">IFERROR(IF(0=LEN(ReferenceData!$F$6),"",ReferenceData!$F$6),"")</f>
        <v>405.649</v>
      </c>
    </row>
    <row r="7" spans="1:11" x14ac:dyDescent="0.25">
      <c r="A7" t="str">
        <f>IFERROR(IF(0=LEN(ReferenceData!$A$7),"",ReferenceData!$A$7),"")</f>
        <v xml:space="preserve">    Deloitte</v>
      </c>
      <c r="B7" t="str">
        <f>IFERROR(IF(0=LEN(ReferenceData!$B$7),"",ReferenceData!$B$7),"")</f>
        <v/>
      </c>
      <c r="C7" t="str">
        <f>IFERROR(IF(0=LEN(ReferenceData!$C$7),"",ReferenceData!$C$7),"")</f>
        <v/>
      </c>
      <c r="D7" t="str">
        <f>IFERROR(IF(0=LEN(ReferenceData!$D$7),"",ReferenceData!$D$7),"")</f>
        <v/>
      </c>
      <c r="E7" t="str">
        <f>IFERROR(IF(0=LEN(ReferenceData!$E$7),"",ReferenceData!$E$7),"")</f>
        <v>Static</v>
      </c>
      <c r="F7">
        <f ca="1">IFERROR(IF(0=LEN(ReferenceData!$K$7),"",ReferenceData!$K$7),"")</f>
        <v>19.097999999999999</v>
      </c>
      <c r="G7">
        <f ca="1">IFERROR(IF(0=LEN(ReferenceData!$J$7),"",ReferenceData!$J$7),"")</f>
        <v>21.568000000000001</v>
      </c>
      <c r="H7">
        <f ca="1">IFERROR(IF(0=LEN(ReferenceData!$I$7),"",ReferenceData!$I$7),"")</f>
        <v>23.323</v>
      </c>
      <c r="I7">
        <f ca="1">IFERROR(IF(0=LEN(ReferenceData!$H$7),"",ReferenceData!$H$7),"")</f>
        <v>25.870999999999999</v>
      </c>
      <c r="J7">
        <f ca="1">IFERROR(IF(0=LEN(ReferenceData!$G$7),"",ReferenceData!$G$7),"")</f>
        <v>28.86</v>
      </c>
      <c r="K7">
        <f ca="1">IFERROR(IF(0=LEN(ReferenceData!$F$7),"",ReferenceData!$F$7),"")</f>
        <v>31.251999999999999</v>
      </c>
    </row>
    <row r="8" spans="1:11" x14ac:dyDescent="0.25">
      <c r="A8" t="str">
        <f>IFERROR(IF(0=LEN(ReferenceData!$A$8),"",ReferenceData!$A$8),"")</f>
        <v xml:space="preserve">    Accenture</v>
      </c>
      <c r="B8" t="str">
        <f>IFERROR(IF(0=LEN(ReferenceData!$B$8),"",ReferenceData!$B$8),"")</f>
        <v/>
      </c>
      <c r="C8" t="str">
        <f>IFERROR(IF(0=LEN(ReferenceData!$C$8),"",ReferenceData!$C$8),"")</f>
        <v/>
      </c>
      <c r="D8" t="str">
        <f>IFERROR(IF(0=LEN(ReferenceData!$D$8),"",ReferenceData!$D$8),"")</f>
        <v/>
      </c>
      <c r="E8" t="str">
        <f>IFERROR(IF(0=LEN(ReferenceData!$E$8),"",ReferenceData!$E$8),"")</f>
        <v>Static</v>
      </c>
      <c r="F8">
        <f ca="1">IFERROR(IF(0=LEN(ReferenceData!$K$8),"",ReferenceData!$K$8),"")</f>
        <v>15.919</v>
      </c>
      <c r="G8">
        <f ca="1">IFERROR(IF(0=LEN(ReferenceData!$J$8),"",ReferenceData!$J$8),"")</f>
        <v>16.37</v>
      </c>
      <c r="H8">
        <f ca="1">IFERROR(IF(0=LEN(ReferenceData!$I$8),"",ReferenceData!$I$8),"")</f>
        <v>17.995999999999999</v>
      </c>
      <c r="I8">
        <f ca="1">IFERROR(IF(0=LEN(ReferenceData!$H$8),"",ReferenceData!$H$8),"")</f>
        <v>18.995000000000001</v>
      </c>
      <c r="J8">
        <f ca="1">IFERROR(IF(0=LEN(ReferenceData!$G$8),"",ReferenceData!$G$8),"")</f>
        <v>21.13</v>
      </c>
      <c r="K8">
        <f ca="1">IFERROR(IF(0=LEN(ReferenceData!$F$8),"",ReferenceData!$F$8),"")</f>
        <v>22.356000000000002</v>
      </c>
    </row>
    <row r="9" spans="1:11" x14ac:dyDescent="0.25">
      <c r="A9" t="str">
        <f>IFERROR(IF(0=LEN(ReferenceData!$A$9),"",ReferenceData!$A$9),"")</f>
        <v xml:space="preserve">    PWC</v>
      </c>
      <c r="B9" t="str">
        <f>IFERROR(IF(0=LEN(ReferenceData!$B$9),"",ReferenceData!$B$9),"")</f>
        <v/>
      </c>
      <c r="C9" t="str">
        <f>IFERROR(IF(0=LEN(ReferenceData!$C$9),"",ReferenceData!$C$9),"")</f>
        <v/>
      </c>
      <c r="D9" t="str">
        <f>IFERROR(IF(0=LEN(ReferenceData!$D$9),"",ReferenceData!$D$9),"")</f>
        <v/>
      </c>
      <c r="E9" t="str">
        <f>IFERROR(IF(0=LEN(ReferenceData!$E$9),"",ReferenceData!$E$9),"")</f>
        <v>Static</v>
      </c>
      <c r="F9">
        <f ca="1">IFERROR(IF(0=LEN(ReferenceData!$K$9),"",ReferenceData!$K$9),"")</f>
        <v>9.9969999999999999</v>
      </c>
      <c r="G9">
        <f ca="1">IFERROR(IF(0=LEN(ReferenceData!$J$9),"",ReferenceData!$J$9),"")</f>
        <v>11.443</v>
      </c>
      <c r="H9">
        <f ca="1">IFERROR(IF(0=LEN(ReferenceData!$I$9),"",ReferenceData!$I$9),"")</f>
        <v>12.378</v>
      </c>
      <c r="I9">
        <f ca="1">IFERROR(IF(0=LEN(ReferenceData!$H$9),"",ReferenceData!$H$9),"")</f>
        <v>13.651</v>
      </c>
      <c r="J9">
        <f ca="1">IFERROR(IF(0=LEN(ReferenceData!$G$9),"",ReferenceData!$G$9),"")</f>
        <v>15.228</v>
      </c>
      <c r="K9">
        <f ca="1">IFERROR(IF(0=LEN(ReferenceData!$F$9),"",ReferenceData!$F$9),"")</f>
        <v>17.173999999999999</v>
      </c>
    </row>
    <row r="10" spans="1:11" x14ac:dyDescent="0.25">
      <c r="A10" t="str">
        <f>IFERROR(IF(0=LEN(ReferenceData!$A$10),"",ReferenceData!$A$10),"")</f>
        <v xml:space="preserve">    IBM</v>
      </c>
      <c r="B10" t="str">
        <f>IFERROR(IF(0=LEN(ReferenceData!$B$10),"",ReferenceData!$B$10),"")</f>
        <v/>
      </c>
      <c r="C10" t="str">
        <f>IFERROR(IF(0=LEN(ReferenceData!$C$10),"",ReferenceData!$C$10),"")</f>
        <v/>
      </c>
      <c r="D10" t="str">
        <f>IFERROR(IF(0=LEN(ReferenceData!$D$10),"",ReferenceData!$D$10),"")</f>
        <v/>
      </c>
      <c r="E10" t="str">
        <f>IFERROR(IF(0=LEN(ReferenceData!$E$10),"",ReferenceData!$E$10),"")</f>
        <v>Static</v>
      </c>
      <c r="F10">
        <f ca="1">IFERROR(IF(0=LEN(ReferenceData!$K$10),"",ReferenceData!$K$10),"")</f>
        <v>12.765000000000001</v>
      </c>
      <c r="G10">
        <f ca="1">IFERROR(IF(0=LEN(ReferenceData!$J$10),"",ReferenceData!$J$10),"")</f>
        <v>11.218</v>
      </c>
      <c r="H10">
        <f ca="1">IFERROR(IF(0=LEN(ReferenceData!$I$10),"",ReferenceData!$I$10),"")</f>
        <v>11.254</v>
      </c>
      <c r="I10">
        <f ca="1">IFERROR(IF(0=LEN(ReferenceData!$H$10),"",ReferenceData!$H$10),"")</f>
        <v>11.108000000000001</v>
      </c>
      <c r="J10">
        <f ca="1">IFERROR(IF(0=LEN(ReferenceData!$G$10),"",ReferenceData!$G$10),"")</f>
        <v>11.56</v>
      </c>
      <c r="K10">
        <f ca="1">IFERROR(IF(0=LEN(ReferenceData!$F$10),"",ReferenceData!$F$10),"")</f>
        <v>12.023999999999999</v>
      </c>
    </row>
    <row r="11" spans="1:11" x14ac:dyDescent="0.25">
      <c r="A11" t="str">
        <f>IFERROR(IF(0=LEN(ReferenceData!$A$11),"",ReferenceData!$A$11),"")</f>
        <v xml:space="preserve">    Ernst &amp; Young</v>
      </c>
      <c r="B11" t="str">
        <f>IFERROR(IF(0=LEN(ReferenceData!$B$11),"",ReferenceData!$B$11),"")</f>
        <v/>
      </c>
      <c r="C11" t="str">
        <f>IFERROR(IF(0=LEN(ReferenceData!$C$11),"",ReferenceData!$C$11),"")</f>
        <v/>
      </c>
      <c r="D11" t="str">
        <f>IFERROR(IF(0=LEN(ReferenceData!$D$11),"",ReferenceData!$D$11),"")</f>
        <v/>
      </c>
      <c r="E11" t="str">
        <f>IFERROR(IF(0=LEN(ReferenceData!$E$11),"",ReferenceData!$E$11),"")</f>
        <v>Static</v>
      </c>
      <c r="F11">
        <f ca="1">IFERROR(IF(0=LEN(ReferenceData!$K$11),"",ReferenceData!$K$11),"")</f>
        <v>7.9889999999999999</v>
      </c>
      <c r="G11">
        <f ca="1">IFERROR(IF(0=LEN(ReferenceData!$J$11),"",ReferenceData!$J$11),"")</f>
        <v>8.6760000000000002</v>
      </c>
      <c r="H11">
        <f ca="1">IFERROR(IF(0=LEN(ReferenceData!$I$11),"",ReferenceData!$I$11),"")</f>
        <v>9.3239999999999998</v>
      </c>
      <c r="I11">
        <f ca="1">IFERROR(IF(0=LEN(ReferenceData!$H$11),"",ReferenceData!$H$11),"")</f>
        <v>10.182</v>
      </c>
      <c r="J11">
        <f ca="1">IFERROR(IF(0=LEN(ReferenceData!$G$11),"",ReferenceData!$G$11),"")</f>
        <v>10.965</v>
      </c>
      <c r="K11">
        <f ca="1">IFERROR(IF(0=LEN(ReferenceData!$F$11),"",ReferenceData!$F$11),"")</f>
        <v>11.506</v>
      </c>
    </row>
    <row r="12" spans="1:11" x14ac:dyDescent="0.25">
      <c r="A12" t="str">
        <f>IFERROR(IF(0=LEN(ReferenceData!$A$12),"",ReferenceData!$A$12),"")</f>
        <v xml:space="preserve">    Capgemini/CPM Braxis</v>
      </c>
      <c r="B12" t="str">
        <f>IFERROR(IF(0=LEN(ReferenceData!$B$12),"",ReferenceData!$B$12),"")</f>
        <v/>
      </c>
      <c r="C12" t="str">
        <f>IFERROR(IF(0=LEN(ReferenceData!$C$12),"",ReferenceData!$C$12),"")</f>
        <v/>
      </c>
      <c r="D12" t="str">
        <f>IFERROR(IF(0=LEN(ReferenceData!$D$12),"",ReferenceData!$D$12),"")</f>
        <v/>
      </c>
      <c r="E12" t="str">
        <f>IFERROR(IF(0=LEN(ReferenceData!$E$12),"",ReferenceData!$E$12),"")</f>
        <v>Static</v>
      </c>
      <c r="F12">
        <f ca="1">IFERROR(IF(0=LEN(ReferenceData!$K$12),"",ReferenceData!$K$12),"")</f>
        <v>7.0810000000000004</v>
      </c>
      <c r="G12">
        <f ca="1">IFERROR(IF(0=LEN(ReferenceData!$J$12),"",ReferenceData!$J$12),"")</f>
        <v>7.0309999999999997</v>
      </c>
      <c r="H12">
        <f ca="1">IFERROR(IF(0=LEN(ReferenceData!$I$12),"",ReferenceData!$I$12),"")</f>
        <v>7.6449999999999996</v>
      </c>
      <c r="I12">
        <f ca="1">IFERROR(IF(0=LEN(ReferenceData!$H$12),"",ReferenceData!$H$12),"")</f>
        <v>8.14</v>
      </c>
      <c r="J12">
        <f ca="1">IFERROR(IF(0=LEN(ReferenceData!$G$12),"",ReferenceData!$G$12),"")</f>
        <v>8.9570000000000007</v>
      </c>
      <c r="K12">
        <f ca="1">IFERROR(IF(0=LEN(ReferenceData!$F$12),"",ReferenceData!$F$12),"")</f>
        <v>9.4459999999999997</v>
      </c>
    </row>
    <row r="13" spans="1:11" x14ac:dyDescent="0.25">
      <c r="A13" t="str">
        <f>IFERROR(IF(0=LEN(ReferenceData!$A$13),"",ReferenceData!$A$13),"")</f>
        <v xml:space="preserve">    McKinsey &amp; Company</v>
      </c>
      <c r="B13" t="str">
        <f>IFERROR(IF(0=LEN(ReferenceData!$B$13),"",ReferenceData!$B$13),"")</f>
        <v/>
      </c>
      <c r="C13" t="str">
        <f>IFERROR(IF(0=LEN(ReferenceData!$C$13),"",ReferenceData!$C$13),"")</f>
        <v/>
      </c>
      <c r="D13" t="str">
        <f>IFERROR(IF(0=LEN(ReferenceData!$D$13),"",ReferenceData!$D$13),"")</f>
        <v/>
      </c>
      <c r="E13" t="str">
        <f>IFERROR(IF(0=LEN(ReferenceData!$E$13),"",ReferenceData!$E$13),"")</f>
        <v>Static</v>
      </c>
      <c r="F13">
        <f ca="1">IFERROR(IF(0=LEN(ReferenceData!$K$13),"",ReferenceData!$K$13),"")</f>
        <v>5.9550000000000001</v>
      </c>
      <c r="G13">
        <f ca="1">IFERROR(IF(0=LEN(ReferenceData!$J$13),"",ReferenceData!$J$13),"")</f>
        <v>6.3650000000000002</v>
      </c>
      <c r="H13">
        <f ca="1">IFERROR(IF(0=LEN(ReferenceData!$I$13),"",ReferenceData!$I$13),"")</f>
        <v>6.8479999999999999</v>
      </c>
      <c r="I13">
        <f ca="1">IFERROR(IF(0=LEN(ReferenceData!$H$13),"",ReferenceData!$H$13),"")</f>
        <v>7.7850000000000001</v>
      </c>
      <c r="J13">
        <f ca="1">IFERROR(IF(0=LEN(ReferenceData!$G$13),"",ReferenceData!$G$13),"")</f>
        <v>8.7899999999999991</v>
      </c>
      <c r="K13">
        <f ca="1">IFERROR(IF(0=LEN(ReferenceData!$F$13),"",ReferenceData!$F$13),"")</f>
        <v>9.375</v>
      </c>
    </row>
    <row r="14" spans="1:11" x14ac:dyDescent="0.25">
      <c r="A14" t="str">
        <f>IFERROR(IF(0=LEN(ReferenceData!$A$14),"",ReferenceData!$A$14),"")</f>
        <v xml:space="preserve">    NTT DATA</v>
      </c>
      <c r="B14" t="str">
        <f>IFERROR(IF(0=LEN(ReferenceData!$B$14),"",ReferenceData!$B$14),"")</f>
        <v/>
      </c>
      <c r="C14" t="str">
        <f>IFERROR(IF(0=LEN(ReferenceData!$C$14),"",ReferenceData!$C$14),"")</f>
        <v/>
      </c>
      <c r="D14" t="str">
        <f>IFERROR(IF(0=LEN(ReferenceData!$D$14),"",ReferenceData!$D$14),"")</f>
        <v/>
      </c>
      <c r="E14" t="str">
        <f>IFERROR(IF(0=LEN(ReferenceData!$E$14),"",ReferenceData!$E$14),"")</f>
        <v>Static</v>
      </c>
      <c r="F14">
        <f ca="1">IFERROR(IF(0=LEN(ReferenceData!$K$14),"",ReferenceData!$K$14),"")</f>
        <v>4.9370000000000003</v>
      </c>
      <c r="G14">
        <f ca="1">IFERROR(IF(0=LEN(ReferenceData!$J$14),"",ReferenceData!$J$14),"")</f>
        <v>4.8540000000000001</v>
      </c>
      <c r="H14">
        <f ca="1">IFERROR(IF(0=LEN(ReferenceData!$I$14),"",ReferenceData!$I$14),"")</f>
        <v>5.6970000000000001</v>
      </c>
      <c r="I14">
        <f ca="1">IFERROR(IF(0=LEN(ReferenceData!$H$14),"",ReferenceData!$H$14),"")</f>
        <v>6.5250000000000004</v>
      </c>
      <c r="J14">
        <f ca="1">IFERROR(IF(0=LEN(ReferenceData!$G$14),"",ReferenceData!$G$14),"")</f>
        <v>6.766</v>
      </c>
      <c r="K14">
        <f ca="1">IFERROR(IF(0=LEN(ReferenceData!$F$14),"",ReferenceData!$F$14),"")</f>
        <v>7.2990000000000004</v>
      </c>
    </row>
    <row r="15" spans="1:11" x14ac:dyDescent="0.25">
      <c r="A15" t="str">
        <f>IFERROR(IF(0=LEN(ReferenceData!$A$15),"",ReferenceData!$A$15),"")</f>
        <v xml:space="preserve">    Boston Consulting Group</v>
      </c>
      <c r="B15" t="str">
        <f>IFERROR(IF(0=LEN(ReferenceData!$B$15),"",ReferenceData!$B$15),"")</f>
        <v/>
      </c>
      <c r="C15" t="str">
        <f>IFERROR(IF(0=LEN(ReferenceData!$C$15),"",ReferenceData!$C$15),"")</f>
        <v/>
      </c>
      <c r="D15" t="str">
        <f>IFERROR(IF(0=LEN(ReferenceData!$D$15),"",ReferenceData!$D$15),"")</f>
        <v/>
      </c>
      <c r="E15" t="str">
        <f>IFERROR(IF(0=LEN(ReferenceData!$E$15),"",ReferenceData!$E$15),"")</f>
        <v>Static</v>
      </c>
      <c r="F15" t="str">
        <f ca="1">IFERROR(IF(0=LEN(ReferenceData!$K$15),"",ReferenceData!$K$15),"")</f>
        <v/>
      </c>
      <c r="G15" t="str">
        <f ca="1">IFERROR(IF(0=LEN(ReferenceData!$J$15),"",ReferenceData!$J$15),"")</f>
        <v/>
      </c>
      <c r="H15" t="str">
        <f ca="1">IFERROR(IF(0=LEN(ReferenceData!$I$15),"",ReferenceData!$I$15),"")</f>
        <v/>
      </c>
      <c r="I15">
        <f ca="1">IFERROR(IF(0=LEN(ReferenceData!$H$15),"",ReferenceData!$H$15),"")</f>
        <v>5.3460000000000001</v>
      </c>
      <c r="J15">
        <f ca="1">IFERROR(IF(0=LEN(ReferenceData!$G$15),"",ReferenceData!$G$15),"")</f>
        <v>6.3650000000000002</v>
      </c>
      <c r="K15">
        <f ca="1">IFERROR(IF(0=LEN(ReferenceData!$F$15),"",ReferenceData!$F$15),"")</f>
        <v>7.0640000000000001</v>
      </c>
    </row>
    <row r="16" spans="1:11" x14ac:dyDescent="0.25">
      <c r="A16" t="str">
        <f>IFERROR(IF(0=LEN(ReferenceData!$A$16),"",ReferenceData!$A$16),"")</f>
        <v xml:space="preserve">    Hitachi</v>
      </c>
      <c r="B16" t="str">
        <f>IFERROR(IF(0=LEN(ReferenceData!$B$16),"",ReferenceData!$B$16),"")</f>
        <v/>
      </c>
      <c r="C16" t="str">
        <f>IFERROR(IF(0=LEN(ReferenceData!$C$16),"",ReferenceData!$C$16),"")</f>
        <v/>
      </c>
      <c r="D16" t="str">
        <f>IFERROR(IF(0=LEN(ReferenceData!$D$16),"",ReferenceData!$D$16),"")</f>
        <v/>
      </c>
      <c r="E16" t="str">
        <f>IFERROR(IF(0=LEN(ReferenceData!$E$16),"",ReferenceData!$E$16),"")</f>
        <v>Static</v>
      </c>
      <c r="F16" t="str">
        <f ca="1">IFERROR(IF(0=LEN(ReferenceData!$K$16),"",ReferenceData!$K$16),"")</f>
        <v/>
      </c>
      <c r="G16" t="str">
        <f ca="1">IFERROR(IF(0=LEN(ReferenceData!$J$16),"",ReferenceData!$J$16),"")</f>
        <v/>
      </c>
      <c r="H16" t="str">
        <f ca="1">IFERROR(IF(0=LEN(ReferenceData!$I$16),"",ReferenceData!$I$16),"")</f>
        <v/>
      </c>
      <c r="I16">
        <f ca="1">IFERROR(IF(0=LEN(ReferenceData!$H$16),"",ReferenceData!$H$16),"")</f>
        <v>5.6559999999999997</v>
      </c>
      <c r="J16">
        <f ca="1">IFERROR(IF(0=LEN(ReferenceData!$G$16),"",ReferenceData!$G$16),"")</f>
        <v>6.069</v>
      </c>
      <c r="K16">
        <f ca="1">IFERROR(IF(0=LEN(ReferenceData!$F$16),"",ReferenceData!$F$16),"")</f>
        <v>6.391</v>
      </c>
    </row>
    <row r="17" spans="1:11" x14ac:dyDescent="0.25">
      <c r="A17" t="str">
        <f>IFERROR(IF(0=LEN(ReferenceData!$A$17),"",ReferenceData!$A$17),"")</f>
        <v xml:space="preserve">    Fujitsu</v>
      </c>
      <c r="B17" t="str">
        <f>IFERROR(IF(0=LEN(ReferenceData!$B$17),"",ReferenceData!$B$17),"")</f>
        <v>6702 JP Equity</v>
      </c>
      <c r="C17" t="str">
        <f>IFERROR(IF(0=LEN(ReferenceData!$C$17),"",ReferenceData!$C$17),"")</f>
        <v/>
      </c>
      <c r="D17" t="str">
        <f>IFERROR(IF(0=LEN(ReferenceData!$D$17),"",ReferenceData!$D$17),"")</f>
        <v/>
      </c>
      <c r="E17" t="str">
        <f>IFERROR(IF(0=LEN(ReferenceData!$E$17),"",ReferenceData!$E$17),"")</f>
        <v>Static</v>
      </c>
      <c r="F17" t="str">
        <f ca="1">IFERROR(IF(0=LEN(ReferenceData!$K$17),"",ReferenceData!$K$17),"")</f>
        <v/>
      </c>
      <c r="G17" t="str">
        <f ca="1">IFERROR(IF(0=LEN(ReferenceData!$J$17),"",ReferenceData!$J$17),"")</f>
        <v/>
      </c>
      <c r="H17" t="str">
        <f ca="1">IFERROR(IF(0=LEN(ReferenceData!$I$17),"",ReferenceData!$I$17),"")</f>
        <v/>
      </c>
      <c r="I17">
        <f ca="1">IFERROR(IF(0=LEN(ReferenceData!$H$17),"",ReferenceData!$H$17),"")</f>
        <v>5.87</v>
      </c>
      <c r="J17">
        <f ca="1">IFERROR(IF(0=LEN(ReferenceData!$G$17),"",ReferenceData!$G$17),"")</f>
        <v>5.9720000000000004</v>
      </c>
      <c r="K17">
        <f ca="1">IFERROR(IF(0=LEN(ReferenceData!$F$17),"",ReferenceData!$F$17),"")</f>
        <v>6.2670000000000003</v>
      </c>
    </row>
    <row r="18" spans="1:11" x14ac:dyDescent="0.25">
      <c r="A18" t="str">
        <f>IFERROR(IF(0=LEN(ReferenceData!$A$18),"",ReferenceData!$A$18),"")</f>
        <v xml:space="preserve">    Tata Consultancy Services</v>
      </c>
      <c r="B18" t="str">
        <f>IFERROR(IF(0=LEN(ReferenceData!$B$18),"",ReferenceData!$B$18),"")</f>
        <v/>
      </c>
      <c r="C18" t="str">
        <f>IFERROR(IF(0=LEN(ReferenceData!$C$18),"",ReferenceData!$C$18),"")</f>
        <v/>
      </c>
      <c r="D18" t="str">
        <f>IFERROR(IF(0=LEN(ReferenceData!$D$18),"",ReferenceData!$D$18),"")</f>
        <v/>
      </c>
      <c r="E18" t="str">
        <f>IFERROR(IF(0=LEN(ReferenceData!$E$18),"",ReferenceData!$E$18),"")</f>
        <v>Static</v>
      </c>
      <c r="F18" t="str">
        <f ca="1">IFERROR(IF(0=LEN(ReferenceData!$K$18),"",ReferenceData!$K$18),"")</f>
        <v/>
      </c>
      <c r="G18" t="str">
        <f ca="1">IFERROR(IF(0=LEN(ReferenceData!$J$18),"",ReferenceData!$J$18),"")</f>
        <v/>
      </c>
      <c r="H18" t="str">
        <f ca="1">IFERROR(IF(0=LEN(ReferenceData!$I$18),"",ReferenceData!$I$18),"")</f>
        <v/>
      </c>
      <c r="I18">
        <f ca="1">IFERROR(IF(0=LEN(ReferenceData!$H$18),"",ReferenceData!$H$18),"")</f>
        <v>4.9829999999999997</v>
      </c>
      <c r="J18">
        <f ca="1">IFERROR(IF(0=LEN(ReferenceData!$G$18),"",ReferenceData!$G$18),"")</f>
        <v>5.67</v>
      </c>
      <c r="K18">
        <f ca="1">IFERROR(IF(0=LEN(ReferenceData!$F$18),"",ReferenceData!$F$18),"")</f>
        <v>5.9809999999999999</v>
      </c>
    </row>
    <row r="19" spans="1:11" x14ac:dyDescent="0.25">
      <c r="A19" t="str">
        <f>IFERROR(IF(0=LEN(ReferenceData!$A$19),"",ReferenceData!$A$19),"")</f>
        <v xml:space="preserve">    KPMG</v>
      </c>
      <c r="B19" t="str">
        <f>IFERROR(IF(0=LEN(ReferenceData!$B$19),"",ReferenceData!$B$19),"")</f>
        <v/>
      </c>
      <c r="C19" t="str">
        <f>IFERROR(IF(0=LEN(ReferenceData!$C$19),"",ReferenceData!$C$19),"")</f>
        <v/>
      </c>
      <c r="D19" t="str">
        <f>IFERROR(IF(0=LEN(ReferenceData!$D$19),"",ReferenceData!$D$19),"")</f>
        <v/>
      </c>
      <c r="E19" t="str">
        <f>IFERROR(IF(0=LEN(ReferenceData!$E$19),"",ReferenceData!$E$19),"")</f>
        <v>Static</v>
      </c>
      <c r="F19" t="str">
        <f ca="1">IFERROR(IF(0=LEN(ReferenceData!$K$19),"",ReferenceData!$K$19),"")</f>
        <v/>
      </c>
      <c r="G19" t="str">
        <f ca="1">IFERROR(IF(0=LEN(ReferenceData!$J$19),"",ReferenceData!$J$19),"")</f>
        <v/>
      </c>
      <c r="H19" t="str">
        <f ca="1">IFERROR(IF(0=LEN(ReferenceData!$I$19),"",ReferenceData!$I$19),"")</f>
        <v/>
      </c>
      <c r="I19">
        <f ca="1">IFERROR(IF(0=LEN(ReferenceData!$H$19),"",ReferenceData!$H$19),"")</f>
        <v>5.5839999999999996</v>
      </c>
      <c r="J19">
        <f ca="1">IFERROR(IF(0=LEN(ReferenceData!$G$19),"",ReferenceData!$G$19),"")</f>
        <v>5.8540000000000001</v>
      </c>
      <c r="K19">
        <f ca="1">IFERROR(IF(0=LEN(ReferenceData!$F$19),"",ReferenceData!$F$19),"")</f>
        <v>5.9779999999999998</v>
      </c>
    </row>
    <row r="20" spans="1:11" x14ac:dyDescent="0.25">
      <c r="A20" t="str">
        <f>IFERROR(IF(0=LEN(ReferenceData!$A$20),"",ReferenceData!$A$20),"")</f>
        <v xml:space="preserve">    Infosys</v>
      </c>
      <c r="B20" t="str">
        <f>IFERROR(IF(0=LEN(ReferenceData!$B$20),"",ReferenceData!$B$20),"")</f>
        <v>INFO IN Equity</v>
      </c>
      <c r="C20" t="str">
        <f>IFERROR(IF(0=LEN(ReferenceData!$C$20),"",ReferenceData!$C$20),"")</f>
        <v/>
      </c>
      <c r="D20" t="str">
        <f>IFERROR(IF(0=LEN(ReferenceData!$D$20),"",ReferenceData!$D$20),"")</f>
        <v/>
      </c>
      <c r="E20" t="str">
        <f>IFERROR(IF(0=LEN(ReferenceData!$E$20),"",ReferenceData!$E$20),"")</f>
        <v>Static</v>
      </c>
      <c r="F20" t="str">
        <f ca="1">IFERROR(IF(0=LEN(ReferenceData!$K$20),"",ReferenceData!$K$20),"")</f>
        <v/>
      </c>
      <c r="G20" t="str">
        <f ca="1">IFERROR(IF(0=LEN(ReferenceData!$J$20),"",ReferenceData!$J$20),"")</f>
        <v/>
      </c>
      <c r="H20" t="str">
        <f ca="1">IFERROR(IF(0=LEN(ReferenceData!$I$20),"",ReferenceData!$I$20),"")</f>
        <v/>
      </c>
      <c r="I20">
        <f ca="1">IFERROR(IF(0=LEN(ReferenceData!$H$20),"",ReferenceData!$H$20),"")</f>
        <v>5.3339999999999996</v>
      </c>
      <c r="J20">
        <f ca="1">IFERROR(IF(0=LEN(ReferenceData!$G$20),"",ReferenceData!$G$20),"")</f>
        <v>5.5880000000000001</v>
      </c>
      <c r="K20">
        <f ca="1">IFERROR(IF(0=LEN(ReferenceData!$F$20),"",ReferenceData!$F$20),"")</f>
        <v>5.9130000000000003</v>
      </c>
    </row>
    <row r="21" spans="1:11" x14ac:dyDescent="0.25">
      <c r="A21" t="str">
        <f>IFERROR(IF(0=LEN(ReferenceData!$A$21),"",ReferenceData!$A$21),"")</f>
        <v xml:space="preserve">    NEC</v>
      </c>
      <c r="B21" t="str">
        <f>IFERROR(IF(0=LEN(ReferenceData!$B$21),"",ReferenceData!$B$21),"")</f>
        <v>6701 JP Equity</v>
      </c>
      <c r="C21" t="str">
        <f>IFERROR(IF(0=LEN(ReferenceData!$C$21),"",ReferenceData!$C$21),"")</f>
        <v/>
      </c>
      <c r="D21" t="str">
        <f>IFERROR(IF(0=LEN(ReferenceData!$D$21),"",ReferenceData!$D$21),"")</f>
        <v/>
      </c>
      <c r="E21" t="str">
        <f>IFERROR(IF(0=LEN(ReferenceData!$E$21),"",ReferenceData!$E$21),"")</f>
        <v>Static</v>
      </c>
      <c r="F21" t="str">
        <f ca="1">IFERROR(IF(0=LEN(ReferenceData!$K$21),"",ReferenceData!$K$21),"")</f>
        <v/>
      </c>
      <c r="G21" t="str">
        <f ca="1">IFERROR(IF(0=LEN(ReferenceData!$J$21),"",ReferenceData!$J$21),"")</f>
        <v/>
      </c>
      <c r="H21" t="str">
        <f ca="1">IFERROR(IF(0=LEN(ReferenceData!$I$21),"",ReferenceData!$I$21),"")</f>
        <v/>
      </c>
      <c r="I21">
        <f ca="1">IFERROR(IF(0=LEN(ReferenceData!$H$21),"",ReferenceData!$H$21),"")</f>
        <v>4.7679999999999998</v>
      </c>
      <c r="J21">
        <f ca="1">IFERROR(IF(0=LEN(ReferenceData!$G$21),"",ReferenceData!$G$21),"")</f>
        <v>5.0129999999999999</v>
      </c>
      <c r="K21">
        <f ca="1">IFERROR(IF(0=LEN(ReferenceData!$F$21),"",ReferenceData!$F$21),"")</f>
        <v>5.3819999999999997</v>
      </c>
    </row>
    <row r="22" spans="1:11" x14ac:dyDescent="0.25">
      <c r="A22" t="str">
        <f>IFERROR(IF(0=LEN(ReferenceData!$A$22),"",ReferenceData!$A$22),"")</f>
        <v xml:space="preserve">    DXC</v>
      </c>
      <c r="B22" t="str">
        <f>IFERROR(IF(0=LEN(ReferenceData!$B$22),"",ReferenceData!$B$22),"")</f>
        <v/>
      </c>
      <c r="C22" t="str">
        <f>IFERROR(IF(0=LEN(ReferenceData!$C$22),"",ReferenceData!$C$22),"")</f>
        <v/>
      </c>
      <c r="D22" t="str">
        <f>IFERROR(IF(0=LEN(ReferenceData!$D$22),"",ReferenceData!$D$22),"")</f>
        <v/>
      </c>
      <c r="E22" t="str">
        <f>IFERROR(IF(0=LEN(ReferenceData!$E$22),"",ReferenceData!$E$22),"")</f>
        <v>Static</v>
      </c>
      <c r="F22" t="str">
        <f ca="1">IFERROR(IF(0=LEN(ReferenceData!$K$22),"",ReferenceData!$K$22),"")</f>
        <v/>
      </c>
      <c r="G22" t="str">
        <f ca="1">IFERROR(IF(0=LEN(ReferenceData!$J$22),"",ReferenceData!$J$22),"")</f>
        <v/>
      </c>
      <c r="H22" t="str">
        <f ca="1">IFERROR(IF(0=LEN(ReferenceData!$I$22),"",ReferenceData!$I$22),"")</f>
        <v/>
      </c>
      <c r="I22">
        <f ca="1">IFERROR(IF(0=LEN(ReferenceData!$H$22),"",ReferenceData!$H$22),"")</f>
        <v>5.1669999999999998</v>
      </c>
      <c r="J22">
        <f ca="1">IFERROR(IF(0=LEN(ReferenceData!$G$22),"",ReferenceData!$G$22),"")</f>
        <v>5.2750000000000004</v>
      </c>
      <c r="K22">
        <f ca="1">IFERROR(IF(0=LEN(ReferenceData!$F$22),"",ReferenceData!$F$22),"")</f>
        <v>5.1189999999999998</v>
      </c>
    </row>
    <row r="23" spans="1:11" x14ac:dyDescent="0.25">
      <c r="A23" t="str">
        <f>IFERROR(IF(0=LEN(ReferenceData!$A$23),"",ReferenceData!$A$23),"")</f>
        <v xml:space="preserve">    Cognizant</v>
      </c>
      <c r="B23" t="str">
        <f>IFERROR(IF(0=LEN(ReferenceData!$B$23),"",ReferenceData!$B$23),"")</f>
        <v>CTSH US Equity</v>
      </c>
      <c r="C23" t="str">
        <f>IFERROR(IF(0=LEN(ReferenceData!$C$23),"",ReferenceData!$C$23),"")</f>
        <v/>
      </c>
      <c r="D23" t="str">
        <f>IFERROR(IF(0=LEN(ReferenceData!$D$23),"",ReferenceData!$D$23),"")</f>
        <v/>
      </c>
      <c r="E23" t="str">
        <f>IFERROR(IF(0=LEN(ReferenceData!$E$23),"",ReferenceData!$E$23),"")</f>
        <v>Static</v>
      </c>
      <c r="F23" t="str">
        <f ca="1">IFERROR(IF(0=LEN(ReferenceData!$K$23),"",ReferenceData!$K$23),"")</f>
        <v/>
      </c>
      <c r="G23" t="str">
        <f ca="1">IFERROR(IF(0=LEN(ReferenceData!$J$23),"",ReferenceData!$J$23),"")</f>
        <v/>
      </c>
      <c r="H23" t="str">
        <f ca="1">IFERROR(IF(0=LEN(ReferenceData!$I$23),"",ReferenceData!$I$23),"")</f>
        <v/>
      </c>
      <c r="I23">
        <f ca="1">IFERROR(IF(0=LEN(ReferenceData!$H$23),"",ReferenceData!$H$23),"")</f>
        <v>4.202</v>
      </c>
      <c r="J23">
        <f ca="1">IFERROR(IF(0=LEN(ReferenceData!$G$23),"",ReferenceData!$G$23),"")</f>
        <v>4.5869999999999997</v>
      </c>
      <c r="K23">
        <f ca="1">IFERROR(IF(0=LEN(ReferenceData!$F$23),"",ReferenceData!$F$23),"")</f>
        <v>4.8239999999999998</v>
      </c>
    </row>
    <row r="24" spans="1:11" x14ac:dyDescent="0.25">
      <c r="A24" t="str">
        <f>IFERROR(IF(0=LEN(ReferenceData!$A$24),"",ReferenceData!$A$24),"")</f>
        <v xml:space="preserve">    CGI</v>
      </c>
      <c r="B24" t="str">
        <f>IFERROR(IF(0=LEN(ReferenceData!$B$24),"",ReferenceData!$B$24),"")</f>
        <v>GIB US Equity</v>
      </c>
      <c r="C24" t="str">
        <f>IFERROR(IF(0=LEN(ReferenceData!$C$24),"",ReferenceData!$C$24),"")</f>
        <v/>
      </c>
      <c r="D24" t="str">
        <f>IFERROR(IF(0=LEN(ReferenceData!$D$24),"",ReferenceData!$D$24),"")</f>
        <v/>
      </c>
      <c r="E24" t="str">
        <f>IFERROR(IF(0=LEN(ReferenceData!$E$24),"",ReferenceData!$E$24),"")</f>
        <v>Static</v>
      </c>
      <c r="F24" t="str">
        <f ca="1">IFERROR(IF(0=LEN(ReferenceData!$K$24),"",ReferenceData!$K$24),"")</f>
        <v/>
      </c>
      <c r="G24" t="str">
        <f ca="1">IFERROR(IF(0=LEN(ReferenceData!$J$24),"",ReferenceData!$J$24),"")</f>
        <v/>
      </c>
      <c r="H24" t="str">
        <f ca="1">IFERROR(IF(0=LEN(ReferenceData!$I$24),"",ReferenceData!$I$24),"")</f>
        <v/>
      </c>
      <c r="I24">
        <f ca="1">IFERROR(IF(0=LEN(ReferenceData!$H$24),"",ReferenceData!$H$24),"")</f>
        <v>3.8149999999999999</v>
      </c>
      <c r="J24">
        <f ca="1">IFERROR(IF(0=LEN(ReferenceData!$G$24),"",ReferenceData!$G$24),"")</f>
        <v>4.3120000000000003</v>
      </c>
      <c r="K24">
        <f ca="1">IFERROR(IF(0=LEN(ReferenceData!$F$24),"",ReferenceData!$F$24),"")</f>
        <v>4.5880000000000001</v>
      </c>
    </row>
    <row r="25" spans="1:11" x14ac:dyDescent="0.25">
      <c r="A25" t="str">
        <f>IFERROR(IF(0=LEN(ReferenceData!$A$25),"",ReferenceData!$A$25),"")</f>
        <v xml:space="preserve">    Booz Allen</v>
      </c>
      <c r="B25" t="str">
        <f>IFERROR(IF(0=LEN(ReferenceData!$B$25),"",ReferenceData!$B$25),"")</f>
        <v>BAH US Equity</v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Static</v>
      </c>
      <c r="F25" t="str">
        <f ca="1">IFERROR(IF(0=LEN(ReferenceData!$K$25),"",ReferenceData!$K$25),"")</f>
        <v/>
      </c>
      <c r="G25" t="str">
        <f ca="1">IFERROR(IF(0=LEN(ReferenceData!$J$25),"",ReferenceData!$J$25),"")</f>
        <v/>
      </c>
      <c r="H25" t="str">
        <f ca="1">IFERROR(IF(0=LEN(ReferenceData!$I$25),"",ReferenceData!$I$25),"")</f>
        <v/>
      </c>
      <c r="I25">
        <f ca="1">IFERROR(IF(0=LEN(ReferenceData!$H$25),"",ReferenceData!$H$25),"")</f>
        <v>3.9329999999999998</v>
      </c>
      <c r="J25">
        <f ca="1">IFERROR(IF(0=LEN(ReferenceData!$G$25),"",ReferenceData!$G$25),"")</f>
        <v>4.0579999999999998</v>
      </c>
      <c r="K25">
        <f ca="1">IFERROR(IF(0=LEN(ReferenceData!$F$25),"",ReferenceData!$F$25),"")</f>
        <v>4.1260000000000003</v>
      </c>
    </row>
    <row r="26" spans="1:11" x14ac:dyDescent="0.25">
      <c r="A26" t="str">
        <f>IFERROR(IF(0=LEN(ReferenceData!$A$26),"",ReferenceData!$A$26),"")</f>
        <v xml:space="preserve">    Leidos</v>
      </c>
      <c r="B26" t="str">
        <f>IFERROR(IF(0=LEN(ReferenceData!$B$26),"",ReferenceData!$B$26),"")</f>
        <v>LDOS US Equity</v>
      </c>
      <c r="C26" t="str">
        <f>IFERROR(IF(0=LEN(ReferenceData!$C$26),"",ReferenceData!$C$26),"")</f>
        <v/>
      </c>
      <c r="D26" t="str">
        <f>IFERROR(IF(0=LEN(ReferenceData!$D$26),"",ReferenceData!$D$26),"")</f>
        <v/>
      </c>
      <c r="E26" t="str">
        <f>IFERROR(IF(0=LEN(ReferenceData!$E$26),"",ReferenceData!$E$26),"")</f>
        <v>Static</v>
      </c>
      <c r="F26" t="str">
        <f ca="1">IFERROR(IF(0=LEN(ReferenceData!$K$26),"",ReferenceData!$K$26),"")</f>
        <v/>
      </c>
      <c r="G26" t="str">
        <f ca="1">IFERROR(IF(0=LEN(ReferenceData!$J$26),"",ReferenceData!$J$26),"")</f>
        <v/>
      </c>
      <c r="H26" t="str">
        <f ca="1">IFERROR(IF(0=LEN(ReferenceData!$I$26),"",ReferenceData!$I$26),"")</f>
        <v/>
      </c>
      <c r="I26">
        <f ca="1">IFERROR(IF(0=LEN(ReferenceData!$H$26),"",ReferenceData!$H$26),"")</f>
        <v>3.431</v>
      </c>
      <c r="J26">
        <f ca="1">IFERROR(IF(0=LEN(ReferenceData!$G$26),"",ReferenceData!$G$26),"")</f>
        <v>3.4529999999999998</v>
      </c>
      <c r="K26">
        <f ca="1">IFERROR(IF(0=LEN(ReferenceData!$F$26),"",ReferenceData!$F$26),"")</f>
        <v>3.8079999999999998</v>
      </c>
    </row>
    <row r="27" spans="1:11" x14ac:dyDescent="0.25">
      <c r="A27" t="str">
        <f>IFERROR(IF(0=LEN(ReferenceData!$A$27),"",ReferenceData!$A$27),"")</f>
        <v xml:space="preserve">    Other</v>
      </c>
      <c r="B27" t="str">
        <f>IFERROR(IF(0=LEN(ReferenceData!$B$27),"",ReferenceData!$B$27),"")</f>
        <v/>
      </c>
      <c r="C27" t="str">
        <f>IFERROR(IF(0=LEN(ReferenceData!$C$27),"",ReferenceData!$C$27),"")</f>
        <v/>
      </c>
      <c r="D27" t="str">
        <f>IFERROR(IF(0=LEN(ReferenceData!$D$27),"",ReferenceData!$D$27),"")</f>
        <v/>
      </c>
      <c r="E27" t="str">
        <f>IFERROR(IF(0=LEN(ReferenceData!$E$27),"",ReferenceData!$E$27),"")</f>
        <v>Static</v>
      </c>
      <c r="F27">
        <f ca="1">IFERROR(IF(0=LEN(ReferenceData!$K$27),"",ReferenceData!$K$27),"")</f>
        <v>251.76599999999999</v>
      </c>
      <c r="G27">
        <f ca="1">IFERROR(IF(0=LEN(ReferenceData!$J$27),"",ReferenceData!$J$27),"")</f>
        <v>244.31899999999999</v>
      </c>
      <c r="H27">
        <f ca="1">IFERROR(IF(0=LEN(ReferenceData!$I$27),"",ReferenceData!$I$27),"")</f>
        <v>249.90799999999999</v>
      </c>
      <c r="I27">
        <f ca="1">IFERROR(IF(0=LEN(ReferenceData!$H$27),"",ReferenceData!$H$27),"")</f>
        <v>204.357</v>
      </c>
      <c r="J27">
        <f ca="1">IFERROR(IF(0=LEN(ReferenceData!$G$27),"",ReferenceData!$G$27),"")</f>
        <v>214.989</v>
      </c>
      <c r="K27">
        <f ca="1">IFERROR(IF(0=LEN(ReferenceData!$F$27),"",ReferenceData!$F$27),"")</f>
        <v>219.77600000000001</v>
      </c>
    </row>
    <row r="28" spans="1:11" x14ac:dyDescent="0.25">
      <c r="A28" t="str">
        <f>IFERROR(IF(0=LEN(ReferenceData!$A$28),"",ReferenceData!$A$28),"")</f>
        <v xml:space="preserve">    </v>
      </c>
      <c r="B28" t="str">
        <f>IFERROR(IF(0=LEN(ReferenceData!$B$28),"",ReferenceData!$B$28),"")</f>
        <v/>
      </c>
      <c r="C28" t="str">
        <f>IFERROR(IF(0=LEN(ReferenceData!$C$28),"",ReferenceData!$C$28),"")</f>
        <v/>
      </c>
      <c r="D28" t="str">
        <f>IFERROR(IF(0=LEN(ReferenceData!$D$28),"",ReferenceData!$D$28),"")</f>
        <v/>
      </c>
      <c r="E28" t="str">
        <f>IFERROR(IF(0=LEN(ReferenceData!$E$28),"",ReferenceData!$E$28),"")</f>
        <v>Static</v>
      </c>
      <c r="F28" t="str">
        <f ca="1">IFERROR(IF(0=LEN(ReferenceData!$K$28),"",ReferenceData!$K$28),"")</f>
        <v/>
      </c>
      <c r="G28" t="str">
        <f ca="1">IFERROR(IF(0=LEN(ReferenceData!$J$28),"",ReferenceData!$J$28),"")</f>
        <v/>
      </c>
      <c r="H28" t="str">
        <f ca="1">IFERROR(IF(0=LEN(ReferenceData!$I$28),"",ReferenceData!$I$28),"")</f>
        <v/>
      </c>
      <c r="I28" t="str">
        <f ca="1">IFERROR(IF(0=LEN(ReferenceData!$H$28),"",ReferenceData!$H$28),"")</f>
        <v/>
      </c>
      <c r="J28" t="str">
        <f ca="1">IFERROR(IF(0=LEN(ReferenceData!$G$28),"",ReferenceData!$G$28),"")</f>
        <v/>
      </c>
      <c r="K28" t="str">
        <f ca="1">IFERROR(IF(0=LEN(ReferenceData!$F$28),"",ReferenceData!$F$28),"")</f>
        <v/>
      </c>
    </row>
    <row r="29" spans="1:11" x14ac:dyDescent="0.25">
      <c r="A29" t="str">
        <f>IFERROR(IF(0=LEN(ReferenceData!$A$29),"",ReferenceData!$A$29),"")</f>
        <v>Support and Training</v>
      </c>
      <c r="B29" t="str">
        <f>IFERROR(IF(0=LEN(ReferenceData!$B$29),"",ReferenceData!$B$29),"")</f>
        <v/>
      </c>
      <c r="C29" t="str">
        <f>IFERROR(IF(0=LEN(ReferenceData!$C$29),"",ReferenceData!$C$29),"")</f>
        <v/>
      </c>
      <c r="D29" t="str">
        <f>IFERROR(IF(0=LEN(ReferenceData!$D$29),"",ReferenceData!$D$29),"")</f>
        <v/>
      </c>
      <c r="E29" t="str">
        <f>IFERROR(IF(0=LEN(ReferenceData!$E$29),"",ReferenceData!$E$29),"")</f>
        <v>Sum</v>
      </c>
      <c r="F29">
        <f ca="1">IFERROR(IF(0=LEN(ReferenceData!$K$29),"",ReferenceData!$K$29),"")</f>
        <v>152.77700000000002</v>
      </c>
      <c r="G29">
        <f ca="1">IFERROR(IF(0=LEN(ReferenceData!$J$29),"",ReferenceData!$J$29),"")</f>
        <v>146.577</v>
      </c>
      <c r="H29">
        <f ca="1">IFERROR(IF(0=LEN(ReferenceData!$I$29),"",ReferenceData!$I$29),"")</f>
        <v>148.703</v>
      </c>
      <c r="I29">
        <f ca="1">IFERROR(IF(0=LEN(ReferenceData!$H$29),"",ReferenceData!$H$29),"")</f>
        <v>152.40300000000002</v>
      </c>
      <c r="J29">
        <f ca="1">IFERROR(IF(0=LEN(ReferenceData!$G$29),"",ReferenceData!$G$29),"")</f>
        <v>157.51299999999998</v>
      </c>
      <c r="K29">
        <f ca="1">IFERROR(IF(0=LEN(ReferenceData!$F$29),"",ReferenceData!$F$29),"")</f>
        <v>159.53299999999999</v>
      </c>
    </row>
    <row r="30" spans="1:11" x14ac:dyDescent="0.25">
      <c r="A30" t="str">
        <f>IFERROR(IF(0=LEN(ReferenceData!$A$30),"",ReferenceData!$A$30),"")</f>
        <v xml:space="preserve">    IBM</v>
      </c>
      <c r="B30" t="str">
        <f>IFERROR(IF(0=LEN(ReferenceData!$B$30),"",ReferenceData!$B$30),"")</f>
        <v/>
      </c>
      <c r="C30" t="str">
        <f>IFERROR(IF(0=LEN(ReferenceData!$C$30),"",ReferenceData!$C$30),"")</f>
        <v/>
      </c>
      <c r="D30" t="str">
        <f>IFERROR(IF(0=LEN(ReferenceData!$D$30),"",ReferenceData!$D$30),"")</f>
        <v/>
      </c>
      <c r="E30" t="str">
        <f>IFERROR(IF(0=LEN(ReferenceData!$E$30),"",ReferenceData!$E$30),"")</f>
        <v>Static</v>
      </c>
      <c r="F30">
        <f ca="1">IFERROR(IF(0=LEN(ReferenceData!$K$30),"",ReferenceData!$K$30),"")</f>
        <v>14.787000000000001</v>
      </c>
      <c r="G30">
        <f ca="1">IFERROR(IF(0=LEN(ReferenceData!$J$30),"",ReferenceData!$J$30),"")</f>
        <v>13.510999999999999</v>
      </c>
      <c r="H30">
        <f ca="1">IFERROR(IF(0=LEN(ReferenceData!$I$30),"",ReferenceData!$I$30),"")</f>
        <v>12.933999999999999</v>
      </c>
      <c r="I30">
        <f ca="1">IFERROR(IF(0=LEN(ReferenceData!$H$30),"",ReferenceData!$H$30),"")</f>
        <v>12.523</v>
      </c>
      <c r="J30">
        <f ca="1">IFERROR(IF(0=LEN(ReferenceData!$G$30),"",ReferenceData!$G$30),"")</f>
        <v>12.254</v>
      </c>
      <c r="K30">
        <f ca="1">IFERROR(IF(0=LEN(ReferenceData!$F$30),"",ReferenceData!$F$30),"")</f>
        <v>11.951000000000001</v>
      </c>
    </row>
    <row r="31" spans="1:11" x14ac:dyDescent="0.25">
      <c r="A31" t="str">
        <f>IFERROR(IF(0=LEN(ReferenceData!$A$31),"",ReferenceData!$A$31),"")</f>
        <v xml:space="preserve">    Dell</v>
      </c>
      <c r="B31" t="str">
        <f>IFERROR(IF(0=LEN(ReferenceData!$B$31),"",ReferenceData!$B$31),"")</f>
        <v/>
      </c>
      <c r="C31" t="str">
        <f>IFERROR(IF(0=LEN(ReferenceData!$C$31),"",ReferenceData!$C$31),"")</f>
        <v/>
      </c>
      <c r="D31" t="str">
        <f>IFERROR(IF(0=LEN(ReferenceData!$D$31),"",ReferenceData!$D$31),"")</f>
        <v/>
      </c>
      <c r="E31" t="str">
        <f>IFERROR(IF(0=LEN(ReferenceData!$E$31),"",ReferenceData!$E$31),"")</f>
        <v>Static</v>
      </c>
      <c r="F31">
        <f ca="1">IFERROR(IF(0=LEN(ReferenceData!$K$31),"",ReferenceData!$K$31),"")</f>
        <v>9.5630000000000006</v>
      </c>
      <c r="G31">
        <f ca="1">IFERROR(IF(0=LEN(ReferenceData!$J$31),"",ReferenceData!$J$31),"")</f>
        <v>9.798</v>
      </c>
      <c r="H31">
        <f ca="1">IFERROR(IF(0=LEN(ReferenceData!$I$31),"",ReferenceData!$I$31),"")</f>
        <v>9.6199999999999992</v>
      </c>
      <c r="I31">
        <f ca="1">IFERROR(IF(0=LEN(ReferenceData!$H$31),"",ReferenceData!$H$31),"")</f>
        <v>9.1660000000000004</v>
      </c>
      <c r="J31">
        <f ca="1">IFERROR(IF(0=LEN(ReferenceData!$G$31),"",ReferenceData!$G$31),"")</f>
        <v>9.2829999999999995</v>
      </c>
      <c r="K31">
        <f ca="1">IFERROR(IF(0=LEN(ReferenceData!$F$31),"",ReferenceData!$F$31),"")</f>
        <v>10.074</v>
      </c>
    </row>
    <row r="32" spans="1:11" x14ac:dyDescent="0.25">
      <c r="A32" t="str">
        <f>IFERROR(IF(0=LEN(ReferenceData!$A$32),"",ReferenceData!$A$32),"")</f>
        <v xml:space="preserve">    Cisco</v>
      </c>
      <c r="B32" t="str">
        <f>IFERROR(IF(0=LEN(ReferenceData!$B$32),"",ReferenceData!$B$32),"")</f>
        <v/>
      </c>
      <c r="C32" t="str">
        <f>IFERROR(IF(0=LEN(ReferenceData!$C$32),"",ReferenceData!$C$32),"")</f>
        <v/>
      </c>
      <c r="D32" t="str">
        <f>IFERROR(IF(0=LEN(ReferenceData!$D$32),"",ReferenceData!$D$32),"")</f>
        <v/>
      </c>
      <c r="E32" t="str">
        <f>IFERROR(IF(0=LEN(ReferenceData!$E$32),"",ReferenceData!$E$32),"")</f>
        <v>Static</v>
      </c>
      <c r="F32">
        <f ca="1">IFERROR(IF(0=LEN(ReferenceData!$K$32),"",ReferenceData!$K$32),"")</f>
        <v>8.5030000000000001</v>
      </c>
      <c r="G32">
        <f ca="1">IFERROR(IF(0=LEN(ReferenceData!$J$32),"",ReferenceData!$J$32),"")</f>
        <v>8.3019999999999996</v>
      </c>
      <c r="H32">
        <f ca="1">IFERROR(IF(0=LEN(ReferenceData!$I$32),"",ReferenceData!$I$32),"")</f>
        <v>9.3550000000000004</v>
      </c>
      <c r="I32">
        <f ca="1">IFERROR(IF(0=LEN(ReferenceData!$H$32),"",ReferenceData!$H$32),"")</f>
        <v>9.4290000000000003</v>
      </c>
      <c r="J32">
        <f ca="1">IFERROR(IF(0=LEN(ReferenceData!$G$32),"",ReferenceData!$G$32),"")</f>
        <v>9.68</v>
      </c>
      <c r="K32">
        <f ca="1">IFERROR(IF(0=LEN(ReferenceData!$F$32),"",ReferenceData!$F$32),"")</f>
        <v>9.843</v>
      </c>
    </row>
    <row r="33" spans="1:11" x14ac:dyDescent="0.25">
      <c r="A33" t="str">
        <f>IFERROR(IF(0=LEN(ReferenceData!$A$33),"",ReferenceData!$A$33),"")</f>
        <v xml:space="preserve">    Oracle</v>
      </c>
      <c r="B33" t="str">
        <f>IFERROR(IF(0=LEN(ReferenceData!$B$33),"",ReferenceData!$B$33),"")</f>
        <v/>
      </c>
      <c r="C33" t="str">
        <f>IFERROR(IF(0=LEN(ReferenceData!$C$33),"",ReferenceData!$C$33),"")</f>
        <v/>
      </c>
      <c r="D33" t="str">
        <f>IFERROR(IF(0=LEN(ReferenceData!$D$33),"",ReferenceData!$D$33),"")</f>
        <v/>
      </c>
      <c r="E33" t="str">
        <f>IFERROR(IF(0=LEN(ReferenceData!$E$33),"",ReferenceData!$E$33),"")</f>
        <v>Static</v>
      </c>
      <c r="F33">
        <f ca="1">IFERROR(IF(0=LEN(ReferenceData!$K$33),"",ReferenceData!$K$33),"")</f>
        <v>6.5830000000000002</v>
      </c>
      <c r="G33">
        <f ca="1">IFERROR(IF(0=LEN(ReferenceData!$J$33),"",ReferenceData!$J$33),"")</f>
        <v>6.4189999999999996</v>
      </c>
      <c r="H33">
        <f ca="1">IFERROR(IF(0=LEN(ReferenceData!$I$33),"",ReferenceData!$I$33),"")</f>
        <v>6.33</v>
      </c>
      <c r="I33">
        <f ca="1">IFERROR(IF(0=LEN(ReferenceData!$H$33),"",ReferenceData!$H$33),"")</f>
        <v>6.3929999999999998</v>
      </c>
      <c r="J33">
        <f ca="1">IFERROR(IF(0=LEN(ReferenceData!$G$33),"",ReferenceData!$G$33),"")</f>
        <v>6.2380000000000004</v>
      </c>
      <c r="K33">
        <f ca="1">IFERROR(IF(0=LEN(ReferenceData!$F$33),"",ReferenceData!$F$33),"")</f>
        <v>6.35</v>
      </c>
    </row>
    <row r="34" spans="1:11" x14ac:dyDescent="0.25">
      <c r="A34" t="str">
        <f>IFERROR(IF(0=LEN(ReferenceData!$A$34),"",ReferenceData!$A$34),"")</f>
        <v xml:space="preserve">    Hewlett Packard Enterprise</v>
      </c>
      <c r="B34" t="str">
        <f>IFERROR(IF(0=LEN(ReferenceData!$B$34),"",ReferenceData!$B$34),"")</f>
        <v/>
      </c>
      <c r="C34" t="str">
        <f>IFERROR(IF(0=LEN(ReferenceData!$C$34),"",ReferenceData!$C$34),"")</f>
        <v/>
      </c>
      <c r="D34" t="str">
        <f>IFERROR(IF(0=LEN(ReferenceData!$D$34),"",ReferenceData!$D$34),"")</f>
        <v/>
      </c>
      <c r="E34" t="str">
        <f>IFERROR(IF(0=LEN(ReferenceData!$E$34),"",ReferenceData!$E$34),"")</f>
        <v>Static</v>
      </c>
      <c r="F34">
        <f ca="1">IFERROR(IF(0=LEN(ReferenceData!$K$34),"",ReferenceData!$K$34),"")</f>
        <v>10.036</v>
      </c>
      <c r="G34">
        <f ca="1">IFERROR(IF(0=LEN(ReferenceData!$J$34),"",ReferenceData!$J$34),"")</f>
        <v>9.1999999999999993</v>
      </c>
      <c r="H34">
        <f ca="1">IFERROR(IF(0=LEN(ReferenceData!$I$34),"",ReferenceData!$I$34),"")</f>
        <v>8.5950000000000006</v>
      </c>
      <c r="I34">
        <f ca="1">IFERROR(IF(0=LEN(ReferenceData!$H$34),"",ReferenceData!$H$34),"")</f>
        <v>7.17</v>
      </c>
      <c r="J34">
        <f ca="1">IFERROR(IF(0=LEN(ReferenceData!$G$34),"",ReferenceData!$G$34),"")</f>
        <v>6.0970000000000004</v>
      </c>
      <c r="K34">
        <f ca="1">IFERROR(IF(0=LEN(ReferenceData!$F$34),"",ReferenceData!$F$34),"")</f>
        <v>5.8330000000000002</v>
      </c>
    </row>
    <row r="35" spans="1:11" x14ac:dyDescent="0.25">
      <c r="A35" t="str">
        <f>IFERROR(IF(0=LEN(ReferenceData!$A$35),"",ReferenceData!$A$35),"")</f>
        <v xml:space="preserve">    Microsoft</v>
      </c>
      <c r="B35" t="str">
        <f>IFERROR(IF(0=LEN(ReferenceData!$B$35),"",ReferenceData!$B$35),"")</f>
        <v/>
      </c>
      <c r="C35" t="str">
        <f>IFERROR(IF(0=LEN(ReferenceData!$C$35),"",ReferenceData!$C$35),"")</f>
        <v/>
      </c>
      <c r="D35" t="str">
        <f>IFERROR(IF(0=LEN(ReferenceData!$D$35),"",ReferenceData!$D$35),"")</f>
        <v/>
      </c>
      <c r="E35" t="str">
        <f>IFERROR(IF(0=LEN(ReferenceData!$E$35),"",ReferenceData!$E$35),"")</f>
        <v>Static</v>
      </c>
      <c r="F35" t="str">
        <f ca="1">IFERROR(IF(0=LEN(ReferenceData!$K$35),"",ReferenceData!$K$35),"")</f>
        <v/>
      </c>
      <c r="G35" t="str">
        <f ca="1">IFERROR(IF(0=LEN(ReferenceData!$J$35),"",ReferenceData!$J$35),"")</f>
        <v/>
      </c>
      <c r="H35" t="str">
        <f ca="1">IFERROR(IF(0=LEN(ReferenceData!$I$35),"",ReferenceData!$I$35),"")</f>
        <v/>
      </c>
      <c r="I35">
        <f ca="1">IFERROR(IF(0=LEN(ReferenceData!$H$35),"",ReferenceData!$H$35),"")</f>
        <v>3.92</v>
      </c>
      <c r="J35">
        <f ca="1">IFERROR(IF(0=LEN(ReferenceData!$G$35),"",ReferenceData!$G$35),"")</f>
        <v>4.0679999999999996</v>
      </c>
      <c r="K35">
        <f ca="1">IFERROR(IF(0=LEN(ReferenceData!$F$35),"",ReferenceData!$F$35),"")</f>
        <v>4.1180000000000003</v>
      </c>
    </row>
    <row r="36" spans="1:11" x14ac:dyDescent="0.25">
      <c r="A36" t="str">
        <f>IFERROR(IF(0=LEN(ReferenceData!$A$36),"",ReferenceData!$A$36),"")</f>
        <v xml:space="preserve">    Hitachi</v>
      </c>
      <c r="B36" t="str">
        <f>IFERROR(IF(0=LEN(ReferenceData!$B$36),"",ReferenceData!$B$36),"")</f>
        <v/>
      </c>
      <c r="C36" t="str">
        <f>IFERROR(IF(0=LEN(ReferenceData!$C$36),"",ReferenceData!$C$36),"")</f>
        <v/>
      </c>
      <c r="D36" t="str">
        <f>IFERROR(IF(0=LEN(ReferenceData!$D$36),"",ReferenceData!$D$36),"")</f>
        <v/>
      </c>
      <c r="E36" t="str">
        <f>IFERROR(IF(0=LEN(ReferenceData!$E$36),"",ReferenceData!$E$36),"")</f>
        <v>Static</v>
      </c>
      <c r="F36" t="str">
        <f ca="1">IFERROR(IF(0=LEN(ReferenceData!$K$36),"",ReferenceData!$K$36),"")</f>
        <v/>
      </c>
      <c r="G36" t="str">
        <f ca="1">IFERROR(IF(0=LEN(ReferenceData!$J$36),"",ReferenceData!$J$36),"")</f>
        <v/>
      </c>
      <c r="H36" t="str">
        <f ca="1">IFERROR(IF(0=LEN(ReferenceData!$I$36),"",ReferenceData!$I$36),"")</f>
        <v/>
      </c>
      <c r="I36">
        <f ca="1">IFERROR(IF(0=LEN(ReferenceData!$H$36),"",ReferenceData!$H$36),"")</f>
        <v>2.758</v>
      </c>
      <c r="J36">
        <f ca="1">IFERROR(IF(0=LEN(ReferenceData!$G$36),"",ReferenceData!$G$36),"")</f>
        <v>2.823</v>
      </c>
      <c r="K36">
        <f ca="1">IFERROR(IF(0=LEN(ReferenceData!$F$36),"",ReferenceData!$F$36),"")</f>
        <v>2.847</v>
      </c>
    </row>
    <row r="37" spans="1:11" x14ac:dyDescent="0.25">
      <c r="A37" t="str">
        <f>IFERROR(IF(0=LEN(ReferenceData!$A$37),"",ReferenceData!$A$37),"")</f>
        <v xml:space="preserve">    Fujitsu</v>
      </c>
      <c r="B37" t="str">
        <f>IFERROR(IF(0=LEN(ReferenceData!$B$37),"",ReferenceData!$B$37),"")</f>
        <v>6702 JP Equity</v>
      </c>
      <c r="C37" t="str">
        <f>IFERROR(IF(0=LEN(ReferenceData!$C$37),"",ReferenceData!$C$37),"")</f>
        <v/>
      </c>
      <c r="D37" t="str">
        <f>IFERROR(IF(0=LEN(ReferenceData!$D$37),"",ReferenceData!$D$37),"")</f>
        <v/>
      </c>
      <c r="E37" t="str">
        <f>IFERROR(IF(0=LEN(ReferenceData!$E$37),"",ReferenceData!$E$37),"")</f>
        <v>Static</v>
      </c>
      <c r="F37" t="str">
        <f ca="1">IFERROR(IF(0=LEN(ReferenceData!$K$37),"",ReferenceData!$K$37),"")</f>
        <v/>
      </c>
      <c r="G37" t="str">
        <f ca="1">IFERROR(IF(0=LEN(ReferenceData!$J$37),"",ReferenceData!$J$37),"")</f>
        <v/>
      </c>
      <c r="H37" t="str">
        <f ca="1">IFERROR(IF(0=LEN(ReferenceData!$I$37),"",ReferenceData!$I$37),"")</f>
        <v/>
      </c>
      <c r="I37">
        <f ca="1">IFERROR(IF(0=LEN(ReferenceData!$H$37),"",ReferenceData!$H$37),"")</f>
        <v>2.8380000000000001</v>
      </c>
      <c r="J37">
        <f ca="1">IFERROR(IF(0=LEN(ReferenceData!$G$37),"",ReferenceData!$G$37),"")</f>
        <v>2.8479999999999999</v>
      </c>
      <c r="K37">
        <f ca="1">IFERROR(IF(0=LEN(ReferenceData!$F$37),"",ReferenceData!$F$37),"")</f>
        <v>2.754</v>
      </c>
    </row>
    <row r="38" spans="1:11" x14ac:dyDescent="0.25">
      <c r="A38" t="str">
        <f>IFERROR(IF(0=LEN(ReferenceData!$A$38),"",ReferenceData!$A$38),"")</f>
        <v xml:space="preserve">    NEC</v>
      </c>
      <c r="B38" t="str">
        <f>IFERROR(IF(0=LEN(ReferenceData!$B$38),"",ReferenceData!$B$38),"")</f>
        <v>6701 JP Equity</v>
      </c>
      <c r="C38" t="str">
        <f>IFERROR(IF(0=LEN(ReferenceData!$C$38),"",ReferenceData!$C$38),"")</f>
        <v/>
      </c>
      <c r="D38" t="str">
        <f>IFERROR(IF(0=LEN(ReferenceData!$D$38),"",ReferenceData!$D$38),"")</f>
        <v/>
      </c>
      <c r="E38" t="str">
        <f>IFERROR(IF(0=LEN(ReferenceData!$E$38),"",ReferenceData!$E$38),"")</f>
        <v>Static</v>
      </c>
      <c r="F38" t="str">
        <f ca="1">IFERROR(IF(0=LEN(ReferenceData!$K$38),"",ReferenceData!$K$38),"")</f>
        <v/>
      </c>
      <c r="G38" t="str">
        <f ca="1">IFERROR(IF(0=LEN(ReferenceData!$J$38),"",ReferenceData!$J$38),"")</f>
        <v/>
      </c>
      <c r="H38" t="str">
        <f ca="1">IFERROR(IF(0=LEN(ReferenceData!$I$38),"",ReferenceData!$I$38),"")</f>
        <v/>
      </c>
      <c r="I38">
        <f ca="1">IFERROR(IF(0=LEN(ReferenceData!$H$38),"",ReferenceData!$H$38),"")</f>
        <v>1.8029999999999999</v>
      </c>
      <c r="J38">
        <f ca="1">IFERROR(IF(0=LEN(ReferenceData!$G$38),"",ReferenceData!$G$38),"")</f>
        <v>1.8420000000000001</v>
      </c>
      <c r="K38">
        <f ca="1">IFERROR(IF(0=LEN(ReferenceData!$F$38),"",ReferenceData!$F$38),"")</f>
        <v>1.879</v>
      </c>
    </row>
    <row r="39" spans="1:11" x14ac:dyDescent="0.25">
      <c r="A39" t="str">
        <f>IFERROR(IF(0=LEN(ReferenceData!$A$39),"",ReferenceData!$A$39),"")</f>
        <v xml:space="preserve">    SAP</v>
      </c>
      <c r="B39" t="str">
        <f>IFERROR(IF(0=LEN(ReferenceData!$B$39),"",ReferenceData!$B$39),"")</f>
        <v>SAP GR Equity</v>
      </c>
      <c r="C39" t="str">
        <f>IFERROR(IF(0=LEN(ReferenceData!$C$39),"",ReferenceData!$C$39),"")</f>
        <v/>
      </c>
      <c r="D39" t="str">
        <f>IFERROR(IF(0=LEN(ReferenceData!$D$39),"",ReferenceData!$D$39),"")</f>
        <v/>
      </c>
      <c r="E39" t="str">
        <f>IFERROR(IF(0=LEN(ReferenceData!$E$39),"",ReferenceData!$E$39),"")</f>
        <v>Static</v>
      </c>
      <c r="F39" t="str">
        <f ca="1">IFERROR(IF(0=LEN(ReferenceData!$K$39),"",ReferenceData!$K$39),"")</f>
        <v/>
      </c>
      <c r="G39" t="str">
        <f ca="1">IFERROR(IF(0=LEN(ReferenceData!$J$39),"",ReferenceData!$J$39),"")</f>
        <v/>
      </c>
      <c r="H39" t="str">
        <f ca="1">IFERROR(IF(0=LEN(ReferenceData!$I$39),"",ReferenceData!$I$39),"")</f>
        <v/>
      </c>
      <c r="I39">
        <f ca="1">IFERROR(IF(0=LEN(ReferenceData!$H$39),"",ReferenceData!$H$39),"")</f>
        <v>1.5129999999999999</v>
      </c>
      <c r="J39">
        <f ca="1">IFERROR(IF(0=LEN(ReferenceData!$G$39),"",ReferenceData!$G$39),"")</f>
        <v>1.5640000000000001</v>
      </c>
      <c r="K39">
        <f ca="1">IFERROR(IF(0=LEN(ReferenceData!$F$39),"",ReferenceData!$F$39),"")</f>
        <v>1.645</v>
      </c>
    </row>
    <row r="40" spans="1:11" x14ac:dyDescent="0.25">
      <c r="A40" t="str">
        <f>IFERROR(IF(0=LEN(ReferenceData!$A$40),"",ReferenceData!$A$40),"")</f>
        <v xml:space="preserve">    BT</v>
      </c>
      <c r="B40" t="str">
        <f>IFERROR(IF(0=LEN(ReferenceData!$B$40),"",ReferenceData!$B$40),"")</f>
        <v>BT/A LN Equity</v>
      </c>
      <c r="C40" t="str">
        <f>IFERROR(IF(0=LEN(ReferenceData!$C$40),"",ReferenceData!$C$40),"")</f>
        <v/>
      </c>
      <c r="D40" t="str">
        <f>IFERROR(IF(0=LEN(ReferenceData!$D$40),"",ReferenceData!$D$40),"")</f>
        <v/>
      </c>
      <c r="E40" t="str">
        <f>IFERROR(IF(0=LEN(ReferenceData!$E$40),"",ReferenceData!$E$40),"")</f>
        <v>Static</v>
      </c>
      <c r="F40" t="str">
        <f ca="1">IFERROR(IF(0=LEN(ReferenceData!$K$40),"",ReferenceData!$K$40),"")</f>
        <v/>
      </c>
      <c r="G40" t="str">
        <f ca="1">IFERROR(IF(0=LEN(ReferenceData!$J$40),"",ReferenceData!$J$40),"")</f>
        <v/>
      </c>
      <c r="H40" t="str">
        <f ca="1">IFERROR(IF(0=LEN(ReferenceData!$I$40),"",ReferenceData!$I$40),"")</f>
        <v/>
      </c>
      <c r="I40">
        <f ca="1">IFERROR(IF(0=LEN(ReferenceData!$H$40),"",ReferenceData!$H$40),"")</f>
        <v>1.643</v>
      </c>
      <c r="J40">
        <f ca="1">IFERROR(IF(0=LEN(ReferenceData!$G$40),"",ReferenceData!$G$40),"")</f>
        <v>1.615</v>
      </c>
      <c r="K40">
        <f ca="1">IFERROR(IF(0=LEN(ReferenceData!$F$40),"",ReferenceData!$F$40),"")</f>
        <v>1.5580000000000001</v>
      </c>
    </row>
    <row r="41" spans="1:11" x14ac:dyDescent="0.25">
      <c r="A41" t="str">
        <f>IFERROR(IF(0=LEN(ReferenceData!$A$41),"",ReferenceData!$A$41),"")</f>
        <v xml:space="preserve">    Leidos</v>
      </c>
      <c r="B41" t="str">
        <f>IFERROR(IF(0=LEN(ReferenceData!$B$41),"",ReferenceData!$B$41),"")</f>
        <v>LDOS US Equity</v>
      </c>
      <c r="C41" t="str">
        <f>IFERROR(IF(0=LEN(ReferenceData!$C$41),"",ReferenceData!$C$41),"")</f>
        <v/>
      </c>
      <c r="D41" t="str">
        <f>IFERROR(IF(0=LEN(ReferenceData!$D$41),"",ReferenceData!$D$41),"")</f>
        <v/>
      </c>
      <c r="E41" t="str">
        <f>IFERROR(IF(0=LEN(ReferenceData!$E$41),"",ReferenceData!$E$41),"")</f>
        <v>Static</v>
      </c>
      <c r="F41" t="str">
        <f ca="1">IFERROR(IF(0=LEN(ReferenceData!$K$41),"",ReferenceData!$K$41),"")</f>
        <v/>
      </c>
      <c r="G41" t="str">
        <f ca="1">IFERROR(IF(0=LEN(ReferenceData!$J$41),"",ReferenceData!$J$41),"")</f>
        <v/>
      </c>
      <c r="H41" t="str">
        <f ca="1">IFERROR(IF(0=LEN(ReferenceData!$I$41),"",ReferenceData!$I$41),"")</f>
        <v/>
      </c>
      <c r="I41">
        <f ca="1">IFERROR(IF(0=LEN(ReferenceData!$H$41),"",ReferenceData!$H$41),"")</f>
        <v>1.43</v>
      </c>
      <c r="J41">
        <f ca="1">IFERROR(IF(0=LEN(ReferenceData!$G$41),"",ReferenceData!$G$41),"")</f>
        <v>1.425</v>
      </c>
      <c r="K41">
        <f ca="1">IFERROR(IF(0=LEN(ReferenceData!$F$41),"",ReferenceData!$F$41),"")</f>
        <v>1.5429999999999999</v>
      </c>
    </row>
    <row r="42" spans="1:11" x14ac:dyDescent="0.25">
      <c r="A42" t="str">
        <f>IFERROR(IF(0=LEN(ReferenceData!$A$42),"",ReferenceData!$A$42),"")</f>
        <v xml:space="preserve">    NetApp</v>
      </c>
      <c r="B42" t="str">
        <f>IFERROR(IF(0=LEN(ReferenceData!$B$42),"",ReferenceData!$B$42),"")</f>
        <v>NTAP US Equity</v>
      </c>
      <c r="C42" t="str">
        <f>IFERROR(IF(0=LEN(ReferenceData!$C$42),"",ReferenceData!$C$42),"")</f>
        <v/>
      </c>
      <c r="D42" t="str">
        <f>IFERROR(IF(0=LEN(ReferenceData!$D$42),"",ReferenceData!$D$42),"")</f>
        <v/>
      </c>
      <c r="E42" t="str">
        <f>IFERROR(IF(0=LEN(ReferenceData!$E$42),"",ReferenceData!$E$42),"")</f>
        <v>Static</v>
      </c>
      <c r="F42" t="str">
        <f ca="1">IFERROR(IF(0=LEN(ReferenceData!$K$42),"",ReferenceData!$K$42),"")</f>
        <v/>
      </c>
      <c r="G42" t="str">
        <f ca="1">IFERROR(IF(0=LEN(ReferenceData!$J$42),"",ReferenceData!$J$42),"")</f>
        <v/>
      </c>
      <c r="H42" t="str">
        <f ca="1">IFERROR(IF(0=LEN(ReferenceData!$I$42),"",ReferenceData!$I$42),"")</f>
        <v/>
      </c>
      <c r="I42">
        <f ca="1">IFERROR(IF(0=LEN(ReferenceData!$H$42),"",ReferenceData!$H$42),"")</f>
        <v>1.32</v>
      </c>
      <c r="J42">
        <f ca="1">IFERROR(IF(0=LEN(ReferenceData!$G$42),"",ReferenceData!$G$42),"")</f>
        <v>1.272</v>
      </c>
      <c r="K42">
        <f ca="1">IFERROR(IF(0=LEN(ReferenceData!$F$42),"",ReferenceData!$F$42),"")</f>
        <v>1.254</v>
      </c>
    </row>
    <row r="43" spans="1:11" x14ac:dyDescent="0.25">
      <c r="A43" t="str">
        <f>IFERROR(IF(0=LEN(ReferenceData!$A$43),"",ReferenceData!$A$43),"")</f>
        <v xml:space="preserve">    General Dynamics</v>
      </c>
      <c r="B43" t="str">
        <f>IFERROR(IF(0=LEN(ReferenceData!$B$43),"",ReferenceData!$B$43),"")</f>
        <v>GD US Equity</v>
      </c>
      <c r="C43" t="str">
        <f>IFERROR(IF(0=LEN(ReferenceData!$C$43),"",ReferenceData!$C$43),"")</f>
        <v/>
      </c>
      <c r="D43" t="str">
        <f>IFERROR(IF(0=LEN(ReferenceData!$D$43),"",ReferenceData!$D$43),"")</f>
        <v/>
      </c>
      <c r="E43" t="str">
        <f>IFERROR(IF(0=LEN(ReferenceData!$E$43),"",ReferenceData!$E$43),"")</f>
        <v>Static</v>
      </c>
      <c r="F43" t="str">
        <f ca="1">IFERROR(IF(0=LEN(ReferenceData!$K$43),"",ReferenceData!$K$43),"")</f>
        <v/>
      </c>
      <c r="G43" t="str">
        <f ca="1">IFERROR(IF(0=LEN(ReferenceData!$J$43),"",ReferenceData!$J$43),"")</f>
        <v/>
      </c>
      <c r="H43" t="str">
        <f ca="1">IFERROR(IF(0=LEN(ReferenceData!$I$43),"",ReferenceData!$I$43),"")</f>
        <v/>
      </c>
      <c r="I43">
        <f ca="1">IFERROR(IF(0=LEN(ReferenceData!$H$43),"",ReferenceData!$H$43),"")</f>
        <v>0.64</v>
      </c>
      <c r="J43">
        <f ca="1">IFERROR(IF(0=LEN(ReferenceData!$G$43),"",ReferenceData!$G$43),"")</f>
        <v>1.161</v>
      </c>
      <c r="K43">
        <f ca="1">IFERROR(IF(0=LEN(ReferenceData!$F$43),"",ReferenceData!$F$43),"")</f>
        <v>1.194</v>
      </c>
    </row>
    <row r="44" spans="1:11" x14ac:dyDescent="0.25">
      <c r="A44" t="str">
        <f>IFERROR(IF(0=LEN(ReferenceData!$A$44),"",ReferenceData!$A$44),"")</f>
        <v xml:space="preserve">    CACI</v>
      </c>
      <c r="B44" t="str">
        <f>IFERROR(IF(0=LEN(ReferenceData!$B$44),"",ReferenceData!$B$44),"")</f>
        <v>CACI US Equity</v>
      </c>
      <c r="C44" t="str">
        <f>IFERROR(IF(0=LEN(ReferenceData!$C$44),"",ReferenceData!$C$44),"")</f>
        <v/>
      </c>
      <c r="D44" t="str">
        <f>IFERROR(IF(0=LEN(ReferenceData!$D$44),"",ReferenceData!$D$44),"")</f>
        <v/>
      </c>
      <c r="E44" t="str">
        <f>IFERROR(IF(0=LEN(ReferenceData!$E$44),"",ReferenceData!$E$44),"")</f>
        <v>Static</v>
      </c>
      <c r="F44" t="str">
        <f ca="1">IFERROR(IF(0=LEN(ReferenceData!$K$44),"",ReferenceData!$K$44),"")</f>
        <v/>
      </c>
      <c r="G44" t="str">
        <f ca="1">IFERROR(IF(0=LEN(ReferenceData!$J$44),"",ReferenceData!$J$44),"")</f>
        <v/>
      </c>
      <c r="H44" t="str">
        <f ca="1">IFERROR(IF(0=LEN(ReferenceData!$I$44),"",ReferenceData!$I$44),"")</f>
        <v/>
      </c>
      <c r="I44">
        <f ca="1">IFERROR(IF(0=LEN(ReferenceData!$H$44),"",ReferenceData!$H$44),"")</f>
        <v>0.93400000000000005</v>
      </c>
      <c r="J44">
        <f ca="1">IFERROR(IF(0=LEN(ReferenceData!$G$44),"",ReferenceData!$G$44),"")</f>
        <v>1.0169999999999999</v>
      </c>
      <c r="K44">
        <f ca="1">IFERROR(IF(0=LEN(ReferenceData!$F$44),"",ReferenceData!$F$44),"")</f>
        <v>1.1759999999999999</v>
      </c>
    </row>
    <row r="45" spans="1:11" x14ac:dyDescent="0.25">
      <c r="A45" t="str">
        <f>IFERROR(IF(0=LEN(ReferenceData!$A$45),"",ReferenceData!$A$45),"")</f>
        <v xml:space="preserve">    NTT</v>
      </c>
      <c r="B45" t="str">
        <f>IFERROR(IF(0=LEN(ReferenceData!$B$45),"",ReferenceData!$B$45),"")</f>
        <v>9613 JP Equity</v>
      </c>
      <c r="C45" t="str">
        <f>IFERROR(IF(0=LEN(ReferenceData!$C$45),"",ReferenceData!$C$45),"")</f>
        <v/>
      </c>
      <c r="D45" t="str">
        <f>IFERROR(IF(0=LEN(ReferenceData!$D$45),"",ReferenceData!$D$45),"")</f>
        <v/>
      </c>
      <c r="E45" t="str">
        <f>IFERROR(IF(0=LEN(ReferenceData!$E$45),"",ReferenceData!$E$45),"")</f>
        <v>Static</v>
      </c>
      <c r="F45" t="str">
        <f ca="1">IFERROR(IF(0=LEN(ReferenceData!$K$45),"",ReferenceData!$K$45),"")</f>
        <v/>
      </c>
      <c r="G45" t="str">
        <f ca="1">IFERROR(IF(0=LEN(ReferenceData!$J$45),"",ReferenceData!$J$45),"")</f>
        <v/>
      </c>
      <c r="H45" t="str">
        <f ca="1">IFERROR(IF(0=LEN(ReferenceData!$I$45),"",ReferenceData!$I$45),"")</f>
        <v/>
      </c>
      <c r="I45">
        <f ca="1">IFERROR(IF(0=LEN(ReferenceData!$H$45),"",ReferenceData!$H$45),"")</f>
        <v>1.0229999999999999</v>
      </c>
      <c r="J45">
        <f ca="1">IFERROR(IF(0=LEN(ReferenceData!$G$45),"",ReferenceData!$G$45),"")</f>
        <v>1.0620000000000001</v>
      </c>
      <c r="K45">
        <f ca="1">IFERROR(IF(0=LEN(ReferenceData!$F$45),"",ReferenceData!$F$45),"")</f>
        <v>1.1040000000000001</v>
      </c>
    </row>
    <row r="46" spans="1:11" x14ac:dyDescent="0.25">
      <c r="A46" t="str">
        <f>IFERROR(IF(0=LEN(ReferenceData!$A$46),"",ReferenceData!$A$46),"")</f>
        <v xml:space="preserve">    Avaya</v>
      </c>
      <c r="B46" t="str">
        <f>IFERROR(IF(0=LEN(ReferenceData!$B$46),"",ReferenceData!$B$46),"")</f>
        <v>AVYA US Equity</v>
      </c>
      <c r="C46" t="str">
        <f>IFERROR(IF(0=LEN(ReferenceData!$C$46),"",ReferenceData!$C$46),"")</f>
        <v/>
      </c>
      <c r="D46" t="str">
        <f>IFERROR(IF(0=LEN(ReferenceData!$D$46),"",ReferenceData!$D$46),"")</f>
        <v/>
      </c>
      <c r="E46" t="str">
        <f>IFERROR(IF(0=LEN(ReferenceData!$E$46),"",ReferenceData!$E$46),"")</f>
        <v>Static</v>
      </c>
      <c r="F46" t="str">
        <f ca="1">IFERROR(IF(0=LEN(ReferenceData!$K$46),"",ReferenceData!$K$46),"")</f>
        <v/>
      </c>
      <c r="G46" t="str">
        <f ca="1">IFERROR(IF(0=LEN(ReferenceData!$J$46),"",ReferenceData!$J$46),"")</f>
        <v/>
      </c>
      <c r="H46" t="str">
        <f ca="1">IFERROR(IF(0=LEN(ReferenceData!$I$46),"",ReferenceData!$I$46),"")</f>
        <v/>
      </c>
      <c r="I46">
        <f ca="1">IFERROR(IF(0=LEN(ReferenceData!$H$46),"",ReferenceData!$H$46),"")</f>
        <v>1.17</v>
      </c>
      <c r="J46">
        <f ca="1">IFERROR(IF(0=LEN(ReferenceData!$G$46),"",ReferenceData!$G$46),"")</f>
        <v>1.036</v>
      </c>
      <c r="K46">
        <f ca="1">IFERROR(IF(0=LEN(ReferenceData!$F$46),"",ReferenceData!$F$46),"")</f>
        <v>1.077</v>
      </c>
    </row>
    <row r="47" spans="1:11" x14ac:dyDescent="0.25">
      <c r="A47" t="str">
        <f>IFERROR(IF(0=LEN(ReferenceData!$A$47),"",ReferenceData!$A$47),"")</f>
        <v xml:space="preserve">    HCL Technologies</v>
      </c>
      <c r="B47" t="str">
        <f>IFERROR(IF(0=LEN(ReferenceData!$B$47),"",ReferenceData!$B$47),"")</f>
        <v>HCLT IN Equity</v>
      </c>
      <c r="C47" t="str">
        <f>IFERROR(IF(0=LEN(ReferenceData!$C$47),"",ReferenceData!$C$47),"")</f>
        <v/>
      </c>
      <c r="D47" t="str">
        <f>IFERROR(IF(0=LEN(ReferenceData!$D$47),"",ReferenceData!$D$47),"")</f>
        <v/>
      </c>
      <c r="E47" t="str">
        <f>IFERROR(IF(0=LEN(ReferenceData!$E$47),"",ReferenceData!$E$47),"")</f>
        <v>Static</v>
      </c>
      <c r="F47" t="str">
        <f ca="1">IFERROR(IF(0=LEN(ReferenceData!$K$47),"",ReferenceData!$K$47),"")</f>
        <v/>
      </c>
      <c r="G47" t="str">
        <f ca="1">IFERROR(IF(0=LEN(ReferenceData!$J$47),"",ReferenceData!$J$47),"")</f>
        <v/>
      </c>
      <c r="H47" t="str">
        <f ca="1">IFERROR(IF(0=LEN(ReferenceData!$I$47),"",ReferenceData!$I$47),"")</f>
        <v/>
      </c>
      <c r="I47">
        <f ca="1">IFERROR(IF(0=LEN(ReferenceData!$H$47),"",ReferenceData!$H$47),"")</f>
        <v>0.82499999999999996</v>
      </c>
      <c r="J47">
        <f ca="1">IFERROR(IF(0=LEN(ReferenceData!$G$47),"",ReferenceData!$G$47),"")</f>
        <v>0.91400000000000003</v>
      </c>
      <c r="K47">
        <f ca="1">IFERROR(IF(0=LEN(ReferenceData!$F$47),"",ReferenceData!$F$47),"")</f>
        <v>0.97299999999999998</v>
      </c>
    </row>
    <row r="48" spans="1:11" x14ac:dyDescent="0.25">
      <c r="A48" t="str">
        <f>IFERROR(IF(0=LEN(ReferenceData!$A$48),"",ReferenceData!$A$48),"")</f>
        <v xml:space="preserve">    Juniper</v>
      </c>
      <c r="B48" t="str">
        <f>IFERROR(IF(0=LEN(ReferenceData!$B$48),"",ReferenceData!$B$48),"")</f>
        <v>JNPR US Equity</v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Static</v>
      </c>
      <c r="F48" t="str">
        <f ca="1">IFERROR(IF(0=LEN(ReferenceData!$K$48),"",ReferenceData!$K$48),"")</f>
        <v/>
      </c>
      <c r="G48" t="str">
        <f ca="1">IFERROR(IF(0=LEN(ReferenceData!$J$48),"",ReferenceData!$J$48),"")</f>
        <v/>
      </c>
      <c r="H48" t="str">
        <f ca="1">IFERROR(IF(0=LEN(ReferenceData!$I$48),"",ReferenceData!$I$48),"")</f>
        <v/>
      </c>
      <c r="I48">
        <f ca="1">IFERROR(IF(0=LEN(ReferenceData!$H$48),"",ReferenceData!$H$48),"")</f>
        <v>0.92</v>
      </c>
      <c r="J48">
        <f ca="1">IFERROR(IF(0=LEN(ReferenceData!$G$48),"",ReferenceData!$G$48),"")</f>
        <v>0.86699999999999999</v>
      </c>
      <c r="K48">
        <f ca="1">IFERROR(IF(0=LEN(ReferenceData!$F$48),"",ReferenceData!$F$48),"")</f>
        <v>0.82099999999999995</v>
      </c>
    </row>
    <row r="49" spans="1:11" x14ac:dyDescent="0.25">
      <c r="A49" t="str">
        <f>IFERROR(IF(0=LEN(ReferenceData!$A$49),"",ReferenceData!$A$49),"")</f>
        <v xml:space="preserve">    Otsuka Shokai</v>
      </c>
      <c r="B49" t="str">
        <f>IFERROR(IF(0=LEN(ReferenceData!$B$49),"",ReferenceData!$B$49),"")</f>
        <v>4768 JP Equity</v>
      </c>
      <c r="C49" t="str">
        <f>IFERROR(IF(0=LEN(ReferenceData!$C$49),"",ReferenceData!$C$49),"")</f>
        <v/>
      </c>
      <c r="D49" t="str">
        <f>IFERROR(IF(0=LEN(ReferenceData!$D$49),"",ReferenceData!$D$49),"")</f>
        <v/>
      </c>
      <c r="E49" t="str">
        <f>IFERROR(IF(0=LEN(ReferenceData!$E$49),"",ReferenceData!$E$49),"")</f>
        <v>Static</v>
      </c>
      <c r="F49" t="str">
        <f ca="1">IFERROR(IF(0=LEN(ReferenceData!$K$49),"",ReferenceData!$K$49),"")</f>
        <v/>
      </c>
      <c r="G49" t="str">
        <f ca="1">IFERROR(IF(0=LEN(ReferenceData!$J$49),"",ReferenceData!$J$49),"")</f>
        <v/>
      </c>
      <c r="H49" t="str">
        <f ca="1">IFERROR(IF(0=LEN(ReferenceData!$I$49),"",ReferenceData!$I$49),"")</f>
        <v/>
      </c>
      <c r="I49">
        <f ca="1">IFERROR(IF(0=LEN(ReferenceData!$H$49),"",ReferenceData!$H$49),"")</f>
        <v>0.65</v>
      </c>
      <c r="J49">
        <f ca="1">IFERROR(IF(0=LEN(ReferenceData!$G$49),"",ReferenceData!$G$49),"")</f>
        <v>0.70699999999999996</v>
      </c>
      <c r="K49">
        <f ca="1">IFERROR(IF(0=LEN(ReferenceData!$F$49),"",ReferenceData!$F$49),"")</f>
        <v>0.749</v>
      </c>
    </row>
    <row r="50" spans="1:11" x14ac:dyDescent="0.25">
      <c r="A50" t="str">
        <f>IFERROR(IF(0=LEN(ReferenceData!$A$50),"",ReferenceData!$A$50),"")</f>
        <v xml:space="preserve">    Other</v>
      </c>
      <c r="B50" t="str">
        <f>IFERROR(IF(0=LEN(ReferenceData!$B$50),"",ReferenceData!$B$50),"")</f>
        <v/>
      </c>
      <c r="C50" t="str">
        <f>IFERROR(IF(0=LEN(ReferenceData!$C$50),"",ReferenceData!$C$50),"")</f>
        <v/>
      </c>
      <c r="D50" t="str">
        <f>IFERROR(IF(0=LEN(ReferenceData!$D$50),"",ReferenceData!$D$50),"")</f>
        <v/>
      </c>
      <c r="E50" t="str">
        <f>IFERROR(IF(0=LEN(ReferenceData!$E$50),"",ReferenceData!$E$50),"")</f>
        <v>Static</v>
      </c>
      <c r="F50">
        <f ca="1">IFERROR(IF(0=LEN(ReferenceData!$K$50),"",ReferenceData!$K$50),"")</f>
        <v>103.30500000000001</v>
      </c>
      <c r="G50">
        <f ca="1">IFERROR(IF(0=LEN(ReferenceData!$J$50),"",ReferenceData!$J$50),"")</f>
        <v>99.346999999999994</v>
      </c>
      <c r="H50">
        <f ca="1">IFERROR(IF(0=LEN(ReferenceData!$I$50),"",ReferenceData!$I$50),"")</f>
        <v>101.869</v>
      </c>
      <c r="I50">
        <f ca="1">IFERROR(IF(0=LEN(ReferenceData!$H$50),"",ReferenceData!$H$50),"")</f>
        <v>84.334999999999994</v>
      </c>
      <c r="J50">
        <f ca="1">IFERROR(IF(0=LEN(ReferenceData!$G$50),"",ReferenceData!$G$50),"")</f>
        <v>89.74</v>
      </c>
      <c r="K50">
        <f ca="1">IFERROR(IF(0=LEN(ReferenceData!$F$50),"",ReferenceData!$F$50),"")</f>
        <v>90.79</v>
      </c>
    </row>
    <row r="51" spans="1:11" x14ac:dyDescent="0.25">
      <c r="A51" t="str">
        <f>IFERROR(IF(0=LEN(ReferenceData!$A$51),"",ReferenceData!$A$51),"")</f>
        <v>Outsourcing</v>
      </c>
      <c r="B51" t="str">
        <f>IFERROR(IF(0=LEN(ReferenceData!$B$51),"",ReferenceData!$B$51),"")</f>
        <v/>
      </c>
      <c r="C51" t="str">
        <f>IFERROR(IF(0=LEN(ReferenceData!$C$51),"",ReferenceData!$C$51),"")</f>
        <v/>
      </c>
      <c r="D51" t="str">
        <f>IFERROR(IF(0=LEN(ReferenceData!$D$51),"",ReferenceData!$D$51),"")</f>
        <v/>
      </c>
      <c r="E51" t="str">
        <f>IFERROR(IF(0=LEN(ReferenceData!$E$51),"",ReferenceData!$E$51),"")</f>
        <v>Sum</v>
      </c>
      <c r="F51">
        <f ca="1">IFERROR(IF(0=LEN(ReferenceData!$K$51),"",ReferenceData!$K$51),"")</f>
        <v>435.476</v>
      </c>
      <c r="G51">
        <f ca="1">IFERROR(IF(0=LEN(ReferenceData!$J$51),"",ReferenceData!$J$51),"")</f>
        <v>434.52700000000004</v>
      </c>
      <c r="H51">
        <f ca="1">IFERROR(IF(0=LEN(ReferenceData!$I$51),"",ReferenceData!$I$51),"")</f>
        <v>444.66699999999997</v>
      </c>
      <c r="I51">
        <f ca="1">IFERROR(IF(0=LEN(ReferenceData!$H$51),"",ReferenceData!$H$51),"")</f>
        <v>461.66799999999995</v>
      </c>
      <c r="J51">
        <f ca="1">IFERROR(IF(0=LEN(ReferenceData!$G$51),"",ReferenceData!$G$51),"")</f>
        <v>481.17099999999994</v>
      </c>
      <c r="K51">
        <f ca="1">IFERROR(IF(0=LEN(ReferenceData!$F$51),"",ReferenceData!$F$51),"")</f>
        <v>491.322</v>
      </c>
    </row>
    <row r="52" spans="1:11" x14ac:dyDescent="0.25">
      <c r="A52" t="str">
        <f>IFERROR(IF(0=LEN(ReferenceData!$A$52),"",ReferenceData!$A$52),"")</f>
        <v xml:space="preserve">    IBM</v>
      </c>
      <c r="B52" t="str">
        <f>IFERROR(IF(0=LEN(ReferenceData!$B$52),"",ReferenceData!$B$52),"")</f>
        <v/>
      </c>
      <c r="C52" t="str">
        <f>IFERROR(IF(0=LEN(ReferenceData!$C$52),"",ReferenceData!$C$52),"")</f>
        <v/>
      </c>
      <c r="D52" t="str">
        <f>IFERROR(IF(0=LEN(ReferenceData!$D$52),"",ReferenceData!$D$52),"")</f>
        <v/>
      </c>
      <c r="E52" t="str">
        <f>IFERROR(IF(0=LEN(ReferenceData!$E$52),"",ReferenceData!$E$52),"")</f>
        <v>Static</v>
      </c>
      <c r="F52">
        <f ca="1">IFERROR(IF(0=LEN(ReferenceData!$K$52),"",ReferenceData!$K$52),"")</f>
        <v>28.488</v>
      </c>
      <c r="G52">
        <f ca="1">IFERROR(IF(0=LEN(ReferenceData!$J$52),"",ReferenceData!$J$52),"")</f>
        <v>25.602</v>
      </c>
      <c r="H52">
        <f ca="1">IFERROR(IF(0=LEN(ReferenceData!$I$52),"",ReferenceData!$I$52),"")</f>
        <v>25.605</v>
      </c>
      <c r="I52">
        <f ca="1">IFERROR(IF(0=LEN(ReferenceData!$H$52),"",ReferenceData!$H$52),"")</f>
        <v>25.369</v>
      </c>
      <c r="J52">
        <f ca="1">IFERROR(IF(0=LEN(ReferenceData!$G$52),"",ReferenceData!$G$52),"")</f>
        <v>25.181999999999999</v>
      </c>
      <c r="K52">
        <f ca="1">IFERROR(IF(0=LEN(ReferenceData!$F$52),"",ReferenceData!$F$52),"")</f>
        <v>24.343</v>
      </c>
    </row>
    <row r="53" spans="1:11" x14ac:dyDescent="0.25">
      <c r="A53" t="str">
        <f>IFERROR(IF(0=LEN(ReferenceData!$A$53),"",ReferenceData!$A$53),"")</f>
        <v xml:space="preserve">    Accenture</v>
      </c>
      <c r="B53" t="str">
        <f>IFERROR(IF(0=LEN(ReferenceData!$B$53),"",ReferenceData!$B$53),"")</f>
        <v/>
      </c>
      <c r="C53" t="str">
        <f>IFERROR(IF(0=LEN(ReferenceData!$C$53),"",ReferenceData!$C$53),"")</f>
        <v/>
      </c>
      <c r="D53" t="str">
        <f>IFERROR(IF(0=LEN(ReferenceData!$D$53),"",ReferenceData!$D$53),"")</f>
        <v/>
      </c>
      <c r="E53" t="str">
        <f>IFERROR(IF(0=LEN(ReferenceData!$E$53),"",ReferenceData!$E$53),"")</f>
        <v>Static</v>
      </c>
      <c r="F53">
        <f ca="1">IFERROR(IF(0=LEN(ReferenceData!$K$53),"",ReferenceData!$K$53),"")</f>
        <v>12.906000000000001</v>
      </c>
      <c r="G53">
        <f ca="1">IFERROR(IF(0=LEN(ReferenceData!$J$53),"",ReferenceData!$J$53),"")</f>
        <v>13.052</v>
      </c>
      <c r="H53">
        <f ca="1">IFERROR(IF(0=LEN(ReferenceData!$I$53),"",ReferenceData!$I$53),"")</f>
        <v>13.763</v>
      </c>
      <c r="I53">
        <f ca="1">IFERROR(IF(0=LEN(ReferenceData!$H$53),"",ReferenceData!$H$53),"")</f>
        <v>14.904</v>
      </c>
      <c r="J53">
        <f ca="1">IFERROR(IF(0=LEN(ReferenceData!$G$53),"",ReferenceData!$G$53),"")</f>
        <v>16.196000000000002</v>
      </c>
      <c r="K53">
        <f ca="1">IFERROR(IF(0=LEN(ReferenceData!$F$53),"",ReferenceData!$F$53),"")</f>
        <v>17.257000000000001</v>
      </c>
    </row>
    <row r="54" spans="1:11" x14ac:dyDescent="0.25">
      <c r="A54" t="str">
        <f>IFERROR(IF(0=LEN(ReferenceData!$A$54),"",ReferenceData!$A$54),"")</f>
        <v xml:space="preserve">    DXC</v>
      </c>
      <c r="B54" t="str">
        <f>IFERROR(IF(0=LEN(ReferenceData!$B$54),"",ReferenceData!$B$54),"")</f>
        <v/>
      </c>
      <c r="C54" t="str">
        <f>IFERROR(IF(0=LEN(ReferenceData!$C$54),"",ReferenceData!$C$54),"")</f>
        <v/>
      </c>
      <c r="D54" t="str">
        <f>IFERROR(IF(0=LEN(ReferenceData!$D$54),"",ReferenceData!$D$54),"")</f>
        <v/>
      </c>
      <c r="E54" t="str">
        <f>IFERROR(IF(0=LEN(ReferenceData!$E$54),"",ReferenceData!$E$54),"")</f>
        <v>Static</v>
      </c>
      <c r="F54" t="str">
        <f ca="1">IFERROR(IF(0=LEN(ReferenceData!$K$54),"",ReferenceData!$K$54),"")</f>
        <v/>
      </c>
      <c r="G54">
        <f ca="1">IFERROR(IF(0=LEN(ReferenceData!$J$54),"",ReferenceData!$J$54),"")</f>
        <v>4.9720000000000004</v>
      </c>
      <c r="H54">
        <f ca="1">IFERROR(IF(0=LEN(ReferenceData!$I$54),"",ReferenceData!$I$54),"")</f>
        <v>3.3580000000000001</v>
      </c>
      <c r="I54">
        <f ca="1">IFERROR(IF(0=LEN(ReferenceData!$H$54),"",ReferenceData!$H$54),"")</f>
        <v>13.507</v>
      </c>
      <c r="J54">
        <f ca="1">IFERROR(IF(0=LEN(ReferenceData!$G$54),"",ReferenceData!$G$54),"")</f>
        <v>14.353</v>
      </c>
      <c r="K54">
        <f ca="1">IFERROR(IF(0=LEN(ReferenceData!$F$54),"",ReferenceData!$F$54),"")</f>
        <v>13.159000000000001</v>
      </c>
    </row>
    <row r="55" spans="1:11" x14ac:dyDescent="0.25">
      <c r="A55" t="str">
        <f>IFERROR(IF(0=LEN(ReferenceData!$A$55),"",ReferenceData!$A$55),"")</f>
        <v xml:space="preserve">    ADP</v>
      </c>
      <c r="B55" t="str">
        <f>IFERROR(IF(0=LEN(ReferenceData!$B$55),"",ReferenceData!$B$55),"")</f>
        <v/>
      </c>
      <c r="C55" t="str">
        <f>IFERROR(IF(0=LEN(ReferenceData!$C$55),"",ReferenceData!$C$55),"")</f>
        <v/>
      </c>
      <c r="D55" t="str">
        <f>IFERROR(IF(0=LEN(ReferenceData!$D$55),"",ReferenceData!$D$55),"")</f>
        <v/>
      </c>
      <c r="E55" t="str">
        <f>IFERROR(IF(0=LEN(ReferenceData!$E$55),"",ReferenceData!$E$55),"")</f>
        <v>Static</v>
      </c>
      <c r="F55">
        <f ca="1">IFERROR(IF(0=LEN(ReferenceData!$K$55),"",ReferenceData!$K$55),"")</f>
        <v>8.8320000000000007</v>
      </c>
      <c r="G55">
        <f ca="1">IFERROR(IF(0=LEN(ReferenceData!$J$55),"",ReferenceData!$J$55),"")</f>
        <v>8.9770000000000003</v>
      </c>
      <c r="H55">
        <f ca="1">IFERROR(IF(0=LEN(ReferenceData!$I$55),"",ReferenceData!$I$55),"")</f>
        <v>9.0909999999999993</v>
      </c>
      <c r="I55">
        <f ca="1">IFERROR(IF(0=LEN(ReferenceData!$H$55),"",ReferenceData!$H$55),"")</f>
        <v>10.236000000000001</v>
      </c>
      <c r="J55">
        <f ca="1">IFERROR(IF(0=LEN(ReferenceData!$G$55),"",ReferenceData!$G$55),"")</f>
        <v>10.579000000000001</v>
      </c>
      <c r="K55">
        <f ca="1">IFERROR(IF(0=LEN(ReferenceData!$F$55),"",ReferenceData!$F$55),"")</f>
        <v>11.404999999999999</v>
      </c>
    </row>
    <row r="56" spans="1:11" x14ac:dyDescent="0.25">
      <c r="A56" t="str">
        <f>IFERROR(IF(0=LEN(ReferenceData!$A$56),"",ReferenceData!$A$56),"")</f>
        <v xml:space="preserve">    Tata Consultancy Services</v>
      </c>
      <c r="B56" t="str">
        <f>IFERROR(IF(0=LEN(ReferenceData!$B$56),"",ReferenceData!$B$56),"")</f>
        <v/>
      </c>
      <c r="C56" t="str">
        <f>IFERROR(IF(0=LEN(ReferenceData!$C$56),"",ReferenceData!$C$56),"")</f>
        <v/>
      </c>
      <c r="D56" t="str">
        <f>IFERROR(IF(0=LEN(ReferenceData!$D$56),"",ReferenceData!$D$56),"")</f>
        <v/>
      </c>
      <c r="E56" t="str">
        <f>IFERROR(IF(0=LEN(ReferenceData!$E$56),"",ReferenceData!$E$56),"")</f>
        <v>Static</v>
      </c>
      <c r="F56">
        <f ca="1">IFERROR(IF(0=LEN(ReferenceData!$K$56),"",ReferenceData!$K$56),"")</f>
        <v>7.7359999999999998</v>
      </c>
      <c r="G56">
        <f ca="1">IFERROR(IF(0=LEN(ReferenceData!$J$56),"",ReferenceData!$J$56),"")</f>
        <v>8.5380000000000003</v>
      </c>
      <c r="H56">
        <f ca="1">IFERROR(IF(0=LEN(ReferenceData!$I$56),"",ReferenceData!$I$56),"")</f>
        <v>9.3130000000000006</v>
      </c>
      <c r="I56">
        <f ca="1">IFERROR(IF(0=LEN(ReferenceData!$H$56),"",ReferenceData!$H$56),"")</f>
        <v>9.57</v>
      </c>
      <c r="J56">
        <f ca="1">IFERROR(IF(0=LEN(ReferenceData!$G$56),"",ReferenceData!$G$56),"")</f>
        <v>10.695</v>
      </c>
      <c r="K56">
        <f ca="1">IFERROR(IF(0=LEN(ReferenceData!$F$56),"",ReferenceData!$F$56),"")</f>
        <v>11.359</v>
      </c>
    </row>
    <row r="57" spans="1:11" x14ac:dyDescent="0.25">
      <c r="A57" t="str">
        <f>IFERROR(IF(0=LEN(ReferenceData!$A$57),"",ReferenceData!$A$57),"")</f>
        <v xml:space="preserve">    Cognizant</v>
      </c>
      <c r="B57" t="str">
        <f>IFERROR(IF(0=LEN(ReferenceData!$B$57),"",ReferenceData!$B$57),"")</f>
        <v>CTSH US Equity</v>
      </c>
      <c r="C57" t="str">
        <f>IFERROR(IF(0=LEN(ReferenceData!$C$57),"",ReferenceData!$C$57),"")</f>
        <v/>
      </c>
      <c r="D57" t="str">
        <f>IFERROR(IF(0=LEN(ReferenceData!$D$57),"",ReferenceData!$D$57),"")</f>
        <v/>
      </c>
      <c r="E57" t="str">
        <f>IFERROR(IF(0=LEN(ReferenceData!$E$57),"",ReferenceData!$E$57),"")</f>
        <v>Static</v>
      </c>
      <c r="F57" t="str">
        <f ca="1">IFERROR(IF(0=LEN(ReferenceData!$K$57),"",ReferenceData!$K$57),"")</f>
        <v/>
      </c>
      <c r="G57" t="str">
        <f ca="1">IFERROR(IF(0=LEN(ReferenceData!$J$57),"",ReferenceData!$J$57),"")</f>
        <v/>
      </c>
      <c r="H57" t="str">
        <f ca="1">IFERROR(IF(0=LEN(ReferenceData!$I$57),"",ReferenceData!$I$57),"")</f>
        <v/>
      </c>
      <c r="I57">
        <f ca="1">IFERROR(IF(0=LEN(ReferenceData!$H$57),"",ReferenceData!$H$57),"")</f>
        <v>8.4320000000000004</v>
      </c>
      <c r="J57">
        <f ca="1">IFERROR(IF(0=LEN(ReferenceData!$G$57),"",ReferenceData!$G$57),"")</f>
        <v>9.1489999999999991</v>
      </c>
      <c r="K57">
        <f ca="1">IFERROR(IF(0=LEN(ReferenceData!$F$57),"",ReferenceData!$F$57),"")</f>
        <v>9.4700000000000006</v>
      </c>
    </row>
    <row r="58" spans="1:11" x14ac:dyDescent="0.25">
      <c r="A58" t="str">
        <f>IFERROR(IF(0=LEN(ReferenceData!$A$58),"",ReferenceData!$A$58),"")</f>
        <v xml:space="preserve">    ATOS</v>
      </c>
      <c r="B58" t="str">
        <f>IFERROR(IF(0=LEN(ReferenceData!$B$58),"",ReferenceData!$B$58),"")</f>
        <v>ATO FP Equity</v>
      </c>
      <c r="C58" t="str">
        <f>IFERROR(IF(0=LEN(ReferenceData!$C$58),"",ReferenceData!$C$58),"")</f>
        <v/>
      </c>
      <c r="D58" t="str">
        <f>IFERROR(IF(0=LEN(ReferenceData!$D$58),"",ReferenceData!$D$58),"")</f>
        <v/>
      </c>
      <c r="E58" t="str">
        <f>IFERROR(IF(0=LEN(ReferenceData!$E$58),"",ReferenceData!$E$58),"")</f>
        <v>Static</v>
      </c>
      <c r="F58" t="str">
        <f ca="1">IFERROR(IF(0=LEN(ReferenceData!$K$58),"",ReferenceData!$K$58),"")</f>
        <v/>
      </c>
      <c r="G58" t="str">
        <f ca="1">IFERROR(IF(0=LEN(ReferenceData!$J$58),"",ReferenceData!$J$58),"")</f>
        <v/>
      </c>
      <c r="H58" t="str">
        <f ca="1">IFERROR(IF(0=LEN(ReferenceData!$I$58),"",ReferenceData!$I$58),"")</f>
        <v/>
      </c>
      <c r="I58">
        <f ca="1">IFERROR(IF(0=LEN(ReferenceData!$H$58),"",ReferenceData!$H$58),"")</f>
        <v>8.327</v>
      </c>
      <c r="J58">
        <f ca="1">IFERROR(IF(0=LEN(ReferenceData!$G$58),"",ReferenceData!$G$58),"")</f>
        <v>8.4269999999999996</v>
      </c>
      <c r="K58">
        <f ca="1">IFERROR(IF(0=LEN(ReferenceData!$F$58),"",ReferenceData!$F$58),"")</f>
        <v>8.3710000000000004</v>
      </c>
    </row>
    <row r="59" spans="1:11" x14ac:dyDescent="0.25">
      <c r="A59" t="str">
        <f>IFERROR(IF(0=LEN(ReferenceData!$A$59),"",ReferenceData!$A$59),"")</f>
        <v xml:space="preserve">    Fujitsu</v>
      </c>
      <c r="B59" t="str">
        <f>IFERROR(IF(0=LEN(ReferenceData!$B$59),"",ReferenceData!$B$59),"")</f>
        <v>6702 JP Equity</v>
      </c>
      <c r="C59" t="str">
        <f>IFERROR(IF(0=LEN(ReferenceData!$C$59),"",ReferenceData!$C$59),"")</f>
        <v/>
      </c>
      <c r="D59" t="str">
        <f>IFERROR(IF(0=LEN(ReferenceData!$D$59),"",ReferenceData!$D$59),"")</f>
        <v/>
      </c>
      <c r="E59" t="str">
        <f>IFERROR(IF(0=LEN(ReferenceData!$E$59),"",ReferenceData!$E$59),"")</f>
        <v>Static</v>
      </c>
      <c r="F59" t="str">
        <f ca="1">IFERROR(IF(0=LEN(ReferenceData!$K$59),"",ReferenceData!$K$59),"")</f>
        <v/>
      </c>
      <c r="G59" t="str">
        <f ca="1">IFERROR(IF(0=LEN(ReferenceData!$J$59),"",ReferenceData!$J$59),"")</f>
        <v/>
      </c>
      <c r="H59" t="str">
        <f ca="1">IFERROR(IF(0=LEN(ReferenceData!$I$59),"",ReferenceData!$I$59),"")</f>
        <v/>
      </c>
      <c r="I59">
        <f ca="1">IFERROR(IF(0=LEN(ReferenceData!$H$59),"",ReferenceData!$H$59),"")</f>
        <v>8.2119999999999997</v>
      </c>
      <c r="J59">
        <f ca="1">IFERROR(IF(0=LEN(ReferenceData!$G$59),"",ReferenceData!$G$59),"")</f>
        <v>8.1959999999999997</v>
      </c>
      <c r="K59">
        <f ca="1">IFERROR(IF(0=LEN(ReferenceData!$F$59),"",ReferenceData!$F$59),"")</f>
        <v>8.1539999999999999</v>
      </c>
    </row>
    <row r="60" spans="1:11" x14ac:dyDescent="0.25">
      <c r="A60" t="str">
        <f>IFERROR(IF(0=LEN(ReferenceData!$A$60),"",ReferenceData!$A$60),"")</f>
        <v xml:space="preserve">    NTT</v>
      </c>
      <c r="B60" t="str">
        <f>IFERROR(IF(0=LEN(ReferenceData!$B$60),"",ReferenceData!$B$60),"")</f>
        <v>9613 JP Equity</v>
      </c>
      <c r="C60" t="str">
        <f>IFERROR(IF(0=LEN(ReferenceData!$C$60),"",ReferenceData!$C$60),"")</f>
        <v/>
      </c>
      <c r="D60" t="str">
        <f>IFERROR(IF(0=LEN(ReferenceData!$D$60),"",ReferenceData!$D$60),"")</f>
        <v/>
      </c>
      <c r="E60" t="str">
        <f>IFERROR(IF(0=LEN(ReferenceData!$E$60),"",ReferenceData!$E$60),"")</f>
        <v>Static</v>
      </c>
      <c r="F60" t="str">
        <f ca="1">IFERROR(IF(0=LEN(ReferenceData!$K$60),"",ReferenceData!$K$60),"")</f>
        <v/>
      </c>
      <c r="G60" t="str">
        <f ca="1">IFERROR(IF(0=LEN(ReferenceData!$J$60),"",ReferenceData!$J$60),"")</f>
        <v/>
      </c>
      <c r="H60" t="str">
        <f ca="1">IFERROR(IF(0=LEN(ReferenceData!$I$60),"",ReferenceData!$I$60),"")</f>
        <v/>
      </c>
      <c r="I60">
        <f ca="1">IFERROR(IF(0=LEN(ReferenceData!$H$60),"",ReferenceData!$H$60),"")</f>
        <v>7.3710000000000004</v>
      </c>
      <c r="J60">
        <f ca="1">IFERROR(IF(0=LEN(ReferenceData!$G$60),"",ReferenceData!$G$60),"")</f>
        <v>7.4139999999999997</v>
      </c>
      <c r="K60">
        <f ca="1">IFERROR(IF(0=LEN(ReferenceData!$F$60),"",ReferenceData!$F$60),"")</f>
        <v>7.7549999999999999</v>
      </c>
    </row>
    <row r="61" spans="1:11" x14ac:dyDescent="0.25">
      <c r="A61" t="str">
        <f>IFERROR(IF(0=LEN(ReferenceData!$A$61),"",ReferenceData!$A$61),"")</f>
        <v xml:space="preserve">    Northrup Grumman</v>
      </c>
      <c r="B61" t="str">
        <f>IFERROR(IF(0=LEN(ReferenceData!$B$61),"",ReferenceData!$B$61),"")</f>
        <v>NOC US Equity</v>
      </c>
      <c r="C61" t="str">
        <f>IFERROR(IF(0=LEN(ReferenceData!$C$61),"",ReferenceData!$C$61),"")</f>
        <v/>
      </c>
      <c r="D61" t="str">
        <f>IFERROR(IF(0=LEN(ReferenceData!$D$61),"",ReferenceData!$D$61),"")</f>
        <v/>
      </c>
      <c r="E61" t="str">
        <f>IFERROR(IF(0=LEN(ReferenceData!$E$61),"",ReferenceData!$E$61),"")</f>
        <v>Static</v>
      </c>
      <c r="F61" t="str">
        <f ca="1">IFERROR(IF(0=LEN(ReferenceData!$K$61),"",ReferenceData!$K$61),"")</f>
        <v/>
      </c>
      <c r="G61" t="str">
        <f ca="1">IFERROR(IF(0=LEN(ReferenceData!$J$61),"",ReferenceData!$J$61),"")</f>
        <v/>
      </c>
      <c r="H61" t="str">
        <f ca="1">IFERROR(IF(0=LEN(ReferenceData!$I$61),"",ReferenceData!$I$61),"")</f>
        <v/>
      </c>
      <c r="I61">
        <f ca="1">IFERROR(IF(0=LEN(ReferenceData!$H$61),"",ReferenceData!$H$61),"")</f>
        <v>4.6180000000000003</v>
      </c>
      <c r="J61">
        <f ca="1">IFERROR(IF(0=LEN(ReferenceData!$G$61),"",ReferenceData!$G$61),"")</f>
        <v>5.2489999999999997</v>
      </c>
      <c r="K61">
        <f ca="1">IFERROR(IF(0=LEN(ReferenceData!$F$61),"",ReferenceData!$F$61),"")</f>
        <v>5.415</v>
      </c>
    </row>
    <row r="62" spans="1:11" x14ac:dyDescent="0.25">
      <c r="A62" t="str">
        <f>IFERROR(IF(0=LEN(ReferenceData!$A$62),"",ReferenceData!$A$62),"")</f>
        <v xml:space="preserve">    Capgemini</v>
      </c>
      <c r="B62" t="str">
        <f>IFERROR(IF(0=LEN(ReferenceData!$B$62),"",ReferenceData!$B$62),"")</f>
        <v>CAP FP Equity</v>
      </c>
      <c r="C62" t="str">
        <f>IFERROR(IF(0=LEN(ReferenceData!$C$62),"",ReferenceData!$C$62),"")</f>
        <v/>
      </c>
      <c r="D62" t="str">
        <f>IFERROR(IF(0=LEN(ReferenceData!$D$62),"",ReferenceData!$D$62),"")</f>
        <v/>
      </c>
      <c r="E62" t="str">
        <f>IFERROR(IF(0=LEN(ReferenceData!$E$62),"",ReferenceData!$E$62),"")</f>
        <v>Static</v>
      </c>
      <c r="F62" t="str">
        <f ca="1">IFERROR(IF(0=LEN(ReferenceData!$K$62),"",ReferenceData!$K$62),"")</f>
        <v/>
      </c>
      <c r="G62" t="str">
        <f ca="1">IFERROR(IF(0=LEN(ReferenceData!$J$62),"",ReferenceData!$J$62),"")</f>
        <v/>
      </c>
      <c r="H62" t="str">
        <f ca="1">IFERROR(IF(0=LEN(ReferenceData!$I$62),"",ReferenceData!$I$62),"")</f>
        <v/>
      </c>
      <c r="I62">
        <f ca="1">IFERROR(IF(0=LEN(ReferenceData!$H$62),"",ReferenceData!$H$62),"")</f>
        <v>4.8600000000000003</v>
      </c>
      <c r="J62">
        <f ca="1">IFERROR(IF(0=LEN(ReferenceData!$G$62),"",ReferenceData!$G$62),"")</f>
        <v>5.0609999999999999</v>
      </c>
      <c r="K62">
        <f ca="1">IFERROR(IF(0=LEN(ReferenceData!$F$62),"",ReferenceData!$F$62),"")</f>
        <v>5.1689999999999996</v>
      </c>
    </row>
    <row r="63" spans="1:11" x14ac:dyDescent="0.25">
      <c r="A63" t="str">
        <f>IFERROR(IF(0=LEN(ReferenceData!$A$63),"",ReferenceData!$A$63),"")</f>
        <v xml:space="preserve">    HCL Technologies</v>
      </c>
      <c r="B63" t="str">
        <f>IFERROR(IF(0=LEN(ReferenceData!$B$63),"",ReferenceData!$B$63),"")</f>
        <v>HCLT IN Equity</v>
      </c>
      <c r="C63" t="str">
        <f>IFERROR(IF(0=LEN(ReferenceData!$C$63),"",ReferenceData!$C$63),"")</f>
        <v/>
      </c>
      <c r="D63" t="str">
        <f>IFERROR(IF(0=LEN(ReferenceData!$D$63),"",ReferenceData!$D$63),"")</f>
        <v/>
      </c>
      <c r="E63" t="str">
        <f>IFERROR(IF(0=LEN(ReferenceData!$E$63),"",ReferenceData!$E$63),"")</f>
        <v>Static</v>
      </c>
      <c r="F63" t="str">
        <f ca="1">IFERROR(IF(0=LEN(ReferenceData!$K$63),"",ReferenceData!$K$63),"")</f>
        <v/>
      </c>
      <c r="G63" t="str">
        <f ca="1">IFERROR(IF(0=LEN(ReferenceData!$J$63),"",ReferenceData!$J$63),"")</f>
        <v/>
      </c>
      <c r="H63" t="str">
        <f ca="1">IFERROR(IF(0=LEN(ReferenceData!$I$63),"",ReferenceData!$I$63),"")</f>
        <v/>
      </c>
      <c r="I63">
        <f ca="1">IFERROR(IF(0=LEN(ReferenceData!$H$63),"",ReferenceData!$H$63),"")</f>
        <v>3.9249999999999998</v>
      </c>
      <c r="J63">
        <f ca="1">IFERROR(IF(0=LEN(ReferenceData!$G$63),"",ReferenceData!$G$63),"")</f>
        <v>4.3440000000000003</v>
      </c>
      <c r="K63">
        <f ca="1">IFERROR(IF(0=LEN(ReferenceData!$F$63),"",ReferenceData!$F$63),"")</f>
        <v>4.9139999999999997</v>
      </c>
    </row>
    <row r="64" spans="1:11" x14ac:dyDescent="0.25">
      <c r="A64" t="str">
        <f>IFERROR(IF(0=LEN(ReferenceData!$A$64),"",ReferenceData!$A$64),"")</f>
        <v xml:space="preserve">    AT&amp;T</v>
      </c>
      <c r="B64" t="str">
        <f>IFERROR(IF(0=LEN(ReferenceData!$B$64),"",ReferenceData!$B$64),"")</f>
        <v>T US Equity</v>
      </c>
      <c r="C64" t="str">
        <f>IFERROR(IF(0=LEN(ReferenceData!$C$64),"",ReferenceData!$C$64),"")</f>
        <v/>
      </c>
      <c r="D64" t="str">
        <f>IFERROR(IF(0=LEN(ReferenceData!$D$64),"",ReferenceData!$D$64),"")</f>
        <v/>
      </c>
      <c r="E64" t="str">
        <f>IFERROR(IF(0=LEN(ReferenceData!$E$64),"",ReferenceData!$E$64),"")</f>
        <v>Static</v>
      </c>
      <c r="F64" t="str">
        <f ca="1">IFERROR(IF(0=LEN(ReferenceData!$K$64),"",ReferenceData!$K$64),"")</f>
        <v/>
      </c>
      <c r="G64" t="str">
        <f ca="1">IFERROR(IF(0=LEN(ReferenceData!$J$64),"",ReferenceData!$J$64),"")</f>
        <v/>
      </c>
      <c r="H64" t="str">
        <f ca="1">IFERROR(IF(0=LEN(ReferenceData!$I$64),"",ReferenceData!$I$64),"")</f>
        <v/>
      </c>
      <c r="I64">
        <f ca="1">IFERROR(IF(0=LEN(ReferenceData!$H$64),"",ReferenceData!$H$64),"")</f>
        <v>3.4470000000000001</v>
      </c>
      <c r="J64">
        <f ca="1">IFERROR(IF(0=LEN(ReferenceData!$G$64),"",ReferenceData!$G$64),"")</f>
        <v>3.7069999999999999</v>
      </c>
      <c r="K64">
        <f ca="1">IFERROR(IF(0=LEN(ReferenceData!$F$64),"",ReferenceData!$F$64),"")</f>
        <v>4.4790000000000001</v>
      </c>
    </row>
    <row r="65" spans="1:11" x14ac:dyDescent="0.25">
      <c r="A65" t="str">
        <f>IFERROR(IF(0=LEN(ReferenceData!$A$65),"",ReferenceData!$A$65),"")</f>
        <v xml:space="preserve">    General Dynamics</v>
      </c>
      <c r="B65" t="str">
        <f>IFERROR(IF(0=LEN(ReferenceData!$B$65),"",ReferenceData!$B$65),"")</f>
        <v>GD US Equity</v>
      </c>
      <c r="C65" t="str">
        <f>IFERROR(IF(0=LEN(ReferenceData!$C$65),"",ReferenceData!$C$65),"")</f>
        <v/>
      </c>
      <c r="D65" t="str">
        <f>IFERROR(IF(0=LEN(ReferenceData!$D$65),"",ReferenceData!$D$65),"")</f>
        <v/>
      </c>
      <c r="E65" t="str">
        <f>IFERROR(IF(0=LEN(ReferenceData!$E$65),"",ReferenceData!$E$65),"")</f>
        <v>Static</v>
      </c>
      <c r="F65" t="str">
        <f ca="1">IFERROR(IF(0=LEN(ReferenceData!$K$65),"",ReferenceData!$K$65),"")</f>
        <v/>
      </c>
      <c r="G65" t="str">
        <f ca="1">IFERROR(IF(0=LEN(ReferenceData!$J$65),"",ReferenceData!$J$65),"")</f>
        <v/>
      </c>
      <c r="H65" t="str">
        <f ca="1">IFERROR(IF(0=LEN(ReferenceData!$I$65),"",ReferenceData!$I$65),"")</f>
        <v/>
      </c>
      <c r="I65">
        <f ca="1">IFERROR(IF(0=LEN(ReferenceData!$H$65),"",ReferenceData!$H$65),"")</f>
        <v>2.5059999999999998</v>
      </c>
      <c r="J65">
        <f ca="1">IFERROR(IF(0=LEN(ReferenceData!$G$65),"",ReferenceData!$G$65),"")</f>
        <v>4.4340000000000002</v>
      </c>
      <c r="K65">
        <f ca="1">IFERROR(IF(0=LEN(ReferenceData!$F$65),"",ReferenceData!$F$65),"")</f>
        <v>4.452</v>
      </c>
    </row>
    <row r="66" spans="1:11" x14ac:dyDescent="0.25">
      <c r="A66" t="str">
        <f>IFERROR(IF(0=LEN(ReferenceData!$A$66),"",ReferenceData!$A$66),"")</f>
        <v xml:space="preserve">    Infosys</v>
      </c>
      <c r="B66" t="str">
        <f>IFERROR(IF(0=LEN(ReferenceData!$B$66),"",ReferenceData!$B$66),"")</f>
        <v>INFO IN Equity</v>
      </c>
      <c r="C66" t="str">
        <f>IFERROR(IF(0=LEN(ReferenceData!$C$66),"",ReferenceData!$C$66),"")</f>
        <v/>
      </c>
      <c r="D66" t="str">
        <f>IFERROR(IF(0=LEN(ReferenceData!$D$66),"",ReferenceData!$D$66),"")</f>
        <v/>
      </c>
      <c r="E66" t="str">
        <f>IFERROR(IF(0=LEN(ReferenceData!$E$66),"",ReferenceData!$E$66),"")</f>
        <v>Static</v>
      </c>
      <c r="F66" t="str">
        <f ca="1">IFERROR(IF(0=LEN(ReferenceData!$K$66),"",ReferenceData!$K$66),"")</f>
        <v/>
      </c>
      <c r="G66" t="str">
        <f ca="1">IFERROR(IF(0=LEN(ReferenceData!$J$66),"",ReferenceData!$J$66),"")</f>
        <v/>
      </c>
      <c r="H66" t="str">
        <f ca="1">IFERROR(IF(0=LEN(ReferenceData!$I$66),"",ReferenceData!$I$66),"")</f>
        <v/>
      </c>
      <c r="I66">
        <f ca="1">IFERROR(IF(0=LEN(ReferenceData!$H$66),"",ReferenceData!$H$66),"")</f>
        <v>4.0010000000000003</v>
      </c>
      <c r="J66">
        <f ca="1">IFERROR(IF(0=LEN(ReferenceData!$G$66),"",ReferenceData!$G$66),"")</f>
        <v>4.2050000000000001</v>
      </c>
      <c r="K66">
        <f ca="1">IFERROR(IF(0=LEN(ReferenceData!$F$66),"",ReferenceData!$F$66),"")</f>
        <v>4.4240000000000004</v>
      </c>
    </row>
    <row r="67" spans="1:11" x14ac:dyDescent="0.25">
      <c r="A67" t="str">
        <f>IFERROR(IF(0=LEN(ReferenceData!$A$67),"",ReferenceData!$A$67),"")</f>
        <v xml:space="preserve">    Synnex</v>
      </c>
      <c r="B67" t="str">
        <f>IFERROR(IF(0=LEN(ReferenceData!$B$67),"",ReferenceData!$B$67),"")</f>
        <v>SNX US Equity</v>
      </c>
      <c r="C67" t="str">
        <f>IFERROR(IF(0=LEN(ReferenceData!$C$67),"",ReferenceData!$C$67),"")</f>
        <v/>
      </c>
      <c r="D67" t="str">
        <f>IFERROR(IF(0=LEN(ReferenceData!$D$67),"",ReferenceData!$D$67),"")</f>
        <v/>
      </c>
      <c r="E67" t="str">
        <f>IFERROR(IF(0=LEN(ReferenceData!$E$67),"",ReferenceData!$E$67),"")</f>
        <v>Static</v>
      </c>
      <c r="F67" t="str">
        <f ca="1">IFERROR(IF(0=LEN(ReferenceData!$K$67),"",ReferenceData!$K$67),"")</f>
        <v/>
      </c>
      <c r="G67" t="str">
        <f ca="1">IFERROR(IF(0=LEN(ReferenceData!$J$67),"",ReferenceData!$J$67),"")</f>
        <v/>
      </c>
      <c r="H67" t="str">
        <f ca="1">IFERROR(IF(0=LEN(ReferenceData!$I$67),"",ReferenceData!$I$67),"")</f>
        <v/>
      </c>
      <c r="I67">
        <f ca="1">IFERROR(IF(0=LEN(ReferenceData!$H$67),"",ReferenceData!$H$67),"")</f>
        <v>4.2169999999999996</v>
      </c>
      <c r="J67">
        <f ca="1">IFERROR(IF(0=LEN(ReferenceData!$G$67),"",ReferenceData!$G$67),"")</f>
        <v>3.4140000000000001</v>
      </c>
      <c r="K67">
        <f ca="1">IFERROR(IF(0=LEN(ReferenceData!$F$67),"",ReferenceData!$F$67),"")</f>
        <v>4.2080000000000002</v>
      </c>
    </row>
    <row r="68" spans="1:11" x14ac:dyDescent="0.25">
      <c r="A68" t="str">
        <f>IFERROR(IF(0=LEN(ReferenceData!$A$68),"",ReferenceData!$A$68),"")</f>
        <v xml:space="preserve">    Equinix</v>
      </c>
      <c r="B68" t="str">
        <f>IFERROR(IF(0=LEN(ReferenceData!$B$68),"",ReferenceData!$B$68),"")</f>
        <v>EQIX US Equity</v>
      </c>
      <c r="C68" t="str">
        <f>IFERROR(IF(0=LEN(ReferenceData!$C$68),"",ReferenceData!$C$68),"")</f>
        <v/>
      </c>
      <c r="D68" t="str">
        <f>IFERROR(IF(0=LEN(ReferenceData!$D$68),"",ReferenceData!$D$68),"")</f>
        <v/>
      </c>
      <c r="E68" t="str">
        <f>IFERROR(IF(0=LEN(ReferenceData!$E$68),"",ReferenceData!$E$68),"")</f>
        <v>Static</v>
      </c>
      <c r="F68" t="str">
        <f ca="1">IFERROR(IF(0=LEN(ReferenceData!$K$68),"",ReferenceData!$K$68),"")</f>
        <v/>
      </c>
      <c r="G68" t="str">
        <f ca="1">IFERROR(IF(0=LEN(ReferenceData!$J$68),"",ReferenceData!$J$68),"")</f>
        <v/>
      </c>
      <c r="H68" t="str">
        <f ca="1">IFERROR(IF(0=LEN(ReferenceData!$I$68),"",ReferenceData!$I$68),"")</f>
        <v/>
      </c>
      <c r="I68">
        <f ca="1">IFERROR(IF(0=LEN(ReferenceData!$H$68),"",ReferenceData!$H$68),"")</f>
        <v>3.1320000000000001</v>
      </c>
      <c r="J68">
        <f ca="1">IFERROR(IF(0=LEN(ReferenceData!$G$68),"",ReferenceData!$G$68),"")</f>
        <v>3.7570000000000001</v>
      </c>
      <c r="K68">
        <f ca="1">IFERROR(IF(0=LEN(ReferenceData!$F$68),"",ReferenceData!$F$68),"")</f>
        <v>3.9849999999999999</v>
      </c>
    </row>
    <row r="69" spans="1:11" x14ac:dyDescent="0.25">
      <c r="A69" t="str">
        <f>IFERROR(IF(0=LEN(ReferenceData!$A$69),"",ReferenceData!$A$69),"")</f>
        <v xml:space="preserve">    CGI</v>
      </c>
      <c r="B69" t="str">
        <f>IFERROR(IF(0=LEN(ReferenceData!$B$69),"",ReferenceData!$B$69),"")</f>
        <v>GIB US Equity</v>
      </c>
      <c r="C69" t="str">
        <f>IFERROR(IF(0=LEN(ReferenceData!$C$69),"",ReferenceData!$C$69),"")</f>
        <v/>
      </c>
      <c r="D69" t="str">
        <f>IFERROR(IF(0=LEN(ReferenceData!$D$69),"",ReferenceData!$D$69),"")</f>
        <v/>
      </c>
      <c r="E69" t="str">
        <f>IFERROR(IF(0=LEN(ReferenceData!$E$69),"",ReferenceData!$E$69),"")</f>
        <v>Static</v>
      </c>
      <c r="F69" t="str">
        <f ca="1">IFERROR(IF(0=LEN(ReferenceData!$K$69),"",ReferenceData!$K$69),"")</f>
        <v/>
      </c>
      <c r="G69" t="str">
        <f ca="1">IFERROR(IF(0=LEN(ReferenceData!$J$69),"",ReferenceData!$J$69),"")</f>
        <v/>
      </c>
      <c r="H69" t="str">
        <f ca="1">IFERROR(IF(0=LEN(ReferenceData!$I$69),"",ReferenceData!$I$69),"")</f>
        <v/>
      </c>
      <c r="I69">
        <f ca="1">IFERROR(IF(0=LEN(ReferenceData!$H$69),"",ReferenceData!$H$69),"")</f>
        <v>3.7949999999999999</v>
      </c>
      <c r="J69">
        <f ca="1">IFERROR(IF(0=LEN(ReferenceData!$G$69),"",ReferenceData!$G$69),"")</f>
        <v>3.7370000000000001</v>
      </c>
      <c r="K69">
        <f ca="1">IFERROR(IF(0=LEN(ReferenceData!$F$69),"",ReferenceData!$F$69),"")</f>
        <v>3.8410000000000002</v>
      </c>
    </row>
    <row r="70" spans="1:11" x14ac:dyDescent="0.25">
      <c r="A70" t="str">
        <f>IFERROR(IF(0=LEN(ReferenceData!$A$70),"",ReferenceData!$A$70),"")</f>
        <v xml:space="preserve">    Deutsche Telekom</v>
      </c>
      <c r="B70" t="str">
        <f>IFERROR(IF(0=LEN(ReferenceData!$B$70),"",ReferenceData!$B$70),"")</f>
        <v>DTE GY Equity</v>
      </c>
      <c r="C70" t="str">
        <f>IFERROR(IF(0=LEN(ReferenceData!$C$70),"",ReferenceData!$C$70),"")</f>
        <v/>
      </c>
      <c r="D70" t="str">
        <f>IFERROR(IF(0=LEN(ReferenceData!$D$70),"",ReferenceData!$D$70),"")</f>
        <v/>
      </c>
      <c r="E70" t="str">
        <f>IFERROR(IF(0=LEN(ReferenceData!$E$70),"",ReferenceData!$E$70),"")</f>
        <v>Static</v>
      </c>
      <c r="F70" t="str">
        <f ca="1">IFERROR(IF(0=LEN(ReferenceData!$K$70),"",ReferenceData!$K$70),"")</f>
        <v/>
      </c>
      <c r="G70" t="str">
        <f ca="1">IFERROR(IF(0=LEN(ReferenceData!$J$70),"",ReferenceData!$J$70),"")</f>
        <v/>
      </c>
      <c r="H70" t="str">
        <f ca="1">IFERROR(IF(0=LEN(ReferenceData!$I$70),"",ReferenceData!$I$70),"")</f>
        <v/>
      </c>
      <c r="I70">
        <f ca="1">IFERROR(IF(0=LEN(ReferenceData!$H$70),"",ReferenceData!$H$70),"")</f>
        <v>3.6789999999999998</v>
      </c>
      <c r="J70">
        <f ca="1">IFERROR(IF(0=LEN(ReferenceData!$G$70),"",ReferenceData!$G$70),"")</f>
        <v>3.69</v>
      </c>
      <c r="K70">
        <f ca="1">IFERROR(IF(0=LEN(ReferenceData!$F$70),"",ReferenceData!$F$70),"")</f>
        <v>3.665</v>
      </c>
    </row>
    <row r="71" spans="1:11" x14ac:dyDescent="0.25">
      <c r="A71" t="str">
        <f>IFERROR(IF(0=LEN(ReferenceData!$A$71),"",ReferenceData!$A$71),"")</f>
        <v xml:space="preserve">    Leidos</v>
      </c>
      <c r="B71" t="str">
        <f>IFERROR(IF(0=LEN(ReferenceData!$B$71),"",ReferenceData!$B$71),"")</f>
        <v>LDOS US Equity</v>
      </c>
      <c r="C71" t="str">
        <f>IFERROR(IF(0=LEN(ReferenceData!$C$71),"",ReferenceData!$C$71),"")</f>
        <v/>
      </c>
      <c r="D71" t="str">
        <f>IFERROR(IF(0=LEN(ReferenceData!$D$71),"",ReferenceData!$D$71),"")</f>
        <v/>
      </c>
      <c r="E71" t="str">
        <f>IFERROR(IF(0=LEN(ReferenceData!$E$71),"",ReferenceData!$E$71),"")</f>
        <v>Static</v>
      </c>
      <c r="F71" t="str">
        <f ca="1">IFERROR(IF(0=LEN(ReferenceData!$K$71),"",ReferenceData!$K$71),"")</f>
        <v/>
      </c>
      <c r="G71" t="str">
        <f ca="1">IFERROR(IF(0=LEN(ReferenceData!$J$71),"",ReferenceData!$J$71),"")</f>
        <v/>
      </c>
      <c r="H71" t="str">
        <f ca="1">IFERROR(IF(0=LEN(ReferenceData!$I$71),"",ReferenceData!$I$71),"")</f>
        <v/>
      </c>
      <c r="I71">
        <f ca="1">IFERROR(IF(0=LEN(ReferenceData!$H$71),"",ReferenceData!$H$71),"")</f>
        <v>3.2320000000000002</v>
      </c>
      <c r="J71">
        <f ca="1">IFERROR(IF(0=LEN(ReferenceData!$G$71),"",ReferenceData!$G$71),"")</f>
        <v>3.2589999999999999</v>
      </c>
      <c r="K71">
        <f ca="1">IFERROR(IF(0=LEN(ReferenceData!$F$71),"",ReferenceData!$F$71),"")</f>
        <v>3.5870000000000002</v>
      </c>
    </row>
    <row r="72" spans="1:11" x14ac:dyDescent="0.25">
      <c r="A72" t="str">
        <f>IFERROR(IF(0=LEN(ReferenceData!$A$72),"",ReferenceData!$A$72),"")</f>
        <v xml:space="preserve">    Other</v>
      </c>
      <c r="B72" t="str">
        <f>IFERROR(IF(0=LEN(ReferenceData!$B$72),"",ReferenceData!$B$72),"")</f>
        <v/>
      </c>
      <c r="C72" t="str">
        <f>IFERROR(IF(0=LEN(ReferenceData!$C$72),"",ReferenceData!$C$72),"")</f>
        <v/>
      </c>
      <c r="D72" t="str">
        <f>IFERROR(IF(0=LEN(ReferenceData!$D$72),"",ReferenceData!$D$72),"")</f>
        <v/>
      </c>
      <c r="E72" t="str">
        <f>IFERROR(IF(0=LEN(ReferenceData!$E$72),"",ReferenceData!$E$72),"")</f>
        <v>Static</v>
      </c>
      <c r="F72">
        <f ca="1">IFERROR(IF(0=LEN(ReferenceData!$K$72),"",ReferenceData!$K$72),"")</f>
        <v>377.51400000000001</v>
      </c>
      <c r="G72">
        <f ca="1">IFERROR(IF(0=LEN(ReferenceData!$J$72),"",ReferenceData!$J$72),"")</f>
        <v>373.38600000000002</v>
      </c>
      <c r="H72">
        <f ca="1">IFERROR(IF(0=LEN(ReferenceData!$I$72),"",ReferenceData!$I$72),"")</f>
        <v>383.53699999999998</v>
      </c>
      <c r="I72">
        <f ca="1">IFERROR(IF(0=LEN(ReferenceData!$H$72),"",ReferenceData!$H$72),"")</f>
        <v>314.32799999999997</v>
      </c>
      <c r="J72">
        <f ca="1">IFERROR(IF(0=LEN(ReferenceData!$G$72),"",ReferenceData!$G$72),"")</f>
        <v>326.12299999999999</v>
      </c>
      <c r="K72">
        <f ca="1">IFERROR(IF(0=LEN(ReferenceData!$F$72),"",ReferenceData!$F$72),"")</f>
        <v>331.91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2C63-AEB5-42EC-A6AB-1BF2EC365CB0}">
  <dimension ref="A2:K72"/>
  <sheetViews>
    <sheetView workbookViewId="0">
      <selection activeCell="H25" sqref="H25"/>
    </sheetView>
  </sheetViews>
  <sheetFormatPr defaultRowHeight="15" x14ac:dyDescent="0.25"/>
  <sheetData>
    <row r="2" spans="1:11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</row>
    <row r="3" spans="1:11" x14ac:dyDescent="0.25">
      <c r="A3" t="s">
        <v>39</v>
      </c>
      <c r="B3" t="s">
        <v>40</v>
      </c>
      <c r="C3" t="s">
        <v>40</v>
      </c>
      <c r="D3" t="s">
        <v>40</v>
      </c>
      <c r="E3" t="s">
        <v>41</v>
      </c>
      <c r="F3" t="s">
        <v>40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</row>
    <row r="4" spans="1:11" x14ac:dyDescent="0.25">
      <c r="A4" t="s">
        <v>42</v>
      </c>
      <c r="B4" t="s">
        <v>40</v>
      </c>
      <c r="C4" t="s">
        <v>40</v>
      </c>
      <c r="D4" t="s">
        <v>40</v>
      </c>
      <c r="E4" t="s">
        <v>41</v>
      </c>
      <c r="F4" t="s">
        <v>40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</row>
    <row r="5" spans="1:11" x14ac:dyDescent="0.25">
      <c r="A5" t="s">
        <v>40</v>
      </c>
      <c r="B5" t="s">
        <v>40</v>
      </c>
      <c r="C5" t="s">
        <v>40</v>
      </c>
      <c r="D5" t="s">
        <v>40</v>
      </c>
      <c r="E5" t="s">
        <v>43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</row>
    <row r="6" spans="1:11" x14ac:dyDescent="0.25">
      <c r="A6" t="s">
        <v>44</v>
      </c>
      <c r="B6" t="s">
        <v>40</v>
      </c>
      <c r="C6" t="s">
        <v>40</v>
      </c>
      <c r="D6" t="s">
        <v>40</v>
      </c>
      <c r="E6" t="s">
        <v>45</v>
      </c>
      <c r="F6">
        <v>335.50700000000001</v>
      </c>
      <c r="G6">
        <v>331.84399999999999</v>
      </c>
      <c r="H6">
        <v>344.37299999999999</v>
      </c>
      <c r="I6">
        <v>364.70300000000003</v>
      </c>
      <c r="J6">
        <v>389.46100000000001</v>
      </c>
      <c r="K6">
        <v>405.649</v>
      </c>
    </row>
    <row r="7" spans="1:11" x14ac:dyDescent="0.25">
      <c r="A7" t="s">
        <v>46</v>
      </c>
      <c r="B7" t="s">
        <v>40</v>
      </c>
      <c r="C7" t="s">
        <v>40</v>
      </c>
      <c r="D7" t="s">
        <v>40</v>
      </c>
      <c r="E7" t="s">
        <v>43</v>
      </c>
      <c r="F7">
        <v>19.097999999999999</v>
      </c>
      <c r="G7">
        <v>21.568000000000001</v>
      </c>
      <c r="H7">
        <v>23.323</v>
      </c>
      <c r="I7">
        <v>25.870999999999999</v>
      </c>
      <c r="J7">
        <v>28.86</v>
      </c>
      <c r="K7">
        <v>31.251999999999999</v>
      </c>
    </row>
    <row r="8" spans="1:11" x14ac:dyDescent="0.25">
      <c r="A8" t="s">
        <v>47</v>
      </c>
      <c r="B8" t="s">
        <v>40</v>
      </c>
      <c r="C8" t="s">
        <v>40</v>
      </c>
      <c r="D8" t="s">
        <v>40</v>
      </c>
      <c r="E8" t="s">
        <v>43</v>
      </c>
      <c r="F8">
        <v>15.919</v>
      </c>
      <c r="G8">
        <v>16.37</v>
      </c>
      <c r="H8">
        <v>17.995999999999999</v>
      </c>
      <c r="I8">
        <v>18.995000000000001</v>
      </c>
      <c r="J8">
        <v>21.13</v>
      </c>
      <c r="K8">
        <v>22.356000000000002</v>
      </c>
    </row>
    <row r="9" spans="1:11" x14ac:dyDescent="0.25">
      <c r="A9" t="s">
        <v>48</v>
      </c>
      <c r="B9" t="s">
        <v>40</v>
      </c>
      <c r="C9" t="s">
        <v>40</v>
      </c>
      <c r="D9" t="s">
        <v>40</v>
      </c>
      <c r="E9" t="s">
        <v>43</v>
      </c>
      <c r="F9">
        <v>9.9969999999999999</v>
      </c>
      <c r="G9">
        <v>11.443</v>
      </c>
      <c r="H9">
        <v>12.378</v>
      </c>
      <c r="I9">
        <v>13.651</v>
      </c>
      <c r="J9">
        <v>15.228</v>
      </c>
      <c r="K9">
        <v>17.173999999999999</v>
      </c>
    </row>
    <row r="10" spans="1:11" x14ac:dyDescent="0.25">
      <c r="A10" t="s">
        <v>49</v>
      </c>
      <c r="B10" t="s">
        <v>40</v>
      </c>
      <c r="C10" t="s">
        <v>40</v>
      </c>
      <c r="D10" t="s">
        <v>40</v>
      </c>
      <c r="E10" t="s">
        <v>43</v>
      </c>
      <c r="F10">
        <v>12.765000000000001</v>
      </c>
      <c r="G10">
        <v>11.218</v>
      </c>
      <c r="H10">
        <v>11.254</v>
      </c>
      <c r="I10">
        <v>11.108000000000001</v>
      </c>
      <c r="J10">
        <v>11.56</v>
      </c>
      <c r="K10">
        <v>12.023999999999999</v>
      </c>
    </row>
    <row r="11" spans="1:11" x14ac:dyDescent="0.25">
      <c r="A11" t="s">
        <v>50</v>
      </c>
      <c r="B11" t="s">
        <v>40</v>
      </c>
      <c r="C11" t="s">
        <v>40</v>
      </c>
      <c r="D11" t="s">
        <v>40</v>
      </c>
      <c r="E11" t="s">
        <v>43</v>
      </c>
      <c r="F11">
        <v>7.9889999999999999</v>
      </c>
      <c r="G11">
        <v>8.6760000000000002</v>
      </c>
      <c r="H11">
        <v>9.3239999999999998</v>
      </c>
      <c r="I11">
        <v>10.182</v>
      </c>
      <c r="J11">
        <v>10.965</v>
      </c>
      <c r="K11">
        <v>11.506</v>
      </c>
    </row>
    <row r="12" spans="1:11" x14ac:dyDescent="0.25">
      <c r="A12" t="s">
        <v>51</v>
      </c>
      <c r="B12" t="s">
        <v>40</v>
      </c>
      <c r="C12" t="s">
        <v>40</v>
      </c>
      <c r="D12" t="s">
        <v>40</v>
      </c>
      <c r="E12" t="s">
        <v>43</v>
      </c>
      <c r="F12">
        <v>7.0810000000000004</v>
      </c>
      <c r="G12">
        <v>7.0309999999999997</v>
      </c>
      <c r="H12">
        <v>7.6449999999999996</v>
      </c>
      <c r="I12">
        <v>8.14</v>
      </c>
      <c r="J12">
        <v>8.9570000000000007</v>
      </c>
      <c r="K12">
        <v>9.4459999999999997</v>
      </c>
    </row>
    <row r="13" spans="1:11" x14ac:dyDescent="0.25">
      <c r="A13" t="s">
        <v>52</v>
      </c>
      <c r="B13" t="s">
        <v>40</v>
      </c>
      <c r="C13" t="s">
        <v>40</v>
      </c>
      <c r="D13" t="s">
        <v>40</v>
      </c>
      <c r="E13" t="s">
        <v>43</v>
      </c>
      <c r="F13">
        <v>5.9550000000000001</v>
      </c>
      <c r="G13">
        <v>6.3650000000000002</v>
      </c>
      <c r="H13">
        <v>6.8479999999999999</v>
      </c>
      <c r="I13">
        <v>7.7850000000000001</v>
      </c>
      <c r="J13">
        <v>8.7899999999999991</v>
      </c>
      <c r="K13">
        <v>9.375</v>
      </c>
    </row>
    <row r="14" spans="1:11" x14ac:dyDescent="0.25">
      <c r="A14" t="s">
        <v>53</v>
      </c>
      <c r="B14" t="s">
        <v>40</v>
      </c>
      <c r="C14" t="s">
        <v>40</v>
      </c>
      <c r="D14" t="s">
        <v>40</v>
      </c>
      <c r="E14" t="s">
        <v>43</v>
      </c>
      <c r="F14">
        <v>4.9370000000000003</v>
      </c>
      <c r="G14">
        <v>4.8540000000000001</v>
      </c>
      <c r="H14">
        <v>5.6970000000000001</v>
      </c>
      <c r="I14">
        <v>6.5250000000000004</v>
      </c>
      <c r="J14">
        <v>6.766</v>
      </c>
      <c r="K14">
        <v>7.2990000000000004</v>
      </c>
    </row>
    <row r="15" spans="1:11" x14ac:dyDescent="0.25">
      <c r="A15" t="s">
        <v>54</v>
      </c>
      <c r="B15" t="s">
        <v>40</v>
      </c>
      <c r="C15" t="s">
        <v>40</v>
      </c>
      <c r="D15" t="s">
        <v>40</v>
      </c>
      <c r="E15" t="s">
        <v>43</v>
      </c>
      <c r="F15" t="s">
        <v>40</v>
      </c>
      <c r="G15" t="s">
        <v>40</v>
      </c>
      <c r="H15" t="s">
        <v>40</v>
      </c>
      <c r="I15">
        <v>5.3460000000000001</v>
      </c>
      <c r="J15">
        <v>6.3650000000000002</v>
      </c>
      <c r="K15">
        <v>7.0640000000000001</v>
      </c>
    </row>
    <row r="16" spans="1:11" x14ac:dyDescent="0.25">
      <c r="A16" t="s">
        <v>55</v>
      </c>
      <c r="B16" t="s">
        <v>40</v>
      </c>
      <c r="C16" t="s">
        <v>40</v>
      </c>
      <c r="D16" t="s">
        <v>40</v>
      </c>
      <c r="E16" t="s">
        <v>43</v>
      </c>
      <c r="F16" t="s">
        <v>40</v>
      </c>
      <c r="G16" t="s">
        <v>40</v>
      </c>
      <c r="H16" t="s">
        <v>40</v>
      </c>
      <c r="I16">
        <v>5.6559999999999997</v>
      </c>
      <c r="J16">
        <v>6.069</v>
      </c>
      <c r="K16">
        <v>6.391</v>
      </c>
    </row>
    <row r="17" spans="1:11" x14ac:dyDescent="0.25">
      <c r="A17" t="s">
        <v>56</v>
      </c>
      <c r="B17" t="s">
        <v>57</v>
      </c>
      <c r="C17" t="s">
        <v>40</v>
      </c>
      <c r="D17" t="s">
        <v>40</v>
      </c>
      <c r="E17" t="s">
        <v>43</v>
      </c>
      <c r="F17" t="s">
        <v>40</v>
      </c>
      <c r="G17" t="s">
        <v>40</v>
      </c>
      <c r="H17" t="s">
        <v>40</v>
      </c>
      <c r="I17">
        <v>5.87</v>
      </c>
      <c r="J17">
        <v>5.9720000000000004</v>
      </c>
      <c r="K17">
        <v>6.2670000000000003</v>
      </c>
    </row>
    <row r="18" spans="1:11" x14ac:dyDescent="0.25">
      <c r="A18" t="s">
        <v>58</v>
      </c>
      <c r="B18" t="s">
        <v>40</v>
      </c>
      <c r="C18" t="s">
        <v>40</v>
      </c>
      <c r="D18" t="s">
        <v>40</v>
      </c>
      <c r="E18" t="s">
        <v>43</v>
      </c>
      <c r="F18" t="s">
        <v>40</v>
      </c>
      <c r="G18" t="s">
        <v>40</v>
      </c>
      <c r="H18" t="s">
        <v>40</v>
      </c>
      <c r="I18">
        <v>4.9829999999999997</v>
      </c>
      <c r="J18">
        <v>5.67</v>
      </c>
      <c r="K18">
        <v>5.9809999999999999</v>
      </c>
    </row>
    <row r="19" spans="1:11" x14ac:dyDescent="0.25">
      <c r="A19" t="s">
        <v>59</v>
      </c>
      <c r="B19" t="s">
        <v>40</v>
      </c>
      <c r="C19" t="s">
        <v>40</v>
      </c>
      <c r="D19" t="s">
        <v>40</v>
      </c>
      <c r="E19" t="s">
        <v>43</v>
      </c>
      <c r="F19" t="s">
        <v>40</v>
      </c>
      <c r="G19" t="s">
        <v>40</v>
      </c>
      <c r="H19" t="s">
        <v>40</v>
      </c>
      <c r="I19">
        <v>5.5839999999999996</v>
      </c>
      <c r="J19">
        <v>5.8540000000000001</v>
      </c>
      <c r="K19">
        <v>5.9779999999999998</v>
      </c>
    </row>
    <row r="20" spans="1:11" x14ac:dyDescent="0.25">
      <c r="A20" t="s">
        <v>60</v>
      </c>
      <c r="B20" t="s">
        <v>61</v>
      </c>
      <c r="C20" t="s">
        <v>40</v>
      </c>
      <c r="D20" t="s">
        <v>40</v>
      </c>
      <c r="E20" t="s">
        <v>43</v>
      </c>
      <c r="F20" t="s">
        <v>40</v>
      </c>
      <c r="G20" t="s">
        <v>40</v>
      </c>
      <c r="H20" t="s">
        <v>40</v>
      </c>
      <c r="I20">
        <v>5.3339999999999996</v>
      </c>
      <c r="J20">
        <v>5.5880000000000001</v>
      </c>
      <c r="K20">
        <v>5.9130000000000003</v>
      </c>
    </row>
    <row r="21" spans="1:11" x14ac:dyDescent="0.25">
      <c r="A21" t="s">
        <v>62</v>
      </c>
      <c r="B21" t="s">
        <v>63</v>
      </c>
      <c r="C21" t="s">
        <v>40</v>
      </c>
      <c r="D21" t="s">
        <v>40</v>
      </c>
      <c r="E21" t="s">
        <v>43</v>
      </c>
      <c r="F21" t="s">
        <v>40</v>
      </c>
      <c r="G21" t="s">
        <v>40</v>
      </c>
      <c r="H21" t="s">
        <v>40</v>
      </c>
      <c r="I21">
        <v>4.7679999999999998</v>
      </c>
      <c r="J21">
        <v>5.0129999999999999</v>
      </c>
      <c r="K21">
        <v>5.3819999999999997</v>
      </c>
    </row>
    <row r="22" spans="1:11" x14ac:dyDescent="0.25">
      <c r="A22" t="s">
        <v>64</v>
      </c>
      <c r="B22" t="s">
        <v>40</v>
      </c>
      <c r="C22" t="s">
        <v>40</v>
      </c>
      <c r="D22" t="s">
        <v>40</v>
      </c>
      <c r="E22" t="s">
        <v>43</v>
      </c>
      <c r="F22" t="s">
        <v>40</v>
      </c>
      <c r="G22" t="s">
        <v>40</v>
      </c>
      <c r="H22" t="s">
        <v>40</v>
      </c>
      <c r="I22">
        <v>5.1669999999999998</v>
      </c>
      <c r="J22">
        <v>5.2750000000000004</v>
      </c>
      <c r="K22">
        <v>5.1189999999999998</v>
      </c>
    </row>
    <row r="23" spans="1:11" x14ac:dyDescent="0.25">
      <c r="A23" t="s">
        <v>65</v>
      </c>
      <c r="B23" t="s">
        <v>66</v>
      </c>
      <c r="C23" t="s">
        <v>40</v>
      </c>
      <c r="D23" t="s">
        <v>40</v>
      </c>
      <c r="E23" t="s">
        <v>43</v>
      </c>
      <c r="F23" t="s">
        <v>40</v>
      </c>
      <c r="G23" t="s">
        <v>40</v>
      </c>
      <c r="H23" t="s">
        <v>40</v>
      </c>
      <c r="I23">
        <v>4.202</v>
      </c>
      <c r="J23">
        <v>4.5869999999999997</v>
      </c>
      <c r="K23">
        <v>4.8239999999999998</v>
      </c>
    </row>
    <row r="24" spans="1:11" x14ac:dyDescent="0.25">
      <c r="A24" t="s">
        <v>67</v>
      </c>
      <c r="B24" t="s">
        <v>68</v>
      </c>
      <c r="C24" t="s">
        <v>40</v>
      </c>
      <c r="D24" t="s">
        <v>40</v>
      </c>
      <c r="E24" t="s">
        <v>43</v>
      </c>
      <c r="F24" t="s">
        <v>40</v>
      </c>
      <c r="G24" t="s">
        <v>40</v>
      </c>
      <c r="H24" t="s">
        <v>40</v>
      </c>
      <c r="I24">
        <v>3.8149999999999999</v>
      </c>
      <c r="J24">
        <v>4.3120000000000003</v>
      </c>
      <c r="K24">
        <v>4.5880000000000001</v>
      </c>
    </row>
    <row r="25" spans="1:11" x14ac:dyDescent="0.25">
      <c r="A25" t="s">
        <v>69</v>
      </c>
      <c r="B25" t="s">
        <v>70</v>
      </c>
      <c r="C25" t="s">
        <v>40</v>
      </c>
      <c r="D25" t="s">
        <v>40</v>
      </c>
      <c r="E25" t="s">
        <v>43</v>
      </c>
      <c r="F25" t="s">
        <v>40</v>
      </c>
      <c r="G25" t="s">
        <v>40</v>
      </c>
      <c r="H25" t="s">
        <v>40</v>
      </c>
      <c r="I25">
        <v>3.9329999999999998</v>
      </c>
      <c r="J25">
        <v>4.0579999999999998</v>
      </c>
      <c r="K25">
        <v>4.1260000000000003</v>
      </c>
    </row>
    <row r="26" spans="1:11" x14ac:dyDescent="0.25">
      <c r="A26" t="s">
        <v>71</v>
      </c>
      <c r="B26" t="s">
        <v>72</v>
      </c>
      <c r="C26" t="s">
        <v>40</v>
      </c>
      <c r="D26" t="s">
        <v>40</v>
      </c>
      <c r="E26" t="s">
        <v>43</v>
      </c>
      <c r="F26" t="s">
        <v>40</v>
      </c>
      <c r="G26" t="s">
        <v>40</v>
      </c>
      <c r="H26" t="s">
        <v>40</v>
      </c>
      <c r="I26">
        <v>3.431</v>
      </c>
      <c r="J26">
        <v>3.4529999999999998</v>
      </c>
      <c r="K26">
        <v>3.8079999999999998</v>
      </c>
    </row>
    <row r="27" spans="1:11" x14ac:dyDescent="0.25">
      <c r="A27" t="s">
        <v>73</v>
      </c>
      <c r="B27" t="s">
        <v>40</v>
      </c>
      <c r="C27" t="s">
        <v>40</v>
      </c>
      <c r="D27" t="s">
        <v>40</v>
      </c>
      <c r="E27" t="s">
        <v>43</v>
      </c>
      <c r="F27">
        <v>251.76599999999999</v>
      </c>
      <c r="G27">
        <v>244.31899999999999</v>
      </c>
      <c r="H27">
        <v>249.90799999999999</v>
      </c>
      <c r="I27">
        <v>204.357</v>
      </c>
      <c r="J27">
        <v>214.989</v>
      </c>
      <c r="K27">
        <v>219.77600000000001</v>
      </c>
    </row>
    <row r="28" spans="1:11" x14ac:dyDescent="0.25">
      <c r="A28" t="s">
        <v>74</v>
      </c>
      <c r="B28" t="s">
        <v>40</v>
      </c>
      <c r="C28" t="s">
        <v>40</v>
      </c>
      <c r="D28" t="s">
        <v>40</v>
      </c>
      <c r="E28" t="s">
        <v>43</v>
      </c>
      <c r="F28" t="s">
        <v>40</v>
      </c>
      <c r="G28" t="s">
        <v>40</v>
      </c>
      <c r="H28" t="s">
        <v>40</v>
      </c>
      <c r="I28" t="s">
        <v>40</v>
      </c>
      <c r="J28" t="s">
        <v>40</v>
      </c>
      <c r="K28" t="s">
        <v>40</v>
      </c>
    </row>
    <row r="29" spans="1:11" x14ac:dyDescent="0.25">
      <c r="A29" t="s">
        <v>75</v>
      </c>
      <c r="B29" t="s">
        <v>40</v>
      </c>
      <c r="C29" t="s">
        <v>40</v>
      </c>
      <c r="D29" t="s">
        <v>40</v>
      </c>
      <c r="E29" t="s">
        <v>45</v>
      </c>
      <c r="F29">
        <v>152.77700000000002</v>
      </c>
      <c r="G29">
        <v>146.577</v>
      </c>
      <c r="H29">
        <v>148.703</v>
      </c>
      <c r="I29">
        <v>152.40300000000002</v>
      </c>
      <c r="J29">
        <v>157.51299999999998</v>
      </c>
      <c r="K29">
        <v>159.53299999999999</v>
      </c>
    </row>
    <row r="30" spans="1:11" x14ac:dyDescent="0.25">
      <c r="A30" t="s">
        <v>49</v>
      </c>
      <c r="B30" t="s">
        <v>40</v>
      </c>
      <c r="C30" t="s">
        <v>40</v>
      </c>
      <c r="D30" t="s">
        <v>40</v>
      </c>
      <c r="E30" t="s">
        <v>43</v>
      </c>
      <c r="F30">
        <v>14.787000000000001</v>
      </c>
      <c r="G30">
        <v>13.510999999999999</v>
      </c>
      <c r="H30">
        <v>12.933999999999999</v>
      </c>
      <c r="I30">
        <v>12.523</v>
      </c>
      <c r="J30">
        <v>12.254</v>
      </c>
      <c r="K30">
        <v>11.951000000000001</v>
      </c>
    </row>
    <row r="31" spans="1:11" x14ac:dyDescent="0.25">
      <c r="A31" t="s">
        <v>76</v>
      </c>
      <c r="B31" t="s">
        <v>40</v>
      </c>
      <c r="C31" t="s">
        <v>40</v>
      </c>
      <c r="D31" t="s">
        <v>40</v>
      </c>
      <c r="E31" t="s">
        <v>43</v>
      </c>
      <c r="F31">
        <v>9.5630000000000006</v>
      </c>
      <c r="G31">
        <v>9.798</v>
      </c>
      <c r="H31">
        <v>9.6199999999999992</v>
      </c>
      <c r="I31">
        <v>9.1660000000000004</v>
      </c>
      <c r="J31">
        <v>9.2829999999999995</v>
      </c>
      <c r="K31">
        <v>10.074</v>
      </c>
    </row>
    <row r="32" spans="1:11" x14ac:dyDescent="0.25">
      <c r="A32" t="s">
        <v>77</v>
      </c>
      <c r="B32" t="s">
        <v>40</v>
      </c>
      <c r="C32" t="s">
        <v>40</v>
      </c>
      <c r="D32" t="s">
        <v>40</v>
      </c>
      <c r="E32" t="s">
        <v>43</v>
      </c>
      <c r="F32">
        <v>8.5030000000000001</v>
      </c>
      <c r="G32">
        <v>8.3019999999999996</v>
      </c>
      <c r="H32">
        <v>9.3550000000000004</v>
      </c>
      <c r="I32">
        <v>9.4290000000000003</v>
      </c>
      <c r="J32">
        <v>9.68</v>
      </c>
      <c r="K32">
        <v>9.843</v>
      </c>
    </row>
    <row r="33" spans="1:11" x14ac:dyDescent="0.25">
      <c r="A33" t="s">
        <v>78</v>
      </c>
      <c r="B33" t="s">
        <v>40</v>
      </c>
      <c r="C33" t="s">
        <v>40</v>
      </c>
      <c r="D33" t="s">
        <v>40</v>
      </c>
      <c r="E33" t="s">
        <v>43</v>
      </c>
      <c r="F33">
        <v>6.5830000000000002</v>
      </c>
      <c r="G33">
        <v>6.4189999999999996</v>
      </c>
      <c r="H33">
        <v>6.33</v>
      </c>
      <c r="I33">
        <v>6.3929999999999998</v>
      </c>
      <c r="J33">
        <v>6.2380000000000004</v>
      </c>
      <c r="K33">
        <v>6.35</v>
      </c>
    </row>
    <row r="34" spans="1:11" x14ac:dyDescent="0.25">
      <c r="A34" t="s">
        <v>79</v>
      </c>
      <c r="B34" t="s">
        <v>40</v>
      </c>
      <c r="C34" t="s">
        <v>40</v>
      </c>
      <c r="D34" t="s">
        <v>40</v>
      </c>
      <c r="E34" t="s">
        <v>43</v>
      </c>
      <c r="F34">
        <v>10.036</v>
      </c>
      <c r="G34">
        <v>9.1999999999999993</v>
      </c>
      <c r="H34">
        <v>8.5950000000000006</v>
      </c>
      <c r="I34">
        <v>7.17</v>
      </c>
      <c r="J34">
        <v>6.0970000000000004</v>
      </c>
      <c r="K34">
        <v>5.8330000000000002</v>
      </c>
    </row>
    <row r="35" spans="1:11" x14ac:dyDescent="0.25">
      <c r="A35" t="s">
        <v>80</v>
      </c>
      <c r="B35" t="s">
        <v>40</v>
      </c>
      <c r="C35" t="s">
        <v>40</v>
      </c>
      <c r="D35" t="s">
        <v>40</v>
      </c>
      <c r="E35" t="s">
        <v>43</v>
      </c>
      <c r="F35" t="s">
        <v>40</v>
      </c>
      <c r="G35" t="s">
        <v>40</v>
      </c>
      <c r="H35" t="s">
        <v>40</v>
      </c>
      <c r="I35">
        <v>3.92</v>
      </c>
      <c r="J35">
        <v>4.0679999999999996</v>
      </c>
      <c r="K35">
        <v>4.1180000000000003</v>
      </c>
    </row>
    <row r="36" spans="1:11" x14ac:dyDescent="0.25">
      <c r="A36" t="s">
        <v>55</v>
      </c>
      <c r="B36" t="s">
        <v>40</v>
      </c>
      <c r="C36" t="s">
        <v>40</v>
      </c>
      <c r="D36" t="s">
        <v>40</v>
      </c>
      <c r="E36" t="s">
        <v>43</v>
      </c>
      <c r="F36" t="s">
        <v>40</v>
      </c>
      <c r="G36" t="s">
        <v>40</v>
      </c>
      <c r="H36" t="s">
        <v>40</v>
      </c>
      <c r="I36">
        <v>2.758</v>
      </c>
      <c r="J36">
        <v>2.823</v>
      </c>
      <c r="K36">
        <v>2.847</v>
      </c>
    </row>
    <row r="37" spans="1:11" x14ac:dyDescent="0.25">
      <c r="A37" t="s">
        <v>56</v>
      </c>
      <c r="B37" t="s">
        <v>57</v>
      </c>
      <c r="C37" t="s">
        <v>40</v>
      </c>
      <c r="D37" t="s">
        <v>40</v>
      </c>
      <c r="E37" t="s">
        <v>43</v>
      </c>
      <c r="F37" t="s">
        <v>40</v>
      </c>
      <c r="G37" t="s">
        <v>40</v>
      </c>
      <c r="H37" t="s">
        <v>40</v>
      </c>
      <c r="I37">
        <v>2.8380000000000001</v>
      </c>
      <c r="J37">
        <v>2.8479999999999999</v>
      </c>
      <c r="K37">
        <v>2.754</v>
      </c>
    </row>
    <row r="38" spans="1:11" x14ac:dyDescent="0.25">
      <c r="A38" t="s">
        <v>62</v>
      </c>
      <c r="B38" t="s">
        <v>63</v>
      </c>
      <c r="C38" t="s">
        <v>40</v>
      </c>
      <c r="D38" t="s">
        <v>40</v>
      </c>
      <c r="E38" t="s">
        <v>43</v>
      </c>
      <c r="F38" t="s">
        <v>40</v>
      </c>
      <c r="G38" t="s">
        <v>40</v>
      </c>
      <c r="H38" t="s">
        <v>40</v>
      </c>
      <c r="I38">
        <v>1.8029999999999999</v>
      </c>
      <c r="J38">
        <v>1.8420000000000001</v>
      </c>
      <c r="K38">
        <v>1.879</v>
      </c>
    </row>
    <row r="39" spans="1:11" x14ac:dyDescent="0.25">
      <c r="A39" t="s">
        <v>81</v>
      </c>
      <c r="B39" t="s">
        <v>82</v>
      </c>
      <c r="C39" t="s">
        <v>40</v>
      </c>
      <c r="D39" t="s">
        <v>40</v>
      </c>
      <c r="E39" t="s">
        <v>43</v>
      </c>
      <c r="F39" t="s">
        <v>40</v>
      </c>
      <c r="G39" t="s">
        <v>40</v>
      </c>
      <c r="H39" t="s">
        <v>40</v>
      </c>
      <c r="I39">
        <v>1.5129999999999999</v>
      </c>
      <c r="J39">
        <v>1.5640000000000001</v>
      </c>
      <c r="K39">
        <v>1.645</v>
      </c>
    </row>
    <row r="40" spans="1:11" x14ac:dyDescent="0.25">
      <c r="A40" t="s">
        <v>83</v>
      </c>
      <c r="B40" t="s">
        <v>84</v>
      </c>
      <c r="C40" t="s">
        <v>40</v>
      </c>
      <c r="D40" t="s">
        <v>40</v>
      </c>
      <c r="E40" t="s">
        <v>43</v>
      </c>
      <c r="F40" t="s">
        <v>40</v>
      </c>
      <c r="G40" t="s">
        <v>40</v>
      </c>
      <c r="H40" t="s">
        <v>40</v>
      </c>
      <c r="I40">
        <v>1.643</v>
      </c>
      <c r="J40">
        <v>1.615</v>
      </c>
      <c r="K40">
        <v>1.5580000000000001</v>
      </c>
    </row>
    <row r="41" spans="1:11" x14ac:dyDescent="0.25">
      <c r="A41" t="s">
        <v>71</v>
      </c>
      <c r="B41" t="s">
        <v>72</v>
      </c>
      <c r="C41" t="s">
        <v>40</v>
      </c>
      <c r="D41" t="s">
        <v>40</v>
      </c>
      <c r="E41" t="s">
        <v>43</v>
      </c>
      <c r="F41" t="s">
        <v>40</v>
      </c>
      <c r="G41" t="s">
        <v>40</v>
      </c>
      <c r="H41" t="s">
        <v>40</v>
      </c>
      <c r="I41">
        <v>1.43</v>
      </c>
      <c r="J41">
        <v>1.425</v>
      </c>
      <c r="K41">
        <v>1.5429999999999999</v>
      </c>
    </row>
    <row r="42" spans="1:11" x14ac:dyDescent="0.25">
      <c r="A42" t="s">
        <v>85</v>
      </c>
      <c r="B42" t="s">
        <v>86</v>
      </c>
      <c r="C42" t="s">
        <v>40</v>
      </c>
      <c r="D42" t="s">
        <v>40</v>
      </c>
      <c r="E42" t="s">
        <v>43</v>
      </c>
      <c r="F42" t="s">
        <v>40</v>
      </c>
      <c r="G42" t="s">
        <v>40</v>
      </c>
      <c r="H42" t="s">
        <v>40</v>
      </c>
      <c r="I42">
        <v>1.32</v>
      </c>
      <c r="J42">
        <v>1.272</v>
      </c>
      <c r="K42">
        <v>1.254</v>
      </c>
    </row>
    <row r="43" spans="1:11" x14ac:dyDescent="0.25">
      <c r="A43" t="s">
        <v>87</v>
      </c>
      <c r="B43" t="s">
        <v>88</v>
      </c>
      <c r="C43" t="s">
        <v>40</v>
      </c>
      <c r="D43" t="s">
        <v>40</v>
      </c>
      <c r="E43" t="s">
        <v>43</v>
      </c>
      <c r="F43" t="s">
        <v>40</v>
      </c>
      <c r="G43" t="s">
        <v>40</v>
      </c>
      <c r="H43" t="s">
        <v>40</v>
      </c>
      <c r="I43">
        <v>0.64</v>
      </c>
      <c r="J43">
        <v>1.161</v>
      </c>
      <c r="K43">
        <v>1.194</v>
      </c>
    </row>
    <row r="44" spans="1:11" x14ac:dyDescent="0.25">
      <c r="A44" t="s">
        <v>89</v>
      </c>
      <c r="B44" t="s">
        <v>90</v>
      </c>
      <c r="C44" t="s">
        <v>40</v>
      </c>
      <c r="D44" t="s">
        <v>40</v>
      </c>
      <c r="E44" t="s">
        <v>43</v>
      </c>
      <c r="F44" t="s">
        <v>40</v>
      </c>
      <c r="G44" t="s">
        <v>40</v>
      </c>
      <c r="H44" t="s">
        <v>40</v>
      </c>
      <c r="I44">
        <v>0.93400000000000005</v>
      </c>
      <c r="J44">
        <v>1.0169999999999999</v>
      </c>
      <c r="K44">
        <v>1.1759999999999999</v>
      </c>
    </row>
    <row r="45" spans="1:11" x14ac:dyDescent="0.25">
      <c r="A45" t="s">
        <v>91</v>
      </c>
      <c r="B45" t="s">
        <v>92</v>
      </c>
      <c r="C45" t="s">
        <v>40</v>
      </c>
      <c r="D45" t="s">
        <v>40</v>
      </c>
      <c r="E45" t="s">
        <v>43</v>
      </c>
      <c r="F45" t="s">
        <v>40</v>
      </c>
      <c r="G45" t="s">
        <v>40</v>
      </c>
      <c r="H45" t="s">
        <v>40</v>
      </c>
      <c r="I45">
        <v>1.0229999999999999</v>
      </c>
      <c r="J45">
        <v>1.0620000000000001</v>
      </c>
      <c r="K45">
        <v>1.1040000000000001</v>
      </c>
    </row>
    <row r="46" spans="1:11" x14ac:dyDescent="0.25">
      <c r="A46" t="s">
        <v>93</v>
      </c>
      <c r="B46" t="s">
        <v>94</v>
      </c>
      <c r="C46" t="s">
        <v>40</v>
      </c>
      <c r="D46" t="s">
        <v>40</v>
      </c>
      <c r="E46" t="s">
        <v>43</v>
      </c>
      <c r="F46" t="s">
        <v>40</v>
      </c>
      <c r="G46" t="s">
        <v>40</v>
      </c>
      <c r="H46" t="s">
        <v>40</v>
      </c>
      <c r="I46">
        <v>1.17</v>
      </c>
      <c r="J46">
        <v>1.036</v>
      </c>
      <c r="K46">
        <v>1.077</v>
      </c>
    </row>
    <row r="47" spans="1:11" x14ac:dyDescent="0.25">
      <c r="A47" t="s">
        <v>95</v>
      </c>
      <c r="B47" t="s">
        <v>96</v>
      </c>
      <c r="C47" t="s">
        <v>40</v>
      </c>
      <c r="D47" t="s">
        <v>40</v>
      </c>
      <c r="E47" t="s">
        <v>43</v>
      </c>
      <c r="F47" t="s">
        <v>40</v>
      </c>
      <c r="G47" t="s">
        <v>40</v>
      </c>
      <c r="H47" t="s">
        <v>40</v>
      </c>
      <c r="I47">
        <v>0.82499999999999996</v>
      </c>
      <c r="J47">
        <v>0.91400000000000003</v>
      </c>
      <c r="K47">
        <v>0.97299999999999998</v>
      </c>
    </row>
    <row r="48" spans="1:11" x14ac:dyDescent="0.25">
      <c r="A48" t="s">
        <v>97</v>
      </c>
      <c r="B48" t="s">
        <v>98</v>
      </c>
      <c r="C48" t="s">
        <v>40</v>
      </c>
      <c r="D48" t="s">
        <v>40</v>
      </c>
      <c r="E48" t="s">
        <v>43</v>
      </c>
      <c r="F48" t="s">
        <v>40</v>
      </c>
      <c r="G48" t="s">
        <v>40</v>
      </c>
      <c r="H48" t="s">
        <v>40</v>
      </c>
      <c r="I48">
        <v>0.92</v>
      </c>
      <c r="J48">
        <v>0.86699999999999999</v>
      </c>
      <c r="K48">
        <v>0.82099999999999995</v>
      </c>
    </row>
    <row r="49" spans="1:11" x14ac:dyDescent="0.25">
      <c r="A49" t="s">
        <v>99</v>
      </c>
      <c r="B49" t="s">
        <v>100</v>
      </c>
      <c r="C49" t="s">
        <v>40</v>
      </c>
      <c r="D49" t="s">
        <v>40</v>
      </c>
      <c r="E49" t="s">
        <v>43</v>
      </c>
      <c r="F49" t="s">
        <v>40</v>
      </c>
      <c r="G49" t="s">
        <v>40</v>
      </c>
      <c r="H49" t="s">
        <v>40</v>
      </c>
      <c r="I49">
        <v>0.65</v>
      </c>
      <c r="J49">
        <v>0.70699999999999996</v>
      </c>
      <c r="K49">
        <v>0.749</v>
      </c>
    </row>
    <row r="50" spans="1:11" x14ac:dyDescent="0.25">
      <c r="A50" t="s">
        <v>73</v>
      </c>
      <c r="B50" t="s">
        <v>40</v>
      </c>
      <c r="C50" t="s">
        <v>40</v>
      </c>
      <c r="D50" t="s">
        <v>40</v>
      </c>
      <c r="E50" t="s">
        <v>43</v>
      </c>
      <c r="F50">
        <v>103.30500000000001</v>
      </c>
      <c r="G50">
        <v>99.346999999999994</v>
      </c>
      <c r="H50">
        <v>101.869</v>
      </c>
      <c r="I50">
        <v>84.334999999999994</v>
      </c>
      <c r="J50">
        <v>89.74</v>
      </c>
      <c r="K50">
        <v>90.79</v>
      </c>
    </row>
    <row r="51" spans="1:11" x14ac:dyDescent="0.25">
      <c r="A51" t="s">
        <v>101</v>
      </c>
      <c r="B51" t="s">
        <v>40</v>
      </c>
      <c r="C51" t="s">
        <v>40</v>
      </c>
      <c r="D51" t="s">
        <v>40</v>
      </c>
      <c r="E51" t="s">
        <v>45</v>
      </c>
      <c r="F51">
        <v>435.476</v>
      </c>
      <c r="G51">
        <v>434.52700000000004</v>
      </c>
      <c r="H51">
        <v>444.66699999999997</v>
      </c>
      <c r="I51">
        <v>461.66799999999995</v>
      </c>
      <c r="J51">
        <v>481.17099999999994</v>
      </c>
      <c r="K51">
        <v>491.322</v>
      </c>
    </row>
    <row r="52" spans="1:11" x14ac:dyDescent="0.25">
      <c r="A52" t="s">
        <v>49</v>
      </c>
      <c r="B52" t="s">
        <v>40</v>
      </c>
      <c r="C52" t="s">
        <v>40</v>
      </c>
      <c r="D52" t="s">
        <v>40</v>
      </c>
      <c r="E52" t="s">
        <v>43</v>
      </c>
      <c r="F52">
        <v>28.488</v>
      </c>
      <c r="G52">
        <v>25.602</v>
      </c>
      <c r="H52">
        <v>25.605</v>
      </c>
      <c r="I52">
        <v>25.369</v>
      </c>
      <c r="J52">
        <v>25.181999999999999</v>
      </c>
      <c r="K52">
        <v>24.343</v>
      </c>
    </row>
    <row r="53" spans="1:11" x14ac:dyDescent="0.25">
      <c r="A53" t="s">
        <v>47</v>
      </c>
      <c r="B53" t="s">
        <v>40</v>
      </c>
      <c r="C53" t="s">
        <v>40</v>
      </c>
      <c r="D53" t="s">
        <v>40</v>
      </c>
      <c r="E53" t="s">
        <v>43</v>
      </c>
      <c r="F53">
        <v>12.906000000000001</v>
      </c>
      <c r="G53">
        <v>13.052</v>
      </c>
      <c r="H53">
        <v>13.763</v>
      </c>
      <c r="I53">
        <v>14.904</v>
      </c>
      <c r="J53">
        <v>16.196000000000002</v>
      </c>
      <c r="K53">
        <v>17.257000000000001</v>
      </c>
    </row>
    <row r="54" spans="1:11" x14ac:dyDescent="0.25">
      <c r="A54" t="s">
        <v>64</v>
      </c>
      <c r="B54" t="s">
        <v>40</v>
      </c>
      <c r="C54" t="s">
        <v>40</v>
      </c>
      <c r="D54" t="s">
        <v>40</v>
      </c>
      <c r="E54" t="s">
        <v>43</v>
      </c>
      <c r="F54" t="s">
        <v>40</v>
      </c>
      <c r="G54">
        <v>4.9720000000000004</v>
      </c>
      <c r="H54">
        <v>3.3580000000000001</v>
      </c>
      <c r="I54">
        <v>13.507</v>
      </c>
      <c r="J54">
        <v>14.353</v>
      </c>
      <c r="K54">
        <v>13.159000000000001</v>
      </c>
    </row>
    <row r="55" spans="1:11" x14ac:dyDescent="0.25">
      <c r="A55" t="s">
        <v>102</v>
      </c>
      <c r="B55" t="s">
        <v>40</v>
      </c>
      <c r="C55" t="s">
        <v>40</v>
      </c>
      <c r="D55" t="s">
        <v>40</v>
      </c>
      <c r="E55" t="s">
        <v>43</v>
      </c>
      <c r="F55">
        <v>8.8320000000000007</v>
      </c>
      <c r="G55">
        <v>8.9770000000000003</v>
      </c>
      <c r="H55">
        <v>9.0909999999999993</v>
      </c>
      <c r="I55">
        <v>10.236000000000001</v>
      </c>
      <c r="J55">
        <v>10.579000000000001</v>
      </c>
      <c r="K55">
        <v>11.404999999999999</v>
      </c>
    </row>
    <row r="56" spans="1:11" x14ac:dyDescent="0.25">
      <c r="A56" t="s">
        <v>58</v>
      </c>
      <c r="B56" t="s">
        <v>40</v>
      </c>
      <c r="C56" t="s">
        <v>40</v>
      </c>
      <c r="D56" t="s">
        <v>40</v>
      </c>
      <c r="E56" t="s">
        <v>43</v>
      </c>
      <c r="F56">
        <v>7.7359999999999998</v>
      </c>
      <c r="G56">
        <v>8.5380000000000003</v>
      </c>
      <c r="H56">
        <v>9.3130000000000006</v>
      </c>
      <c r="I56">
        <v>9.57</v>
      </c>
      <c r="J56">
        <v>10.695</v>
      </c>
      <c r="K56">
        <v>11.359</v>
      </c>
    </row>
    <row r="57" spans="1:11" x14ac:dyDescent="0.25">
      <c r="A57" t="s">
        <v>65</v>
      </c>
      <c r="B57" t="s">
        <v>66</v>
      </c>
      <c r="C57" t="s">
        <v>40</v>
      </c>
      <c r="D57" t="s">
        <v>40</v>
      </c>
      <c r="E57" t="s">
        <v>43</v>
      </c>
      <c r="F57" t="s">
        <v>40</v>
      </c>
      <c r="G57" t="s">
        <v>40</v>
      </c>
      <c r="H57" t="s">
        <v>40</v>
      </c>
      <c r="I57">
        <v>8.4320000000000004</v>
      </c>
      <c r="J57">
        <v>9.1489999999999991</v>
      </c>
      <c r="K57">
        <v>9.4700000000000006</v>
      </c>
    </row>
    <row r="58" spans="1:11" x14ac:dyDescent="0.25">
      <c r="A58" t="s">
        <v>103</v>
      </c>
      <c r="B58" t="s">
        <v>104</v>
      </c>
      <c r="C58" t="s">
        <v>40</v>
      </c>
      <c r="D58" t="s">
        <v>40</v>
      </c>
      <c r="E58" t="s">
        <v>43</v>
      </c>
      <c r="F58" t="s">
        <v>40</v>
      </c>
      <c r="G58" t="s">
        <v>40</v>
      </c>
      <c r="H58" t="s">
        <v>40</v>
      </c>
      <c r="I58">
        <v>8.327</v>
      </c>
      <c r="J58">
        <v>8.4269999999999996</v>
      </c>
      <c r="K58">
        <v>8.3710000000000004</v>
      </c>
    </row>
    <row r="59" spans="1:11" x14ac:dyDescent="0.25">
      <c r="A59" t="s">
        <v>56</v>
      </c>
      <c r="B59" t="s">
        <v>57</v>
      </c>
      <c r="C59" t="s">
        <v>40</v>
      </c>
      <c r="D59" t="s">
        <v>40</v>
      </c>
      <c r="E59" t="s">
        <v>43</v>
      </c>
      <c r="F59" t="s">
        <v>40</v>
      </c>
      <c r="G59" t="s">
        <v>40</v>
      </c>
      <c r="H59" t="s">
        <v>40</v>
      </c>
      <c r="I59">
        <v>8.2119999999999997</v>
      </c>
      <c r="J59">
        <v>8.1959999999999997</v>
      </c>
      <c r="K59">
        <v>8.1539999999999999</v>
      </c>
    </row>
    <row r="60" spans="1:11" x14ac:dyDescent="0.25">
      <c r="A60" t="s">
        <v>91</v>
      </c>
      <c r="B60" t="s">
        <v>92</v>
      </c>
      <c r="C60" t="s">
        <v>40</v>
      </c>
      <c r="D60" t="s">
        <v>40</v>
      </c>
      <c r="E60" t="s">
        <v>43</v>
      </c>
      <c r="F60" t="s">
        <v>40</v>
      </c>
      <c r="G60" t="s">
        <v>40</v>
      </c>
      <c r="H60" t="s">
        <v>40</v>
      </c>
      <c r="I60">
        <v>7.3710000000000004</v>
      </c>
      <c r="J60">
        <v>7.4139999999999997</v>
      </c>
      <c r="K60">
        <v>7.7549999999999999</v>
      </c>
    </row>
    <row r="61" spans="1:11" x14ac:dyDescent="0.25">
      <c r="A61" t="s">
        <v>105</v>
      </c>
      <c r="B61" t="s">
        <v>106</v>
      </c>
      <c r="C61" t="s">
        <v>40</v>
      </c>
      <c r="D61" t="s">
        <v>40</v>
      </c>
      <c r="E61" t="s">
        <v>43</v>
      </c>
      <c r="F61" t="s">
        <v>40</v>
      </c>
      <c r="G61" t="s">
        <v>40</v>
      </c>
      <c r="H61" t="s">
        <v>40</v>
      </c>
      <c r="I61">
        <v>4.6180000000000003</v>
      </c>
      <c r="J61">
        <v>5.2489999999999997</v>
      </c>
      <c r="K61">
        <v>5.415</v>
      </c>
    </row>
    <row r="62" spans="1:11" x14ac:dyDescent="0.25">
      <c r="A62" t="s">
        <v>107</v>
      </c>
      <c r="B62" t="s">
        <v>108</v>
      </c>
      <c r="C62" t="s">
        <v>40</v>
      </c>
      <c r="D62" t="s">
        <v>40</v>
      </c>
      <c r="E62" t="s">
        <v>43</v>
      </c>
      <c r="F62" t="s">
        <v>40</v>
      </c>
      <c r="G62" t="s">
        <v>40</v>
      </c>
      <c r="H62" t="s">
        <v>40</v>
      </c>
      <c r="I62">
        <v>4.8600000000000003</v>
      </c>
      <c r="J62">
        <v>5.0609999999999999</v>
      </c>
      <c r="K62">
        <v>5.1689999999999996</v>
      </c>
    </row>
    <row r="63" spans="1:11" x14ac:dyDescent="0.25">
      <c r="A63" t="s">
        <v>95</v>
      </c>
      <c r="B63" t="s">
        <v>96</v>
      </c>
      <c r="C63" t="s">
        <v>40</v>
      </c>
      <c r="D63" t="s">
        <v>40</v>
      </c>
      <c r="E63" t="s">
        <v>43</v>
      </c>
      <c r="F63" t="s">
        <v>40</v>
      </c>
      <c r="G63" t="s">
        <v>40</v>
      </c>
      <c r="H63" t="s">
        <v>40</v>
      </c>
      <c r="I63">
        <v>3.9249999999999998</v>
      </c>
      <c r="J63">
        <v>4.3440000000000003</v>
      </c>
      <c r="K63">
        <v>4.9139999999999997</v>
      </c>
    </row>
    <row r="64" spans="1:11" x14ac:dyDescent="0.25">
      <c r="A64" t="s">
        <v>109</v>
      </c>
      <c r="B64" t="s">
        <v>110</v>
      </c>
      <c r="C64" t="s">
        <v>40</v>
      </c>
      <c r="D64" t="s">
        <v>40</v>
      </c>
      <c r="E64" t="s">
        <v>43</v>
      </c>
      <c r="F64" t="s">
        <v>40</v>
      </c>
      <c r="G64" t="s">
        <v>40</v>
      </c>
      <c r="H64" t="s">
        <v>40</v>
      </c>
      <c r="I64">
        <v>3.4470000000000001</v>
      </c>
      <c r="J64">
        <v>3.7069999999999999</v>
      </c>
      <c r="K64">
        <v>4.4790000000000001</v>
      </c>
    </row>
    <row r="65" spans="1:11" x14ac:dyDescent="0.25">
      <c r="A65" t="s">
        <v>87</v>
      </c>
      <c r="B65" t="s">
        <v>88</v>
      </c>
      <c r="C65" t="s">
        <v>40</v>
      </c>
      <c r="D65" t="s">
        <v>40</v>
      </c>
      <c r="E65" t="s">
        <v>43</v>
      </c>
      <c r="F65" t="s">
        <v>40</v>
      </c>
      <c r="G65" t="s">
        <v>40</v>
      </c>
      <c r="H65" t="s">
        <v>40</v>
      </c>
      <c r="I65">
        <v>2.5059999999999998</v>
      </c>
      <c r="J65">
        <v>4.4340000000000002</v>
      </c>
      <c r="K65">
        <v>4.452</v>
      </c>
    </row>
    <row r="66" spans="1:11" x14ac:dyDescent="0.25">
      <c r="A66" t="s">
        <v>60</v>
      </c>
      <c r="B66" t="s">
        <v>61</v>
      </c>
      <c r="C66" t="s">
        <v>40</v>
      </c>
      <c r="D66" t="s">
        <v>40</v>
      </c>
      <c r="E66" t="s">
        <v>43</v>
      </c>
      <c r="F66" t="s">
        <v>40</v>
      </c>
      <c r="G66" t="s">
        <v>40</v>
      </c>
      <c r="H66" t="s">
        <v>40</v>
      </c>
      <c r="I66">
        <v>4.0010000000000003</v>
      </c>
      <c r="J66">
        <v>4.2050000000000001</v>
      </c>
      <c r="K66">
        <v>4.4240000000000004</v>
      </c>
    </row>
    <row r="67" spans="1:11" x14ac:dyDescent="0.25">
      <c r="A67" t="s">
        <v>111</v>
      </c>
      <c r="B67" t="s">
        <v>112</v>
      </c>
      <c r="C67" t="s">
        <v>40</v>
      </c>
      <c r="D67" t="s">
        <v>40</v>
      </c>
      <c r="E67" t="s">
        <v>43</v>
      </c>
      <c r="F67" t="s">
        <v>40</v>
      </c>
      <c r="G67" t="s">
        <v>40</v>
      </c>
      <c r="H67" t="s">
        <v>40</v>
      </c>
      <c r="I67">
        <v>4.2169999999999996</v>
      </c>
      <c r="J67">
        <v>3.4140000000000001</v>
      </c>
      <c r="K67">
        <v>4.2080000000000002</v>
      </c>
    </row>
    <row r="68" spans="1:11" x14ac:dyDescent="0.25">
      <c r="A68" t="s">
        <v>113</v>
      </c>
      <c r="B68" t="s">
        <v>114</v>
      </c>
      <c r="C68" t="s">
        <v>40</v>
      </c>
      <c r="D68" t="s">
        <v>40</v>
      </c>
      <c r="E68" t="s">
        <v>43</v>
      </c>
      <c r="F68" t="s">
        <v>40</v>
      </c>
      <c r="G68" t="s">
        <v>40</v>
      </c>
      <c r="H68" t="s">
        <v>40</v>
      </c>
      <c r="I68">
        <v>3.1320000000000001</v>
      </c>
      <c r="J68">
        <v>3.7570000000000001</v>
      </c>
      <c r="K68">
        <v>3.9849999999999999</v>
      </c>
    </row>
    <row r="69" spans="1:11" x14ac:dyDescent="0.25">
      <c r="A69" t="s">
        <v>67</v>
      </c>
      <c r="B69" t="s">
        <v>68</v>
      </c>
      <c r="C69" t="s">
        <v>40</v>
      </c>
      <c r="D69" t="s">
        <v>40</v>
      </c>
      <c r="E69" t="s">
        <v>43</v>
      </c>
      <c r="F69" t="s">
        <v>40</v>
      </c>
      <c r="G69" t="s">
        <v>40</v>
      </c>
      <c r="H69" t="s">
        <v>40</v>
      </c>
      <c r="I69">
        <v>3.7949999999999999</v>
      </c>
      <c r="J69">
        <v>3.7370000000000001</v>
      </c>
      <c r="K69">
        <v>3.8410000000000002</v>
      </c>
    </row>
    <row r="70" spans="1:11" x14ac:dyDescent="0.25">
      <c r="A70" t="s">
        <v>115</v>
      </c>
      <c r="B70" t="s">
        <v>116</v>
      </c>
      <c r="C70" t="s">
        <v>40</v>
      </c>
      <c r="D70" t="s">
        <v>40</v>
      </c>
      <c r="E70" t="s">
        <v>43</v>
      </c>
      <c r="F70" t="s">
        <v>40</v>
      </c>
      <c r="G70" t="s">
        <v>40</v>
      </c>
      <c r="H70" t="s">
        <v>40</v>
      </c>
      <c r="I70">
        <v>3.6789999999999998</v>
      </c>
      <c r="J70">
        <v>3.69</v>
      </c>
      <c r="K70">
        <v>3.665</v>
      </c>
    </row>
    <row r="71" spans="1:11" x14ac:dyDescent="0.25">
      <c r="A71" t="s">
        <v>71</v>
      </c>
      <c r="B71" t="s">
        <v>72</v>
      </c>
      <c r="C71" t="s">
        <v>40</v>
      </c>
      <c r="D71" t="s">
        <v>40</v>
      </c>
      <c r="E71" t="s">
        <v>43</v>
      </c>
      <c r="F71" t="s">
        <v>40</v>
      </c>
      <c r="G71" t="s">
        <v>40</v>
      </c>
      <c r="H71" t="s">
        <v>40</v>
      </c>
      <c r="I71">
        <v>3.2320000000000002</v>
      </c>
      <c r="J71">
        <v>3.2589999999999999</v>
      </c>
      <c r="K71">
        <v>3.5870000000000002</v>
      </c>
    </row>
    <row r="72" spans="1:11" x14ac:dyDescent="0.25">
      <c r="A72" t="s">
        <v>73</v>
      </c>
      <c r="B72" t="s">
        <v>40</v>
      </c>
      <c r="C72" t="s">
        <v>40</v>
      </c>
      <c r="D72" t="s">
        <v>40</v>
      </c>
      <c r="E72" t="s">
        <v>43</v>
      </c>
      <c r="F72">
        <v>377.51400000000001</v>
      </c>
      <c r="G72">
        <v>373.38600000000002</v>
      </c>
      <c r="H72">
        <v>383.53699999999998</v>
      </c>
      <c r="I72">
        <v>314.32799999999997</v>
      </c>
      <c r="J72">
        <v>326.12299999999999</v>
      </c>
      <c r="K72">
        <v>331.91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"/>
  <sheetViews>
    <sheetView workbookViewId="0">
      <selection sqref="A1:XFD1048576"/>
    </sheetView>
  </sheetViews>
  <sheetFormatPr defaultRowHeight="15" x14ac:dyDescent="0.25"/>
  <cols>
    <col min="1" max="1" width="56.28515625" customWidth="1"/>
    <col min="2" max="2" width="15.85546875" customWidth="1"/>
    <col min="3" max="17" width="9.140625" bestFit="1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ReferenceData!$C$90</f>
        <v>2019</v>
      </c>
      <c r="G2" s="1" t="str">
        <f>ReferenceData!$D$90</f>
        <v>2018</v>
      </c>
      <c r="H2" s="1" t="str">
        <f>ReferenceData!$E$90</f>
        <v>2017</v>
      </c>
      <c r="I2" s="1" t="str">
        <f>ReferenceData!$F$90</f>
        <v>2016</v>
      </c>
      <c r="J2" s="1" t="str">
        <f>ReferenceData!$G$90</f>
        <v>2015</v>
      </c>
      <c r="K2" s="1" t="str">
        <f>ReferenceData!$H$90</f>
        <v>2014</v>
      </c>
      <c r="L2" t="str">
        <f>$C$90</f>
        <v>2019</v>
      </c>
      <c r="M2" t="str">
        <f>$D$90</f>
        <v>2018</v>
      </c>
      <c r="N2" t="str">
        <f>$E$90</f>
        <v>2017</v>
      </c>
      <c r="O2" t="str">
        <f>$F$90</f>
        <v>2016</v>
      </c>
      <c r="P2" t="str">
        <f>$G$90</f>
        <v>2015</v>
      </c>
      <c r="Q2" t="str">
        <f>$H$90</f>
        <v>2014</v>
      </c>
    </row>
    <row r="3" spans="1:17" x14ac:dyDescent="0.25">
      <c r="A3" t="str">
        <f>"***** Source: IDC *****"</f>
        <v>***** Source: IDC *****</v>
      </c>
      <c r="B3" t="str">
        <f>""</f>
        <v/>
      </c>
      <c r="E3" t="str">
        <f>"Heading"</f>
        <v>Heading</v>
      </c>
      <c r="L3" t="str">
        <f>""</f>
        <v/>
      </c>
      <c r="M3" t="str">
        <f>""</f>
        <v/>
      </c>
      <c r="N3" t="str">
        <f>""</f>
        <v/>
      </c>
      <c r="O3" t="str">
        <f>""</f>
        <v/>
      </c>
      <c r="P3" t="str">
        <f>""</f>
        <v/>
      </c>
      <c r="Q3" t="str">
        <f>""</f>
        <v/>
      </c>
    </row>
    <row r="4" spans="1:17" x14ac:dyDescent="0.25">
      <c r="A4" t="str">
        <f>"Denominated in billions of US$"</f>
        <v>Denominated in billions of US$</v>
      </c>
      <c r="B4" t="str">
        <f>""</f>
        <v/>
      </c>
      <c r="E4" t="str">
        <f>"Heading"</f>
        <v>Heading</v>
      </c>
      <c r="L4" t="str">
        <f>""</f>
        <v/>
      </c>
      <c r="M4" t="str">
        <f>""</f>
        <v/>
      </c>
      <c r="N4" t="str">
        <f>""</f>
        <v/>
      </c>
      <c r="O4" t="str">
        <f>""</f>
        <v/>
      </c>
      <c r="P4" t="str">
        <f>""</f>
        <v/>
      </c>
      <c r="Q4" t="str">
        <f>""</f>
        <v/>
      </c>
    </row>
    <row r="5" spans="1:17" x14ac:dyDescent="0.25">
      <c r="A5" t="str">
        <f>""</f>
        <v/>
      </c>
      <c r="B5" t="str">
        <f>""</f>
        <v/>
      </c>
      <c r="E5" t="str">
        <f>"Static"</f>
        <v>Static</v>
      </c>
      <c r="F5" t="str">
        <f t="shared" ref="F5:K5" ca="1" si="0">HLOOKUP(INDIRECT(ADDRESS(2,COLUMN())),OFFSET($L$2,0,0,ROW()-1,6),ROW()-1,FALSE)</f>
        <v/>
      </c>
      <c r="G5" t="str">
        <f t="shared" ca="1" si="0"/>
        <v/>
      </c>
      <c r="H5" t="str">
        <f t="shared" ca="1" si="0"/>
        <v/>
      </c>
      <c r="I5" t="str">
        <f t="shared" ca="1" si="0"/>
        <v/>
      </c>
      <c r="J5" t="str">
        <f t="shared" ca="1" si="0"/>
        <v/>
      </c>
      <c r="K5" t="str">
        <f t="shared" ca="1" si="0"/>
        <v/>
      </c>
      <c r="L5" t="str">
        <f>""</f>
        <v/>
      </c>
      <c r="M5" t="str">
        <f>""</f>
        <v/>
      </c>
      <c r="N5" t="str">
        <f>""</f>
        <v/>
      </c>
      <c r="O5" t="str">
        <f>""</f>
        <v/>
      </c>
      <c r="P5" t="str">
        <f>""</f>
        <v/>
      </c>
      <c r="Q5" t="str">
        <f>""</f>
        <v/>
      </c>
    </row>
    <row r="6" spans="1:17" x14ac:dyDescent="0.25">
      <c r="A6" t="str">
        <f>"Project Oriented"</f>
        <v>Project Oriented</v>
      </c>
      <c r="B6" t="str">
        <f>""</f>
        <v/>
      </c>
      <c r="E6" t="str">
        <f>"Sum"</f>
        <v>Sum</v>
      </c>
      <c r="F6">
        <f ca="1">IF(ISERROR(IF(SUM($F$7:$F$28) = 0, "", SUM($F$7:$F$28))), "", (IF(SUM($F$7:$F$28) = 0, "", SUM($F$7:$F$28))))</f>
        <v>405.649</v>
      </c>
      <c r="G6">
        <f ca="1">IF(ISERROR(IF(SUM($G$7:$G$28) = 0, "", SUM($G$7:$G$28))), "", (IF(SUM($G$7:$G$28) = 0, "", SUM($G$7:$G$28))))</f>
        <v>389.46100000000001</v>
      </c>
      <c r="H6">
        <f ca="1">IF(ISERROR(IF(SUM($H$7:$H$28) = 0, "", SUM($H$7:$H$28))), "", (IF(SUM($H$7:$H$28) = 0, "", SUM($H$7:$H$28))))</f>
        <v>364.70300000000003</v>
      </c>
      <c r="I6">
        <f ca="1">IF(ISERROR(IF(SUM($I$7:$I$28) = 0, "", SUM($I$7:$I$28))), "", (IF(SUM($I$7:$I$28) = 0, "", SUM($I$7:$I$28))))</f>
        <v>344.37299999999999</v>
      </c>
      <c r="J6">
        <f ca="1">IF(ISERROR(IF(SUM($J$7:$J$28) = 0, "", SUM($J$7:$J$28))), "", (IF(SUM($J$7:$J$28) = 0, "", SUM($J$7:$J$28))))</f>
        <v>331.84399999999999</v>
      </c>
      <c r="K6">
        <f ca="1">IF(ISERROR(IF(SUM($K$7:$K$28) = 0, "", SUM($K$7:$K$28))), "", (IF(SUM($K$7:$K$28) = 0, "", SUM($K$7:$K$28))))</f>
        <v>335.50700000000001</v>
      </c>
      <c r="L6">
        <f>405.649</f>
        <v>405.649</v>
      </c>
      <c r="M6">
        <f>389.461</f>
        <v>389.46100000000001</v>
      </c>
      <c r="N6">
        <f>364.703</f>
        <v>364.70299999999997</v>
      </c>
      <c r="O6">
        <f>344.373</f>
        <v>344.37299999999999</v>
      </c>
      <c r="P6">
        <f>331.844</f>
        <v>331.84399999999999</v>
      </c>
      <c r="Q6">
        <f>335.507</f>
        <v>335.50700000000001</v>
      </c>
    </row>
    <row r="7" spans="1:17" x14ac:dyDescent="0.25">
      <c r="A7" t="str">
        <f>"    Deloitte"</f>
        <v xml:space="preserve">    Deloitte</v>
      </c>
      <c r="B7" t="str">
        <f>""</f>
        <v/>
      </c>
      <c r="E7" t="str">
        <f t="shared" ref="E7:E28" si="1">"Static"</f>
        <v>Static</v>
      </c>
      <c r="F7">
        <f t="shared" ref="F7:K16" ca="1" si="2">HLOOKUP(INDIRECT(ADDRESS(2,COLUMN())),OFFSET($L$2,0,0,ROW()-1,6),ROW()-1,FALSE)</f>
        <v>31.251999999999999</v>
      </c>
      <c r="G7">
        <f t="shared" ca="1" si="2"/>
        <v>28.86</v>
      </c>
      <c r="H7">
        <f t="shared" ca="1" si="2"/>
        <v>25.870999999999999</v>
      </c>
      <c r="I7">
        <f t="shared" ca="1" si="2"/>
        <v>23.323</v>
      </c>
      <c r="J7">
        <f t="shared" ca="1" si="2"/>
        <v>21.568000000000001</v>
      </c>
      <c r="K7">
        <f t="shared" ca="1" si="2"/>
        <v>19.097999999999999</v>
      </c>
      <c r="L7">
        <f>31.252</f>
        <v>31.251999999999999</v>
      </c>
      <c r="M7">
        <f>28.86</f>
        <v>28.86</v>
      </c>
      <c r="N7">
        <f>25.871</f>
        <v>25.870999999999999</v>
      </c>
      <c r="O7">
        <f>23.323</f>
        <v>23.323</v>
      </c>
      <c r="P7">
        <f>21.568</f>
        <v>21.568000000000001</v>
      </c>
      <c r="Q7">
        <f>19.098</f>
        <v>19.097999999999999</v>
      </c>
    </row>
    <row r="8" spans="1:17" x14ac:dyDescent="0.25">
      <c r="A8" t="str">
        <f>"    Accenture"</f>
        <v xml:space="preserve">    Accenture</v>
      </c>
      <c r="B8" t="str">
        <f>""</f>
        <v/>
      </c>
      <c r="E8" t="str">
        <f t="shared" si="1"/>
        <v>Static</v>
      </c>
      <c r="F8">
        <f t="shared" ca="1" si="2"/>
        <v>22.356000000000002</v>
      </c>
      <c r="G8">
        <f t="shared" ca="1" si="2"/>
        <v>21.13</v>
      </c>
      <c r="H8">
        <f t="shared" ca="1" si="2"/>
        <v>18.995000000000001</v>
      </c>
      <c r="I8">
        <f t="shared" ca="1" si="2"/>
        <v>17.995999999999999</v>
      </c>
      <c r="J8">
        <f t="shared" ca="1" si="2"/>
        <v>16.37</v>
      </c>
      <c r="K8">
        <f t="shared" ca="1" si="2"/>
        <v>15.919</v>
      </c>
      <c r="L8">
        <f>22.356</f>
        <v>22.356000000000002</v>
      </c>
      <c r="M8">
        <f>21.13</f>
        <v>21.13</v>
      </c>
      <c r="N8">
        <f>18.995</f>
        <v>18.995000000000001</v>
      </c>
      <c r="O8">
        <f>17.996</f>
        <v>17.995999999999999</v>
      </c>
      <c r="P8">
        <f>16.37</f>
        <v>16.37</v>
      </c>
      <c r="Q8">
        <f>15.919</f>
        <v>15.919</v>
      </c>
    </row>
    <row r="9" spans="1:17" x14ac:dyDescent="0.25">
      <c r="A9" t="str">
        <f>"    PWC"</f>
        <v xml:space="preserve">    PWC</v>
      </c>
      <c r="B9" t="str">
        <f>""</f>
        <v/>
      </c>
      <c r="E9" t="str">
        <f t="shared" si="1"/>
        <v>Static</v>
      </c>
      <c r="F9">
        <f t="shared" ca="1" si="2"/>
        <v>17.173999999999999</v>
      </c>
      <c r="G9">
        <f t="shared" ca="1" si="2"/>
        <v>15.228</v>
      </c>
      <c r="H9">
        <f t="shared" ca="1" si="2"/>
        <v>13.651</v>
      </c>
      <c r="I9">
        <f t="shared" ca="1" si="2"/>
        <v>12.378</v>
      </c>
      <c r="J9">
        <f t="shared" ca="1" si="2"/>
        <v>11.443</v>
      </c>
      <c r="K9">
        <f t="shared" ca="1" si="2"/>
        <v>9.9969999999999999</v>
      </c>
      <c r="L9">
        <f>17.174</f>
        <v>17.173999999999999</v>
      </c>
      <c r="M9">
        <f>15.228</f>
        <v>15.228</v>
      </c>
      <c r="N9">
        <f>13.651</f>
        <v>13.651</v>
      </c>
      <c r="O9">
        <f>12.378</f>
        <v>12.378</v>
      </c>
      <c r="P9">
        <f>11.443</f>
        <v>11.443</v>
      </c>
      <c r="Q9">
        <f>9.997</f>
        <v>9.9969999999999999</v>
      </c>
    </row>
    <row r="10" spans="1:17" x14ac:dyDescent="0.25">
      <c r="A10" t="str">
        <f>"    IBM"</f>
        <v xml:space="preserve">    IBM</v>
      </c>
      <c r="B10" t="str">
        <f>""</f>
        <v/>
      </c>
      <c r="E10" t="str">
        <f t="shared" si="1"/>
        <v>Static</v>
      </c>
      <c r="F10">
        <f t="shared" ca="1" si="2"/>
        <v>12.023999999999999</v>
      </c>
      <c r="G10">
        <f t="shared" ca="1" si="2"/>
        <v>11.56</v>
      </c>
      <c r="H10">
        <f t="shared" ca="1" si="2"/>
        <v>11.108000000000001</v>
      </c>
      <c r="I10">
        <f t="shared" ca="1" si="2"/>
        <v>11.254</v>
      </c>
      <c r="J10">
        <f t="shared" ca="1" si="2"/>
        <v>11.218</v>
      </c>
      <c r="K10">
        <f t="shared" ca="1" si="2"/>
        <v>12.765000000000001</v>
      </c>
      <c r="L10">
        <f>12.024</f>
        <v>12.023999999999999</v>
      </c>
      <c r="M10">
        <f>11.56</f>
        <v>11.56</v>
      </c>
      <c r="N10">
        <f>11.108</f>
        <v>11.108000000000001</v>
      </c>
      <c r="O10">
        <f>11.254</f>
        <v>11.254</v>
      </c>
      <c r="P10">
        <f>11.218</f>
        <v>11.218</v>
      </c>
      <c r="Q10">
        <f>12.765</f>
        <v>12.765000000000001</v>
      </c>
    </row>
    <row r="11" spans="1:17" x14ac:dyDescent="0.25">
      <c r="A11" t="str">
        <f>"    Ernst &amp; Young"</f>
        <v xml:space="preserve">    Ernst &amp; Young</v>
      </c>
      <c r="B11" t="str">
        <f>""</f>
        <v/>
      </c>
      <c r="E11" t="str">
        <f t="shared" si="1"/>
        <v>Static</v>
      </c>
      <c r="F11">
        <f t="shared" ca="1" si="2"/>
        <v>11.506</v>
      </c>
      <c r="G11">
        <f t="shared" ca="1" si="2"/>
        <v>10.965</v>
      </c>
      <c r="H11">
        <f t="shared" ca="1" si="2"/>
        <v>10.182</v>
      </c>
      <c r="I11">
        <f t="shared" ca="1" si="2"/>
        <v>9.3239999999999998</v>
      </c>
      <c r="J11">
        <f t="shared" ca="1" si="2"/>
        <v>8.6760000000000002</v>
      </c>
      <c r="K11">
        <f t="shared" ca="1" si="2"/>
        <v>7.9889999999999999</v>
      </c>
      <c r="L11">
        <f>11.506</f>
        <v>11.506</v>
      </c>
      <c r="M11">
        <f>10.965</f>
        <v>10.965</v>
      </c>
      <c r="N11">
        <f>10.182</f>
        <v>10.182</v>
      </c>
      <c r="O11">
        <f>9.324</f>
        <v>9.3239999999999998</v>
      </c>
      <c r="P11">
        <f>8.676</f>
        <v>8.6760000000000002</v>
      </c>
      <c r="Q11">
        <f>7.989</f>
        <v>7.9889999999999999</v>
      </c>
    </row>
    <row r="12" spans="1:17" x14ac:dyDescent="0.25">
      <c r="A12" t="str">
        <f>"    Capgemini/CPM Braxis"</f>
        <v xml:space="preserve">    Capgemini/CPM Braxis</v>
      </c>
      <c r="B12" t="str">
        <f>""</f>
        <v/>
      </c>
      <c r="E12" t="str">
        <f t="shared" si="1"/>
        <v>Static</v>
      </c>
      <c r="F12">
        <f t="shared" ca="1" si="2"/>
        <v>9.4459999999999997</v>
      </c>
      <c r="G12">
        <f t="shared" ca="1" si="2"/>
        <v>8.9570000000000007</v>
      </c>
      <c r="H12">
        <f t="shared" ca="1" si="2"/>
        <v>8.14</v>
      </c>
      <c r="I12">
        <f t="shared" ca="1" si="2"/>
        <v>7.6449999999999996</v>
      </c>
      <c r="J12">
        <f t="shared" ca="1" si="2"/>
        <v>7.0309999999999997</v>
      </c>
      <c r="K12">
        <f t="shared" ca="1" si="2"/>
        <v>7.0810000000000004</v>
      </c>
      <c r="L12">
        <f>9.446</f>
        <v>9.4459999999999997</v>
      </c>
      <c r="M12">
        <f>8.957</f>
        <v>8.9570000000000007</v>
      </c>
      <c r="N12">
        <f>8.14</f>
        <v>8.14</v>
      </c>
      <c r="O12">
        <f>7.645</f>
        <v>7.6449999999999996</v>
      </c>
      <c r="P12">
        <f>7.031</f>
        <v>7.0309999999999997</v>
      </c>
      <c r="Q12">
        <f>7.081</f>
        <v>7.0810000000000004</v>
      </c>
    </row>
    <row r="13" spans="1:17" x14ac:dyDescent="0.25">
      <c r="A13" t="str">
        <f>"    McKinsey &amp; Company"</f>
        <v xml:space="preserve">    McKinsey &amp; Company</v>
      </c>
      <c r="B13" t="str">
        <f>""</f>
        <v/>
      </c>
      <c r="E13" t="str">
        <f t="shared" si="1"/>
        <v>Static</v>
      </c>
      <c r="F13">
        <f t="shared" ca="1" si="2"/>
        <v>9.375</v>
      </c>
      <c r="G13">
        <f t="shared" ca="1" si="2"/>
        <v>8.7899999999999991</v>
      </c>
      <c r="H13">
        <f t="shared" ca="1" si="2"/>
        <v>7.7850000000000001</v>
      </c>
      <c r="I13">
        <f t="shared" ca="1" si="2"/>
        <v>6.8479999999999999</v>
      </c>
      <c r="J13">
        <f t="shared" ca="1" si="2"/>
        <v>6.3650000000000002</v>
      </c>
      <c r="K13">
        <f t="shared" ca="1" si="2"/>
        <v>5.9550000000000001</v>
      </c>
      <c r="L13">
        <f>9.375</f>
        <v>9.375</v>
      </c>
      <c r="M13">
        <f>8.79</f>
        <v>8.7899999999999991</v>
      </c>
      <c r="N13">
        <f>7.785</f>
        <v>7.7850000000000001</v>
      </c>
      <c r="O13">
        <f>6.848</f>
        <v>6.8479999999999999</v>
      </c>
      <c r="P13">
        <f>6.365</f>
        <v>6.3650000000000002</v>
      </c>
      <c r="Q13">
        <f>5.955</f>
        <v>5.9550000000000001</v>
      </c>
    </row>
    <row r="14" spans="1:17" x14ac:dyDescent="0.25">
      <c r="A14" t="str">
        <f>"    NTT DATA"</f>
        <v xml:space="preserve">    NTT DATA</v>
      </c>
      <c r="B14" t="str">
        <f>""</f>
        <v/>
      </c>
      <c r="E14" t="str">
        <f t="shared" si="1"/>
        <v>Static</v>
      </c>
      <c r="F14">
        <f t="shared" ca="1" si="2"/>
        <v>7.2990000000000004</v>
      </c>
      <c r="G14">
        <f t="shared" ca="1" si="2"/>
        <v>6.766</v>
      </c>
      <c r="H14">
        <f t="shared" ca="1" si="2"/>
        <v>6.5250000000000004</v>
      </c>
      <c r="I14">
        <f t="shared" ca="1" si="2"/>
        <v>5.6970000000000001</v>
      </c>
      <c r="J14">
        <f t="shared" ca="1" si="2"/>
        <v>4.8540000000000001</v>
      </c>
      <c r="K14">
        <f t="shared" ca="1" si="2"/>
        <v>4.9370000000000003</v>
      </c>
      <c r="L14">
        <f>7.299</f>
        <v>7.2990000000000004</v>
      </c>
      <c r="M14">
        <f>6.766</f>
        <v>6.766</v>
      </c>
      <c r="N14">
        <f>6.525</f>
        <v>6.5250000000000004</v>
      </c>
      <c r="O14">
        <f>5.697</f>
        <v>5.6970000000000001</v>
      </c>
      <c r="P14">
        <f>4.854</f>
        <v>4.8540000000000001</v>
      </c>
      <c r="Q14">
        <f>4.937</f>
        <v>4.9370000000000003</v>
      </c>
    </row>
    <row r="15" spans="1:17" x14ac:dyDescent="0.25">
      <c r="A15" t="str">
        <f>"    Boston Consulting Group"</f>
        <v xml:space="preserve">    Boston Consulting Group</v>
      </c>
      <c r="B15" t="str">
        <f>""</f>
        <v/>
      </c>
      <c r="E15" t="str">
        <f t="shared" si="1"/>
        <v>Static</v>
      </c>
      <c r="F15">
        <f t="shared" ca="1" si="2"/>
        <v>7.0640000000000001</v>
      </c>
      <c r="G15">
        <f t="shared" ca="1" si="2"/>
        <v>6.3650000000000002</v>
      </c>
      <c r="H15">
        <f t="shared" ca="1" si="2"/>
        <v>5.3460000000000001</v>
      </c>
      <c r="I15" t="str">
        <f t="shared" ca="1" si="2"/>
        <v/>
      </c>
      <c r="J15" t="str">
        <f t="shared" ca="1" si="2"/>
        <v/>
      </c>
      <c r="K15" t="str">
        <f t="shared" ca="1" si="2"/>
        <v/>
      </c>
      <c r="L15">
        <f>7.064</f>
        <v>7.0640000000000001</v>
      </c>
      <c r="M15">
        <f>6.365</f>
        <v>6.3650000000000002</v>
      </c>
      <c r="N15">
        <f>5.346</f>
        <v>5.3460000000000001</v>
      </c>
      <c r="O15" t="str">
        <f>""</f>
        <v/>
      </c>
      <c r="P15" t="str">
        <f>""</f>
        <v/>
      </c>
      <c r="Q15" t="str">
        <f>""</f>
        <v/>
      </c>
    </row>
    <row r="16" spans="1:17" x14ac:dyDescent="0.25">
      <c r="A16" t="str">
        <f>"    Hitachi"</f>
        <v xml:space="preserve">    Hitachi</v>
      </c>
      <c r="B16" t="str">
        <f>""</f>
        <v/>
      </c>
      <c r="E16" t="str">
        <f t="shared" si="1"/>
        <v>Static</v>
      </c>
      <c r="F16">
        <f t="shared" ca="1" si="2"/>
        <v>6.391</v>
      </c>
      <c r="G16">
        <f t="shared" ca="1" si="2"/>
        <v>6.069</v>
      </c>
      <c r="H16">
        <f t="shared" ca="1" si="2"/>
        <v>5.6559999999999997</v>
      </c>
      <c r="I16" t="str">
        <f t="shared" ca="1" si="2"/>
        <v/>
      </c>
      <c r="J16" t="str">
        <f t="shared" ca="1" si="2"/>
        <v/>
      </c>
      <c r="K16" t="str">
        <f t="shared" ca="1" si="2"/>
        <v/>
      </c>
      <c r="L16">
        <f>6.391</f>
        <v>6.391</v>
      </c>
      <c r="M16">
        <f>6.069</f>
        <v>6.069</v>
      </c>
      <c r="N16">
        <f>5.656</f>
        <v>5.6559999999999997</v>
      </c>
      <c r="O16" t="str">
        <f>""</f>
        <v/>
      </c>
      <c r="P16" t="str">
        <f>""</f>
        <v/>
      </c>
      <c r="Q16" t="str">
        <f>""</f>
        <v/>
      </c>
    </row>
    <row r="17" spans="1:17" x14ac:dyDescent="0.25">
      <c r="A17" t="str">
        <f>"    Fujitsu"</f>
        <v xml:space="preserve">    Fujitsu</v>
      </c>
      <c r="B17" t="str">
        <f>"6702 JP Equity"</f>
        <v>6702 JP Equity</v>
      </c>
      <c r="E17" t="str">
        <f t="shared" si="1"/>
        <v>Static</v>
      </c>
      <c r="F17">
        <f t="shared" ref="F17:K28" ca="1" si="3">HLOOKUP(INDIRECT(ADDRESS(2,COLUMN())),OFFSET($L$2,0,0,ROW()-1,6),ROW()-1,FALSE)</f>
        <v>6.2670000000000003</v>
      </c>
      <c r="G17">
        <f t="shared" ca="1" si="3"/>
        <v>5.9720000000000004</v>
      </c>
      <c r="H17">
        <f t="shared" ca="1" si="3"/>
        <v>5.87</v>
      </c>
      <c r="I17" t="str">
        <f t="shared" ca="1" si="3"/>
        <v/>
      </c>
      <c r="J17" t="str">
        <f t="shared" ca="1" si="3"/>
        <v/>
      </c>
      <c r="K17" t="str">
        <f t="shared" ca="1" si="3"/>
        <v/>
      </c>
      <c r="L17">
        <f>6.267</f>
        <v>6.2670000000000003</v>
      </c>
      <c r="M17">
        <f>5.972</f>
        <v>5.9720000000000004</v>
      </c>
      <c r="N17">
        <f>5.87</f>
        <v>5.87</v>
      </c>
      <c r="O17" t="str">
        <f>""</f>
        <v/>
      </c>
      <c r="P17" t="str">
        <f>""</f>
        <v/>
      </c>
      <c r="Q17" t="str">
        <f>""</f>
        <v/>
      </c>
    </row>
    <row r="18" spans="1:17" x14ac:dyDescent="0.25">
      <c r="A18" t="str">
        <f>"    Tata Consultancy Services"</f>
        <v xml:space="preserve">    Tata Consultancy Services</v>
      </c>
      <c r="B18" t="str">
        <f>""</f>
        <v/>
      </c>
      <c r="E18" t="str">
        <f t="shared" si="1"/>
        <v>Static</v>
      </c>
      <c r="F18">
        <f t="shared" ca="1" si="3"/>
        <v>5.9809999999999999</v>
      </c>
      <c r="G18">
        <f t="shared" ca="1" si="3"/>
        <v>5.67</v>
      </c>
      <c r="H18">
        <f t="shared" ca="1" si="3"/>
        <v>4.9829999999999997</v>
      </c>
      <c r="I18" t="str">
        <f t="shared" ca="1" si="3"/>
        <v/>
      </c>
      <c r="J18" t="str">
        <f t="shared" ca="1" si="3"/>
        <v/>
      </c>
      <c r="K18" t="str">
        <f t="shared" ca="1" si="3"/>
        <v/>
      </c>
      <c r="L18">
        <f>5.981</f>
        <v>5.9809999999999999</v>
      </c>
      <c r="M18">
        <f>5.67</f>
        <v>5.67</v>
      </c>
      <c r="N18">
        <f>4.983</f>
        <v>4.9829999999999997</v>
      </c>
      <c r="O18" t="str">
        <f>""</f>
        <v/>
      </c>
      <c r="P18" t="str">
        <f>""</f>
        <v/>
      </c>
      <c r="Q18" t="str">
        <f>""</f>
        <v/>
      </c>
    </row>
    <row r="19" spans="1:17" x14ac:dyDescent="0.25">
      <c r="A19" t="str">
        <f>"    KPMG"</f>
        <v xml:space="preserve">    KPMG</v>
      </c>
      <c r="B19" t="str">
        <f>""</f>
        <v/>
      </c>
      <c r="E19" t="str">
        <f t="shared" si="1"/>
        <v>Static</v>
      </c>
      <c r="F19">
        <f t="shared" ca="1" si="3"/>
        <v>5.9779999999999998</v>
      </c>
      <c r="G19">
        <f t="shared" ca="1" si="3"/>
        <v>5.8540000000000001</v>
      </c>
      <c r="H19">
        <f t="shared" ca="1" si="3"/>
        <v>5.5839999999999996</v>
      </c>
      <c r="I19" t="str">
        <f t="shared" ca="1" si="3"/>
        <v/>
      </c>
      <c r="J19" t="str">
        <f t="shared" ca="1" si="3"/>
        <v/>
      </c>
      <c r="K19" t="str">
        <f t="shared" ca="1" si="3"/>
        <v/>
      </c>
      <c r="L19">
        <f>5.978</f>
        <v>5.9779999999999998</v>
      </c>
      <c r="M19">
        <f>5.854</f>
        <v>5.8540000000000001</v>
      </c>
      <c r="N19">
        <f>5.584</f>
        <v>5.5839999999999996</v>
      </c>
      <c r="O19" t="str">
        <f>""</f>
        <v/>
      </c>
      <c r="P19" t="str">
        <f>""</f>
        <v/>
      </c>
      <c r="Q19" t="str">
        <f>""</f>
        <v/>
      </c>
    </row>
    <row r="20" spans="1:17" x14ac:dyDescent="0.25">
      <c r="A20" t="str">
        <f>"    Infosys"</f>
        <v xml:space="preserve">    Infosys</v>
      </c>
      <c r="B20" t="str">
        <f>"INFO IN Equity"</f>
        <v>INFO IN Equity</v>
      </c>
      <c r="E20" t="str">
        <f t="shared" si="1"/>
        <v>Static</v>
      </c>
      <c r="F20">
        <f t="shared" ca="1" si="3"/>
        <v>5.9130000000000003</v>
      </c>
      <c r="G20">
        <f t="shared" ca="1" si="3"/>
        <v>5.5880000000000001</v>
      </c>
      <c r="H20">
        <f t="shared" ca="1" si="3"/>
        <v>5.3339999999999996</v>
      </c>
      <c r="I20" t="str">
        <f t="shared" ca="1" si="3"/>
        <v/>
      </c>
      <c r="J20" t="str">
        <f t="shared" ca="1" si="3"/>
        <v/>
      </c>
      <c r="K20" t="str">
        <f t="shared" ca="1" si="3"/>
        <v/>
      </c>
      <c r="L20">
        <f>5.913</f>
        <v>5.9130000000000003</v>
      </c>
      <c r="M20">
        <f>5.588</f>
        <v>5.5880000000000001</v>
      </c>
      <c r="N20">
        <f>5.334</f>
        <v>5.3339999999999996</v>
      </c>
      <c r="O20" t="str">
        <f>""</f>
        <v/>
      </c>
      <c r="P20" t="str">
        <f>""</f>
        <v/>
      </c>
      <c r="Q20" t="str">
        <f>""</f>
        <v/>
      </c>
    </row>
    <row r="21" spans="1:17" x14ac:dyDescent="0.25">
      <c r="A21" t="str">
        <f>"    NEC"</f>
        <v xml:space="preserve">    NEC</v>
      </c>
      <c r="B21" t="str">
        <f>"6701 JP Equity"</f>
        <v>6701 JP Equity</v>
      </c>
      <c r="E21" t="str">
        <f t="shared" si="1"/>
        <v>Static</v>
      </c>
      <c r="F21">
        <f t="shared" ca="1" si="3"/>
        <v>5.3819999999999997</v>
      </c>
      <c r="G21">
        <f t="shared" ca="1" si="3"/>
        <v>5.0129999999999999</v>
      </c>
      <c r="H21">
        <f t="shared" ca="1" si="3"/>
        <v>4.7679999999999998</v>
      </c>
      <c r="I21" t="str">
        <f t="shared" ca="1" si="3"/>
        <v/>
      </c>
      <c r="J21" t="str">
        <f t="shared" ca="1" si="3"/>
        <v/>
      </c>
      <c r="K21" t="str">
        <f t="shared" ca="1" si="3"/>
        <v/>
      </c>
      <c r="L21">
        <f>5.382</f>
        <v>5.3819999999999997</v>
      </c>
      <c r="M21">
        <f>5.013</f>
        <v>5.0129999999999999</v>
      </c>
      <c r="N21">
        <f>4.768</f>
        <v>4.7679999999999998</v>
      </c>
      <c r="O21" t="str">
        <f>""</f>
        <v/>
      </c>
      <c r="P21" t="str">
        <f>""</f>
        <v/>
      </c>
      <c r="Q21" t="str">
        <f>""</f>
        <v/>
      </c>
    </row>
    <row r="22" spans="1:17" x14ac:dyDescent="0.25">
      <c r="A22" t="str">
        <f>"    DXC"</f>
        <v xml:space="preserve">    DXC</v>
      </c>
      <c r="B22" t="str">
        <f>""</f>
        <v/>
      </c>
      <c r="E22" t="str">
        <f t="shared" si="1"/>
        <v>Static</v>
      </c>
      <c r="F22">
        <f t="shared" ca="1" si="3"/>
        <v>5.1189999999999998</v>
      </c>
      <c r="G22">
        <f t="shared" ca="1" si="3"/>
        <v>5.2750000000000004</v>
      </c>
      <c r="H22">
        <f t="shared" ca="1" si="3"/>
        <v>5.1669999999999998</v>
      </c>
      <c r="I22" t="str">
        <f t="shared" ca="1" si="3"/>
        <v/>
      </c>
      <c r="J22" t="str">
        <f t="shared" ca="1" si="3"/>
        <v/>
      </c>
      <c r="K22" t="str">
        <f t="shared" ca="1" si="3"/>
        <v/>
      </c>
      <c r="L22">
        <f>5.119</f>
        <v>5.1189999999999998</v>
      </c>
      <c r="M22">
        <f>5.275</f>
        <v>5.2750000000000004</v>
      </c>
      <c r="N22">
        <f>5.167</f>
        <v>5.1669999999999998</v>
      </c>
      <c r="O22" t="str">
        <f>""</f>
        <v/>
      </c>
      <c r="P22" t="str">
        <f>""</f>
        <v/>
      </c>
      <c r="Q22" t="str">
        <f>""</f>
        <v/>
      </c>
    </row>
    <row r="23" spans="1:17" x14ac:dyDescent="0.25">
      <c r="A23" t="str">
        <f>"    Cognizant"</f>
        <v xml:space="preserve">    Cognizant</v>
      </c>
      <c r="B23" t="str">
        <f>"CTSH US Equity"</f>
        <v>CTSH US Equity</v>
      </c>
      <c r="E23" t="str">
        <f t="shared" si="1"/>
        <v>Static</v>
      </c>
      <c r="F23">
        <f t="shared" ca="1" si="3"/>
        <v>4.8239999999999998</v>
      </c>
      <c r="G23">
        <f t="shared" ca="1" si="3"/>
        <v>4.5869999999999997</v>
      </c>
      <c r="H23">
        <f t="shared" ca="1" si="3"/>
        <v>4.202</v>
      </c>
      <c r="I23" t="str">
        <f t="shared" ca="1" si="3"/>
        <v/>
      </c>
      <c r="J23" t="str">
        <f t="shared" ca="1" si="3"/>
        <v/>
      </c>
      <c r="K23" t="str">
        <f t="shared" ca="1" si="3"/>
        <v/>
      </c>
      <c r="L23">
        <f>4.824</f>
        <v>4.8239999999999998</v>
      </c>
      <c r="M23">
        <f>4.587</f>
        <v>4.5869999999999997</v>
      </c>
      <c r="N23">
        <f>4.202</f>
        <v>4.202</v>
      </c>
      <c r="O23" t="str">
        <f>""</f>
        <v/>
      </c>
      <c r="P23" t="str">
        <f>""</f>
        <v/>
      </c>
      <c r="Q23" t="str">
        <f>""</f>
        <v/>
      </c>
    </row>
    <row r="24" spans="1:17" x14ac:dyDescent="0.25">
      <c r="A24" t="str">
        <f>"    CGI"</f>
        <v xml:space="preserve">    CGI</v>
      </c>
      <c r="B24" t="str">
        <f>"GIB US Equity"</f>
        <v>GIB US Equity</v>
      </c>
      <c r="E24" t="str">
        <f t="shared" si="1"/>
        <v>Static</v>
      </c>
      <c r="F24">
        <f t="shared" ca="1" si="3"/>
        <v>4.5880000000000001</v>
      </c>
      <c r="G24">
        <f t="shared" ca="1" si="3"/>
        <v>4.3120000000000003</v>
      </c>
      <c r="H24">
        <f t="shared" ca="1" si="3"/>
        <v>3.8149999999999999</v>
      </c>
      <c r="I24" t="str">
        <f t="shared" ca="1" si="3"/>
        <v/>
      </c>
      <c r="J24" t="str">
        <f t="shared" ca="1" si="3"/>
        <v/>
      </c>
      <c r="K24" t="str">
        <f t="shared" ca="1" si="3"/>
        <v/>
      </c>
      <c r="L24">
        <f>4.588</f>
        <v>4.5880000000000001</v>
      </c>
      <c r="M24">
        <f>4.312</f>
        <v>4.3120000000000003</v>
      </c>
      <c r="N24">
        <f>3.815</f>
        <v>3.8149999999999999</v>
      </c>
      <c r="O24" t="str">
        <f>""</f>
        <v/>
      </c>
      <c r="P24" t="str">
        <f>""</f>
        <v/>
      </c>
      <c r="Q24" t="str">
        <f>""</f>
        <v/>
      </c>
    </row>
    <row r="25" spans="1:17" x14ac:dyDescent="0.25">
      <c r="A25" t="str">
        <f>"    Booz Allen"</f>
        <v xml:space="preserve">    Booz Allen</v>
      </c>
      <c r="B25" t="str">
        <f>"BAH US Equity"</f>
        <v>BAH US Equity</v>
      </c>
      <c r="E25" t="str">
        <f t="shared" si="1"/>
        <v>Static</v>
      </c>
      <c r="F25">
        <f t="shared" ca="1" si="3"/>
        <v>4.1260000000000003</v>
      </c>
      <c r="G25">
        <f t="shared" ca="1" si="3"/>
        <v>4.0579999999999998</v>
      </c>
      <c r="H25">
        <f t="shared" ca="1" si="3"/>
        <v>3.9329999999999998</v>
      </c>
      <c r="I25" t="str">
        <f t="shared" ca="1" si="3"/>
        <v/>
      </c>
      <c r="J25" t="str">
        <f t="shared" ca="1" si="3"/>
        <v/>
      </c>
      <c r="K25" t="str">
        <f t="shared" ca="1" si="3"/>
        <v/>
      </c>
      <c r="L25">
        <f>4.126</f>
        <v>4.1260000000000003</v>
      </c>
      <c r="M25">
        <f>4.058</f>
        <v>4.0579999999999998</v>
      </c>
      <c r="N25">
        <f>3.933</f>
        <v>3.9329999999999998</v>
      </c>
      <c r="O25" t="str">
        <f>""</f>
        <v/>
      </c>
      <c r="P25" t="str">
        <f>""</f>
        <v/>
      </c>
      <c r="Q25" t="str">
        <f>""</f>
        <v/>
      </c>
    </row>
    <row r="26" spans="1:17" x14ac:dyDescent="0.25">
      <c r="A26" t="str">
        <f>"    Leidos"</f>
        <v xml:space="preserve">    Leidos</v>
      </c>
      <c r="B26" t="str">
        <f>"LDOS US Equity"</f>
        <v>LDOS US Equity</v>
      </c>
      <c r="E26" t="str">
        <f t="shared" si="1"/>
        <v>Static</v>
      </c>
      <c r="F26">
        <f t="shared" ca="1" si="3"/>
        <v>3.8079999999999998</v>
      </c>
      <c r="G26">
        <f t="shared" ca="1" si="3"/>
        <v>3.4529999999999998</v>
      </c>
      <c r="H26">
        <f t="shared" ca="1" si="3"/>
        <v>3.431</v>
      </c>
      <c r="I26" t="str">
        <f t="shared" ca="1" si="3"/>
        <v/>
      </c>
      <c r="J26" t="str">
        <f t="shared" ca="1" si="3"/>
        <v/>
      </c>
      <c r="K26" t="str">
        <f t="shared" ca="1" si="3"/>
        <v/>
      </c>
      <c r="L26">
        <f>3.808</f>
        <v>3.8079999999999998</v>
      </c>
      <c r="M26">
        <f>3.453</f>
        <v>3.4529999999999998</v>
      </c>
      <c r="N26">
        <f>3.431</f>
        <v>3.431</v>
      </c>
      <c r="O26" t="str">
        <f>""</f>
        <v/>
      </c>
      <c r="P26" t="str">
        <f>""</f>
        <v/>
      </c>
      <c r="Q26" t="str">
        <f>""</f>
        <v/>
      </c>
    </row>
    <row r="27" spans="1:17" x14ac:dyDescent="0.25">
      <c r="A27" t="str">
        <f>"    Other"</f>
        <v xml:space="preserve">    Other</v>
      </c>
      <c r="B27" t="str">
        <f>""</f>
        <v/>
      </c>
      <c r="E27" t="str">
        <f t="shared" si="1"/>
        <v>Static</v>
      </c>
      <c r="F27">
        <f t="shared" ca="1" si="3"/>
        <v>219.77600000000001</v>
      </c>
      <c r="G27">
        <f t="shared" ca="1" si="3"/>
        <v>214.989</v>
      </c>
      <c r="H27">
        <f t="shared" ca="1" si="3"/>
        <v>204.357</v>
      </c>
      <c r="I27">
        <f t="shared" ca="1" si="3"/>
        <v>249.90799999999999</v>
      </c>
      <c r="J27">
        <f t="shared" ca="1" si="3"/>
        <v>244.31899999999999</v>
      </c>
      <c r="K27">
        <f t="shared" ca="1" si="3"/>
        <v>251.76599999999999</v>
      </c>
      <c r="L27">
        <f>219.776</f>
        <v>219.77600000000001</v>
      </c>
      <c r="M27">
        <f>214.989</f>
        <v>214.989</v>
      </c>
      <c r="N27">
        <f>204.357</f>
        <v>204.357</v>
      </c>
      <c r="O27">
        <f>249.908</f>
        <v>249.90799999999999</v>
      </c>
      <c r="P27">
        <f>244.319</f>
        <v>244.31899999999999</v>
      </c>
      <c r="Q27">
        <f>251.766</f>
        <v>251.76599999999999</v>
      </c>
    </row>
    <row r="28" spans="1:17" x14ac:dyDescent="0.25">
      <c r="A28" t="str">
        <f>"    "</f>
        <v xml:space="preserve">    </v>
      </c>
      <c r="B28" t="str">
        <f>""</f>
        <v/>
      </c>
      <c r="E28" t="str">
        <f t="shared" si="1"/>
        <v>Static</v>
      </c>
      <c r="F28" t="str">
        <f t="shared" ca="1" si="3"/>
        <v/>
      </c>
      <c r="G28" t="str">
        <f t="shared" ca="1" si="3"/>
        <v/>
      </c>
      <c r="H28" t="str">
        <f t="shared" ca="1" si="3"/>
        <v/>
      </c>
      <c r="I28" t="str">
        <f t="shared" ca="1" si="3"/>
        <v/>
      </c>
      <c r="J28" t="str">
        <f t="shared" ca="1" si="3"/>
        <v/>
      </c>
      <c r="K28" t="str">
        <f t="shared" ca="1" si="3"/>
        <v/>
      </c>
      <c r="L28" t="str">
        <f>""</f>
        <v/>
      </c>
      <c r="M28" t="str">
        <f>""</f>
        <v/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</row>
    <row r="29" spans="1:17" x14ac:dyDescent="0.25">
      <c r="A29" t="str">
        <f>"Support and Training"</f>
        <v>Support and Training</v>
      </c>
      <c r="B29" t="str">
        <f>""</f>
        <v/>
      </c>
      <c r="E29" t="str">
        <f>"Sum"</f>
        <v>Sum</v>
      </c>
      <c r="F29">
        <f ca="1">IF(ISERROR(IF(SUM($F$30:$F$50) = 0, "", SUM($F$30:$F$50))), "", (IF(SUM($F$30:$F$50) = 0, "", SUM($F$30:$F$50))))</f>
        <v>159.53299999999999</v>
      </c>
      <c r="G29">
        <f ca="1">IF(ISERROR(IF(SUM($G$30:$G$50) = 0, "", SUM($G$30:$G$50))), "", (IF(SUM($G$30:$G$50) = 0, "", SUM($G$30:$G$50))))</f>
        <v>157.51299999999998</v>
      </c>
      <c r="H29">
        <f ca="1">IF(ISERROR(IF(SUM($H$30:$H$50) = 0, "", SUM($H$30:$H$50))), "", (IF(SUM($H$30:$H$50) = 0, "", SUM($H$30:$H$50))))</f>
        <v>152.40300000000002</v>
      </c>
      <c r="I29">
        <f ca="1">IF(ISERROR(IF(SUM($I$30:$I$50) = 0, "", SUM($I$30:$I$50))), "", (IF(SUM($I$30:$I$50) = 0, "", SUM($I$30:$I$50))))</f>
        <v>148.703</v>
      </c>
      <c r="J29">
        <f ca="1">IF(ISERROR(IF(SUM($J$30:$J$50) = 0, "", SUM($J$30:$J$50))), "", (IF(SUM($J$30:$J$50) = 0, "", SUM($J$30:$J$50))))</f>
        <v>146.577</v>
      </c>
      <c r="K29">
        <f ca="1">IF(ISERROR(IF(SUM($K$30:$K$50) = 0, "", SUM($K$30:$K$50))), "", (IF(SUM($K$30:$K$50) = 0, "", SUM($K$30:$K$50))))</f>
        <v>152.77700000000002</v>
      </c>
      <c r="L29">
        <f>159.533</f>
        <v>159.53299999999999</v>
      </c>
      <c r="M29">
        <f>157.513</f>
        <v>157.51300000000001</v>
      </c>
      <c r="N29">
        <f>152.403</f>
        <v>152.40299999999999</v>
      </c>
      <c r="O29">
        <f>148.703</f>
        <v>148.703</v>
      </c>
      <c r="P29">
        <f>146.577</f>
        <v>146.577</v>
      </c>
      <c r="Q29">
        <f>152.777</f>
        <v>152.77699999999999</v>
      </c>
    </row>
    <row r="30" spans="1:17" x14ac:dyDescent="0.25">
      <c r="A30" t="str">
        <f>"    IBM"</f>
        <v xml:space="preserve">    IBM</v>
      </c>
      <c r="B30" t="str">
        <f>""</f>
        <v/>
      </c>
      <c r="E30" t="str">
        <f t="shared" ref="E30:E50" si="4">"Static"</f>
        <v>Static</v>
      </c>
      <c r="F30">
        <f t="shared" ref="F30:K39" ca="1" si="5">HLOOKUP(INDIRECT(ADDRESS(2,COLUMN())),OFFSET($L$2,0,0,ROW()-1,6),ROW()-1,FALSE)</f>
        <v>11.951000000000001</v>
      </c>
      <c r="G30">
        <f t="shared" ca="1" si="5"/>
        <v>12.254</v>
      </c>
      <c r="H30">
        <f t="shared" ca="1" si="5"/>
        <v>12.523</v>
      </c>
      <c r="I30">
        <f t="shared" ca="1" si="5"/>
        <v>12.933999999999999</v>
      </c>
      <c r="J30">
        <f t="shared" ca="1" si="5"/>
        <v>13.510999999999999</v>
      </c>
      <c r="K30">
        <f t="shared" ca="1" si="5"/>
        <v>14.787000000000001</v>
      </c>
      <c r="L30">
        <f>11.951</f>
        <v>11.951000000000001</v>
      </c>
      <c r="M30">
        <f>12.254</f>
        <v>12.254</v>
      </c>
      <c r="N30">
        <f>12.523</f>
        <v>12.523</v>
      </c>
      <c r="O30">
        <f>12.934</f>
        <v>12.933999999999999</v>
      </c>
      <c r="P30">
        <f>13.511</f>
        <v>13.510999999999999</v>
      </c>
      <c r="Q30">
        <f>14.787</f>
        <v>14.787000000000001</v>
      </c>
    </row>
    <row r="31" spans="1:17" x14ac:dyDescent="0.25">
      <c r="A31" t="str">
        <f>"    Dell"</f>
        <v xml:space="preserve">    Dell</v>
      </c>
      <c r="B31" t="str">
        <f>""</f>
        <v/>
      </c>
      <c r="E31" t="str">
        <f t="shared" si="4"/>
        <v>Static</v>
      </c>
      <c r="F31">
        <f t="shared" ca="1" si="5"/>
        <v>10.074</v>
      </c>
      <c r="G31">
        <f t="shared" ca="1" si="5"/>
        <v>9.2829999999999995</v>
      </c>
      <c r="H31">
        <f t="shared" ca="1" si="5"/>
        <v>9.1660000000000004</v>
      </c>
      <c r="I31">
        <f t="shared" ca="1" si="5"/>
        <v>9.6199999999999992</v>
      </c>
      <c r="J31">
        <f t="shared" ca="1" si="5"/>
        <v>9.798</v>
      </c>
      <c r="K31">
        <f t="shared" ca="1" si="5"/>
        <v>9.5630000000000006</v>
      </c>
      <c r="L31">
        <f>10.074</f>
        <v>10.074</v>
      </c>
      <c r="M31">
        <f>9.283</f>
        <v>9.2829999999999995</v>
      </c>
      <c r="N31">
        <f>9.166</f>
        <v>9.1660000000000004</v>
      </c>
      <c r="O31">
        <f>9.62</f>
        <v>9.6199999999999992</v>
      </c>
      <c r="P31">
        <f>9.798</f>
        <v>9.798</v>
      </c>
      <c r="Q31">
        <f>9.563</f>
        <v>9.5630000000000006</v>
      </c>
    </row>
    <row r="32" spans="1:17" x14ac:dyDescent="0.25">
      <c r="A32" t="str">
        <f>"    Cisco"</f>
        <v xml:space="preserve">    Cisco</v>
      </c>
      <c r="B32" t="str">
        <f>""</f>
        <v/>
      </c>
      <c r="E32" t="str">
        <f t="shared" si="4"/>
        <v>Static</v>
      </c>
      <c r="F32">
        <f t="shared" ca="1" si="5"/>
        <v>9.843</v>
      </c>
      <c r="G32">
        <f t="shared" ca="1" si="5"/>
        <v>9.68</v>
      </c>
      <c r="H32">
        <f t="shared" ca="1" si="5"/>
        <v>9.4290000000000003</v>
      </c>
      <c r="I32">
        <f t="shared" ca="1" si="5"/>
        <v>9.3550000000000004</v>
      </c>
      <c r="J32">
        <f t="shared" ca="1" si="5"/>
        <v>8.3019999999999996</v>
      </c>
      <c r="K32">
        <f t="shared" ca="1" si="5"/>
        <v>8.5030000000000001</v>
      </c>
      <c r="L32">
        <f>9.843</f>
        <v>9.843</v>
      </c>
      <c r="M32">
        <f>9.68</f>
        <v>9.68</v>
      </c>
      <c r="N32">
        <f>9.429</f>
        <v>9.4290000000000003</v>
      </c>
      <c r="O32">
        <f>9.355</f>
        <v>9.3550000000000004</v>
      </c>
      <c r="P32">
        <f>8.302</f>
        <v>8.3019999999999996</v>
      </c>
      <c r="Q32">
        <f>8.503</f>
        <v>8.5030000000000001</v>
      </c>
    </row>
    <row r="33" spans="1:17" x14ac:dyDescent="0.25">
      <c r="A33" t="str">
        <f>"    Oracle"</f>
        <v xml:space="preserve">    Oracle</v>
      </c>
      <c r="B33" t="str">
        <f>""</f>
        <v/>
      </c>
      <c r="E33" t="str">
        <f t="shared" si="4"/>
        <v>Static</v>
      </c>
      <c r="F33">
        <f t="shared" ca="1" si="5"/>
        <v>6.35</v>
      </c>
      <c r="G33">
        <f t="shared" ca="1" si="5"/>
        <v>6.2380000000000004</v>
      </c>
      <c r="H33">
        <f t="shared" ca="1" si="5"/>
        <v>6.3929999999999998</v>
      </c>
      <c r="I33">
        <f t="shared" ca="1" si="5"/>
        <v>6.33</v>
      </c>
      <c r="J33">
        <f t="shared" ca="1" si="5"/>
        <v>6.4189999999999996</v>
      </c>
      <c r="K33">
        <f t="shared" ca="1" si="5"/>
        <v>6.5830000000000002</v>
      </c>
      <c r="L33">
        <f>6.35</f>
        <v>6.35</v>
      </c>
      <c r="M33">
        <f>6.238</f>
        <v>6.2380000000000004</v>
      </c>
      <c r="N33">
        <f>6.393</f>
        <v>6.3929999999999998</v>
      </c>
      <c r="O33">
        <f>6.33</f>
        <v>6.33</v>
      </c>
      <c r="P33">
        <f>6.419</f>
        <v>6.4189999999999996</v>
      </c>
      <c r="Q33">
        <f>6.583</f>
        <v>6.5830000000000002</v>
      </c>
    </row>
    <row r="34" spans="1:17" x14ac:dyDescent="0.25">
      <c r="A34" t="str">
        <f>"    Hewlett Packard Enterprise"</f>
        <v xml:space="preserve">    Hewlett Packard Enterprise</v>
      </c>
      <c r="B34" t="str">
        <f>""</f>
        <v/>
      </c>
      <c r="E34" t="str">
        <f t="shared" si="4"/>
        <v>Static</v>
      </c>
      <c r="F34">
        <f t="shared" ca="1" si="5"/>
        <v>5.8330000000000002</v>
      </c>
      <c r="G34">
        <f t="shared" ca="1" si="5"/>
        <v>6.0970000000000004</v>
      </c>
      <c r="H34">
        <f t="shared" ca="1" si="5"/>
        <v>7.17</v>
      </c>
      <c r="I34">
        <f t="shared" ca="1" si="5"/>
        <v>8.5950000000000006</v>
      </c>
      <c r="J34">
        <f t="shared" ca="1" si="5"/>
        <v>9.1999999999999993</v>
      </c>
      <c r="K34">
        <f t="shared" ca="1" si="5"/>
        <v>10.036</v>
      </c>
      <c r="L34">
        <f>5.833</f>
        <v>5.8330000000000002</v>
      </c>
      <c r="M34">
        <f>6.097</f>
        <v>6.0970000000000004</v>
      </c>
      <c r="N34">
        <f>7.17</f>
        <v>7.17</v>
      </c>
      <c r="O34">
        <f>8.595</f>
        <v>8.5950000000000006</v>
      </c>
      <c r="P34">
        <f>9.2</f>
        <v>9.1999999999999993</v>
      </c>
      <c r="Q34">
        <f>10.036</f>
        <v>10.036</v>
      </c>
    </row>
    <row r="35" spans="1:17" x14ac:dyDescent="0.25">
      <c r="A35" t="str">
        <f>"    Microsoft"</f>
        <v xml:space="preserve">    Microsoft</v>
      </c>
      <c r="B35" t="str">
        <f>""</f>
        <v/>
      </c>
      <c r="E35" t="str">
        <f t="shared" si="4"/>
        <v>Static</v>
      </c>
      <c r="F35">
        <f t="shared" ca="1" si="5"/>
        <v>4.1180000000000003</v>
      </c>
      <c r="G35">
        <f t="shared" ca="1" si="5"/>
        <v>4.0679999999999996</v>
      </c>
      <c r="H35">
        <f t="shared" ca="1" si="5"/>
        <v>3.92</v>
      </c>
      <c r="I35" t="str">
        <f t="shared" ca="1" si="5"/>
        <v/>
      </c>
      <c r="J35" t="str">
        <f t="shared" ca="1" si="5"/>
        <v/>
      </c>
      <c r="K35" t="str">
        <f t="shared" ca="1" si="5"/>
        <v/>
      </c>
      <c r="L35">
        <f>4.118</f>
        <v>4.1180000000000003</v>
      </c>
      <c r="M35">
        <f>4.068</f>
        <v>4.0679999999999996</v>
      </c>
      <c r="N35">
        <f>3.92</f>
        <v>3.92</v>
      </c>
      <c r="O35" t="str">
        <f>""</f>
        <v/>
      </c>
      <c r="P35" t="str">
        <f>""</f>
        <v/>
      </c>
      <c r="Q35" t="str">
        <f>""</f>
        <v/>
      </c>
    </row>
    <row r="36" spans="1:17" x14ac:dyDescent="0.25">
      <c r="A36" t="str">
        <f>"    Hitachi"</f>
        <v xml:space="preserve">    Hitachi</v>
      </c>
      <c r="B36" t="str">
        <f>""</f>
        <v/>
      </c>
      <c r="E36" t="str">
        <f t="shared" si="4"/>
        <v>Static</v>
      </c>
      <c r="F36">
        <f t="shared" ca="1" si="5"/>
        <v>2.847</v>
      </c>
      <c r="G36">
        <f t="shared" ca="1" si="5"/>
        <v>2.823</v>
      </c>
      <c r="H36">
        <f t="shared" ca="1" si="5"/>
        <v>2.758</v>
      </c>
      <c r="I36" t="str">
        <f t="shared" ca="1" si="5"/>
        <v/>
      </c>
      <c r="J36" t="str">
        <f t="shared" ca="1" si="5"/>
        <v/>
      </c>
      <c r="K36" t="str">
        <f t="shared" ca="1" si="5"/>
        <v/>
      </c>
      <c r="L36">
        <f>2.847</f>
        <v>2.847</v>
      </c>
      <c r="M36">
        <f>2.823</f>
        <v>2.823</v>
      </c>
      <c r="N36">
        <f>2.758</f>
        <v>2.758</v>
      </c>
      <c r="O36" t="str">
        <f>""</f>
        <v/>
      </c>
      <c r="P36" t="str">
        <f>""</f>
        <v/>
      </c>
      <c r="Q36" t="str">
        <f>""</f>
        <v/>
      </c>
    </row>
    <row r="37" spans="1:17" x14ac:dyDescent="0.25">
      <c r="A37" t="str">
        <f>"    Fujitsu"</f>
        <v xml:space="preserve">    Fujitsu</v>
      </c>
      <c r="B37" t="str">
        <f>"6702 JP Equity"</f>
        <v>6702 JP Equity</v>
      </c>
      <c r="E37" t="str">
        <f t="shared" si="4"/>
        <v>Static</v>
      </c>
      <c r="F37">
        <f t="shared" ca="1" si="5"/>
        <v>2.754</v>
      </c>
      <c r="G37">
        <f t="shared" ca="1" si="5"/>
        <v>2.8479999999999999</v>
      </c>
      <c r="H37">
        <f t="shared" ca="1" si="5"/>
        <v>2.8380000000000001</v>
      </c>
      <c r="I37" t="str">
        <f t="shared" ca="1" si="5"/>
        <v/>
      </c>
      <c r="J37" t="str">
        <f t="shared" ca="1" si="5"/>
        <v/>
      </c>
      <c r="K37" t="str">
        <f t="shared" ca="1" si="5"/>
        <v/>
      </c>
      <c r="L37">
        <f>2.754</f>
        <v>2.754</v>
      </c>
      <c r="M37">
        <f>2.848</f>
        <v>2.8479999999999999</v>
      </c>
      <c r="N37">
        <f>2.838</f>
        <v>2.8380000000000001</v>
      </c>
      <c r="O37" t="str">
        <f>""</f>
        <v/>
      </c>
      <c r="P37" t="str">
        <f>""</f>
        <v/>
      </c>
      <c r="Q37" t="str">
        <f>""</f>
        <v/>
      </c>
    </row>
    <row r="38" spans="1:17" x14ac:dyDescent="0.25">
      <c r="A38" t="str">
        <f>"    NEC"</f>
        <v xml:space="preserve">    NEC</v>
      </c>
      <c r="B38" t="str">
        <f>"6701 JP Equity"</f>
        <v>6701 JP Equity</v>
      </c>
      <c r="E38" t="str">
        <f t="shared" si="4"/>
        <v>Static</v>
      </c>
      <c r="F38">
        <f t="shared" ca="1" si="5"/>
        <v>1.879</v>
      </c>
      <c r="G38">
        <f t="shared" ca="1" si="5"/>
        <v>1.8420000000000001</v>
      </c>
      <c r="H38">
        <f t="shared" ca="1" si="5"/>
        <v>1.8029999999999999</v>
      </c>
      <c r="I38" t="str">
        <f t="shared" ca="1" si="5"/>
        <v/>
      </c>
      <c r="J38" t="str">
        <f t="shared" ca="1" si="5"/>
        <v/>
      </c>
      <c r="K38" t="str">
        <f t="shared" ca="1" si="5"/>
        <v/>
      </c>
      <c r="L38">
        <f>1.879</f>
        <v>1.879</v>
      </c>
      <c r="M38">
        <f>1.842</f>
        <v>1.8420000000000001</v>
      </c>
      <c r="N38">
        <f>1.803</f>
        <v>1.8029999999999999</v>
      </c>
      <c r="O38" t="str">
        <f>""</f>
        <v/>
      </c>
      <c r="P38" t="str">
        <f>""</f>
        <v/>
      </c>
      <c r="Q38" t="str">
        <f>""</f>
        <v/>
      </c>
    </row>
    <row r="39" spans="1:17" x14ac:dyDescent="0.25">
      <c r="A39" t="str">
        <f>"    SAP"</f>
        <v xml:space="preserve">    SAP</v>
      </c>
      <c r="B39" t="str">
        <f>"SAP GR Equity"</f>
        <v>SAP GR Equity</v>
      </c>
      <c r="E39" t="str">
        <f t="shared" si="4"/>
        <v>Static</v>
      </c>
      <c r="F39">
        <f t="shared" ca="1" si="5"/>
        <v>1.645</v>
      </c>
      <c r="G39">
        <f t="shared" ca="1" si="5"/>
        <v>1.5640000000000001</v>
      </c>
      <c r="H39">
        <f t="shared" ca="1" si="5"/>
        <v>1.5129999999999999</v>
      </c>
      <c r="I39" t="str">
        <f t="shared" ca="1" si="5"/>
        <v/>
      </c>
      <c r="J39" t="str">
        <f t="shared" ca="1" si="5"/>
        <v/>
      </c>
      <c r="K39" t="str">
        <f t="shared" ca="1" si="5"/>
        <v/>
      </c>
      <c r="L39">
        <f>1.645</f>
        <v>1.645</v>
      </c>
      <c r="M39">
        <f>1.564</f>
        <v>1.5640000000000001</v>
      </c>
      <c r="N39">
        <f>1.513</f>
        <v>1.5129999999999999</v>
      </c>
      <c r="O39" t="str">
        <f>""</f>
        <v/>
      </c>
      <c r="P39" t="str">
        <f>""</f>
        <v/>
      </c>
      <c r="Q39" t="str">
        <f>""</f>
        <v/>
      </c>
    </row>
    <row r="40" spans="1:17" x14ac:dyDescent="0.25">
      <c r="A40" t="str">
        <f>"    BT"</f>
        <v xml:space="preserve">    BT</v>
      </c>
      <c r="B40" t="str">
        <f>"BT/A LN Equity"</f>
        <v>BT/A LN Equity</v>
      </c>
      <c r="E40" t="str">
        <f t="shared" si="4"/>
        <v>Static</v>
      </c>
      <c r="F40">
        <f t="shared" ref="F40:K50" ca="1" si="6">HLOOKUP(INDIRECT(ADDRESS(2,COLUMN())),OFFSET($L$2,0,0,ROW()-1,6),ROW()-1,FALSE)</f>
        <v>1.5580000000000001</v>
      </c>
      <c r="G40">
        <f t="shared" ca="1" si="6"/>
        <v>1.615</v>
      </c>
      <c r="H40">
        <f t="shared" ca="1" si="6"/>
        <v>1.643</v>
      </c>
      <c r="I40" t="str">
        <f t="shared" ca="1" si="6"/>
        <v/>
      </c>
      <c r="J40" t="str">
        <f t="shared" ca="1" si="6"/>
        <v/>
      </c>
      <c r="K40" t="str">
        <f t="shared" ca="1" si="6"/>
        <v/>
      </c>
      <c r="L40">
        <f>1.558</f>
        <v>1.5580000000000001</v>
      </c>
      <c r="M40">
        <f>1.615</f>
        <v>1.615</v>
      </c>
      <c r="N40">
        <f>1.643</f>
        <v>1.643</v>
      </c>
      <c r="O40" t="str">
        <f>""</f>
        <v/>
      </c>
      <c r="P40" t="str">
        <f>""</f>
        <v/>
      </c>
      <c r="Q40" t="str">
        <f>""</f>
        <v/>
      </c>
    </row>
    <row r="41" spans="1:17" x14ac:dyDescent="0.25">
      <c r="A41" t="str">
        <f>"    Leidos"</f>
        <v xml:space="preserve">    Leidos</v>
      </c>
      <c r="B41" t="str">
        <f>"LDOS US Equity"</f>
        <v>LDOS US Equity</v>
      </c>
      <c r="E41" t="str">
        <f t="shared" si="4"/>
        <v>Static</v>
      </c>
      <c r="F41">
        <f t="shared" ca="1" si="6"/>
        <v>1.5429999999999999</v>
      </c>
      <c r="G41">
        <f t="shared" ca="1" si="6"/>
        <v>1.425</v>
      </c>
      <c r="H41">
        <f t="shared" ca="1" si="6"/>
        <v>1.43</v>
      </c>
      <c r="I41" t="str">
        <f t="shared" ca="1" si="6"/>
        <v/>
      </c>
      <c r="J41" t="str">
        <f t="shared" ca="1" si="6"/>
        <v/>
      </c>
      <c r="K41" t="str">
        <f t="shared" ca="1" si="6"/>
        <v/>
      </c>
      <c r="L41">
        <f>1.543</f>
        <v>1.5429999999999999</v>
      </c>
      <c r="M41">
        <f>1.425</f>
        <v>1.425</v>
      </c>
      <c r="N41">
        <f>1.43</f>
        <v>1.43</v>
      </c>
      <c r="O41" t="str">
        <f>""</f>
        <v/>
      </c>
      <c r="P41" t="str">
        <f>""</f>
        <v/>
      </c>
      <c r="Q41" t="str">
        <f>""</f>
        <v/>
      </c>
    </row>
    <row r="42" spans="1:17" x14ac:dyDescent="0.25">
      <c r="A42" t="str">
        <f>"    NetApp"</f>
        <v xml:space="preserve">    NetApp</v>
      </c>
      <c r="B42" t="str">
        <f>"NTAP US Equity"</f>
        <v>NTAP US Equity</v>
      </c>
      <c r="E42" t="str">
        <f t="shared" si="4"/>
        <v>Static</v>
      </c>
      <c r="F42">
        <f t="shared" ca="1" si="6"/>
        <v>1.254</v>
      </c>
      <c r="G42">
        <f t="shared" ca="1" si="6"/>
        <v>1.272</v>
      </c>
      <c r="H42">
        <f t="shared" ca="1" si="6"/>
        <v>1.32</v>
      </c>
      <c r="I42" t="str">
        <f t="shared" ca="1" si="6"/>
        <v/>
      </c>
      <c r="J42" t="str">
        <f t="shared" ca="1" si="6"/>
        <v/>
      </c>
      <c r="K42" t="str">
        <f t="shared" ca="1" si="6"/>
        <v/>
      </c>
      <c r="L42">
        <f>1.254</f>
        <v>1.254</v>
      </c>
      <c r="M42">
        <f>1.272</f>
        <v>1.272</v>
      </c>
      <c r="N42">
        <f>1.32</f>
        <v>1.32</v>
      </c>
      <c r="O42" t="str">
        <f>""</f>
        <v/>
      </c>
      <c r="P42" t="str">
        <f>""</f>
        <v/>
      </c>
      <c r="Q42" t="str">
        <f>""</f>
        <v/>
      </c>
    </row>
    <row r="43" spans="1:17" x14ac:dyDescent="0.25">
      <c r="A43" t="str">
        <f>"    General Dynamics"</f>
        <v xml:space="preserve">    General Dynamics</v>
      </c>
      <c r="B43" t="str">
        <f>"GD US Equity"</f>
        <v>GD US Equity</v>
      </c>
      <c r="E43" t="str">
        <f t="shared" si="4"/>
        <v>Static</v>
      </c>
      <c r="F43">
        <f t="shared" ca="1" si="6"/>
        <v>1.194</v>
      </c>
      <c r="G43">
        <f t="shared" ca="1" si="6"/>
        <v>1.161</v>
      </c>
      <c r="H43">
        <f t="shared" ca="1" si="6"/>
        <v>0.64</v>
      </c>
      <c r="I43" t="str">
        <f t="shared" ca="1" si="6"/>
        <v/>
      </c>
      <c r="J43" t="str">
        <f t="shared" ca="1" si="6"/>
        <v/>
      </c>
      <c r="K43" t="str">
        <f t="shared" ca="1" si="6"/>
        <v/>
      </c>
      <c r="L43">
        <f>1.194</f>
        <v>1.194</v>
      </c>
      <c r="M43">
        <f>1.161</f>
        <v>1.161</v>
      </c>
      <c r="N43">
        <f>0.64</f>
        <v>0.64</v>
      </c>
      <c r="O43" t="str">
        <f>""</f>
        <v/>
      </c>
      <c r="P43" t="str">
        <f>""</f>
        <v/>
      </c>
      <c r="Q43" t="str">
        <f>""</f>
        <v/>
      </c>
    </row>
    <row r="44" spans="1:17" x14ac:dyDescent="0.25">
      <c r="A44" t="str">
        <f>"    CACI"</f>
        <v xml:space="preserve">    CACI</v>
      </c>
      <c r="B44" t="str">
        <f>"CACI US Equity"</f>
        <v>CACI US Equity</v>
      </c>
      <c r="E44" t="str">
        <f t="shared" si="4"/>
        <v>Static</v>
      </c>
      <c r="F44">
        <f t="shared" ca="1" si="6"/>
        <v>1.1759999999999999</v>
      </c>
      <c r="G44">
        <f t="shared" ca="1" si="6"/>
        <v>1.0169999999999999</v>
      </c>
      <c r="H44">
        <f t="shared" ca="1" si="6"/>
        <v>0.93400000000000005</v>
      </c>
      <c r="I44" t="str">
        <f t="shared" ca="1" si="6"/>
        <v/>
      </c>
      <c r="J44" t="str">
        <f t="shared" ca="1" si="6"/>
        <v/>
      </c>
      <c r="K44" t="str">
        <f t="shared" ca="1" si="6"/>
        <v/>
      </c>
      <c r="L44">
        <f>1.176</f>
        <v>1.1759999999999999</v>
      </c>
      <c r="M44">
        <f>1.017</f>
        <v>1.0169999999999999</v>
      </c>
      <c r="N44">
        <f>0.934</f>
        <v>0.93400000000000005</v>
      </c>
      <c r="O44" t="str">
        <f>""</f>
        <v/>
      </c>
      <c r="P44" t="str">
        <f>""</f>
        <v/>
      </c>
      <c r="Q44" t="str">
        <f>""</f>
        <v/>
      </c>
    </row>
    <row r="45" spans="1:17" x14ac:dyDescent="0.25">
      <c r="A45" t="str">
        <f>"    NTT"</f>
        <v xml:space="preserve">    NTT</v>
      </c>
      <c r="B45" t="str">
        <f>"9613 JP Equity"</f>
        <v>9613 JP Equity</v>
      </c>
      <c r="E45" t="str">
        <f t="shared" si="4"/>
        <v>Static</v>
      </c>
      <c r="F45">
        <f t="shared" ca="1" si="6"/>
        <v>1.1040000000000001</v>
      </c>
      <c r="G45">
        <f t="shared" ca="1" si="6"/>
        <v>1.0620000000000001</v>
      </c>
      <c r="H45">
        <f t="shared" ca="1" si="6"/>
        <v>1.0229999999999999</v>
      </c>
      <c r="I45" t="str">
        <f t="shared" ca="1" si="6"/>
        <v/>
      </c>
      <c r="J45" t="str">
        <f t="shared" ca="1" si="6"/>
        <v/>
      </c>
      <c r="K45" t="str">
        <f t="shared" ca="1" si="6"/>
        <v/>
      </c>
      <c r="L45">
        <f>1.104</f>
        <v>1.1040000000000001</v>
      </c>
      <c r="M45">
        <f>1.062</f>
        <v>1.0620000000000001</v>
      </c>
      <c r="N45">
        <f>1.023</f>
        <v>1.0229999999999999</v>
      </c>
      <c r="O45" t="str">
        <f>""</f>
        <v/>
      </c>
      <c r="P45" t="str">
        <f>""</f>
        <v/>
      </c>
      <c r="Q45" t="str">
        <f>""</f>
        <v/>
      </c>
    </row>
    <row r="46" spans="1:17" x14ac:dyDescent="0.25">
      <c r="A46" t="str">
        <f>"    Avaya"</f>
        <v xml:space="preserve">    Avaya</v>
      </c>
      <c r="B46" t="str">
        <f>"AVYA US Equity"</f>
        <v>AVYA US Equity</v>
      </c>
      <c r="E46" t="str">
        <f t="shared" si="4"/>
        <v>Static</v>
      </c>
      <c r="F46">
        <f t="shared" ca="1" si="6"/>
        <v>1.077</v>
      </c>
      <c r="G46">
        <f t="shared" ca="1" si="6"/>
        <v>1.036</v>
      </c>
      <c r="H46">
        <f t="shared" ca="1" si="6"/>
        <v>1.17</v>
      </c>
      <c r="I46" t="str">
        <f t="shared" ca="1" si="6"/>
        <v/>
      </c>
      <c r="J46" t="str">
        <f t="shared" ca="1" si="6"/>
        <v/>
      </c>
      <c r="K46" t="str">
        <f t="shared" ca="1" si="6"/>
        <v/>
      </c>
      <c r="L46">
        <f>1.077</f>
        <v>1.077</v>
      </c>
      <c r="M46">
        <f>1.036</f>
        <v>1.036</v>
      </c>
      <c r="N46">
        <f>1.17</f>
        <v>1.17</v>
      </c>
      <c r="O46" t="str">
        <f>""</f>
        <v/>
      </c>
      <c r="P46" t="str">
        <f>""</f>
        <v/>
      </c>
      <c r="Q46" t="str">
        <f>""</f>
        <v/>
      </c>
    </row>
    <row r="47" spans="1:17" x14ac:dyDescent="0.25">
      <c r="A47" t="str">
        <f>"    HCL Technologies"</f>
        <v xml:space="preserve">    HCL Technologies</v>
      </c>
      <c r="B47" t="str">
        <f>"HCLT IN Equity"</f>
        <v>HCLT IN Equity</v>
      </c>
      <c r="E47" t="str">
        <f t="shared" si="4"/>
        <v>Static</v>
      </c>
      <c r="F47">
        <f t="shared" ca="1" si="6"/>
        <v>0.97299999999999998</v>
      </c>
      <c r="G47">
        <f t="shared" ca="1" si="6"/>
        <v>0.91400000000000003</v>
      </c>
      <c r="H47">
        <f t="shared" ca="1" si="6"/>
        <v>0.82499999999999996</v>
      </c>
      <c r="I47" t="str">
        <f t="shared" ca="1" si="6"/>
        <v/>
      </c>
      <c r="J47" t="str">
        <f t="shared" ca="1" si="6"/>
        <v/>
      </c>
      <c r="K47" t="str">
        <f t="shared" ca="1" si="6"/>
        <v/>
      </c>
      <c r="L47">
        <f>0.973</f>
        <v>0.97299999999999998</v>
      </c>
      <c r="M47">
        <f>0.914</f>
        <v>0.91400000000000003</v>
      </c>
      <c r="N47">
        <f>0.825</f>
        <v>0.82499999999999996</v>
      </c>
      <c r="O47" t="str">
        <f>""</f>
        <v/>
      </c>
      <c r="P47" t="str">
        <f>""</f>
        <v/>
      </c>
      <c r="Q47" t="str">
        <f>""</f>
        <v/>
      </c>
    </row>
    <row r="48" spans="1:17" x14ac:dyDescent="0.25">
      <c r="A48" t="str">
        <f>"    Juniper"</f>
        <v xml:space="preserve">    Juniper</v>
      </c>
      <c r="B48" t="str">
        <f>"JNPR US Equity"</f>
        <v>JNPR US Equity</v>
      </c>
      <c r="E48" t="str">
        <f t="shared" si="4"/>
        <v>Static</v>
      </c>
      <c r="F48">
        <f t="shared" ca="1" si="6"/>
        <v>0.82099999999999995</v>
      </c>
      <c r="G48">
        <f t="shared" ca="1" si="6"/>
        <v>0.86699999999999999</v>
      </c>
      <c r="H48">
        <f t="shared" ca="1" si="6"/>
        <v>0.92</v>
      </c>
      <c r="I48" t="str">
        <f t="shared" ca="1" si="6"/>
        <v/>
      </c>
      <c r="J48" t="str">
        <f t="shared" ca="1" si="6"/>
        <v/>
      </c>
      <c r="K48" t="str">
        <f t="shared" ca="1" si="6"/>
        <v/>
      </c>
      <c r="L48">
        <f>0.821</f>
        <v>0.82099999999999995</v>
      </c>
      <c r="M48">
        <f>0.867</f>
        <v>0.86699999999999999</v>
      </c>
      <c r="N48">
        <f>0.92</f>
        <v>0.92</v>
      </c>
      <c r="O48" t="str">
        <f>""</f>
        <v/>
      </c>
      <c r="P48" t="str">
        <f>""</f>
        <v/>
      </c>
      <c r="Q48" t="str">
        <f>""</f>
        <v/>
      </c>
    </row>
    <row r="49" spans="1:17" x14ac:dyDescent="0.25">
      <c r="A49" t="str">
        <f>"    Otsuka Shokai"</f>
        <v xml:space="preserve">    Otsuka Shokai</v>
      </c>
      <c r="B49" t="str">
        <f>"4768 JP Equity"</f>
        <v>4768 JP Equity</v>
      </c>
      <c r="E49" t="str">
        <f t="shared" si="4"/>
        <v>Static</v>
      </c>
      <c r="F49">
        <f t="shared" ca="1" si="6"/>
        <v>0.749</v>
      </c>
      <c r="G49">
        <f t="shared" ca="1" si="6"/>
        <v>0.70699999999999996</v>
      </c>
      <c r="H49">
        <f t="shared" ca="1" si="6"/>
        <v>0.65</v>
      </c>
      <c r="I49" t="str">
        <f t="shared" ca="1" si="6"/>
        <v/>
      </c>
      <c r="J49" t="str">
        <f t="shared" ca="1" si="6"/>
        <v/>
      </c>
      <c r="K49" t="str">
        <f t="shared" ca="1" si="6"/>
        <v/>
      </c>
      <c r="L49">
        <f>0.749</f>
        <v>0.749</v>
      </c>
      <c r="M49">
        <f>0.707</f>
        <v>0.70699999999999996</v>
      </c>
      <c r="N49">
        <f>0.65</f>
        <v>0.65</v>
      </c>
      <c r="O49" t="str">
        <f>""</f>
        <v/>
      </c>
      <c r="P49" t="str">
        <f>""</f>
        <v/>
      </c>
      <c r="Q49" t="str">
        <f>""</f>
        <v/>
      </c>
    </row>
    <row r="50" spans="1:17" x14ac:dyDescent="0.25">
      <c r="A50" t="str">
        <f>"    Other"</f>
        <v xml:space="preserve">    Other</v>
      </c>
      <c r="B50" t="str">
        <f>""</f>
        <v/>
      </c>
      <c r="E50" t="str">
        <f t="shared" si="4"/>
        <v>Static</v>
      </c>
      <c r="F50">
        <f t="shared" ca="1" si="6"/>
        <v>90.79</v>
      </c>
      <c r="G50">
        <f t="shared" ca="1" si="6"/>
        <v>89.74</v>
      </c>
      <c r="H50">
        <f t="shared" ca="1" si="6"/>
        <v>84.334999999999994</v>
      </c>
      <c r="I50">
        <f t="shared" ca="1" si="6"/>
        <v>101.869</v>
      </c>
      <c r="J50">
        <f t="shared" ca="1" si="6"/>
        <v>99.346999999999994</v>
      </c>
      <c r="K50">
        <f t="shared" ca="1" si="6"/>
        <v>103.30500000000001</v>
      </c>
      <c r="L50">
        <f>90.79</f>
        <v>90.79</v>
      </c>
      <c r="M50">
        <f>89.74</f>
        <v>89.74</v>
      </c>
      <c r="N50">
        <f>84.335</f>
        <v>84.334999999999994</v>
      </c>
      <c r="O50">
        <f>101.869</f>
        <v>101.869</v>
      </c>
      <c r="P50">
        <f>99.347</f>
        <v>99.346999999999994</v>
      </c>
      <c r="Q50">
        <f>103.305</f>
        <v>103.30500000000001</v>
      </c>
    </row>
    <row r="51" spans="1:17" x14ac:dyDescent="0.25">
      <c r="A51" t="str">
        <f>"Outsourcing"</f>
        <v>Outsourcing</v>
      </c>
      <c r="B51" t="str">
        <f>""</f>
        <v/>
      </c>
      <c r="E51" t="str">
        <f>"Sum"</f>
        <v>Sum</v>
      </c>
      <c r="F51">
        <f ca="1">IF(ISERROR(IF(SUM($F$52:$F$72) = 0, "", SUM($F$52:$F$72))), "", (IF(SUM($F$52:$F$72) = 0, "", SUM($F$52:$F$72))))</f>
        <v>491.322</v>
      </c>
      <c r="G51">
        <f ca="1">IF(ISERROR(IF(SUM($G$52:$G$72) = 0, "", SUM($G$52:$G$72))), "", (IF(SUM($G$52:$G$72) = 0, "", SUM($G$52:$G$72))))</f>
        <v>481.17099999999994</v>
      </c>
      <c r="H51">
        <f ca="1">IF(ISERROR(IF(SUM($H$52:$H$72) = 0, "", SUM($H$52:$H$72))), "", (IF(SUM($H$52:$H$72) = 0, "", SUM($H$52:$H$72))))</f>
        <v>461.66799999999995</v>
      </c>
      <c r="I51">
        <f ca="1">IF(ISERROR(IF(SUM($I$52:$I$72) = 0, "", SUM($I$52:$I$72))), "", (IF(SUM($I$52:$I$72) = 0, "", SUM($I$52:$I$72))))</f>
        <v>444.66699999999997</v>
      </c>
      <c r="J51">
        <f ca="1">IF(ISERROR(IF(SUM($J$52:$J$72) = 0, "", SUM($J$52:$J$72))), "", (IF(SUM($J$52:$J$72) = 0, "", SUM($J$52:$J$72))))</f>
        <v>434.52700000000004</v>
      </c>
      <c r="K51">
        <f ca="1">IF(ISERROR(IF(SUM($K$52:$K$72) = 0, "", SUM($K$52:$K$72))), "", (IF(SUM($K$52:$K$72) = 0, "", SUM($K$52:$K$72))))</f>
        <v>435.476</v>
      </c>
      <c r="L51">
        <f>491.322</f>
        <v>491.322</v>
      </c>
      <c r="M51">
        <f>481.171</f>
        <v>481.17099999999999</v>
      </c>
      <c r="N51">
        <f>461.668</f>
        <v>461.66800000000001</v>
      </c>
      <c r="O51">
        <f>444.667</f>
        <v>444.66699999999997</v>
      </c>
      <c r="P51">
        <f>434.527</f>
        <v>434.52699999999999</v>
      </c>
      <c r="Q51">
        <f>435.476</f>
        <v>435.476</v>
      </c>
    </row>
    <row r="52" spans="1:17" x14ac:dyDescent="0.25">
      <c r="A52" t="str">
        <f>"    IBM"</f>
        <v xml:space="preserve">    IBM</v>
      </c>
      <c r="B52" t="str">
        <f>""</f>
        <v/>
      </c>
      <c r="E52" t="str">
        <f t="shared" ref="E52:E72" si="7">"Static"</f>
        <v>Static</v>
      </c>
      <c r="F52">
        <f t="shared" ref="F52:K61" ca="1" si="8">HLOOKUP(INDIRECT(ADDRESS(2,COLUMN())),OFFSET($L$2,0,0,ROW()-1,6),ROW()-1,FALSE)</f>
        <v>24.343</v>
      </c>
      <c r="G52">
        <f t="shared" ca="1" si="8"/>
        <v>25.181999999999999</v>
      </c>
      <c r="H52">
        <f t="shared" ca="1" si="8"/>
        <v>25.369</v>
      </c>
      <c r="I52">
        <f t="shared" ca="1" si="8"/>
        <v>25.605</v>
      </c>
      <c r="J52">
        <f t="shared" ca="1" si="8"/>
        <v>25.602</v>
      </c>
      <c r="K52">
        <f t="shared" ca="1" si="8"/>
        <v>28.488</v>
      </c>
      <c r="L52">
        <f>24.343</f>
        <v>24.343</v>
      </c>
      <c r="M52">
        <f>25.182</f>
        <v>25.181999999999999</v>
      </c>
      <c r="N52">
        <f>25.369</f>
        <v>25.369</v>
      </c>
      <c r="O52">
        <f>25.605</f>
        <v>25.605</v>
      </c>
      <c r="P52">
        <f>25.602</f>
        <v>25.602</v>
      </c>
      <c r="Q52">
        <f>28.488</f>
        <v>28.488</v>
      </c>
    </row>
    <row r="53" spans="1:17" x14ac:dyDescent="0.25">
      <c r="A53" t="str">
        <f>"    Accenture"</f>
        <v xml:space="preserve">    Accenture</v>
      </c>
      <c r="B53" t="str">
        <f>""</f>
        <v/>
      </c>
      <c r="E53" t="str">
        <f t="shared" si="7"/>
        <v>Static</v>
      </c>
      <c r="F53">
        <f t="shared" ca="1" si="8"/>
        <v>17.257000000000001</v>
      </c>
      <c r="G53">
        <f t="shared" ca="1" si="8"/>
        <v>16.196000000000002</v>
      </c>
      <c r="H53">
        <f t="shared" ca="1" si="8"/>
        <v>14.904</v>
      </c>
      <c r="I53">
        <f t="shared" ca="1" si="8"/>
        <v>13.763</v>
      </c>
      <c r="J53">
        <f t="shared" ca="1" si="8"/>
        <v>13.052</v>
      </c>
      <c r="K53">
        <f t="shared" ca="1" si="8"/>
        <v>12.906000000000001</v>
      </c>
      <c r="L53">
        <f>17.257</f>
        <v>17.257000000000001</v>
      </c>
      <c r="M53">
        <f>16.196</f>
        <v>16.196000000000002</v>
      </c>
      <c r="N53">
        <f>14.904</f>
        <v>14.904</v>
      </c>
      <c r="O53">
        <f>13.763</f>
        <v>13.763</v>
      </c>
      <c r="P53">
        <f>13.052</f>
        <v>13.052</v>
      </c>
      <c r="Q53">
        <f>12.906</f>
        <v>12.906000000000001</v>
      </c>
    </row>
    <row r="54" spans="1:17" x14ac:dyDescent="0.25">
      <c r="A54" t="str">
        <f>"    DXC"</f>
        <v xml:space="preserve">    DXC</v>
      </c>
      <c r="B54" t="str">
        <f>""</f>
        <v/>
      </c>
      <c r="E54" t="str">
        <f t="shared" si="7"/>
        <v>Static</v>
      </c>
      <c r="F54">
        <f t="shared" ca="1" si="8"/>
        <v>13.159000000000001</v>
      </c>
      <c r="G54">
        <f t="shared" ca="1" si="8"/>
        <v>14.353</v>
      </c>
      <c r="H54">
        <f t="shared" ca="1" si="8"/>
        <v>13.507</v>
      </c>
      <c r="I54">
        <f t="shared" ca="1" si="8"/>
        <v>3.3580000000000001</v>
      </c>
      <c r="J54">
        <f t="shared" ca="1" si="8"/>
        <v>4.9720000000000004</v>
      </c>
      <c r="K54" t="str">
        <f t="shared" ca="1" si="8"/>
        <v/>
      </c>
      <c r="L54">
        <f>13.159</f>
        <v>13.159000000000001</v>
      </c>
      <c r="M54">
        <f>14.353</f>
        <v>14.353</v>
      </c>
      <c r="N54">
        <f>13.507</f>
        <v>13.507</v>
      </c>
      <c r="O54">
        <f>3.358</f>
        <v>3.3580000000000001</v>
      </c>
      <c r="P54">
        <f>4.972</f>
        <v>4.9720000000000004</v>
      </c>
      <c r="Q54" t="str">
        <f>""</f>
        <v/>
      </c>
    </row>
    <row r="55" spans="1:17" x14ac:dyDescent="0.25">
      <c r="A55" t="str">
        <f>"    ADP"</f>
        <v xml:space="preserve">    ADP</v>
      </c>
      <c r="B55" t="str">
        <f>""</f>
        <v/>
      </c>
      <c r="E55" t="str">
        <f t="shared" si="7"/>
        <v>Static</v>
      </c>
      <c r="F55">
        <f t="shared" ca="1" si="8"/>
        <v>11.404999999999999</v>
      </c>
      <c r="G55">
        <f t="shared" ca="1" si="8"/>
        <v>10.579000000000001</v>
      </c>
      <c r="H55">
        <f t="shared" ca="1" si="8"/>
        <v>10.236000000000001</v>
      </c>
      <c r="I55">
        <f t="shared" ca="1" si="8"/>
        <v>9.0909999999999993</v>
      </c>
      <c r="J55">
        <f t="shared" ca="1" si="8"/>
        <v>8.9770000000000003</v>
      </c>
      <c r="K55">
        <f t="shared" ca="1" si="8"/>
        <v>8.8320000000000007</v>
      </c>
      <c r="L55">
        <f>11.405</f>
        <v>11.404999999999999</v>
      </c>
      <c r="M55">
        <f>10.579</f>
        <v>10.579000000000001</v>
      </c>
      <c r="N55">
        <f>10.236</f>
        <v>10.236000000000001</v>
      </c>
      <c r="O55">
        <f>9.091</f>
        <v>9.0909999999999993</v>
      </c>
      <c r="P55">
        <f>8.977</f>
        <v>8.9770000000000003</v>
      </c>
      <c r="Q55">
        <f>8.832</f>
        <v>8.8320000000000007</v>
      </c>
    </row>
    <row r="56" spans="1:17" x14ac:dyDescent="0.25">
      <c r="A56" t="str">
        <f>"    Tata Consultancy Services"</f>
        <v xml:space="preserve">    Tata Consultancy Services</v>
      </c>
      <c r="B56" t="str">
        <f>""</f>
        <v/>
      </c>
      <c r="E56" t="str">
        <f t="shared" si="7"/>
        <v>Static</v>
      </c>
      <c r="F56">
        <f t="shared" ca="1" si="8"/>
        <v>11.359</v>
      </c>
      <c r="G56">
        <f t="shared" ca="1" si="8"/>
        <v>10.695</v>
      </c>
      <c r="H56">
        <f t="shared" ca="1" si="8"/>
        <v>9.57</v>
      </c>
      <c r="I56">
        <f t="shared" ca="1" si="8"/>
        <v>9.3130000000000006</v>
      </c>
      <c r="J56">
        <f t="shared" ca="1" si="8"/>
        <v>8.5380000000000003</v>
      </c>
      <c r="K56">
        <f t="shared" ca="1" si="8"/>
        <v>7.7359999999999998</v>
      </c>
      <c r="L56">
        <f>11.359</f>
        <v>11.359</v>
      </c>
      <c r="M56">
        <f>10.695</f>
        <v>10.695</v>
      </c>
      <c r="N56">
        <f>9.57</f>
        <v>9.57</v>
      </c>
      <c r="O56">
        <f>9.313</f>
        <v>9.3130000000000006</v>
      </c>
      <c r="P56">
        <f>8.538</f>
        <v>8.5380000000000003</v>
      </c>
      <c r="Q56">
        <f>7.736</f>
        <v>7.7359999999999998</v>
      </c>
    </row>
    <row r="57" spans="1:17" x14ac:dyDescent="0.25">
      <c r="A57" t="str">
        <f>"    Cognizant"</f>
        <v xml:space="preserve">    Cognizant</v>
      </c>
      <c r="B57" t="str">
        <f>"CTSH US Equity"</f>
        <v>CTSH US Equity</v>
      </c>
      <c r="E57" t="str">
        <f t="shared" si="7"/>
        <v>Static</v>
      </c>
      <c r="F57">
        <f t="shared" ca="1" si="8"/>
        <v>9.4700000000000006</v>
      </c>
      <c r="G57">
        <f t="shared" ca="1" si="8"/>
        <v>9.1489999999999991</v>
      </c>
      <c r="H57">
        <f t="shared" ca="1" si="8"/>
        <v>8.4320000000000004</v>
      </c>
      <c r="I57" t="str">
        <f t="shared" ca="1" si="8"/>
        <v/>
      </c>
      <c r="J57" t="str">
        <f t="shared" ca="1" si="8"/>
        <v/>
      </c>
      <c r="K57" t="str">
        <f t="shared" ca="1" si="8"/>
        <v/>
      </c>
      <c r="L57">
        <f>9.47</f>
        <v>9.4700000000000006</v>
      </c>
      <c r="M57">
        <f>9.149</f>
        <v>9.1489999999999991</v>
      </c>
      <c r="N57">
        <f>8.432</f>
        <v>8.4320000000000004</v>
      </c>
      <c r="O57" t="str">
        <f>""</f>
        <v/>
      </c>
      <c r="P57" t="str">
        <f>""</f>
        <v/>
      </c>
      <c r="Q57" t="str">
        <f>""</f>
        <v/>
      </c>
    </row>
    <row r="58" spans="1:17" x14ac:dyDescent="0.25">
      <c r="A58" t="str">
        <f>"    ATOS"</f>
        <v xml:space="preserve">    ATOS</v>
      </c>
      <c r="B58" t="str">
        <f>"ATO FP Equity"</f>
        <v>ATO FP Equity</v>
      </c>
      <c r="E58" t="str">
        <f t="shared" si="7"/>
        <v>Static</v>
      </c>
      <c r="F58">
        <f t="shared" ca="1" si="8"/>
        <v>8.3710000000000004</v>
      </c>
      <c r="G58">
        <f t="shared" ca="1" si="8"/>
        <v>8.4269999999999996</v>
      </c>
      <c r="H58">
        <f t="shared" ca="1" si="8"/>
        <v>8.327</v>
      </c>
      <c r="I58" t="str">
        <f t="shared" ca="1" si="8"/>
        <v/>
      </c>
      <c r="J58" t="str">
        <f t="shared" ca="1" si="8"/>
        <v/>
      </c>
      <c r="K58" t="str">
        <f t="shared" ca="1" si="8"/>
        <v/>
      </c>
      <c r="L58">
        <f>8.371</f>
        <v>8.3710000000000004</v>
      </c>
      <c r="M58">
        <f>8.427</f>
        <v>8.4269999999999996</v>
      </c>
      <c r="N58">
        <f>8.327</f>
        <v>8.327</v>
      </c>
      <c r="O58" t="str">
        <f>""</f>
        <v/>
      </c>
      <c r="P58" t="str">
        <f>""</f>
        <v/>
      </c>
      <c r="Q58" t="str">
        <f>""</f>
        <v/>
      </c>
    </row>
    <row r="59" spans="1:17" x14ac:dyDescent="0.25">
      <c r="A59" t="str">
        <f>"    Fujitsu"</f>
        <v xml:space="preserve">    Fujitsu</v>
      </c>
      <c r="B59" t="str">
        <f>"6702 JP Equity"</f>
        <v>6702 JP Equity</v>
      </c>
      <c r="E59" t="str">
        <f t="shared" si="7"/>
        <v>Static</v>
      </c>
      <c r="F59">
        <f t="shared" ca="1" si="8"/>
        <v>8.1539999999999999</v>
      </c>
      <c r="G59">
        <f t="shared" ca="1" si="8"/>
        <v>8.1959999999999997</v>
      </c>
      <c r="H59">
        <f t="shared" ca="1" si="8"/>
        <v>8.2119999999999997</v>
      </c>
      <c r="I59" t="str">
        <f t="shared" ca="1" si="8"/>
        <v/>
      </c>
      <c r="J59" t="str">
        <f t="shared" ca="1" si="8"/>
        <v/>
      </c>
      <c r="K59" t="str">
        <f t="shared" ca="1" si="8"/>
        <v/>
      </c>
      <c r="L59">
        <f>8.154</f>
        <v>8.1539999999999999</v>
      </c>
      <c r="M59">
        <f>8.196</f>
        <v>8.1959999999999997</v>
      </c>
      <c r="N59">
        <f>8.212</f>
        <v>8.2119999999999997</v>
      </c>
      <c r="O59" t="str">
        <f>""</f>
        <v/>
      </c>
      <c r="P59" t="str">
        <f>""</f>
        <v/>
      </c>
      <c r="Q59" t="str">
        <f>""</f>
        <v/>
      </c>
    </row>
    <row r="60" spans="1:17" x14ac:dyDescent="0.25">
      <c r="A60" t="str">
        <f>"    NTT"</f>
        <v xml:space="preserve">    NTT</v>
      </c>
      <c r="B60" t="str">
        <f>"9613 JP Equity"</f>
        <v>9613 JP Equity</v>
      </c>
      <c r="E60" t="str">
        <f t="shared" si="7"/>
        <v>Static</v>
      </c>
      <c r="F60">
        <f t="shared" ca="1" si="8"/>
        <v>7.7549999999999999</v>
      </c>
      <c r="G60">
        <f t="shared" ca="1" si="8"/>
        <v>7.4139999999999997</v>
      </c>
      <c r="H60">
        <f t="shared" ca="1" si="8"/>
        <v>7.3710000000000004</v>
      </c>
      <c r="I60" t="str">
        <f t="shared" ca="1" si="8"/>
        <v/>
      </c>
      <c r="J60" t="str">
        <f t="shared" ca="1" si="8"/>
        <v/>
      </c>
      <c r="K60" t="str">
        <f t="shared" ca="1" si="8"/>
        <v/>
      </c>
      <c r="L60">
        <f>7.755</f>
        <v>7.7549999999999999</v>
      </c>
      <c r="M60">
        <f>7.414</f>
        <v>7.4139999999999997</v>
      </c>
      <c r="N60">
        <f>7.371</f>
        <v>7.3710000000000004</v>
      </c>
      <c r="O60" t="str">
        <f>""</f>
        <v/>
      </c>
      <c r="P60" t="str">
        <f>""</f>
        <v/>
      </c>
      <c r="Q60" t="str">
        <f>""</f>
        <v/>
      </c>
    </row>
    <row r="61" spans="1:17" x14ac:dyDescent="0.25">
      <c r="A61" t="str">
        <f>"    Northrup Grumman"</f>
        <v xml:space="preserve">    Northrup Grumman</v>
      </c>
      <c r="B61" t="str">
        <f>"NOC US Equity"</f>
        <v>NOC US Equity</v>
      </c>
      <c r="E61" t="str">
        <f t="shared" si="7"/>
        <v>Static</v>
      </c>
      <c r="F61">
        <f t="shared" ca="1" si="8"/>
        <v>5.415</v>
      </c>
      <c r="G61">
        <f t="shared" ca="1" si="8"/>
        <v>5.2489999999999997</v>
      </c>
      <c r="H61">
        <f t="shared" ca="1" si="8"/>
        <v>4.6180000000000003</v>
      </c>
      <c r="I61" t="str">
        <f t="shared" ca="1" si="8"/>
        <v/>
      </c>
      <c r="J61" t="str">
        <f t="shared" ca="1" si="8"/>
        <v/>
      </c>
      <c r="K61" t="str">
        <f t="shared" ca="1" si="8"/>
        <v/>
      </c>
      <c r="L61">
        <f>5.415</f>
        <v>5.415</v>
      </c>
      <c r="M61">
        <f>5.249</f>
        <v>5.2489999999999997</v>
      </c>
      <c r="N61">
        <f>4.618</f>
        <v>4.6180000000000003</v>
      </c>
      <c r="O61" t="str">
        <f>""</f>
        <v/>
      </c>
      <c r="P61" t="str">
        <f>""</f>
        <v/>
      </c>
      <c r="Q61" t="str">
        <f>""</f>
        <v/>
      </c>
    </row>
    <row r="62" spans="1:17" x14ac:dyDescent="0.25">
      <c r="A62" t="str">
        <f>"    Capgemini"</f>
        <v xml:space="preserve">    Capgemini</v>
      </c>
      <c r="B62" t="str">
        <f>"CAP FP Equity"</f>
        <v>CAP FP Equity</v>
      </c>
      <c r="E62" t="str">
        <f t="shared" si="7"/>
        <v>Static</v>
      </c>
      <c r="F62">
        <f t="shared" ref="F62:K72" ca="1" si="9">HLOOKUP(INDIRECT(ADDRESS(2,COLUMN())),OFFSET($L$2,0,0,ROW()-1,6),ROW()-1,FALSE)</f>
        <v>5.1689999999999996</v>
      </c>
      <c r="G62">
        <f t="shared" ca="1" si="9"/>
        <v>5.0609999999999999</v>
      </c>
      <c r="H62">
        <f t="shared" ca="1" si="9"/>
        <v>4.8600000000000003</v>
      </c>
      <c r="I62" t="str">
        <f t="shared" ca="1" si="9"/>
        <v/>
      </c>
      <c r="J62" t="str">
        <f t="shared" ca="1" si="9"/>
        <v/>
      </c>
      <c r="K62" t="str">
        <f t="shared" ca="1" si="9"/>
        <v/>
      </c>
      <c r="L62">
        <f>5.169</f>
        <v>5.1689999999999996</v>
      </c>
      <c r="M62">
        <f>5.061</f>
        <v>5.0609999999999999</v>
      </c>
      <c r="N62">
        <f>4.86</f>
        <v>4.8600000000000003</v>
      </c>
      <c r="O62" t="str">
        <f>""</f>
        <v/>
      </c>
      <c r="P62" t="str">
        <f>""</f>
        <v/>
      </c>
      <c r="Q62" t="str">
        <f>""</f>
        <v/>
      </c>
    </row>
    <row r="63" spans="1:17" x14ac:dyDescent="0.25">
      <c r="A63" t="str">
        <f>"    HCL Technologies"</f>
        <v xml:space="preserve">    HCL Technologies</v>
      </c>
      <c r="B63" t="str">
        <f>"HCLT IN Equity"</f>
        <v>HCLT IN Equity</v>
      </c>
      <c r="E63" t="str">
        <f t="shared" si="7"/>
        <v>Static</v>
      </c>
      <c r="F63">
        <f t="shared" ca="1" si="9"/>
        <v>4.9139999999999997</v>
      </c>
      <c r="G63">
        <f t="shared" ca="1" si="9"/>
        <v>4.3440000000000003</v>
      </c>
      <c r="H63">
        <f t="shared" ca="1" si="9"/>
        <v>3.9249999999999998</v>
      </c>
      <c r="I63" t="str">
        <f t="shared" ca="1" si="9"/>
        <v/>
      </c>
      <c r="J63" t="str">
        <f t="shared" ca="1" si="9"/>
        <v/>
      </c>
      <c r="K63" t="str">
        <f t="shared" ca="1" si="9"/>
        <v/>
      </c>
      <c r="L63">
        <f>4.914</f>
        <v>4.9139999999999997</v>
      </c>
      <c r="M63">
        <f>4.344</f>
        <v>4.3440000000000003</v>
      </c>
      <c r="N63">
        <f>3.925</f>
        <v>3.9249999999999998</v>
      </c>
      <c r="O63" t="str">
        <f>""</f>
        <v/>
      </c>
      <c r="P63" t="str">
        <f>""</f>
        <v/>
      </c>
      <c r="Q63" t="str">
        <f>""</f>
        <v/>
      </c>
    </row>
    <row r="64" spans="1:17" x14ac:dyDescent="0.25">
      <c r="A64" t="str">
        <f>"    AT&amp;T"</f>
        <v xml:space="preserve">    AT&amp;T</v>
      </c>
      <c r="B64" t="str">
        <f>"T US Equity"</f>
        <v>T US Equity</v>
      </c>
      <c r="E64" t="str">
        <f t="shared" si="7"/>
        <v>Static</v>
      </c>
      <c r="F64">
        <f t="shared" ca="1" si="9"/>
        <v>4.4790000000000001</v>
      </c>
      <c r="G64">
        <f t="shared" ca="1" si="9"/>
        <v>3.7069999999999999</v>
      </c>
      <c r="H64">
        <f t="shared" ca="1" si="9"/>
        <v>3.4470000000000001</v>
      </c>
      <c r="I64" t="str">
        <f t="shared" ca="1" si="9"/>
        <v/>
      </c>
      <c r="J64" t="str">
        <f t="shared" ca="1" si="9"/>
        <v/>
      </c>
      <c r="K64" t="str">
        <f t="shared" ca="1" si="9"/>
        <v/>
      </c>
      <c r="L64">
        <f>4.479</f>
        <v>4.4790000000000001</v>
      </c>
      <c r="M64">
        <f>3.707</f>
        <v>3.7069999999999999</v>
      </c>
      <c r="N64">
        <f>3.447</f>
        <v>3.4470000000000001</v>
      </c>
      <c r="O64" t="str">
        <f>""</f>
        <v/>
      </c>
      <c r="P64" t="str">
        <f>""</f>
        <v/>
      </c>
      <c r="Q64" t="str">
        <f>""</f>
        <v/>
      </c>
    </row>
    <row r="65" spans="1:17" x14ac:dyDescent="0.25">
      <c r="A65" t="str">
        <f>"    General Dynamics"</f>
        <v xml:space="preserve">    General Dynamics</v>
      </c>
      <c r="B65" t="str">
        <f>"GD US Equity"</f>
        <v>GD US Equity</v>
      </c>
      <c r="E65" t="str">
        <f t="shared" si="7"/>
        <v>Static</v>
      </c>
      <c r="F65">
        <f t="shared" ca="1" si="9"/>
        <v>4.452</v>
      </c>
      <c r="G65">
        <f t="shared" ca="1" si="9"/>
        <v>4.4340000000000002</v>
      </c>
      <c r="H65">
        <f t="shared" ca="1" si="9"/>
        <v>2.5059999999999998</v>
      </c>
      <c r="I65" t="str">
        <f t="shared" ca="1" si="9"/>
        <v/>
      </c>
      <c r="J65" t="str">
        <f t="shared" ca="1" si="9"/>
        <v/>
      </c>
      <c r="K65" t="str">
        <f t="shared" ca="1" si="9"/>
        <v/>
      </c>
      <c r="L65">
        <f>4.452</f>
        <v>4.452</v>
      </c>
      <c r="M65">
        <f>4.434</f>
        <v>4.4340000000000002</v>
      </c>
      <c r="N65">
        <f>2.506</f>
        <v>2.5059999999999998</v>
      </c>
      <c r="O65" t="str">
        <f>""</f>
        <v/>
      </c>
      <c r="P65" t="str">
        <f>""</f>
        <v/>
      </c>
      <c r="Q65" t="str">
        <f>""</f>
        <v/>
      </c>
    </row>
    <row r="66" spans="1:17" x14ac:dyDescent="0.25">
      <c r="A66" t="str">
        <f>"    Infosys"</f>
        <v xml:space="preserve">    Infosys</v>
      </c>
      <c r="B66" t="str">
        <f>"INFO IN Equity"</f>
        <v>INFO IN Equity</v>
      </c>
      <c r="E66" t="str">
        <f t="shared" si="7"/>
        <v>Static</v>
      </c>
      <c r="F66">
        <f t="shared" ca="1" si="9"/>
        <v>4.4240000000000004</v>
      </c>
      <c r="G66">
        <f t="shared" ca="1" si="9"/>
        <v>4.2050000000000001</v>
      </c>
      <c r="H66">
        <f t="shared" ca="1" si="9"/>
        <v>4.0010000000000003</v>
      </c>
      <c r="I66" t="str">
        <f t="shared" ca="1" si="9"/>
        <v/>
      </c>
      <c r="J66" t="str">
        <f t="shared" ca="1" si="9"/>
        <v/>
      </c>
      <c r="K66" t="str">
        <f t="shared" ca="1" si="9"/>
        <v/>
      </c>
      <c r="L66">
        <f>4.424</f>
        <v>4.4240000000000004</v>
      </c>
      <c r="M66">
        <f>4.205</f>
        <v>4.2050000000000001</v>
      </c>
      <c r="N66">
        <f>4.001</f>
        <v>4.0010000000000003</v>
      </c>
      <c r="O66" t="str">
        <f>""</f>
        <v/>
      </c>
      <c r="P66" t="str">
        <f>""</f>
        <v/>
      </c>
      <c r="Q66" t="str">
        <f>""</f>
        <v/>
      </c>
    </row>
    <row r="67" spans="1:17" x14ac:dyDescent="0.25">
      <c r="A67" t="str">
        <f>"    Synnex"</f>
        <v xml:space="preserve">    Synnex</v>
      </c>
      <c r="B67" t="str">
        <f>"SNX US Equity"</f>
        <v>SNX US Equity</v>
      </c>
      <c r="E67" t="str">
        <f t="shared" si="7"/>
        <v>Static</v>
      </c>
      <c r="F67">
        <f t="shared" ca="1" si="9"/>
        <v>4.2080000000000002</v>
      </c>
      <c r="G67">
        <f t="shared" ca="1" si="9"/>
        <v>3.4140000000000001</v>
      </c>
      <c r="H67">
        <f t="shared" ca="1" si="9"/>
        <v>4.2169999999999996</v>
      </c>
      <c r="I67" t="str">
        <f t="shared" ca="1" si="9"/>
        <v/>
      </c>
      <c r="J67" t="str">
        <f t="shared" ca="1" si="9"/>
        <v/>
      </c>
      <c r="K67" t="str">
        <f t="shared" ca="1" si="9"/>
        <v/>
      </c>
      <c r="L67">
        <f>4.208</f>
        <v>4.2080000000000002</v>
      </c>
      <c r="M67">
        <f>3.414</f>
        <v>3.4140000000000001</v>
      </c>
      <c r="N67">
        <f>4.217</f>
        <v>4.2169999999999996</v>
      </c>
      <c r="O67" t="str">
        <f>""</f>
        <v/>
      </c>
      <c r="P67" t="str">
        <f>""</f>
        <v/>
      </c>
      <c r="Q67" t="str">
        <f>""</f>
        <v/>
      </c>
    </row>
    <row r="68" spans="1:17" x14ac:dyDescent="0.25">
      <c r="A68" t="str">
        <f>"    Equinix"</f>
        <v xml:space="preserve">    Equinix</v>
      </c>
      <c r="B68" t="str">
        <f>"EQIX US Equity"</f>
        <v>EQIX US Equity</v>
      </c>
      <c r="E68" t="str">
        <f t="shared" si="7"/>
        <v>Static</v>
      </c>
      <c r="F68">
        <f t="shared" ca="1" si="9"/>
        <v>3.9849999999999999</v>
      </c>
      <c r="G68">
        <f t="shared" ca="1" si="9"/>
        <v>3.7570000000000001</v>
      </c>
      <c r="H68">
        <f t="shared" ca="1" si="9"/>
        <v>3.1320000000000001</v>
      </c>
      <c r="I68" t="str">
        <f t="shared" ca="1" si="9"/>
        <v/>
      </c>
      <c r="J68" t="str">
        <f t="shared" ca="1" si="9"/>
        <v/>
      </c>
      <c r="K68" t="str">
        <f t="shared" ca="1" si="9"/>
        <v/>
      </c>
      <c r="L68">
        <f>3.985</f>
        <v>3.9849999999999999</v>
      </c>
      <c r="M68">
        <f>3.757</f>
        <v>3.7570000000000001</v>
      </c>
      <c r="N68">
        <f>3.132</f>
        <v>3.1320000000000001</v>
      </c>
      <c r="O68" t="str">
        <f>""</f>
        <v/>
      </c>
      <c r="P68" t="str">
        <f>""</f>
        <v/>
      </c>
      <c r="Q68" t="str">
        <f>""</f>
        <v/>
      </c>
    </row>
    <row r="69" spans="1:17" x14ac:dyDescent="0.25">
      <c r="A69" t="str">
        <f>"    CGI"</f>
        <v xml:space="preserve">    CGI</v>
      </c>
      <c r="B69" t="str">
        <f>"GIB US Equity"</f>
        <v>GIB US Equity</v>
      </c>
      <c r="E69" t="str">
        <f t="shared" si="7"/>
        <v>Static</v>
      </c>
      <c r="F69">
        <f t="shared" ca="1" si="9"/>
        <v>3.8410000000000002</v>
      </c>
      <c r="G69">
        <f t="shared" ca="1" si="9"/>
        <v>3.7370000000000001</v>
      </c>
      <c r="H69">
        <f t="shared" ca="1" si="9"/>
        <v>3.7949999999999999</v>
      </c>
      <c r="I69" t="str">
        <f t="shared" ca="1" si="9"/>
        <v/>
      </c>
      <c r="J69" t="str">
        <f t="shared" ca="1" si="9"/>
        <v/>
      </c>
      <c r="K69" t="str">
        <f t="shared" ca="1" si="9"/>
        <v/>
      </c>
      <c r="L69">
        <f>3.841</f>
        <v>3.8410000000000002</v>
      </c>
      <c r="M69">
        <f>3.737</f>
        <v>3.7370000000000001</v>
      </c>
      <c r="N69">
        <f>3.795</f>
        <v>3.7949999999999999</v>
      </c>
      <c r="O69" t="str">
        <f>""</f>
        <v/>
      </c>
      <c r="P69" t="str">
        <f>""</f>
        <v/>
      </c>
      <c r="Q69" t="str">
        <f>""</f>
        <v/>
      </c>
    </row>
    <row r="70" spans="1:17" x14ac:dyDescent="0.25">
      <c r="A70" t="str">
        <f>"    Deutsche Telekom"</f>
        <v xml:space="preserve">    Deutsche Telekom</v>
      </c>
      <c r="B70" t="str">
        <f>"DTE GY Equity"</f>
        <v>DTE GY Equity</v>
      </c>
      <c r="E70" t="str">
        <f t="shared" si="7"/>
        <v>Static</v>
      </c>
      <c r="F70">
        <f t="shared" ca="1" si="9"/>
        <v>3.665</v>
      </c>
      <c r="G70">
        <f t="shared" ca="1" si="9"/>
        <v>3.69</v>
      </c>
      <c r="H70">
        <f t="shared" ca="1" si="9"/>
        <v>3.6789999999999998</v>
      </c>
      <c r="I70" t="str">
        <f t="shared" ca="1" si="9"/>
        <v/>
      </c>
      <c r="J70" t="str">
        <f t="shared" ca="1" si="9"/>
        <v/>
      </c>
      <c r="K70" t="str">
        <f t="shared" ca="1" si="9"/>
        <v/>
      </c>
      <c r="L70">
        <f>3.665</f>
        <v>3.665</v>
      </c>
      <c r="M70">
        <f>3.69</f>
        <v>3.69</v>
      </c>
      <c r="N70">
        <f>3.679</f>
        <v>3.6789999999999998</v>
      </c>
      <c r="O70" t="str">
        <f>""</f>
        <v/>
      </c>
      <c r="P70" t="str">
        <f>""</f>
        <v/>
      </c>
      <c r="Q70" t="str">
        <f>""</f>
        <v/>
      </c>
    </row>
    <row r="71" spans="1:17" x14ac:dyDescent="0.25">
      <c r="A71" t="str">
        <f>"    Leidos"</f>
        <v xml:space="preserve">    Leidos</v>
      </c>
      <c r="B71" t="str">
        <f>"LDOS US Equity"</f>
        <v>LDOS US Equity</v>
      </c>
      <c r="E71" t="str">
        <f t="shared" si="7"/>
        <v>Static</v>
      </c>
      <c r="F71">
        <f t="shared" ca="1" si="9"/>
        <v>3.5870000000000002</v>
      </c>
      <c r="G71">
        <f t="shared" ca="1" si="9"/>
        <v>3.2589999999999999</v>
      </c>
      <c r="H71">
        <f t="shared" ca="1" si="9"/>
        <v>3.2320000000000002</v>
      </c>
      <c r="I71" t="str">
        <f t="shared" ca="1" si="9"/>
        <v/>
      </c>
      <c r="J71" t="str">
        <f t="shared" ca="1" si="9"/>
        <v/>
      </c>
      <c r="K71" t="str">
        <f t="shared" ca="1" si="9"/>
        <v/>
      </c>
      <c r="L71">
        <f>3.587</f>
        <v>3.5870000000000002</v>
      </c>
      <c r="M71">
        <f>3.259</f>
        <v>3.2589999999999999</v>
      </c>
      <c r="N71">
        <f>3.232</f>
        <v>3.2320000000000002</v>
      </c>
      <c r="O71" t="str">
        <f>""</f>
        <v/>
      </c>
      <c r="P71" t="str">
        <f>""</f>
        <v/>
      </c>
      <c r="Q71" t="str">
        <f>""</f>
        <v/>
      </c>
    </row>
    <row r="72" spans="1:17" x14ac:dyDescent="0.25">
      <c r="A72" t="str">
        <f>"    Other"</f>
        <v xml:space="preserve">    Other</v>
      </c>
      <c r="B72" t="str">
        <f>""</f>
        <v/>
      </c>
      <c r="E72" t="str">
        <f t="shared" si="7"/>
        <v>Static</v>
      </c>
      <c r="F72">
        <f t="shared" ca="1" si="9"/>
        <v>331.91</v>
      </c>
      <c r="G72">
        <f t="shared" ca="1" si="9"/>
        <v>326.12299999999999</v>
      </c>
      <c r="H72">
        <f t="shared" ca="1" si="9"/>
        <v>314.32799999999997</v>
      </c>
      <c r="I72">
        <f t="shared" ca="1" si="9"/>
        <v>383.53699999999998</v>
      </c>
      <c r="J72">
        <f t="shared" ca="1" si="9"/>
        <v>373.38600000000002</v>
      </c>
      <c r="K72">
        <f t="shared" ca="1" si="9"/>
        <v>377.51400000000001</v>
      </c>
      <c r="L72">
        <f>331.91</f>
        <v>331.91</v>
      </c>
      <c r="M72">
        <f>326.123</f>
        <v>326.12299999999999</v>
      </c>
      <c r="N72">
        <f>314.328</f>
        <v>314.32799999999997</v>
      </c>
      <c r="O72">
        <f>383.537</f>
        <v>383.53699999999998</v>
      </c>
      <c r="P72">
        <f>373.386</f>
        <v>373.38600000000002</v>
      </c>
      <c r="Q72">
        <f>377.514</f>
        <v>377.51400000000001</v>
      </c>
    </row>
    <row r="73" spans="1:17" x14ac:dyDescent="0.25">
      <c r="L73" t="str">
        <f>""</f>
        <v/>
      </c>
      <c r="M73" t="str">
        <f>""</f>
        <v/>
      </c>
      <c r="N73" t="str">
        <f>""</f>
        <v/>
      </c>
      <c r="O73" t="str">
        <f>""</f>
        <v/>
      </c>
      <c r="P73" t="str">
        <f>""</f>
        <v/>
      </c>
      <c r="Q73" t="str">
        <f>""</f>
        <v/>
      </c>
    </row>
    <row r="74" spans="1:17" x14ac:dyDescent="0.25">
      <c r="L74" t="str">
        <f>""</f>
        <v/>
      </c>
      <c r="M74" t="str">
        <f>""</f>
        <v/>
      </c>
      <c r="N74" t="str">
        <f>""</f>
        <v/>
      </c>
      <c r="O74" t="str">
        <f>""</f>
        <v/>
      </c>
      <c r="P74" t="str">
        <f>""</f>
        <v/>
      </c>
      <c r="Q74" t="str">
        <f>""</f>
        <v/>
      </c>
    </row>
    <row r="75" spans="1:17" x14ac:dyDescent="0.25">
      <c r="L75" t="str">
        <f>""</f>
        <v/>
      </c>
      <c r="M75" t="str">
        <f>""</f>
        <v/>
      </c>
      <c r="N75" t="str">
        <f>""</f>
        <v/>
      </c>
      <c r="O75" t="str">
        <f>""</f>
        <v/>
      </c>
      <c r="P75" t="str">
        <f>""</f>
        <v/>
      </c>
      <c r="Q75" t="str">
        <f>""</f>
        <v/>
      </c>
    </row>
    <row r="76" spans="1:17" x14ac:dyDescent="0.25">
      <c r="L76" t="str">
        <f>""</f>
        <v/>
      </c>
      <c r="M76" t="str">
        <f>""</f>
        <v/>
      </c>
      <c r="N76" t="str">
        <f>""</f>
        <v/>
      </c>
      <c r="O76" t="str">
        <f>""</f>
        <v/>
      </c>
      <c r="P76" t="str">
        <f>""</f>
        <v/>
      </c>
      <c r="Q76" t="str">
        <f>""</f>
        <v/>
      </c>
    </row>
    <row r="77" spans="1:17" x14ac:dyDescent="0.25">
      <c r="L77" t="str">
        <f>""</f>
        <v/>
      </c>
      <c r="M77" t="str">
        <f>""</f>
        <v/>
      </c>
      <c r="N77" t="str">
        <f>""</f>
        <v/>
      </c>
      <c r="O77" t="str">
        <f>""</f>
        <v/>
      </c>
      <c r="P77" t="str">
        <f>""</f>
        <v/>
      </c>
      <c r="Q77" t="str">
        <f>""</f>
        <v/>
      </c>
    </row>
    <row r="78" spans="1:17" x14ac:dyDescent="0.25">
      <c r="L78" t="str">
        <f>""</f>
        <v/>
      </c>
      <c r="M78" t="str">
        <f>""</f>
        <v/>
      </c>
      <c r="N78" t="str">
        <f>""</f>
        <v/>
      </c>
      <c r="O78" t="str">
        <f>""</f>
        <v/>
      </c>
      <c r="P78" t="str">
        <f>""</f>
        <v/>
      </c>
      <c r="Q78" t="str">
        <f>""</f>
        <v/>
      </c>
    </row>
    <row r="79" spans="1:17" x14ac:dyDescent="0.25">
      <c r="L79" t="str">
        <f>""</f>
        <v/>
      </c>
      <c r="M79" t="str">
        <f>""</f>
        <v/>
      </c>
      <c r="N79" t="str">
        <f>""</f>
        <v/>
      </c>
      <c r="O79" t="str">
        <f>""</f>
        <v/>
      </c>
      <c r="P79" t="str">
        <f>""</f>
        <v/>
      </c>
      <c r="Q79" t="str">
        <f>""</f>
        <v/>
      </c>
    </row>
    <row r="80" spans="1:17" x14ac:dyDescent="0.25">
      <c r="A80" t="str">
        <f t="shared" ref="A80:K80" si="10">"~~~~~~~~~~"</f>
        <v>~~~~~~~~~~</v>
      </c>
      <c r="B80" t="str">
        <f t="shared" si="10"/>
        <v>~~~~~~~~~~</v>
      </c>
      <c r="C80" t="str">
        <f t="shared" si="10"/>
        <v>~~~~~~~~~~</v>
      </c>
      <c r="D80" t="str">
        <f t="shared" si="10"/>
        <v>~~~~~~~~~~</v>
      </c>
      <c r="E80" t="str">
        <f t="shared" si="10"/>
        <v>~~~~~~~~~~</v>
      </c>
      <c r="F80" t="str">
        <f t="shared" si="10"/>
        <v>~~~~~~~~~~</v>
      </c>
      <c r="G80" t="str">
        <f t="shared" si="10"/>
        <v>~~~~~~~~~~</v>
      </c>
      <c r="H80" t="str">
        <f t="shared" si="10"/>
        <v>~~~~~~~~~~</v>
      </c>
      <c r="I80" t="str">
        <f t="shared" si="10"/>
        <v>~~~~~~~~~~</v>
      </c>
      <c r="J80" t="str">
        <f t="shared" si="10"/>
        <v>~~~~~~~~~~</v>
      </c>
      <c r="K80" t="str">
        <f t="shared" si="10"/>
        <v>~~~~~~~~~~</v>
      </c>
      <c r="L80" t="str">
        <f>""</f>
        <v/>
      </c>
      <c r="M80" t="str">
        <f>""</f>
        <v/>
      </c>
      <c r="N80" t="str">
        <f>""</f>
        <v/>
      </c>
      <c r="O80" t="str">
        <f>""</f>
        <v/>
      </c>
      <c r="P80" t="str">
        <f>""</f>
        <v/>
      </c>
      <c r="Q80" t="str">
        <f>""</f>
        <v/>
      </c>
    </row>
    <row r="81" spans="1:17" x14ac:dyDescent="0.25">
      <c r="A81" t="str">
        <f>"All rows below have been added for reference by formula rows above."</f>
        <v>All rows below have been added for reference by formula rows above.</v>
      </c>
      <c r="L81" t="str">
        <f>""</f>
        <v/>
      </c>
      <c r="M81" t="str">
        <f>""</f>
        <v/>
      </c>
      <c r="N81" t="str">
        <f>""</f>
        <v/>
      </c>
      <c r="O81" t="str">
        <f>""</f>
        <v/>
      </c>
      <c r="P81" t="str">
        <f>""</f>
        <v/>
      </c>
      <c r="Q81" t="str">
        <f>""</f>
        <v/>
      </c>
    </row>
    <row r="82" spans="1:17" x14ac:dyDescent="0.25">
      <c r="A82">
        <f>RTD("bloomberg.ccyreader", "", "#track", "DBG", "BIHITX", "1.0","RepeatHit")</f>
        <v>0</v>
      </c>
      <c r="L82" t="str">
        <f>""</f>
        <v/>
      </c>
      <c r="M82" t="str">
        <f>""</f>
        <v/>
      </c>
      <c r="N82" t="str">
        <f>""</f>
        <v/>
      </c>
      <c r="O82" t="str">
        <f>""</f>
        <v/>
      </c>
      <c r="P82" t="str">
        <f>""</f>
        <v/>
      </c>
      <c r="Q82" t="str">
        <f>""</f>
        <v/>
      </c>
    </row>
    <row r="83" spans="1:17" x14ac:dyDescent="0.25">
      <c r="A83" t="str">
        <f>"Currency"</f>
        <v>Currency</v>
      </c>
      <c r="B83" t="str">
        <f>"USD"</f>
        <v>USD</v>
      </c>
      <c r="L83" t="str">
        <f>""</f>
        <v/>
      </c>
      <c r="M83" t="str">
        <f>""</f>
        <v/>
      </c>
      <c r="N83" t="str">
        <f>""</f>
        <v/>
      </c>
      <c r="O83" t="str">
        <f>""</f>
        <v/>
      </c>
      <c r="P83" t="str">
        <f>""</f>
        <v/>
      </c>
      <c r="Q83" t="str">
        <f>""</f>
        <v/>
      </c>
    </row>
    <row r="84" spans="1:17" x14ac:dyDescent="0.25">
      <c r="A84" t="str">
        <f>"Periodicity"</f>
        <v>Periodicity</v>
      </c>
      <c r="B84" t="str">
        <f>"CY"</f>
        <v>CY</v>
      </c>
      <c r="C84" t="str">
        <f>"AY"</f>
        <v>AY</v>
      </c>
      <c r="L84" t="str">
        <f>""</f>
        <v/>
      </c>
      <c r="M84" t="str">
        <f>""</f>
        <v/>
      </c>
      <c r="N84" t="str">
        <f>""</f>
        <v/>
      </c>
      <c r="O84" t="str">
        <f>""</f>
        <v/>
      </c>
      <c r="P84" t="str">
        <f>""</f>
        <v/>
      </c>
      <c r="Q84" t="str">
        <f>""</f>
        <v/>
      </c>
    </row>
    <row r="85" spans="1:17" x14ac:dyDescent="0.25">
      <c r="A85" t="str">
        <f>"Number of Periods"</f>
        <v>Number of Periods</v>
      </c>
      <c r="B85">
        <f>6</f>
        <v>6</v>
      </c>
      <c r="L85" t="str">
        <f>""</f>
        <v/>
      </c>
      <c r="M85" t="str">
        <f>""</f>
        <v/>
      </c>
      <c r="N85" t="str">
        <f>""</f>
        <v/>
      </c>
      <c r="O85" t="str">
        <f>""</f>
        <v/>
      </c>
      <c r="P85" t="str">
        <f>""</f>
        <v/>
      </c>
      <c r="Q85" t="str">
        <f>""</f>
        <v/>
      </c>
    </row>
    <row r="86" spans="1:17" x14ac:dyDescent="0.25">
      <c r="A86" t="str">
        <f>"Start Date"</f>
        <v>Start Date</v>
      </c>
      <c r="B86" t="str">
        <f>CONCATENATE("-",$B$85,$B$84)</f>
        <v>-6CY</v>
      </c>
      <c r="C86" t="str">
        <f>CONCATENATE("-",$B$85,$C$84)</f>
        <v>-6AY</v>
      </c>
      <c r="L86" t="str">
        <f>""</f>
        <v/>
      </c>
      <c r="M86" t="str">
        <f>""</f>
        <v/>
      </c>
      <c r="N86" t="str">
        <f>""</f>
        <v/>
      </c>
      <c r="O86" t="str">
        <f>""</f>
        <v/>
      </c>
      <c r="P86" t="str">
        <f>""</f>
        <v/>
      </c>
      <c r="Q86" t="str">
        <f>""</f>
        <v/>
      </c>
    </row>
    <row r="87" spans="1:17" x14ac:dyDescent="0.25">
      <c r="A87" t="str">
        <f>"End Date"</f>
        <v>End Date</v>
      </c>
      <c r="B87">
        <f ca="1">TODAY()</f>
        <v>43998</v>
      </c>
      <c r="L87" t="str">
        <f>""</f>
        <v/>
      </c>
      <c r="M87" t="str">
        <f>""</f>
        <v/>
      </c>
      <c r="N87" t="str">
        <f>""</f>
        <v/>
      </c>
      <c r="O87" t="str">
        <f>""</f>
        <v/>
      </c>
      <c r="P87" t="str">
        <f>""</f>
        <v/>
      </c>
      <c r="Q87" t="str">
        <f>""</f>
        <v/>
      </c>
    </row>
    <row r="88" spans="1:17" x14ac:dyDescent="0.25">
      <c r="A88" t="str">
        <f>"HeaderStatus"</f>
        <v>HeaderStatus</v>
      </c>
      <c r="B88">
        <f>$B$90*$B$90</f>
        <v>4</v>
      </c>
      <c r="L88" t="str">
        <f>""</f>
        <v/>
      </c>
      <c r="M88" t="str">
        <f>""</f>
        <v/>
      </c>
      <c r="N88" t="str">
        <f>""</f>
        <v/>
      </c>
      <c r="O88" t="str">
        <f>""</f>
        <v/>
      </c>
      <c r="P88" t="str">
        <f>""</f>
        <v/>
      </c>
      <c r="Q88" t="str">
        <f>""</f>
        <v/>
      </c>
    </row>
    <row r="89" spans="1:17" x14ac:dyDescent="0.25">
      <c r="L89" t="str">
        <f>""</f>
        <v/>
      </c>
      <c r="M89" t="str">
        <f>""</f>
        <v/>
      </c>
      <c r="N89" t="str">
        <f>""</f>
        <v/>
      </c>
      <c r="O89" t="str">
        <f>""</f>
        <v/>
      </c>
      <c r="P89" t="str">
        <f>""</f>
        <v/>
      </c>
      <c r="Q89" t="str">
        <f>""</f>
        <v/>
      </c>
    </row>
    <row r="90" spans="1:17" x14ac:dyDescent="0.25">
      <c r="A90" t="str">
        <f>"Snapshot header"</f>
        <v>Snapshot header</v>
      </c>
      <c r="B90">
        <f>2</f>
        <v>2</v>
      </c>
      <c r="C90" t="str">
        <f>"2019"</f>
        <v>2019</v>
      </c>
      <c r="D90" t="str">
        <f>"2018"</f>
        <v>2018</v>
      </c>
      <c r="E90" t="str">
        <f>"2017"</f>
        <v>2017</v>
      </c>
      <c r="F90" t="str">
        <f>"2016"</f>
        <v>2016</v>
      </c>
      <c r="G90" t="str">
        <f>"2015"</f>
        <v>2015</v>
      </c>
      <c r="H90" t="str">
        <f>"2014"</f>
        <v>2014</v>
      </c>
      <c r="L90" t="str">
        <f>""</f>
        <v/>
      </c>
      <c r="M90" t="str">
        <f>""</f>
        <v/>
      </c>
      <c r="N90" t="str">
        <f>""</f>
        <v/>
      </c>
      <c r="O90" t="str">
        <f>""</f>
        <v/>
      </c>
      <c r="P90" t="str">
        <f>""</f>
        <v/>
      </c>
      <c r="Q90" t="str">
        <f>""</f>
        <v/>
      </c>
    </row>
    <row r="91" spans="1:17" x14ac:dyDescent="0.25">
      <c r="A91" t="str">
        <f>"No error found"</f>
        <v>No error found</v>
      </c>
      <c r="B91" t="str">
        <f>""</f>
        <v/>
      </c>
      <c r="C91" t="str">
        <f>""</f>
        <v/>
      </c>
      <c r="D91" t="str">
        <f>""</f>
        <v/>
      </c>
      <c r="E91" t="str">
        <f>""</f>
        <v/>
      </c>
      <c r="L91" t="str">
        <f>""</f>
        <v/>
      </c>
      <c r="M91" t="str">
        <f>""</f>
        <v/>
      </c>
      <c r="N91" t="str">
        <f>""</f>
        <v/>
      </c>
      <c r="O91" t="str">
        <f>""</f>
        <v/>
      </c>
      <c r="P91" t="str">
        <f>""</f>
        <v/>
      </c>
      <c r="Q91" t="str">
        <f>""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7987-F2A0-416D-9646-BF557E2E59D5}">
  <dimension ref="A2:Q91"/>
  <sheetViews>
    <sheetView tabSelected="1" workbookViewId="0">
      <selection activeCell="Q15" sqref="Q15"/>
    </sheetView>
  </sheetViews>
  <sheetFormatPr defaultRowHeight="15" x14ac:dyDescent="0.25"/>
  <sheetData>
    <row r="2" spans="1:1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38</v>
      </c>
      <c r="G2" t="s">
        <v>37</v>
      </c>
      <c r="H2" t="s">
        <v>36</v>
      </c>
      <c r="I2" t="s">
        <v>35</v>
      </c>
      <c r="J2" t="s">
        <v>34</v>
      </c>
      <c r="K2" t="s">
        <v>33</v>
      </c>
      <c r="L2" t="s">
        <v>38</v>
      </c>
      <c r="M2" t="s">
        <v>37</v>
      </c>
      <c r="N2" t="s">
        <v>36</v>
      </c>
      <c r="O2" t="s">
        <v>35</v>
      </c>
      <c r="P2" t="s">
        <v>34</v>
      </c>
      <c r="Q2" t="s">
        <v>33</v>
      </c>
    </row>
    <row r="3" spans="1:17" x14ac:dyDescent="0.25">
      <c r="A3" t="s">
        <v>39</v>
      </c>
      <c r="B3" t="s">
        <v>40</v>
      </c>
      <c r="E3" t="s">
        <v>41</v>
      </c>
      <c r="L3" t="s">
        <v>40</v>
      </c>
      <c r="M3" t="s">
        <v>40</v>
      </c>
      <c r="N3" t="s">
        <v>40</v>
      </c>
      <c r="O3" t="s">
        <v>40</v>
      </c>
      <c r="P3" t="s">
        <v>40</v>
      </c>
      <c r="Q3" t="s">
        <v>40</v>
      </c>
    </row>
    <row r="4" spans="1:17" x14ac:dyDescent="0.25">
      <c r="A4" t="s">
        <v>42</v>
      </c>
      <c r="B4" t="s">
        <v>40</v>
      </c>
      <c r="E4" t="s">
        <v>41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</row>
    <row r="5" spans="1:17" x14ac:dyDescent="0.25">
      <c r="A5" t="s">
        <v>40</v>
      </c>
      <c r="B5" t="s">
        <v>40</v>
      </c>
      <c r="E5" t="s">
        <v>43</v>
      </c>
      <c r="F5" t="s">
        <v>40</v>
      </c>
      <c r="G5" t="s">
        <v>40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 t="s">
        <v>40</v>
      </c>
      <c r="Q5" t="s">
        <v>40</v>
      </c>
    </row>
    <row r="6" spans="1:17" x14ac:dyDescent="0.25">
      <c r="A6" t="s">
        <v>44</v>
      </c>
      <c r="B6" t="s">
        <v>40</v>
      </c>
      <c r="E6" t="s">
        <v>45</v>
      </c>
      <c r="F6">
        <v>405.649</v>
      </c>
      <c r="G6">
        <v>389.46100000000001</v>
      </c>
      <c r="H6">
        <v>364.70300000000003</v>
      </c>
      <c r="I6">
        <v>344.37299999999999</v>
      </c>
      <c r="J6">
        <v>331.84399999999999</v>
      </c>
      <c r="K6">
        <v>335.50700000000001</v>
      </c>
      <c r="L6">
        <v>405.649</v>
      </c>
      <c r="M6">
        <v>389.46100000000001</v>
      </c>
      <c r="N6">
        <v>364.70299999999997</v>
      </c>
      <c r="O6">
        <v>344.37299999999999</v>
      </c>
      <c r="P6">
        <v>331.84399999999999</v>
      </c>
      <c r="Q6">
        <v>335.50700000000001</v>
      </c>
    </row>
    <row r="7" spans="1:17" x14ac:dyDescent="0.25">
      <c r="A7" t="s">
        <v>46</v>
      </c>
      <c r="B7" t="s">
        <v>40</v>
      </c>
      <c r="E7" t="s">
        <v>43</v>
      </c>
      <c r="F7">
        <v>31.251999999999999</v>
      </c>
      <c r="G7">
        <v>28.86</v>
      </c>
      <c r="H7">
        <v>25.870999999999999</v>
      </c>
      <c r="I7">
        <v>23.323</v>
      </c>
      <c r="J7">
        <v>21.568000000000001</v>
      </c>
      <c r="K7">
        <v>19.097999999999999</v>
      </c>
      <c r="L7">
        <v>31.251999999999999</v>
      </c>
      <c r="M7">
        <v>28.86</v>
      </c>
      <c r="N7">
        <v>25.870999999999999</v>
      </c>
      <c r="O7">
        <v>23.323</v>
      </c>
      <c r="P7">
        <v>21.568000000000001</v>
      </c>
      <c r="Q7">
        <v>19.097999999999999</v>
      </c>
    </row>
    <row r="8" spans="1:17" x14ac:dyDescent="0.25">
      <c r="A8" t="s">
        <v>47</v>
      </c>
      <c r="B8" t="s">
        <v>40</v>
      </c>
      <c r="E8" t="s">
        <v>43</v>
      </c>
      <c r="F8">
        <v>22.356000000000002</v>
      </c>
      <c r="G8">
        <v>21.13</v>
      </c>
      <c r="H8">
        <v>18.995000000000001</v>
      </c>
      <c r="I8">
        <v>17.995999999999999</v>
      </c>
      <c r="J8">
        <v>16.37</v>
      </c>
      <c r="K8">
        <v>15.919</v>
      </c>
      <c r="L8">
        <v>22.356000000000002</v>
      </c>
      <c r="M8">
        <v>21.13</v>
      </c>
      <c r="N8">
        <v>18.995000000000001</v>
      </c>
      <c r="O8">
        <v>17.995999999999999</v>
      </c>
      <c r="P8">
        <v>16.37</v>
      </c>
      <c r="Q8">
        <v>15.919</v>
      </c>
    </row>
    <row r="9" spans="1:17" x14ac:dyDescent="0.25">
      <c r="A9" t="s">
        <v>48</v>
      </c>
      <c r="B9" t="s">
        <v>40</v>
      </c>
      <c r="E9" t="s">
        <v>43</v>
      </c>
      <c r="F9">
        <v>17.173999999999999</v>
      </c>
      <c r="G9">
        <v>15.228</v>
      </c>
      <c r="H9">
        <v>13.651</v>
      </c>
      <c r="I9">
        <v>12.378</v>
      </c>
      <c r="J9">
        <v>11.443</v>
      </c>
      <c r="K9">
        <v>9.9969999999999999</v>
      </c>
      <c r="L9">
        <v>17.173999999999999</v>
      </c>
      <c r="M9">
        <v>15.228</v>
      </c>
      <c r="N9">
        <v>13.651</v>
      </c>
      <c r="O9">
        <v>12.378</v>
      </c>
      <c r="P9">
        <v>11.443</v>
      </c>
      <c r="Q9">
        <v>9.9969999999999999</v>
      </c>
    </row>
    <row r="10" spans="1:17" x14ac:dyDescent="0.25">
      <c r="A10" t="s">
        <v>49</v>
      </c>
      <c r="B10" t="s">
        <v>40</v>
      </c>
      <c r="E10" t="s">
        <v>43</v>
      </c>
      <c r="F10">
        <v>12.023999999999999</v>
      </c>
      <c r="G10">
        <v>11.56</v>
      </c>
      <c r="H10">
        <v>11.108000000000001</v>
      </c>
      <c r="I10">
        <v>11.254</v>
      </c>
      <c r="J10">
        <v>11.218</v>
      </c>
      <c r="K10">
        <v>12.765000000000001</v>
      </c>
      <c r="L10">
        <v>12.023999999999999</v>
      </c>
      <c r="M10">
        <v>11.56</v>
      </c>
      <c r="N10">
        <v>11.108000000000001</v>
      </c>
      <c r="O10">
        <v>11.254</v>
      </c>
      <c r="P10">
        <v>11.218</v>
      </c>
      <c r="Q10">
        <v>12.765000000000001</v>
      </c>
    </row>
    <row r="11" spans="1:17" x14ac:dyDescent="0.25">
      <c r="A11" t="s">
        <v>50</v>
      </c>
      <c r="B11" t="s">
        <v>40</v>
      </c>
      <c r="E11" t="s">
        <v>43</v>
      </c>
      <c r="F11">
        <v>11.506</v>
      </c>
      <c r="G11">
        <v>10.965</v>
      </c>
      <c r="H11">
        <v>10.182</v>
      </c>
      <c r="I11">
        <v>9.3239999999999998</v>
      </c>
      <c r="J11">
        <v>8.6760000000000002</v>
      </c>
      <c r="K11">
        <v>7.9889999999999999</v>
      </c>
      <c r="L11">
        <v>11.506</v>
      </c>
      <c r="M11">
        <v>10.965</v>
      </c>
      <c r="N11">
        <v>10.182</v>
      </c>
      <c r="O11">
        <v>9.3239999999999998</v>
      </c>
      <c r="P11">
        <v>8.6760000000000002</v>
      </c>
      <c r="Q11">
        <v>7.9889999999999999</v>
      </c>
    </row>
    <row r="12" spans="1:17" x14ac:dyDescent="0.25">
      <c r="A12" t="s">
        <v>51</v>
      </c>
      <c r="B12" t="s">
        <v>40</v>
      </c>
      <c r="E12" t="s">
        <v>43</v>
      </c>
      <c r="F12">
        <v>9.4459999999999997</v>
      </c>
      <c r="G12">
        <v>8.9570000000000007</v>
      </c>
      <c r="H12">
        <v>8.14</v>
      </c>
      <c r="I12">
        <v>7.6449999999999996</v>
      </c>
      <c r="J12">
        <v>7.0309999999999997</v>
      </c>
      <c r="K12">
        <v>7.0810000000000004</v>
      </c>
      <c r="L12">
        <v>9.4459999999999997</v>
      </c>
      <c r="M12">
        <v>8.9570000000000007</v>
      </c>
      <c r="N12">
        <v>8.14</v>
      </c>
      <c r="O12">
        <v>7.6449999999999996</v>
      </c>
      <c r="P12">
        <v>7.0309999999999997</v>
      </c>
      <c r="Q12">
        <v>7.0810000000000004</v>
      </c>
    </row>
    <row r="13" spans="1:17" x14ac:dyDescent="0.25">
      <c r="A13" t="s">
        <v>52</v>
      </c>
      <c r="B13" t="s">
        <v>40</v>
      </c>
      <c r="E13" t="s">
        <v>43</v>
      </c>
      <c r="F13">
        <v>9.375</v>
      </c>
      <c r="G13">
        <v>8.7899999999999991</v>
      </c>
      <c r="H13">
        <v>7.7850000000000001</v>
      </c>
      <c r="I13">
        <v>6.8479999999999999</v>
      </c>
      <c r="J13">
        <v>6.3650000000000002</v>
      </c>
      <c r="K13">
        <v>5.9550000000000001</v>
      </c>
      <c r="L13">
        <v>9.375</v>
      </c>
      <c r="M13">
        <v>8.7899999999999991</v>
      </c>
      <c r="N13">
        <v>7.7850000000000001</v>
      </c>
      <c r="O13">
        <v>6.8479999999999999</v>
      </c>
      <c r="P13">
        <v>6.3650000000000002</v>
      </c>
      <c r="Q13">
        <v>5.9550000000000001</v>
      </c>
    </row>
    <row r="14" spans="1:17" x14ac:dyDescent="0.25">
      <c r="A14" t="s">
        <v>53</v>
      </c>
      <c r="B14" t="s">
        <v>40</v>
      </c>
      <c r="E14" t="s">
        <v>43</v>
      </c>
      <c r="F14">
        <v>7.2990000000000004</v>
      </c>
      <c r="G14">
        <v>6.766</v>
      </c>
      <c r="H14">
        <v>6.5250000000000004</v>
      </c>
      <c r="I14">
        <v>5.6970000000000001</v>
      </c>
      <c r="J14">
        <v>4.8540000000000001</v>
      </c>
      <c r="K14">
        <v>4.9370000000000003</v>
      </c>
      <c r="L14">
        <v>7.2990000000000004</v>
      </c>
      <c r="M14">
        <v>6.766</v>
      </c>
      <c r="N14">
        <v>6.5250000000000004</v>
      </c>
      <c r="O14">
        <v>5.6970000000000001</v>
      </c>
      <c r="P14">
        <v>4.8540000000000001</v>
      </c>
      <c r="Q14">
        <v>4.9370000000000003</v>
      </c>
    </row>
    <row r="15" spans="1:17" x14ac:dyDescent="0.25">
      <c r="A15" t="s">
        <v>54</v>
      </c>
      <c r="B15" t="s">
        <v>40</v>
      </c>
      <c r="E15" t="s">
        <v>43</v>
      </c>
      <c r="F15">
        <v>7.0640000000000001</v>
      </c>
      <c r="G15">
        <v>6.3650000000000002</v>
      </c>
      <c r="H15">
        <v>5.3460000000000001</v>
      </c>
      <c r="I15" t="s">
        <v>40</v>
      </c>
      <c r="J15" t="s">
        <v>40</v>
      </c>
      <c r="K15" t="s">
        <v>40</v>
      </c>
      <c r="L15">
        <v>7.0640000000000001</v>
      </c>
      <c r="M15">
        <v>6.3650000000000002</v>
      </c>
      <c r="N15">
        <v>5.3460000000000001</v>
      </c>
      <c r="O15" t="s">
        <v>40</v>
      </c>
      <c r="P15" t="s">
        <v>40</v>
      </c>
      <c r="Q15" t="s">
        <v>40</v>
      </c>
    </row>
    <row r="16" spans="1:17" x14ac:dyDescent="0.25">
      <c r="A16" t="s">
        <v>55</v>
      </c>
      <c r="B16" t="s">
        <v>40</v>
      </c>
      <c r="E16" t="s">
        <v>43</v>
      </c>
      <c r="F16">
        <v>6.391</v>
      </c>
      <c r="G16">
        <v>6.069</v>
      </c>
      <c r="H16">
        <v>5.6559999999999997</v>
      </c>
      <c r="I16" t="s">
        <v>40</v>
      </c>
      <c r="J16" t="s">
        <v>40</v>
      </c>
      <c r="K16" t="s">
        <v>40</v>
      </c>
      <c r="L16">
        <v>6.391</v>
      </c>
      <c r="M16">
        <v>6.069</v>
      </c>
      <c r="N16">
        <v>5.6559999999999997</v>
      </c>
      <c r="O16" t="s">
        <v>40</v>
      </c>
      <c r="P16" t="s">
        <v>40</v>
      </c>
      <c r="Q16" t="s">
        <v>40</v>
      </c>
    </row>
    <row r="17" spans="1:17" x14ac:dyDescent="0.25">
      <c r="A17" t="s">
        <v>56</v>
      </c>
      <c r="B17" t="s">
        <v>57</v>
      </c>
      <c r="E17" t="s">
        <v>43</v>
      </c>
      <c r="F17">
        <v>6.2670000000000003</v>
      </c>
      <c r="G17">
        <v>5.9720000000000004</v>
      </c>
      <c r="H17">
        <v>5.87</v>
      </c>
      <c r="I17" t="s">
        <v>40</v>
      </c>
      <c r="J17" t="s">
        <v>40</v>
      </c>
      <c r="K17" t="s">
        <v>40</v>
      </c>
      <c r="L17">
        <v>6.2670000000000003</v>
      </c>
      <c r="M17">
        <v>5.9720000000000004</v>
      </c>
      <c r="N17">
        <v>5.87</v>
      </c>
      <c r="O17" t="s">
        <v>40</v>
      </c>
      <c r="P17" t="s">
        <v>40</v>
      </c>
      <c r="Q17" t="s">
        <v>40</v>
      </c>
    </row>
    <row r="18" spans="1:17" x14ac:dyDescent="0.25">
      <c r="A18" t="s">
        <v>58</v>
      </c>
      <c r="B18" t="s">
        <v>40</v>
      </c>
      <c r="E18" t="s">
        <v>43</v>
      </c>
      <c r="F18">
        <v>5.9809999999999999</v>
      </c>
      <c r="G18">
        <v>5.67</v>
      </c>
      <c r="H18">
        <v>4.9829999999999997</v>
      </c>
      <c r="I18" t="s">
        <v>40</v>
      </c>
      <c r="J18" t="s">
        <v>40</v>
      </c>
      <c r="K18" t="s">
        <v>40</v>
      </c>
      <c r="L18">
        <v>5.9809999999999999</v>
      </c>
      <c r="M18">
        <v>5.67</v>
      </c>
      <c r="N18">
        <v>4.9829999999999997</v>
      </c>
      <c r="O18" t="s">
        <v>40</v>
      </c>
      <c r="P18" t="s">
        <v>40</v>
      </c>
      <c r="Q18" t="s">
        <v>40</v>
      </c>
    </row>
    <row r="19" spans="1:17" x14ac:dyDescent="0.25">
      <c r="A19" t="s">
        <v>59</v>
      </c>
      <c r="B19" t="s">
        <v>40</v>
      </c>
      <c r="E19" t="s">
        <v>43</v>
      </c>
      <c r="F19">
        <v>5.9779999999999998</v>
      </c>
      <c r="G19">
        <v>5.8540000000000001</v>
      </c>
      <c r="H19">
        <v>5.5839999999999996</v>
      </c>
      <c r="I19" t="s">
        <v>40</v>
      </c>
      <c r="J19" t="s">
        <v>40</v>
      </c>
      <c r="K19" t="s">
        <v>40</v>
      </c>
      <c r="L19">
        <v>5.9779999999999998</v>
      </c>
      <c r="M19">
        <v>5.8540000000000001</v>
      </c>
      <c r="N19">
        <v>5.5839999999999996</v>
      </c>
      <c r="O19" t="s">
        <v>40</v>
      </c>
      <c r="P19" t="s">
        <v>40</v>
      </c>
      <c r="Q19" t="s">
        <v>40</v>
      </c>
    </row>
    <row r="20" spans="1:17" x14ac:dyDescent="0.25">
      <c r="A20" t="s">
        <v>60</v>
      </c>
      <c r="B20" t="s">
        <v>61</v>
      </c>
      <c r="E20" t="s">
        <v>43</v>
      </c>
      <c r="F20">
        <v>5.9130000000000003</v>
      </c>
      <c r="G20">
        <v>5.5880000000000001</v>
      </c>
      <c r="H20">
        <v>5.3339999999999996</v>
      </c>
      <c r="I20" t="s">
        <v>40</v>
      </c>
      <c r="J20" t="s">
        <v>40</v>
      </c>
      <c r="K20" t="s">
        <v>40</v>
      </c>
      <c r="L20">
        <v>5.9130000000000003</v>
      </c>
      <c r="M20">
        <v>5.5880000000000001</v>
      </c>
      <c r="N20">
        <v>5.3339999999999996</v>
      </c>
      <c r="O20" t="s">
        <v>40</v>
      </c>
      <c r="P20" t="s">
        <v>40</v>
      </c>
      <c r="Q20" t="s">
        <v>40</v>
      </c>
    </row>
    <row r="21" spans="1:17" x14ac:dyDescent="0.25">
      <c r="A21" t="s">
        <v>62</v>
      </c>
      <c r="B21" t="s">
        <v>63</v>
      </c>
      <c r="E21" t="s">
        <v>43</v>
      </c>
      <c r="F21">
        <v>5.3819999999999997</v>
      </c>
      <c r="G21">
        <v>5.0129999999999999</v>
      </c>
      <c r="H21">
        <v>4.7679999999999998</v>
      </c>
      <c r="I21" t="s">
        <v>40</v>
      </c>
      <c r="J21" t="s">
        <v>40</v>
      </c>
      <c r="K21" t="s">
        <v>40</v>
      </c>
      <c r="L21">
        <v>5.3819999999999997</v>
      </c>
      <c r="M21">
        <v>5.0129999999999999</v>
      </c>
      <c r="N21">
        <v>4.7679999999999998</v>
      </c>
      <c r="O21" t="s">
        <v>40</v>
      </c>
      <c r="P21" t="s">
        <v>40</v>
      </c>
      <c r="Q21" t="s">
        <v>40</v>
      </c>
    </row>
    <row r="22" spans="1:17" x14ac:dyDescent="0.25">
      <c r="A22" t="s">
        <v>64</v>
      </c>
      <c r="B22" t="s">
        <v>40</v>
      </c>
      <c r="E22" t="s">
        <v>43</v>
      </c>
      <c r="F22">
        <v>5.1189999999999998</v>
      </c>
      <c r="G22">
        <v>5.2750000000000004</v>
      </c>
      <c r="H22">
        <v>5.1669999999999998</v>
      </c>
      <c r="I22" t="s">
        <v>40</v>
      </c>
      <c r="J22" t="s">
        <v>40</v>
      </c>
      <c r="K22" t="s">
        <v>40</v>
      </c>
      <c r="L22">
        <v>5.1189999999999998</v>
      </c>
      <c r="M22">
        <v>5.2750000000000004</v>
      </c>
      <c r="N22">
        <v>5.1669999999999998</v>
      </c>
      <c r="O22" t="s">
        <v>40</v>
      </c>
      <c r="P22" t="s">
        <v>40</v>
      </c>
      <c r="Q22" t="s">
        <v>40</v>
      </c>
    </row>
    <row r="23" spans="1:17" x14ac:dyDescent="0.25">
      <c r="A23" t="s">
        <v>65</v>
      </c>
      <c r="B23" t="s">
        <v>66</v>
      </c>
      <c r="E23" t="s">
        <v>43</v>
      </c>
      <c r="F23">
        <v>4.8239999999999998</v>
      </c>
      <c r="G23">
        <v>4.5869999999999997</v>
      </c>
      <c r="H23">
        <v>4.202</v>
      </c>
      <c r="I23" t="s">
        <v>40</v>
      </c>
      <c r="J23" t="s">
        <v>40</v>
      </c>
      <c r="K23" t="s">
        <v>40</v>
      </c>
      <c r="L23">
        <v>4.8239999999999998</v>
      </c>
      <c r="M23">
        <v>4.5869999999999997</v>
      </c>
      <c r="N23">
        <v>4.202</v>
      </c>
      <c r="O23" t="s">
        <v>40</v>
      </c>
      <c r="P23" t="s">
        <v>40</v>
      </c>
      <c r="Q23" t="s">
        <v>40</v>
      </c>
    </row>
    <row r="24" spans="1:17" x14ac:dyDescent="0.25">
      <c r="A24" t="s">
        <v>67</v>
      </c>
      <c r="B24" t="s">
        <v>68</v>
      </c>
      <c r="E24" t="s">
        <v>43</v>
      </c>
      <c r="F24">
        <v>4.5880000000000001</v>
      </c>
      <c r="G24">
        <v>4.3120000000000003</v>
      </c>
      <c r="H24">
        <v>3.8149999999999999</v>
      </c>
      <c r="I24" t="s">
        <v>40</v>
      </c>
      <c r="J24" t="s">
        <v>40</v>
      </c>
      <c r="K24" t="s">
        <v>40</v>
      </c>
      <c r="L24">
        <v>4.5880000000000001</v>
      </c>
      <c r="M24">
        <v>4.3120000000000003</v>
      </c>
      <c r="N24">
        <v>3.8149999999999999</v>
      </c>
      <c r="O24" t="s">
        <v>40</v>
      </c>
      <c r="P24" t="s">
        <v>40</v>
      </c>
      <c r="Q24" t="s">
        <v>40</v>
      </c>
    </row>
    <row r="25" spans="1:17" x14ac:dyDescent="0.25">
      <c r="A25" t="s">
        <v>69</v>
      </c>
      <c r="B25" t="s">
        <v>70</v>
      </c>
      <c r="E25" t="s">
        <v>43</v>
      </c>
      <c r="F25">
        <v>4.1260000000000003</v>
      </c>
      <c r="G25">
        <v>4.0579999999999998</v>
      </c>
      <c r="H25">
        <v>3.9329999999999998</v>
      </c>
      <c r="I25" t="s">
        <v>40</v>
      </c>
      <c r="J25" t="s">
        <v>40</v>
      </c>
      <c r="K25" t="s">
        <v>40</v>
      </c>
      <c r="L25">
        <v>4.1260000000000003</v>
      </c>
      <c r="M25">
        <v>4.0579999999999998</v>
      </c>
      <c r="N25">
        <v>3.9329999999999998</v>
      </c>
      <c r="O25" t="s">
        <v>40</v>
      </c>
      <c r="P25" t="s">
        <v>40</v>
      </c>
      <c r="Q25" t="s">
        <v>40</v>
      </c>
    </row>
    <row r="26" spans="1:17" x14ac:dyDescent="0.25">
      <c r="A26" t="s">
        <v>71</v>
      </c>
      <c r="B26" t="s">
        <v>72</v>
      </c>
      <c r="E26" t="s">
        <v>43</v>
      </c>
      <c r="F26">
        <v>3.8079999999999998</v>
      </c>
      <c r="G26">
        <v>3.4529999999999998</v>
      </c>
      <c r="H26">
        <v>3.431</v>
      </c>
      <c r="I26" t="s">
        <v>40</v>
      </c>
      <c r="J26" t="s">
        <v>40</v>
      </c>
      <c r="K26" t="s">
        <v>40</v>
      </c>
      <c r="L26">
        <v>3.8079999999999998</v>
      </c>
      <c r="M26">
        <v>3.4529999999999998</v>
      </c>
      <c r="N26">
        <v>3.431</v>
      </c>
      <c r="O26" t="s">
        <v>40</v>
      </c>
      <c r="P26" t="s">
        <v>40</v>
      </c>
      <c r="Q26" t="s">
        <v>40</v>
      </c>
    </row>
    <row r="27" spans="1:17" x14ac:dyDescent="0.25">
      <c r="A27" t="s">
        <v>73</v>
      </c>
      <c r="B27" t="s">
        <v>40</v>
      </c>
      <c r="E27" t="s">
        <v>43</v>
      </c>
      <c r="F27">
        <v>219.77600000000001</v>
      </c>
      <c r="G27">
        <v>214.989</v>
      </c>
      <c r="H27">
        <v>204.357</v>
      </c>
      <c r="I27">
        <v>249.90799999999999</v>
      </c>
      <c r="J27">
        <v>244.31899999999999</v>
      </c>
      <c r="K27">
        <v>251.76599999999999</v>
      </c>
      <c r="L27">
        <v>219.77600000000001</v>
      </c>
      <c r="M27">
        <v>214.989</v>
      </c>
      <c r="N27">
        <v>204.357</v>
      </c>
      <c r="O27">
        <v>249.90799999999999</v>
      </c>
      <c r="P27">
        <v>244.31899999999999</v>
      </c>
      <c r="Q27">
        <v>251.76599999999999</v>
      </c>
    </row>
    <row r="28" spans="1:17" x14ac:dyDescent="0.25">
      <c r="A28" t="s">
        <v>74</v>
      </c>
      <c r="B28" t="s">
        <v>40</v>
      </c>
      <c r="E28" t="s">
        <v>43</v>
      </c>
      <c r="F28" t="s">
        <v>40</v>
      </c>
      <c r="G28" t="s">
        <v>40</v>
      </c>
      <c r="H28" t="s">
        <v>40</v>
      </c>
      <c r="I28" t="s">
        <v>40</v>
      </c>
      <c r="J28" t="s">
        <v>40</v>
      </c>
      <c r="K28" t="s">
        <v>40</v>
      </c>
      <c r="L28" t="s">
        <v>40</v>
      </c>
      <c r="M28" t="s">
        <v>40</v>
      </c>
      <c r="N28" t="s">
        <v>40</v>
      </c>
      <c r="O28" t="s">
        <v>40</v>
      </c>
      <c r="P28" t="s">
        <v>40</v>
      </c>
      <c r="Q28" t="s">
        <v>40</v>
      </c>
    </row>
    <row r="29" spans="1:17" x14ac:dyDescent="0.25">
      <c r="A29" t="s">
        <v>75</v>
      </c>
      <c r="B29" t="s">
        <v>40</v>
      </c>
      <c r="E29" t="s">
        <v>45</v>
      </c>
      <c r="F29">
        <v>159.53299999999999</v>
      </c>
      <c r="G29">
        <v>157.51299999999998</v>
      </c>
      <c r="H29">
        <v>152.40300000000002</v>
      </c>
      <c r="I29">
        <v>148.703</v>
      </c>
      <c r="J29">
        <v>146.577</v>
      </c>
      <c r="K29">
        <v>152.77700000000002</v>
      </c>
      <c r="L29">
        <v>159.53299999999999</v>
      </c>
      <c r="M29">
        <v>157.51300000000001</v>
      </c>
      <c r="N29">
        <v>152.40299999999999</v>
      </c>
      <c r="O29">
        <v>148.703</v>
      </c>
      <c r="P29">
        <v>146.577</v>
      </c>
      <c r="Q29">
        <v>152.77699999999999</v>
      </c>
    </row>
    <row r="30" spans="1:17" x14ac:dyDescent="0.25">
      <c r="A30" t="s">
        <v>49</v>
      </c>
      <c r="B30" t="s">
        <v>40</v>
      </c>
      <c r="E30" t="s">
        <v>43</v>
      </c>
      <c r="F30">
        <v>11.951000000000001</v>
      </c>
      <c r="G30">
        <v>12.254</v>
      </c>
      <c r="H30">
        <v>12.523</v>
      </c>
      <c r="I30">
        <v>12.933999999999999</v>
      </c>
      <c r="J30">
        <v>13.510999999999999</v>
      </c>
      <c r="K30">
        <v>14.787000000000001</v>
      </c>
      <c r="L30">
        <v>11.951000000000001</v>
      </c>
      <c r="M30">
        <v>12.254</v>
      </c>
      <c r="N30">
        <v>12.523</v>
      </c>
      <c r="O30">
        <v>12.933999999999999</v>
      </c>
      <c r="P30">
        <v>13.510999999999999</v>
      </c>
      <c r="Q30">
        <v>14.787000000000001</v>
      </c>
    </row>
    <row r="31" spans="1:17" x14ac:dyDescent="0.25">
      <c r="A31" t="s">
        <v>76</v>
      </c>
      <c r="B31" t="s">
        <v>40</v>
      </c>
      <c r="E31" t="s">
        <v>43</v>
      </c>
      <c r="F31">
        <v>10.074</v>
      </c>
      <c r="G31">
        <v>9.2829999999999995</v>
      </c>
      <c r="H31">
        <v>9.1660000000000004</v>
      </c>
      <c r="I31">
        <v>9.6199999999999992</v>
      </c>
      <c r="J31">
        <v>9.798</v>
      </c>
      <c r="K31">
        <v>9.5630000000000006</v>
      </c>
      <c r="L31">
        <v>10.074</v>
      </c>
      <c r="M31">
        <v>9.2829999999999995</v>
      </c>
      <c r="N31">
        <v>9.1660000000000004</v>
      </c>
      <c r="O31">
        <v>9.6199999999999992</v>
      </c>
      <c r="P31">
        <v>9.798</v>
      </c>
      <c r="Q31">
        <v>9.5630000000000006</v>
      </c>
    </row>
    <row r="32" spans="1:17" x14ac:dyDescent="0.25">
      <c r="A32" t="s">
        <v>77</v>
      </c>
      <c r="B32" t="s">
        <v>40</v>
      </c>
      <c r="E32" t="s">
        <v>43</v>
      </c>
      <c r="F32">
        <v>9.843</v>
      </c>
      <c r="G32">
        <v>9.68</v>
      </c>
      <c r="H32">
        <v>9.4290000000000003</v>
      </c>
      <c r="I32">
        <v>9.3550000000000004</v>
      </c>
      <c r="J32">
        <v>8.3019999999999996</v>
      </c>
      <c r="K32">
        <v>8.5030000000000001</v>
      </c>
      <c r="L32">
        <v>9.843</v>
      </c>
      <c r="M32">
        <v>9.68</v>
      </c>
      <c r="N32">
        <v>9.4290000000000003</v>
      </c>
      <c r="O32">
        <v>9.3550000000000004</v>
      </c>
      <c r="P32">
        <v>8.3019999999999996</v>
      </c>
      <c r="Q32">
        <v>8.5030000000000001</v>
      </c>
    </row>
    <row r="33" spans="1:17" x14ac:dyDescent="0.25">
      <c r="A33" t="s">
        <v>78</v>
      </c>
      <c r="B33" t="s">
        <v>40</v>
      </c>
      <c r="E33" t="s">
        <v>43</v>
      </c>
      <c r="F33">
        <v>6.35</v>
      </c>
      <c r="G33">
        <v>6.2380000000000004</v>
      </c>
      <c r="H33">
        <v>6.3929999999999998</v>
      </c>
      <c r="I33">
        <v>6.33</v>
      </c>
      <c r="J33">
        <v>6.4189999999999996</v>
      </c>
      <c r="K33">
        <v>6.5830000000000002</v>
      </c>
      <c r="L33">
        <v>6.35</v>
      </c>
      <c r="M33">
        <v>6.2380000000000004</v>
      </c>
      <c r="N33">
        <v>6.3929999999999998</v>
      </c>
      <c r="O33">
        <v>6.33</v>
      </c>
      <c r="P33">
        <v>6.4189999999999996</v>
      </c>
      <c r="Q33">
        <v>6.5830000000000002</v>
      </c>
    </row>
    <row r="34" spans="1:17" x14ac:dyDescent="0.25">
      <c r="A34" t="s">
        <v>79</v>
      </c>
      <c r="B34" t="s">
        <v>40</v>
      </c>
      <c r="E34" t="s">
        <v>43</v>
      </c>
      <c r="F34">
        <v>5.8330000000000002</v>
      </c>
      <c r="G34">
        <v>6.0970000000000004</v>
      </c>
      <c r="H34">
        <v>7.17</v>
      </c>
      <c r="I34">
        <v>8.5950000000000006</v>
      </c>
      <c r="J34">
        <v>9.1999999999999993</v>
      </c>
      <c r="K34">
        <v>10.036</v>
      </c>
      <c r="L34">
        <v>5.8330000000000002</v>
      </c>
      <c r="M34">
        <v>6.0970000000000004</v>
      </c>
      <c r="N34">
        <v>7.17</v>
      </c>
      <c r="O34">
        <v>8.5950000000000006</v>
      </c>
      <c r="P34">
        <v>9.1999999999999993</v>
      </c>
      <c r="Q34">
        <v>10.036</v>
      </c>
    </row>
    <row r="35" spans="1:17" x14ac:dyDescent="0.25">
      <c r="A35" t="s">
        <v>80</v>
      </c>
      <c r="B35" t="s">
        <v>40</v>
      </c>
      <c r="E35" t="s">
        <v>43</v>
      </c>
      <c r="F35">
        <v>4.1180000000000003</v>
      </c>
      <c r="G35">
        <v>4.0679999999999996</v>
      </c>
      <c r="H35">
        <v>3.92</v>
      </c>
      <c r="I35" t="s">
        <v>40</v>
      </c>
      <c r="J35" t="s">
        <v>40</v>
      </c>
      <c r="K35" t="s">
        <v>40</v>
      </c>
      <c r="L35">
        <v>4.1180000000000003</v>
      </c>
      <c r="M35">
        <v>4.0679999999999996</v>
      </c>
      <c r="N35">
        <v>3.92</v>
      </c>
      <c r="O35" t="s">
        <v>40</v>
      </c>
      <c r="P35" t="s">
        <v>40</v>
      </c>
      <c r="Q35" t="s">
        <v>40</v>
      </c>
    </row>
    <row r="36" spans="1:17" x14ac:dyDescent="0.25">
      <c r="A36" t="s">
        <v>55</v>
      </c>
      <c r="B36" t="s">
        <v>40</v>
      </c>
      <c r="E36" t="s">
        <v>43</v>
      </c>
      <c r="F36">
        <v>2.847</v>
      </c>
      <c r="G36">
        <v>2.823</v>
      </c>
      <c r="H36">
        <v>2.758</v>
      </c>
      <c r="I36" t="s">
        <v>40</v>
      </c>
      <c r="J36" t="s">
        <v>40</v>
      </c>
      <c r="K36" t="s">
        <v>40</v>
      </c>
      <c r="L36">
        <v>2.847</v>
      </c>
      <c r="M36">
        <v>2.823</v>
      </c>
      <c r="N36">
        <v>2.758</v>
      </c>
      <c r="O36" t="s">
        <v>40</v>
      </c>
      <c r="P36" t="s">
        <v>40</v>
      </c>
      <c r="Q36" t="s">
        <v>40</v>
      </c>
    </row>
    <row r="37" spans="1:17" x14ac:dyDescent="0.25">
      <c r="A37" t="s">
        <v>56</v>
      </c>
      <c r="B37" t="s">
        <v>57</v>
      </c>
      <c r="E37" t="s">
        <v>43</v>
      </c>
      <c r="F37">
        <v>2.754</v>
      </c>
      <c r="G37">
        <v>2.8479999999999999</v>
      </c>
      <c r="H37">
        <v>2.8380000000000001</v>
      </c>
      <c r="I37" t="s">
        <v>40</v>
      </c>
      <c r="J37" t="s">
        <v>40</v>
      </c>
      <c r="K37" t="s">
        <v>40</v>
      </c>
      <c r="L37">
        <v>2.754</v>
      </c>
      <c r="M37">
        <v>2.8479999999999999</v>
      </c>
      <c r="N37">
        <v>2.8380000000000001</v>
      </c>
      <c r="O37" t="s">
        <v>40</v>
      </c>
      <c r="P37" t="s">
        <v>40</v>
      </c>
      <c r="Q37" t="s">
        <v>40</v>
      </c>
    </row>
    <row r="38" spans="1:17" x14ac:dyDescent="0.25">
      <c r="A38" t="s">
        <v>62</v>
      </c>
      <c r="B38" t="s">
        <v>63</v>
      </c>
      <c r="E38" t="s">
        <v>43</v>
      </c>
      <c r="F38">
        <v>1.879</v>
      </c>
      <c r="G38">
        <v>1.8420000000000001</v>
      </c>
      <c r="H38">
        <v>1.8029999999999999</v>
      </c>
      <c r="I38" t="s">
        <v>40</v>
      </c>
      <c r="J38" t="s">
        <v>40</v>
      </c>
      <c r="K38" t="s">
        <v>40</v>
      </c>
      <c r="L38">
        <v>1.879</v>
      </c>
      <c r="M38">
        <v>1.8420000000000001</v>
      </c>
      <c r="N38">
        <v>1.8029999999999999</v>
      </c>
      <c r="O38" t="s">
        <v>40</v>
      </c>
      <c r="P38" t="s">
        <v>40</v>
      </c>
      <c r="Q38" t="s">
        <v>40</v>
      </c>
    </row>
    <row r="39" spans="1:17" x14ac:dyDescent="0.25">
      <c r="A39" t="s">
        <v>81</v>
      </c>
      <c r="B39" t="s">
        <v>82</v>
      </c>
      <c r="E39" t="s">
        <v>43</v>
      </c>
      <c r="F39">
        <v>1.645</v>
      </c>
      <c r="G39">
        <v>1.5640000000000001</v>
      </c>
      <c r="H39">
        <v>1.5129999999999999</v>
      </c>
      <c r="I39" t="s">
        <v>40</v>
      </c>
      <c r="J39" t="s">
        <v>40</v>
      </c>
      <c r="K39" t="s">
        <v>40</v>
      </c>
      <c r="L39">
        <v>1.645</v>
      </c>
      <c r="M39">
        <v>1.5640000000000001</v>
      </c>
      <c r="N39">
        <v>1.5129999999999999</v>
      </c>
      <c r="O39" t="s">
        <v>40</v>
      </c>
      <c r="P39" t="s">
        <v>40</v>
      </c>
      <c r="Q39" t="s">
        <v>40</v>
      </c>
    </row>
    <row r="40" spans="1:17" x14ac:dyDescent="0.25">
      <c r="A40" t="s">
        <v>83</v>
      </c>
      <c r="B40" t="s">
        <v>84</v>
      </c>
      <c r="E40" t="s">
        <v>43</v>
      </c>
      <c r="F40">
        <v>1.5580000000000001</v>
      </c>
      <c r="G40">
        <v>1.615</v>
      </c>
      <c r="H40">
        <v>1.643</v>
      </c>
      <c r="I40" t="s">
        <v>40</v>
      </c>
      <c r="J40" t="s">
        <v>40</v>
      </c>
      <c r="K40" t="s">
        <v>40</v>
      </c>
      <c r="L40">
        <v>1.5580000000000001</v>
      </c>
      <c r="M40">
        <v>1.615</v>
      </c>
      <c r="N40">
        <v>1.643</v>
      </c>
      <c r="O40" t="s">
        <v>40</v>
      </c>
      <c r="P40" t="s">
        <v>40</v>
      </c>
      <c r="Q40" t="s">
        <v>40</v>
      </c>
    </row>
    <row r="41" spans="1:17" x14ac:dyDescent="0.25">
      <c r="A41" t="s">
        <v>71</v>
      </c>
      <c r="B41" t="s">
        <v>72</v>
      </c>
      <c r="E41" t="s">
        <v>43</v>
      </c>
      <c r="F41">
        <v>1.5429999999999999</v>
      </c>
      <c r="G41">
        <v>1.425</v>
      </c>
      <c r="H41">
        <v>1.43</v>
      </c>
      <c r="I41" t="s">
        <v>40</v>
      </c>
      <c r="J41" t="s">
        <v>40</v>
      </c>
      <c r="K41" t="s">
        <v>40</v>
      </c>
      <c r="L41">
        <v>1.5429999999999999</v>
      </c>
      <c r="M41">
        <v>1.425</v>
      </c>
      <c r="N41">
        <v>1.43</v>
      </c>
      <c r="O41" t="s">
        <v>40</v>
      </c>
      <c r="P41" t="s">
        <v>40</v>
      </c>
      <c r="Q41" t="s">
        <v>40</v>
      </c>
    </row>
    <row r="42" spans="1:17" x14ac:dyDescent="0.25">
      <c r="A42" t="s">
        <v>85</v>
      </c>
      <c r="B42" t="s">
        <v>86</v>
      </c>
      <c r="E42" t="s">
        <v>43</v>
      </c>
      <c r="F42">
        <v>1.254</v>
      </c>
      <c r="G42">
        <v>1.272</v>
      </c>
      <c r="H42">
        <v>1.32</v>
      </c>
      <c r="I42" t="s">
        <v>40</v>
      </c>
      <c r="J42" t="s">
        <v>40</v>
      </c>
      <c r="K42" t="s">
        <v>40</v>
      </c>
      <c r="L42">
        <v>1.254</v>
      </c>
      <c r="M42">
        <v>1.272</v>
      </c>
      <c r="N42">
        <v>1.32</v>
      </c>
      <c r="O42" t="s">
        <v>40</v>
      </c>
      <c r="P42" t="s">
        <v>40</v>
      </c>
      <c r="Q42" t="s">
        <v>40</v>
      </c>
    </row>
    <row r="43" spans="1:17" x14ac:dyDescent="0.25">
      <c r="A43" t="s">
        <v>87</v>
      </c>
      <c r="B43" t="s">
        <v>88</v>
      </c>
      <c r="E43" t="s">
        <v>43</v>
      </c>
      <c r="F43">
        <v>1.194</v>
      </c>
      <c r="G43">
        <v>1.161</v>
      </c>
      <c r="H43">
        <v>0.64</v>
      </c>
      <c r="I43" t="s">
        <v>40</v>
      </c>
      <c r="J43" t="s">
        <v>40</v>
      </c>
      <c r="K43" t="s">
        <v>40</v>
      </c>
      <c r="L43">
        <v>1.194</v>
      </c>
      <c r="M43">
        <v>1.161</v>
      </c>
      <c r="N43">
        <v>0.64</v>
      </c>
      <c r="O43" t="s">
        <v>40</v>
      </c>
      <c r="P43" t="s">
        <v>40</v>
      </c>
      <c r="Q43" t="s">
        <v>40</v>
      </c>
    </row>
    <row r="44" spans="1:17" x14ac:dyDescent="0.25">
      <c r="A44" t="s">
        <v>89</v>
      </c>
      <c r="B44" t="s">
        <v>90</v>
      </c>
      <c r="E44" t="s">
        <v>43</v>
      </c>
      <c r="F44">
        <v>1.1759999999999999</v>
      </c>
      <c r="G44">
        <v>1.0169999999999999</v>
      </c>
      <c r="H44">
        <v>0.93400000000000005</v>
      </c>
      <c r="I44" t="s">
        <v>40</v>
      </c>
      <c r="J44" t="s">
        <v>40</v>
      </c>
      <c r="K44" t="s">
        <v>40</v>
      </c>
      <c r="L44">
        <v>1.1759999999999999</v>
      </c>
      <c r="M44">
        <v>1.0169999999999999</v>
      </c>
      <c r="N44">
        <v>0.93400000000000005</v>
      </c>
      <c r="O44" t="s">
        <v>40</v>
      </c>
      <c r="P44" t="s">
        <v>40</v>
      </c>
      <c r="Q44" t="s">
        <v>40</v>
      </c>
    </row>
    <row r="45" spans="1:17" x14ac:dyDescent="0.25">
      <c r="A45" t="s">
        <v>91</v>
      </c>
      <c r="B45" t="s">
        <v>92</v>
      </c>
      <c r="E45" t="s">
        <v>43</v>
      </c>
      <c r="F45">
        <v>1.1040000000000001</v>
      </c>
      <c r="G45">
        <v>1.0620000000000001</v>
      </c>
      <c r="H45">
        <v>1.0229999999999999</v>
      </c>
      <c r="I45" t="s">
        <v>40</v>
      </c>
      <c r="J45" t="s">
        <v>40</v>
      </c>
      <c r="K45" t="s">
        <v>40</v>
      </c>
      <c r="L45">
        <v>1.1040000000000001</v>
      </c>
      <c r="M45">
        <v>1.0620000000000001</v>
      </c>
      <c r="N45">
        <v>1.0229999999999999</v>
      </c>
      <c r="O45" t="s">
        <v>40</v>
      </c>
      <c r="P45" t="s">
        <v>40</v>
      </c>
      <c r="Q45" t="s">
        <v>40</v>
      </c>
    </row>
    <row r="46" spans="1:17" x14ac:dyDescent="0.25">
      <c r="A46" t="s">
        <v>93</v>
      </c>
      <c r="B46" t="s">
        <v>94</v>
      </c>
      <c r="E46" t="s">
        <v>43</v>
      </c>
      <c r="F46">
        <v>1.077</v>
      </c>
      <c r="G46">
        <v>1.036</v>
      </c>
      <c r="H46">
        <v>1.17</v>
      </c>
      <c r="I46" t="s">
        <v>40</v>
      </c>
      <c r="J46" t="s">
        <v>40</v>
      </c>
      <c r="K46" t="s">
        <v>40</v>
      </c>
      <c r="L46">
        <v>1.077</v>
      </c>
      <c r="M46">
        <v>1.036</v>
      </c>
      <c r="N46">
        <v>1.17</v>
      </c>
      <c r="O46" t="s">
        <v>40</v>
      </c>
      <c r="P46" t="s">
        <v>40</v>
      </c>
      <c r="Q46" t="s">
        <v>40</v>
      </c>
    </row>
    <row r="47" spans="1:17" x14ac:dyDescent="0.25">
      <c r="A47" t="s">
        <v>95</v>
      </c>
      <c r="B47" t="s">
        <v>96</v>
      </c>
      <c r="E47" t="s">
        <v>43</v>
      </c>
      <c r="F47">
        <v>0.97299999999999998</v>
      </c>
      <c r="G47">
        <v>0.91400000000000003</v>
      </c>
      <c r="H47">
        <v>0.82499999999999996</v>
      </c>
      <c r="I47" t="s">
        <v>40</v>
      </c>
      <c r="J47" t="s">
        <v>40</v>
      </c>
      <c r="K47" t="s">
        <v>40</v>
      </c>
      <c r="L47">
        <v>0.97299999999999998</v>
      </c>
      <c r="M47">
        <v>0.91400000000000003</v>
      </c>
      <c r="N47">
        <v>0.82499999999999996</v>
      </c>
      <c r="O47" t="s">
        <v>40</v>
      </c>
      <c r="P47" t="s">
        <v>40</v>
      </c>
      <c r="Q47" t="s">
        <v>40</v>
      </c>
    </row>
    <row r="48" spans="1:17" x14ac:dyDescent="0.25">
      <c r="A48" t="s">
        <v>97</v>
      </c>
      <c r="B48" t="s">
        <v>98</v>
      </c>
      <c r="E48" t="s">
        <v>43</v>
      </c>
      <c r="F48">
        <v>0.82099999999999995</v>
      </c>
      <c r="G48">
        <v>0.86699999999999999</v>
      </c>
      <c r="H48">
        <v>0.92</v>
      </c>
      <c r="I48" t="s">
        <v>40</v>
      </c>
      <c r="J48" t="s">
        <v>40</v>
      </c>
      <c r="K48" t="s">
        <v>40</v>
      </c>
      <c r="L48">
        <v>0.82099999999999995</v>
      </c>
      <c r="M48">
        <v>0.86699999999999999</v>
      </c>
      <c r="N48">
        <v>0.92</v>
      </c>
      <c r="O48" t="s">
        <v>40</v>
      </c>
      <c r="P48" t="s">
        <v>40</v>
      </c>
      <c r="Q48" t="s">
        <v>40</v>
      </c>
    </row>
    <row r="49" spans="1:17" x14ac:dyDescent="0.25">
      <c r="A49" t="s">
        <v>99</v>
      </c>
      <c r="B49" t="s">
        <v>100</v>
      </c>
      <c r="E49" t="s">
        <v>43</v>
      </c>
      <c r="F49">
        <v>0.749</v>
      </c>
      <c r="G49">
        <v>0.70699999999999996</v>
      </c>
      <c r="H49">
        <v>0.65</v>
      </c>
      <c r="I49" t="s">
        <v>40</v>
      </c>
      <c r="J49" t="s">
        <v>40</v>
      </c>
      <c r="K49" t="s">
        <v>40</v>
      </c>
      <c r="L49">
        <v>0.749</v>
      </c>
      <c r="M49">
        <v>0.70699999999999996</v>
      </c>
      <c r="N49">
        <v>0.65</v>
      </c>
      <c r="O49" t="s">
        <v>40</v>
      </c>
      <c r="P49" t="s">
        <v>40</v>
      </c>
      <c r="Q49" t="s">
        <v>40</v>
      </c>
    </row>
    <row r="50" spans="1:17" x14ac:dyDescent="0.25">
      <c r="A50" t="s">
        <v>73</v>
      </c>
      <c r="B50" t="s">
        <v>40</v>
      </c>
      <c r="E50" t="s">
        <v>43</v>
      </c>
      <c r="F50">
        <v>90.79</v>
      </c>
      <c r="G50">
        <v>89.74</v>
      </c>
      <c r="H50">
        <v>84.334999999999994</v>
      </c>
      <c r="I50">
        <v>101.869</v>
      </c>
      <c r="J50">
        <v>99.346999999999994</v>
      </c>
      <c r="K50">
        <v>103.30500000000001</v>
      </c>
      <c r="L50">
        <v>90.79</v>
      </c>
      <c r="M50">
        <v>89.74</v>
      </c>
      <c r="N50">
        <v>84.334999999999994</v>
      </c>
      <c r="O50">
        <v>101.869</v>
      </c>
      <c r="P50">
        <v>99.346999999999994</v>
      </c>
      <c r="Q50">
        <v>103.30500000000001</v>
      </c>
    </row>
    <row r="51" spans="1:17" x14ac:dyDescent="0.25">
      <c r="A51" t="s">
        <v>101</v>
      </c>
      <c r="B51" t="s">
        <v>40</v>
      </c>
      <c r="E51" t="s">
        <v>45</v>
      </c>
      <c r="F51">
        <v>491.322</v>
      </c>
      <c r="G51">
        <v>481.17099999999994</v>
      </c>
      <c r="H51">
        <v>461.66799999999995</v>
      </c>
      <c r="I51">
        <v>444.66699999999997</v>
      </c>
      <c r="J51">
        <v>434.52700000000004</v>
      </c>
      <c r="K51">
        <v>435.476</v>
      </c>
      <c r="L51">
        <v>491.322</v>
      </c>
      <c r="M51">
        <v>481.17099999999999</v>
      </c>
      <c r="N51">
        <v>461.66800000000001</v>
      </c>
      <c r="O51">
        <v>444.66699999999997</v>
      </c>
      <c r="P51">
        <v>434.52699999999999</v>
      </c>
      <c r="Q51">
        <v>435.476</v>
      </c>
    </row>
    <row r="52" spans="1:17" x14ac:dyDescent="0.25">
      <c r="A52" t="s">
        <v>49</v>
      </c>
      <c r="B52" t="s">
        <v>40</v>
      </c>
      <c r="E52" t="s">
        <v>43</v>
      </c>
      <c r="F52">
        <v>24.343</v>
      </c>
      <c r="G52">
        <v>25.181999999999999</v>
      </c>
      <c r="H52">
        <v>25.369</v>
      </c>
      <c r="I52">
        <v>25.605</v>
      </c>
      <c r="J52">
        <v>25.602</v>
      </c>
      <c r="K52">
        <v>28.488</v>
      </c>
      <c r="L52">
        <v>24.343</v>
      </c>
      <c r="M52">
        <v>25.181999999999999</v>
      </c>
      <c r="N52">
        <v>25.369</v>
      </c>
      <c r="O52">
        <v>25.605</v>
      </c>
      <c r="P52">
        <v>25.602</v>
      </c>
      <c r="Q52">
        <v>28.488</v>
      </c>
    </row>
    <row r="53" spans="1:17" x14ac:dyDescent="0.25">
      <c r="A53" t="s">
        <v>47</v>
      </c>
      <c r="B53" t="s">
        <v>40</v>
      </c>
      <c r="E53" t="s">
        <v>43</v>
      </c>
      <c r="F53">
        <v>17.257000000000001</v>
      </c>
      <c r="G53">
        <v>16.196000000000002</v>
      </c>
      <c r="H53">
        <v>14.904</v>
      </c>
      <c r="I53">
        <v>13.763</v>
      </c>
      <c r="J53">
        <v>13.052</v>
      </c>
      <c r="K53">
        <v>12.906000000000001</v>
      </c>
      <c r="L53">
        <v>17.257000000000001</v>
      </c>
      <c r="M53">
        <v>16.196000000000002</v>
      </c>
      <c r="N53">
        <v>14.904</v>
      </c>
      <c r="O53">
        <v>13.763</v>
      </c>
      <c r="P53">
        <v>13.052</v>
      </c>
      <c r="Q53">
        <v>12.906000000000001</v>
      </c>
    </row>
    <row r="54" spans="1:17" x14ac:dyDescent="0.25">
      <c r="A54" t="s">
        <v>64</v>
      </c>
      <c r="B54" t="s">
        <v>40</v>
      </c>
      <c r="E54" t="s">
        <v>43</v>
      </c>
      <c r="F54">
        <v>13.159000000000001</v>
      </c>
      <c r="G54">
        <v>14.353</v>
      </c>
      <c r="H54">
        <v>13.507</v>
      </c>
      <c r="I54">
        <v>3.3580000000000001</v>
      </c>
      <c r="J54">
        <v>4.9720000000000004</v>
      </c>
      <c r="K54" t="s">
        <v>40</v>
      </c>
      <c r="L54">
        <v>13.159000000000001</v>
      </c>
      <c r="M54">
        <v>14.353</v>
      </c>
      <c r="N54">
        <v>13.507</v>
      </c>
      <c r="O54">
        <v>3.3580000000000001</v>
      </c>
      <c r="P54">
        <v>4.9720000000000004</v>
      </c>
      <c r="Q54" t="s">
        <v>40</v>
      </c>
    </row>
    <row r="55" spans="1:17" x14ac:dyDescent="0.25">
      <c r="A55" t="s">
        <v>102</v>
      </c>
      <c r="B55" t="s">
        <v>40</v>
      </c>
      <c r="E55" t="s">
        <v>43</v>
      </c>
      <c r="F55">
        <v>11.404999999999999</v>
      </c>
      <c r="G55">
        <v>10.579000000000001</v>
      </c>
      <c r="H55">
        <v>10.236000000000001</v>
      </c>
      <c r="I55">
        <v>9.0909999999999993</v>
      </c>
      <c r="J55">
        <v>8.9770000000000003</v>
      </c>
      <c r="K55">
        <v>8.8320000000000007</v>
      </c>
      <c r="L55">
        <v>11.404999999999999</v>
      </c>
      <c r="M55">
        <v>10.579000000000001</v>
      </c>
      <c r="N55">
        <v>10.236000000000001</v>
      </c>
      <c r="O55">
        <v>9.0909999999999993</v>
      </c>
      <c r="P55">
        <v>8.9770000000000003</v>
      </c>
      <c r="Q55">
        <v>8.8320000000000007</v>
      </c>
    </row>
    <row r="56" spans="1:17" x14ac:dyDescent="0.25">
      <c r="A56" t="s">
        <v>58</v>
      </c>
      <c r="B56" t="s">
        <v>40</v>
      </c>
      <c r="E56" t="s">
        <v>43</v>
      </c>
      <c r="F56">
        <v>11.359</v>
      </c>
      <c r="G56">
        <v>10.695</v>
      </c>
      <c r="H56">
        <v>9.57</v>
      </c>
      <c r="I56">
        <v>9.3130000000000006</v>
      </c>
      <c r="J56">
        <v>8.5380000000000003</v>
      </c>
      <c r="K56">
        <v>7.7359999999999998</v>
      </c>
      <c r="L56">
        <v>11.359</v>
      </c>
      <c r="M56">
        <v>10.695</v>
      </c>
      <c r="N56">
        <v>9.57</v>
      </c>
      <c r="O56">
        <v>9.3130000000000006</v>
      </c>
      <c r="P56">
        <v>8.5380000000000003</v>
      </c>
      <c r="Q56">
        <v>7.7359999999999998</v>
      </c>
    </row>
    <row r="57" spans="1:17" x14ac:dyDescent="0.25">
      <c r="A57" t="s">
        <v>65</v>
      </c>
      <c r="B57" t="s">
        <v>66</v>
      </c>
      <c r="E57" t="s">
        <v>43</v>
      </c>
      <c r="F57">
        <v>9.4700000000000006</v>
      </c>
      <c r="G57">
        <v>9.1489999999999991</v>
      </c>
      <c r="H57">
        <v>8.4320000000000004</v>
      </c>
      <c r="I57" t="s">
        <v>40</v>
      </c>
      <c r="J57" t="s">
        <v>40</v>
      </c>
      <c r="K57" t="s">
        <v>40</v>
      </c>
      <c r="L57">
        <v>9.4700000000000006</v>
      </c>
      <c r="M57">
        <v>9.1489999999999991</v>
      </c>
      <c r="N57">
        <v>8.4320000000000004</v>
      </c>
      <c r="O57" t="s">
        <v>40</v>
      </c>
      <c r="P57" t="s">
        <v>40</v>
      </c>
      <c r="Q57" t="s">
        <v>40</v>
      </c>
    </row>
    <row r="58" spans="1:17" x14ac:dyDescent="0.25">
      <c r="A58" t="s">
        <v>103</v>
      </c>
      <c r="B58" t="s">
        <v>104</v>
      </c>
      <c r="E58" t="s">
        <v>43</v>
      </c>
      <c r="F58">
        <v>8.3710000000000004</v>
      </c>
      <c r="G58">
        <v>8.4269999999999996</v>
      </c>
      <c r="H58">
        <v>8.327</v>
      </c>
      <c r="I58" t="s">
        <v>40</v>
      </c>
      <c r="J58" t="s">
        <v>40</v>
      </c>
      <c r="K58" t="s">
        <v>40</v>
      </c>
      <c r="L58">
        <v>8.3710000000000004</v>
      </c>
      <c r="M58">
        <v>8.4269999999999996</v>
      </c>
      <c r="N58">
        <v>8.327</v>
      </c>
      <c r="O58" t="s">
        <v>40</v>
      </c>
      <c r="P58" t="s">
        <v>40</v>
      </c>
      <c r="Q58" t="s">
        <v>40</v>
      </c>
    </row>
    <row r="59" spans="1:17" x14ac:dyDescent="0.25">
      <c r="A59" t="s">
        <v>56</v>
      </c>
      <c r="B59" t="s">
        <v>57</v>
      </c>
      <c r="E59" t="s">
        <v>43</v>
      </c>
      <c r="F59">
        <v>8.1539999999999999</v>
      </c>
      <c r="G59">
        <v>8.1959999999999997</v>
      </c>
      <c r="H59">
        <v>8.2119999999999997</v>
      </c>
      <c r="I59" t="s">
        <v>40</v>
      </c>
      <c r="J59" t="s">
        <v>40</v>
      </c>
      <c r="K59" t="s">
        <v>40</v>
      </c>
      <c r="L59">
        <v>8.1539999999999999</v>
      </c>
      <c r="M59">
        <v>8.1959999999999997</v>
      </c>
      <c r="N59">
        <v>8.2119999999999997</v>
      </c>
      <c r="O59" t="s">
        <v>40</v>
      </c>
      <c r="P59" t="s">
        <v>40</v>
      </c>
      <c r="Q59" t="s">
        <v>40</v>
      </c>
    </row>
    <row r="60" spans="1:17" x14ac:dyDescent="0.25">
      <c r="A60" t="s">
        <v>91</v>
      </c>
      <c r="B60" t="s">
        <v>92</v>
      </c>
      <c r="E60" t="s">
        <v>43</v>
      </c>
      <c r="F60">
        <v>7.7549999999999999</v>
      </c>
      <c r="G60">
        <v>7.4139999999999997</v>
      </c>
      <c r="H60">
        <v>7.3710000000000004</v>
      </c>
      <c r="I60" t="s">
        <v>40</v>
      </c>
      <c r="J60" t="s">
        <v>40</v>
      </c>
      <c r="K60" t="s">
        <v>40</v>
      </c>
      <c r="L60">
        <v>7.7549999999999999</v>
      </c>
      <c r="M60">
        <v>7.4139999999999997</v>
      </c>
      <c r="N60">
        <v>7.3710000000000004</v>
      </c>
      <c r="O60" t="s">
        <v>40</v>
      </c>
      <c r="P60" t="s">
        <v>40</v>
      </c>
      <c r="Q60" t="s">
        <v>40</v>
      </c>
    </row>
    <row r="61" spans="1:17" x14ac:dyDescent="0.25">
      <c r="A61" t="s">
        <v>105</v>
      </c>
      <c r="B61" t="s">
        <v>106</v>
      </c>
      <c r="E61" t="s">
        <v>43</v>
      </c>
      <c r="F61">
        <v>5.415</v>
      </c>
      <c r="G61">
        <v>5.2489999999999997</v>
      </c>
      <c r="H61">
        <v>4.6180000000000003</v>
      </c>
      <c r="I61" t="s">
        <v>40</v>
      </c>
      <c r="J61" t="s">
        <v>40</v>
      </c>
      <c r="K61" t="s">
        <v>40</v>
      </c>
      <c r="L61">
        <v>5.415</v>
      </c>
      <c r="M61">
        <v>5.2489999999999997</v>
      </c>
      <c r="N61">
        <v>4.6180000000000003</v>
      </c>
      <c r="O61" t="s">
        <v>40</v>
      </c>
      <c r="P61" t="s">
        <v>40</v>
      </c>
      <c r="Q61" t="s">
        <v>40</v>
      </c>
    </row>
    <row r="62" spans="1:17" x14ac:dyDescent="0.25">
      <c r="A62" t="s">
        <v>107</v>
      </c>
      <c r="B62" t="s">
        <v>108</v>
      </c>
      <c r="E62" t="s">
        <v>43</v>
      </c>
      <c r="F62">
        <v>5.1689999999999996</v>
      </c>
      <c r="G62">
        <v>5.0609999999999999</v>
      </c>
      <c r="H62">
        <v>4.8600000000000003</v>
      </c>
      <c r="I62" t="s">
        <v>40</v>
      </c>
      <c r="J62" t="s">
        <v>40</v>
      </c>
      <c r="K62" t="s">
        <v>40</v>
      </c>
      <c r="L62">
        <v>5.1689999999999996</v>
      </c>
      <c r="M62">
        <v>5.0609999999999999</v>
      </c>
      <c r="N62">
        <v>4.8600000000000003</v>
      </c>
      <c r="O62" t="s">
        <v>40</v>
      </c>
      <c r="P62" t="s">
        <v>40</v>
      </c>
      <c r="Q62" t="s">
        <v>40</v>
      </c>
    </row>
    <row r="63" spans="1:17" x14ac:dyDescent="0.25">
      <c r="A63" t="s">
        <v>95</v>
      </c>
      <c r="B63" t="s">
        <v>96</v>
      </c>
      <c r="E63" t="s">
        <v>43</v>
      </c>
      <c r="F63">
        <v>4.9139999999999997</v>
      </c>
      <c r="G63">
        <v>4.3440000000000003</v>
      </c>
      <c r="H63">
        <v>3.9249999999999998</v>
      </c>
      <c r="I63" t="s">
        <v>40</v>
      </c>
      <c r="J63" t="s">
        <v>40</v>
      </c>
      <c r="K63" t="s">
        <v>40</v>
      </c>
      <c r="L63">
        <v>4.9139999999999997</v>
      </c>
      <c r="M63">
        <v>4.3440000000000003</v>
      </c>
      <c r="N63">
        <v>3.9249999999999998</v>
      </c>
      <c r="O63" t="s">
        <v>40</v>
      </c>
      <c r="P63" t="s">
        <v>40</v>
      </c>
      <c r="Q63" t="s">
        <v>40</v>
      </c>
    </row>
    <row r="64" spans="1:17" x14ac:dyDescent="0.25">
      <c r="A64" t="s">
        <v>109</v>
      </c>
      <c r="B64" t="s">
        <v>110</v>
      </c>
      <c r="E64" t="s">
        <v>43</v>
      </c>
      <c r="F64">
        <v>4.4790000000000001</v>
      </c>
      <c r="G64">
        <v>3.7069999999999999</v>
      </c>
      <c r="H64">
        <v>3.4470000000000001</v>
      </c>
      <c r="I64" t="s">
        <v>40</v>
      </c>
      <c r="J64" t="s">
        <v>40</v>
      </c>
      <c r="K64" t="s">
        <v>40</v>
      </c>
      <c r="L64">
        <v>4.4790000000000001</v>
      </c>
      <c r="M64">
        <v>3.7069999999999999</v>
      </c>
      <c r="N64">
        <v>3.4470000000000001</v>
      </c>
      <c r="O64" t="s">
        <v>40</v>
      </c>
      <c r="P64" t="s">
        <v>40</v>
      </c>
      <c r="Q64" t="s">
        <v>40</v>
      </c>
    </row>
    <row r="65" spans="1:17" x14ac:dyDescent="0.25">
      <c r="A65" t="s">
        <v>87</v>
      </c>
      <c r="B65" t="s">
        <v>88</v>
      </c>
      <c r="E65" t="s">
        <v>43</v>
      </c>
      <c r="F65">
        <v>4.452</v>
      </c>
      <c r="G65">
        <v>4.4340000000000002</v>
      </c>
      <c r="H65">
        <v>2.5059999999999998</v>
      </c>
      <c r="I65" t="s">
        <v>40</v>
      </c>
      <c r="J65" t="s">
        <v>40</v>
      </c>
      <c r="K65" t="s">
        <v>40</v>
      </c>
      <c r="L65">
        <v>4.452</v>
      </c>
      <c r="M65">
        <v>4.4340000000000002</v>
      </c>
      <c r="N65">
        <v>2.5059999999999998</v>
      </c>
      <c r="O65" t="s">
        <v>40</v>
      </c>
      <c r="P65" t="s">
        <v>40</v>
      </c>
      <c r="Q65" t="s">
        <v>40</v>
      </c>
    </row>
    <row r="66" spans="1:17" x14ac:dyDescent="0.25">
      <c r="A66" t="s">
        <v>60</v>
      </c>
      <c r="B66" t="s">
        <v>61</v>
      </c>
      <c r="E66" t="s">
        <v>43</v>
      </c>
      <c r="F66">
        <v>4.4240000000000004</v>
      </c>
      <c r="G66">
        <v>4.2050000000000001</v>
      </c>
      <c r="H66">
        <v>4.0010000000000003</v>
      </c>
      <c r="I66" t="s">
        <v>40</v>
      </c>
      <c r="J66" t="s">
        <v>40</v>
      </c>
      <c r="K66" t="s">
        <v>40</v>
      </c>
      <c r="L66">
        <v>4.4240000000000004</v>
      </c>
      <c r="M66">
        <v>4.2050000000000001</v>
      </c>
      <c r="N66">
        <v>4.0010000000000003</v>
      </c>
      <c r="O66" t="s">
        <v>40</v>
      </c>
      <c r="P66" t="s">
        <v>40</v>
      </c>
      <c r="Q66" t="s">
        <v>40</v>
      </c>
    </row>
    <row r="67" spans="1:17" x14ac:dyDescent="0.25">
      <c r="A67" t="s">
        <v>111</v>
      </c>
      <c r="B67" t="s">
        <v>112</v>
      </c>
      <c r="E67" t="s">
        <v>43</v>
      </c>
      <c r="F67">
        <v>4.2080000000000002</v>
      </c>
      <c r="G67">
        <v>3.4140000000000001</v>
      </c>
      <c r="H67">
        <v>4.2169999999999996</v>
      </c>
      <c r="I67" t="s">
        <v>40</v>
      </c>
      <c r="J67" t="s">
        <v>40</v>
      </c>
      <c r="K67" t="s">
        <v>40</v>
      </c>
      <c r="L67">
        <v>4.2080000000000002</v>
      </c>
      <c r="M67">
        <v>3.4140000000000001</v>
      </c>
      <c r="N67">
        <v>4.2169999999999996</v>
      </c>
      <c r="O67" t="s">
        <v>40</v>
      </c>
      <c r="P67" t="s">
        <v>40</v>
      </c>
      <c r="Q67" t="s">
        <v>40</v>
      </c>
    </row>
    <row r="68" spans="1:17" x14ac:dyDescent="0.25">
      <c r="A68" t="s">
        <v>113</v>
      </c>
      <c r="B68" t="s">
        <v>114</v>
      </c>
      <c r="E68" t="s">
        <v>43</v>
      </c>
      <c r="F68">
        <v>3.9849999999999999</v>
      </c>
      <c r="G68">
        <v>3.7570000000000001</v>
      </c>
      <c r="H68">
        <v>3.1320000000000001</v>
      </c>
      <c r="I68" t="s">
        <v>40</v>
      </c>
      <c r="J68" t="s">
        <v>40</v>
      </c>
      <c r="K68" t="s">
        <v>40</v>
      </c>
      <c r="L68">
        <v>3.9849999999999999</v>
      </c>
      <c r="M68">
        <v>3.7570000000000001</v>
      </c>
      <c r="N68">
        <v>3.1320000000000001</v>
      </c>
      <c r="O68" t="s">
        <v>40</v>
      </c>
      <c r="P68" t="s">
        <v>40</v>
      </c>
      <c r="Q68" t="s">
        <v>40</v>
      </c>
    </row>
    <row r="69" spans="1:17" x14ac:dyDescent="0.25">
      <c r="A69" t="s">
        <v>67</v>
      </c>
      <c r="B69" t="s">
        <v>68</v>
      </c>
      <c r="E69" t="s">
        <v>43</v>
      </c>
      <c r="F69">
        <v>3.8410000000000002</v>
      </c>
      <c r="G69">
        <v>3.7370000000000001</v>
      </c>
      <c r="H69">
        <v>3.7949999999999999</v>
      </c>
      <c r="I69" t="s">
        <v>40</v>
      </c>
      <c r="J69" t="s">
        <v>40</v>
      </c>
      <c r="K69" t="s">
        <v>40</v>
      </c>
      <c r="L69">
        <v>3.8410000000000002</v>
      </c>
      <c r="M69">
        <v>3.7370000000000001</v>
      </c>
      <c r="N69">
        <v>3.7949999999999999</v>
      </c>
      <c r="O69" t="s">
        <v>40</v>
      </c>
      <c r="P69" t="s">
        <v>40</v>
      </c>
      <c r="Q69" t="s">
        <v>40</v>
      </c>
    </row>
    <row r="70" spans="1:17" x14ac:dyDescent="0.25">
      <c r="A70" t="s">
        <v>115</v>
      </c>
      <c r="B70" t="s">
        <v>116</v>
      </c>
      <c r="E70" t="s">
        <v>43</v>
      </c>
      <c r="F70">
        <v>3.665</v>
      </c>
      <c r="G70">
        <v>3.69</v>
      </c>
      <c r="H70">
        <v>3.6789999999999998</v>
      </c>
      <c r="I70" t="s">
        <v>40</v>
      </c>
      <c r="J70" t="s">
        <v>40</v>
      </c>
      <c r="K70" t="s">
        <v>40</v>
      </c>
      <c r="L70">
        <v>3.665</v>
      </c>
      <c r="M70">
        <v>3.69</v>
      </c>
      <c r="N70">
        <v>3.6789999999999998</v>
      </c>
      <c r="O70" t="s">
        <v>40</v>
      </c>
      <c r="P70" t="s">
        <v>40</v>
      </c>
      <c r="Q70" t="s">
        <v>40</v>
      </c>
    </row>
    <row r="71" spans="1:17" x14ac:dyDescent="0.25">
      <c r="A71" t="s">
        <v>71</v>
      </c>
      <c r="B71" t="s">
        <v>72</v>
      </c>
      <c r="E71" t="s">
        <v>43</v>
      </c>
      <c r="F71">
        <v>3.5870000000000002</v>
      </c>
      <c r="G71">
        <v>3.2589999999999999</v>
      </c>
      <c r="H71">
        <v>3.2320000000000002</v>
      </c>
      <c r="I71" t="s">
        <v>40</v>
      </c>
      <c r="J71" t="s">
        <v>40</v>
      </c>
      <c r="K71" t="s">
        <v>40</v>
      </c>
      <c r="L71">
        <v>3.5870000000000002</v>
      </c>
      <c r="M71">
        <v>3.2589999999999999</v>
      </c>
      <c r="N71">
        <v>3.2320000000000002</v>
      </c>
      <c r="O71" t="s">
        <v>40</v>
      </c>
      <c r="P71" t="s">
        <v>40</v>
      </c>
      <c r="Q71" t="s">
        <v>40</v>
      </c>
    </row>
    <row r="72" spans="1:17" x14ac:dyDescent="0.25">
      <c r="A72" t="s">
        <v>73</v>
      </c>
      <c r="B72" t="s">
        <v>40</v>
      </c>
      <c r="E72" t="s">
        <v>43</v>
      </c>
      <c r="F72">
        <v>331.91</v>
      </c>
      <c r="G72">
        <v>326.12299999999999</v>
      </c>
      <c r="H72">
        <v>314.32799999999997</v>
      </c>
      <c r="I72">
        <v>383.53699999999998</v>
      </c>
      <c r="J72">
        <v>373.38600000000002</v>
      </c>
      <c r="K72">
        <v>377.51400000000001</v>
      </c>
      <c r="L72">
        <v>331.91</v>
      </c>
      <c r="M72">
        <v>326.12299999999999</v>
      </c>
      <c r="N72">
        <v>314.32799999999997</v>
      </c>
      <c r="O72">
        <v>383.53699999999998</v>
      </c>
      <c r="P72">
        <v>373.38600000000002</v>
      </c>
      <c r="Q72">
        <v>377.51400000000001</v>
      </c>
    </row>
    <row r="73" spans="1:17" x14ac:dyDescent="0.25">
      <c r="L73" t="s">
        <v>40</v>
      </c>
      <c r="M73" t="s">
        <v>40</v>
      </c>
      <c r="N73" t="s">
        <v>40</v>
      </c>
      <c r="O73" t="s">
        <v>40</v>
      </c>
      <c r="P73" t="s">
        <v>40</v>
      </c>
      <c r="Q73" t="s">
        <v>40</v>
      </c>
    </row>
    <row r="74" spans="1:17" x14ac:dyDescent="0.25">
      <c r="L74" t="s">
        <v>40</v>
      </c>
      <c r="M74" t="s">
        <v>40</v>
      </c>
      <c r="N74" t="s">
        <v>40</v>
      </c>
      <c r="O74" t="s">
        <v>40</v>
      </c>
      <c r="P74" t="s">
        <v>40</v>
      </c>
      <c r="Q74" t="s">
        <v>40</v>
      </c>
    </row>
    <row r="75" spans="1:17" x14ac:dyDescent="0.25">
      <c r="L75" t="s">
        <v>40</v>
      </c>
      <c r="M75" t="s">
        <v>40</v>
      </c>
      <c r="N75" t="s">
        <v>40</v>
      </c>
      <c r="O75" t="s">
        <v>40</v>
      </c>
      <c r="P75" t="s">
        <v>40</v>
      </c>
      <c r="Q75" t="s">
        <v>40</v>
      </c>
    </row>
    <row r="76" spans="1:17" x14ac:dyDescent="0.25">
      <c r="L76" t="s">
        <v>40</v>
      </c>
      <c r="M76" t="s">
        <v>40</v>
      </c>
      <c r="N76" t="s">
        <v>40</v>
      </c>
      <c r="O76" t="s">
        <v>40</v>
      </c>
      <c r="P76" t="s">
        <v>40</v>
      </c>
      <c r="Q76" t="s">
        <v>40</v>
      </c>
    </row>
    <row r="77" spans="1:17" x14ac:dyDescent="0.25">
      <c r="L77" t="s">
        <v>40</v>
      </c>
      <c r="M77" t="s">
        <v>40</v>
      </c>
      <c r="N77" t="s">
        <v>40</v>
      </c>
      <c r="O77" t="s">
        <v>40</v>
      </c>
      <c r="P77" t="s">
        <v>40</v>
      </c>
      <c r="Q77" t="s">
        <v>40</v>
      </c>
    </row>
    <row r="78" spans="1:17" x14ac:dyDescent="0.25">
      <c r="L78" t="s">
        <v>40</v>
      </c>
      <c r="M78" t="s">
        <v>40</v>
      </c>
      <c r="N78" t="s">
        <v>40</v>
      </c>
      <c r="O78" t="s">
        <v>40</v>
      </c>
      <c r="P78" t="s">
        <v>40</v>
      </c>
      <c r="Q78" t="s">
        <v>40</v>
      </c>
    </row>
    <row r="79" spans="1:17" x14ac:dyDescent="0.25">
      <c r="L79" t="s">
        <v>40</v>
      </c>
      <c r="M79" t="s">
        <v>40</v>
      </c>
      <c r="N79" t="s">
        <v>40</v>
      </c>
      <c r="O79" t="s">
        <v>40</v>
      </c>
      <c r="P79" t="s">
        <v>40</v>
      </c>
      <c r="Q79" t="s">
        <v>40</v>
      </c>
    </row>
    <row r="80" spans="1:17" x14ac:dyDescent="0.25">
      <c r="A80" t="s">
        <v>117</v>
      </c>
      <c r="B80" t="s">
        <v>117</v>
      </c>
      <c r="C80" t="s">
        <v>117</v>
      </c>
      <c r="D80" t="s">
        <v>117</v>
      </c>
      <c r="E80" t="s">
        <v>117</v>
      </c>
      <c r="F80" t="s">
        <v>117</v>
      </c>
      <c r="G80" t="s">
        <v>117</v>
      </c>
      <c r="H80" t="s">
        <v>117</v>
      </c>
      <c r="I80" t="s">
        <v>117</v>
      </c>
      <c r="J80" t="s">
        <v>117</v>
      </c>
      <c r="K80" t="s">
        <v>117</v>
      </c>
      <c r="L80" t="s">
        <v>40</v>
      </c>
      <c r="M80" t="s">
        <v>40</v>
      </c>
      <c r="N80" t="s">
        <v>40</v>
      </c>
      <c r="O80" t="s">
        <v>40</v>
      </c>
      <c r="P80" t="s">
        <v>40</v>
      </c>
      <c r="Q80" t="s">
        <v>40</v>
      </c>
    </row>
    <row r="81" spans="1:17" x14ac:dyDescent="0.25">
      <c r="A81" t="s">
        <v>118</v>
      </c>
      <c r="L81" t="s">
        <v>40</v>
      </c>
      <c r="M81" t="s">
        <v>40</v>
      </c>
      <c r="N81" t="s">
        <v>40</v>
      </c>
      <c r="O81" t="s">
        <v>40</v>
      </c>
      <c r="P81" t="s">
        <v>40</v>
      </c>
      <c r="Q81" t="s">
        <v>40</v>
      </c>
    </row>
    <row r="82" spans="1:17" x14ac:dyDescent="0.25">
      <c r="A82">
        <v>0</v>
      </c>
      <c r="L82" t="s">
        <v>40</v>
      </c>
      <c r="M82" t="s">
        <v>40</v>
      </c>
      <c r="N82" t="s">
        <v>40</v>
      </c>
      <c r="O82" t="s">
        <v>40</v>
      </c>
      <c r="P82" t="s">
        <v>40</v>
      </c>
      <c r="Q82" t="s">
        <v>40</v>
      </c>
    </row>
    <row r="83" spans="1:17" x14ac:dyDescent="0.25">
      <c r="A83" t="s">
        <v>119</v>
      </c>
      <c r="B83" t="s">
        <v>120</v>
      </c>
      <c r="L83" t="s">
        <v>40</v>
      </c>
      <c r="M83" t="s">
        <v>40</v>
      </c>
      <c r="N83" t="s">
        <v>40</v>
      </c>
      <c r="O83" t="s">
        <v>40</v>
      </c>
      <c r="P83" t="s">
        <v>40</v>
      </c>
      <c r="Q83" t="s">
        <v>40</v>
      </c>
    </row>
    <row r="84" spans="1:17" x14ac:dyDescent="0.25">
      <c r="A84" t="s">
        <v>121</v>
      </c>
      <c r="B84" t="s">
        <v>122</v>
      </c>
      <c r="C84" t="s">
        <v>123</v>
      </c>
      <c r="L84" t="s">
        <v>40</v>
      </c>
      <c r="M84" t="s">
        <v>40</v>
      </c>
      <c r="N84" t="s">
        <v>40</v>
      </c>
      <c r="O84" t="s">
        <v>40</v>
      </c>
      <c r="P84" t="s">
        <v>40</v>
      </c>
      <c r="Q84" t="s">
        <v>40</v>
      </c>
    </row>
    <row r="85" spans="1:17" x14ac:dyDescent="0.25">
      <c r="A85" t="s">
        <v>124</v>
      </c>
      <c r="B85">
        <v>6</v>
      </c>
      <c r="L85" t="s">
        <v>40</v>
      </c>
      <c r="M85" t="s">
        <v>40</v>
      </c>
      <c r="N85" t="s">
        <v>40</v>
      </c>
      <c r="O85" t="s">
        <v>40</v>
      </c>
      <c r="P85" t="s">
        <v>40</v>
      </c>
      <c r="Q85" t="s">
        <v>40</v>
      </c>
    </row>
    <row r="86" spans="1:17" x14ac:dyDescent="0.25">
      <c r="A86" t="s">
        <v>125</v>
      </c>
      <c r="B86" t="s">
        <v>126</v>
      </c>
      <c r="C86" t="s">
        <v>127</v>
      </c>
      <c r="L86" t="s">
        <v>40</v>
      </c>
      <c r="M86" t="s">
        <v>40</v>
      </c>
      <c r="N86" t="s">
        <v>40</v>
      </c>
      <c r="O86" t="s">
        <v>40</v>
      </c>
      <c r="P86" t="s">
        <v>40</v>
      </c>
      <c r="Q86" t="s">
        <v>40</v>
      </c>
    </row>
    <row r="87" spans="1:17" x14ac:dyDescent="0.25">
      <c r="A87" t="s">
        <v>128</v>
      </c>
      <c r="B87">
        <v>43998</v>
      </c>
      <c r="L87" t="s">
        <v>40</v>
      </c>
      <c r="M87" t="s">
        <v>40</v>
      </c>
      <c r="N87" t="s">
        <v>40</v>
      </c>
      <c r="O87" t="s">
        <v>40</v>
      </c>
      <c r="P87" t="s">
        <v>40</v>
      </c>
      <c r="Q87" t="s">
        <v>40</v>
      </c>
    </row>
    <row r="88" spans="1:17" x14ac:dyDescent="0.25">
      <c r="A88" t="s">
        <v>129</v>
      </c>
      <c r="B88">
        <v>4</v>
      </c>
      <c r="L88" t="s">
        <v>40</v>
      </c>
      <c r="M88" t="s">
        <v>40</v>
      </c>
      <c r="N88" t="s">
        <v>40</v>
      </c>
      <c r="O88" t="s">
        <v>40</v>
      </c>
      <c r="P88" t="s">
        <v>40</v>
      </c>
      <c r="Q88" t="s">
        <v>40</v>
      </c>
    </row>
    <row r="89" spans="1:17" x14ac:dyDescent="0.25">
      <c r="L89" t="s">
        <v>40</v>
      </c>
      <c r="M89" t="s">
        <v>40</v>
      </c>
      <c r="N89" t="s">
        <v>40</v>
      </c>
      <c r="O89" t="s">
        <v>40</v>
      </c>
      <c r="P89" t="s">
        <v>40</v>
      </c>
      <c r="Q89" t="s">
        <v>40</v>
      </c>
    </row>
    <row r="90" spans="1:17" x14ac:dyDescent="0.25">
      <c r="A90" t="s">
        <v>130</v>
      </c>
      <c r="B90">
        <v>2</v>
      </c>
      <c r="C90" t="s">
        <v>38</v>
      </c>
      <c r="D90" t="s">
        <v>37</v>
      </c>
      <c r="E90" t="s">
        <v>36</v>
      </c>
      <c r="F90" t="s">
        <v>35</v>
      </c>
      <c r="G90" t="s">
        <v>34</v>
      </c>
      <c r="H90" t="s">
        <v>33</v>
      </c>
      <c r="L90" t="s">
        <v>40</v>
      </c>
      <c r="M90" t="s">
        <v>40</v>
      </c>
      <c r="N90" t="s">
        <v>40</v>
      </c>
      <c r="O90" t="s">
        <v>40</v>
      </c>
      <c r="P90" t="s">
        <v>40</v>
      </c>
      <c r="Q90" t="s">
        <v>40</v>
      </c>
    </row>
    <row r="91" spans="1:17" x14ac:dyDescent="0.25">
      <c r="A91" t="s">
        <v>131</v>
      </c>
      <c r="B91" t="s">
        <v>40</v>
      </c>
      <c r="C91" t="s">
        <v>40</v>
      </c>
      <c r="D91" t="s">
        <v>40</v>
      </c>
      <c r="E91" t="s">
        <v>40</v>
      </c>
      <c r="L91" t="s">
        <v>40</v>
      </c>
      <c r="M91" t="s">
        <v>40</v>
      </c>
      <c r="N91" t="s">
        <v>40</v>
      </c>
      <c r="O91" t="s">
        <v>40</v>
      </c>
      <c r="P91" t="s">
        <v>40</v>
      </c>
      <c r="Q9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BIData</vt:lpstr>
      <vt:lpstr>BiData1</vt:lpstr>
      <vt:lpstr>ReferenceData</vt:lpstr>
      <vt:lpstr>RefData1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F20180290</cp:lastModifiedBy>
  <dcterms:created xsi:type="dcterms:W3CDTF">2013-04-03T15:49:21Z</dcterms:created>
  <dcterms:modified xsi:type="dcterms:W3CDTF">2020-06-16T01:27:08Z</dcterms:modified>
</cp:coreProperties>
</file>