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_admin\blp\data\"/>
    </mc:Choice>
  </mc:AlternateContent>
  <xr:revisionPtr revIDLastSave="0" documentId="13_ncr:1_{DB4347C8-FBC0-4302-8969-B86B366701EF}" xr6:coauthVersionLast="36" xr6:coauthVersionMax="36" xr10:uidLastSave="{00000000-0000-0000-0000-000000000000}"/>
  <bookViews>
    <workbookView xWindow="10395" yWindow="-105" windowWidth="14850" windowHeight="12735" activeTab="5" xr2:uid="{00000000-000D-0000-FFFF-FFFF00000000}"/>
  </bookViews>
  <sheets>
    <sheet name="BIData" sheetId="2" r:id="rId1"/>
    <sheet name="BIData1" sheetId="5" r:id="rId2"/>
    <sheet name="ReferenceData" sheetId="3" r:id="rId3"/>
    <sheet name="ReferenceData1" sheetId="6" r:id="rId4"/>
    <sheet name="Help-Reference" sheetId="4" r:id="rId5"/>
    <sheet name="Sheet3" sheetId="7" r:id="rId6"/>
  </sheets>
  <calcPr calcId="191029"/>
</workbook>
</file>

<file path=xl/calcChain.xml><?xml version="1.0" encoding="utf-8"?>
<calcChain xmlns="http://schemas.openxmlformats.org/spreadsheetml/2006/main">
  <c r="Q121" i="3" l="1"/>
  <c r="P121" i="3"/>
  <c r="O121" i="3"/>
  <c r="N121" i="3"/>
  <c r="M121" i="3"/>
  <c r="L121" i="3"/>
  <c r="E121" i="3"/>
  <c r="D121" i="3"/>
  <c r="C121" i="3"/>
  <c r="B121" i="3"/>
  <c r="A121" i="3"/>
  <c r="Q120" i="3"/>
  <c r="P120" i="3"/>
  <c r="O120" i="3"/>
  <c r="N120" i="3"/>
  <c r="M120" i="3"/>
  <c r="L120" i="3"/>
  <c r="H120" i="3"/>
  <c r="G120" i="3"/>
  <c r="F120" i="3"/>
  <c r="E120" i="3"/>
  <c r="D120" i="3"/>
  <c r="C120" i="3"/>
  <c r="B120" i="3"/>
  <c r="A120" i="3"/>
  <c r="Q119" i="3"/>
  <c r="P119" i="3"/>
  <c r="O119" i="3"/>
  <c r="N119" i="3"/>
  <c r="M119" i="3"/>
  <c r="L119" i="3"/>
  <c r="Q118" i="3"/>
  <c r="P118" i="3"/>
  <c r="O118" i="3"/>
  <c r="N118" i="3"/>
  <c r="M118" i="3"/>
  <c r="L118" i="3"/>
  <c r="B118" i="3"/>
  <c r="A118" i="3"/>
  <c r="Q117" i="3"/>
  <c r="P117" i="3"/>
  <c r="O117" i="3"/>
  <c r="N117" i="3"/>
  <c r="M117" i="3"/>
  <c r="L117" i="3"/>
  <c r="B117" i="3"/>
  <c r="A117" i="3"/>
  <c r="Q116" i="3"/>
  <c r="P116" i="3"/>
  <c r="O116" i="3"/>
  <c r="N116" i="3"/>
  <c r="M116" i="3"/>
  <c r="L116" i="3"/>
  <c r="A116" i="3"/>
  <c r="Q115" i="3"/>
  <c r="P115" i="3"/>
  <c r="O115" i="3"/>
  <c r="N115" i="3"/>
  <c r="M115" i="3"/>
  <c r="L115" i="3"/>
  <c r="B115" i="3"/>
  <c r="C116" i="3" s="1"/>
  <c r="A115" i="3"/>
  <c r="Q114" i="3"/>
  <c r="P114" i="3"/>
  <c r="O114" i="3"/>
  <c r="N114" i="3"/>
  <c r="M114" i="3"/>
  <c r="L114" i="3"/>
  <c r="C114" i="3"/>
  <c r="B114" i="3"/>
  <c r="A114" i="3"/>
  <c r="Q113" i="3"/>
  <c r="P113" i="3"/>
  <c r="O113" i="3"/>
  <c r="N113" i="3"/>
  <c r="M113" i="3"/>
  <c r="L113" i="3"/>
  <c r="B113" i="3"/>
  <c r="A113" i="3"/>
  <c r="Q112" i="3"/>
  <c r="P112" i="3"/>
  <c r="O112" i="3"/>
  <c r="N112" i="3"/>
  <c r="M112" i="3"/>
  <c r="L112" i="3"/>
  <c r="Q111" i="3"/>
  <c r="P111" i="3"/>
  <c r="O111" i="3"/>
  <c r="N111" i="3"/>
  <c r="M111" i="3"/>
  <c r="L111" i="3"/>
  <c r="A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Q109" i="3"/>
  <c r="P109" i="3"/>
  <c r="O109" i="3"/>
  <c r="N109" i="3"/>
  <c r="M109" i="3"/>
  <c r="L109" i="3"/>
  <c r="Q108" i="3"/>
  <c r="P108" i="3"/>
  <c r="O108" i="3"/>
  <c r="N108" i="3"/>
  <c r="M108" i="3"/>
  <c r="L108" i="3"/>
  <c r="Q107" i="3"/>
  <c r="P107" i="3"/>
  <c r="O107" i="3"/>
  <c r="N107" i="3"/>
  <c r="M107" i="3"/>
  <c r="L107" i="3"/>
  <c r="Q106" i="3"/>
  <c r="P106" i="3"/>
  <c r="O106" i="3"/>
  <c r="N106" i="3"/>
  <c r="M106" i="3"/>
  <c r="L106" i="3"/>
  <c r="Q105" i="3"/>
  <c r="P105" i="3"/>
  <c r="O105" i="3"/>
  <c r="N105" i="3"/>
  <c r="M105" i="3"/>
  <c r="L105" i="3"/>
  <c r="Q104" i="3"/>
  <c r="P104" i="3"/>
  <c r="O104" i="3"/>
  <c r="N104" i="3"/>
  <c r="M104" i="3"/>
  <c r="L104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E102" i="3"/>
  <c r="B102" i="3"/>
  <c r="A102" i="3"/>
  <c r="Q101" i="3"/>
  <c r="P101" i="3"/>
  <c r="O101" i="3"/>
  <c r="N101" i="3"/>
  <c r="M101" i="3"/>
  <c r="L101" i="3"/>
  <c r="E101" i="3"/>
  <c r="B101" i="3"/>
  <c r="A101" i="3"/>
  <c r="Q100" i="3"/>
  <c r="P100" i="3"/>
  <c r="O100" i="3"/>
  <c r="N100" i="3"/>
  <c r="M100" i="3"/>
  <c r="L100" i="3"/>
  <c r="E100" i="3"/>
  <c r="B100" i="3"/>
  <c r="A100" i="3"/>
  <c r="Q99" i="3"/>
  <c r="P99" i="3"/>
  <c r="O99" i="3"/>
  <c r="N99" i="3"/>
  <c r="M99" i="3"/>
  <c r="L99" i="3"/>
  <c r="E99" i="3"/>
  <c r="B99" i="3"/>
  <c r="A99" i="3"/>
  <c r="Q98" i="3"/>
  <c r="P98" i="3"/>
  <c r="O98" i="3"/>
  <c r="N98" i="3"/>
  <c r="M98" i="3"/>
  <c r="L98" i="3"/>
  <c r="E98" i="3"/>
  <c r="B98" i="3"/>
  <c r="A98" i="3"/>
  <c r="Q97" i="3"/>
  <c r="P97" i="3"/>
  <c r="O97" i="3"/>
  <c r="N97" i="3"/>
  <c r="M97" i="3"/>
  <c r="L97" i="3"/>
  <c r="E97" i="3"/>
  <c r="B97" i="3"/>
  <c r="A97" i="3"/>
  <c r="Q96" i="3"/>
  <c r="P96" i="3"/>
  <c r="O96" i="3"/>
  <c r="N96" i="3"/>
  <c r="M96" i="3"/>
  <c r="L96" i="3"/>
  <c r="E96" i="3"/>
  <c r="B96" i="3"/>
  <c r="A96" i="3"/>
  <c r="Q95" i="3"/>
  <c r="P95" i="3"/>
  <c r="O95" i="3"/>
  <c r="N95" i="3"/>
  <c r="M95" i="3"/>
  <c r="L95" i="3"/>
  <c r="E95" i="3"/>
  <c r="B95" i="3"/>
  <c r="A95" i="3"/>
  <c r="Q94" i="3"/>
  <c r="P94" i="3"/>
  <c r="O94" i="3"/>
  <c r="N94" i="3"/>
  <c r="M94" i="3"/>
  <c r="L94" i="3"/>
  <c r="E94" i="3"/>
  <c r="B94" i="3"/>
  <c r="A94" i="3"/>
  <c r="Q93" i="3"/>
  <c r="P93" i="3"/>
  <c r="O93" i="3"/>
  <c r="N93" i="3"/>
  <c r="M93" i="3"/>
  <c r="L93" i="3"/>
  <c r="E93" i="3"/>
  <c r="B93" i="3"/>
  <c r="A93" i="3"/>
  <c r="Q92" i="3"/>
  <c r="P92" i="3"/>
  <c r="O92" i="3"/>
  <c r="N92" i="3"/>
  <c r="M92" i="3"/>
  <c r="L92" i="3"/>
  <c r="E92" i="3"/>
  <c r="B92" i="3"/>
  <c r="A92" i="3"/>
  <c r="Q91" i="3"/>
  <c r="P91" i="3"/>
  <c r="O91" i="3"/>
  <c r="N91" i="3"/>
  <c r="M91" i="3"/>
  <c r="L91" i="3"/>
  <c r="E91" i="3"/>
  <c r="B91" i="3"/>
  <c r="A91" i="3"/>
  <c r="Q90" i="3"/>
  <c r="P90" i="3"/>
  <c r="O90" i="3"/>
  <c r="N90" i="3"/>
  <c r="M90" i="3"/>
  <c r="L90" i="3"/>
  <c r="E90" i="3"/>
  <c r="B90" i="3"/>
  <c r="A90" i="3"/>
  <c r="Q89" i="3"/>
  <c r="P89" i="3"/>
  <c r="O89" i="3"/>
  <c r="N89" i="3"/>
  <c r="M89" i="3"/>
  <c r="L89" i="3"/>
  <c r="E89" i="3"/>
  <c r="B89" i="3"/>
  <c r="A89" i="3"/>
  <c r="Q88" i="3"/>
  <c r="P88" i="3"/>
  <c r="O88" i="3"/>
  <c r="N88" i="3"/>
  <c r="M88" i="3"/>
  <c r="L88" i="3"/>
  <c r="E88" i="3"/>
  <c r="B88" i="3"/>
  <c r="A88" i="3"/>
  <c r="Q87" i="3"/>
  <c r="P87" i="3"/>
  <c r="O87" i="3"/>
  <c r="N87" i="3"/>
  <c r="M87" i="3"/>
  <c r="L87" i="3"/>
  <c r="E87" i="3"/>
  <c r="B87" i="3"/>
  <c r="A87" i="3"/>
  <c r="Q86" i="3"/>
  <c r="P86" i="3"/>
  <c r="O86" i="3"/>
  <c r="N86" i="3"/>
  <c r="M86" i="3"/>
  <c r="L86" i="3"/>
  <c r="E86" i="3"/>
  <c r="B86" i="3"/>
  <c r="A86" i="3"/>
  <c r="Q85" i="3"/>
  <c r="P85" i="3"/>
  <c r="O85" i="3"/>
  <c r="N85" i="3"/>
  <c r="M85" i="3"/>
  <c r="L85" i="3"/>
  <c r="E85" i="3"/>
  <c r="B85" i="3"/>
  <c r="A85" i="3"/>
  <c r="Q84" i="3"/>
  <c r="P84" i="3"/>
  <c r="O84" i="3"/>
  <c r="N84" i="3"/>
  <c r="M84" i="3"/>
  <c r="L84" i="3"/>
  <c r="E84" i="3"/>
  <c r="B84" i="3"/>
  <c r="A84" i="3"/>
  <c r="Q83" i="3"/>
  <c r="P83" i="3"/>
  <c r="O83" i="3"/>
  <c r="N83" i="3"/>
  <c r="M83" i="3"/>
  <c r="L83" i="3"/>
  <c r="E83" i="3"/>
  <c r="B83" i="3"/>
  <c r="A83" i="3"/>
  <c r="Q82" i="3"/>
  <c r="P82" i="3"/>
  <c r="O82" i="3"/>
  <c r="N82" i="3"/>
  <c r="M82" i="3"/>
  <c r="L82" i="3"/>
  <c r="E82" i="3"/>
  <c r="B82" i="3"/>
  <c r="A82" i="3"/>
  <c r="Q81" i="3"/>
  <c r="P81" i="3"/>
  <c r="O81" i="3"/>
  <c r="N81" i="3"/>
  <c r="M81" i="3"/>
  <c r="L81" i="3"/>
  <c r="E81" i="3"/>
  <c r="B81" i="3"/>
  <c r="A81" i="3"/>
  <c r="Q80" i="3"/>
  <c r="P80" i="3"/>
  <c r="O80" i="3"/>
  <c r="N80" i="3"/>
  <c r="M80" i="3"/>
  <c r="L80" i="3"/>
  <c r="E80" i="3"/>
  <c r="B80" i="3"/>
  <c r="A80" i="3"/>
  <c r="Q79" i="3"/>
  <c r="P79" i="3"/>
  <c r="O79" i="3"/>
  <c r="N79" i="3"/>
  <c r="M79" i="3"/>
  <c r="L79" i="3"/>
  <c r="E79" i="3"/>
  <c r="B79" i="3"/>
  <c r="A79" i="3"/>
  <c r="Q78" i="3"/>
  <c r="P78" i="3"/>
  <c r="O78" i="3"/>
  <c r="N78" i="3"/>
  <c r="M78" i="3"/>
  <c r="L78" i="3"/>
  <c r="E78" i="3"/>
  <c r="B78" i="3"/>
  <c r="A78" i="3"/>
  <c r="Q77" i="3"/>
  <c r="P77" i="3"/>
  <c r="O77" i="3"/>
  <c r="N77" i="3"/>
  <c r="M77" i="3"/>
  <c r="L77" i="3"/>
  <c r="E77" i="3"/>
  <c r="B77" i="3"/>
  <c r="A77" i="3"/>
  <c r="Q76" i="3"/>
  <c r="P76" i="3"/>
  <c r="O76" i="3"/>
  <c r="N76" i="3"/>
  <c r="M76" i="3"/>
  <c r="L76" i="3"/>
  <c r="E76" i="3"/>
  <c r="B76" i="3"/>
  <c r="A76" i="3"/>
  <c r="Q75" i="3"/>
  <c r="P75" i="3"/>
  <c r="O75" i="3"/>
  <c r="N75" i="3"/>
  <c r="M75" i="3"/>
  <c r="L75" i="3"/>
  <c r="E75" i="3"/>
  <c r="B75" i="3"/>
  <c r="A75" i="3"/>
  <c r="Q74" i="3"/>
  <c r="P74" i="3"/>
  <c r="O74" i="3"/>
  <c r="N74" i="3"/>
  <c r="M74" i="3"/>
  <c r="L74" i="3"/>
  <c r="E74" i="3"/>
  <c r="B74" i="3"/>
  <c r="A74" i="3"/>
  <c r="Q73" i="3"/>
  <c r="P73" i="3"/>
  <c r="O73" i="3"/>
  <c r="N73" i="3"/>
  <c r="M73" i="3"/>
  <c r="L73" i="3"/>
  <c r="E73" i="3"/>
  <c r="B73" i="3"/>
  <c r="A73" i="3"/>
  <c r="Q72" i="3"/>
  <c r="P72" i="3"/>
  <c r="O72" i="3"/>
  <c r="N72" i="3"/>
  <c r="M72" i="3"/>
  <c r="L72" i="3"/>
  <c r="E72" i="3"/>
  <c r="B72" i="3"/>
  <c r="A72" i="3"/>
  <c r="Q71" i="3"/>
  <c r="P71" i="3"/>
  <c r="O71" i="3"/>
  <c r="N71" i="3"/>
  <c r="M71" i="3"/>
  <c r="L71" i="3"/>
  <c r="E71" i="3"/>
  <c r="B71" i="3"/>
  <c r="A71" i="3"/>
  <c r="Q70" i="3"/>
  <c r="P70" i="3"/>
  <c r="O70" i="3"/>
  <c r="N70" i="3"/>
  <c r="M70" i="3"/>
  <c r="L70" i="3"/>
  <c r="E70" i="3"/>
  <c r="B70" i="3"/>
  <c r="A70" i="3"/>
  <c r="Q69" i="3"/>
  <c r="P69" i="3"/>
  <c r="O69" i="3"/>
  <c r="N69" i="3"/>
  <c r="M69" i="3"/>
  <c r="L69" i="3"/>
  <c r="E69" i="3"/>
  <c r="B69" i="3"/>
  <c r="A69" i="3"/>
  <c r="Q68" i="3"/>
  <c r="P68" i="3"/>
  <c r="O68" i="3"/>
  <c r="N68" i="3"/>
  <c r="M68" i="3"/>
  <c r="L68" i="3"/>
  <c r="E68" i="3"/>
  <c r="B68" i="3"/>
  <c r="A68" i="3"/>
  <c r="Q67" i="3"/>
  <c r="P67" i="3"/>
  <c r="O67" i="3"/>
  <c r="N67" i="3"/>
  <c r="M67" i="3"/>
  <c r="L67" i="3"/>
  <c r="E67" i="3"/>
  <c r="B67" i="3"/>
  <c r="A67" i="3"/>
  <c r="Q66" i="3"/>
  <c r="P66" i="3"/>
  <c r="O66" i="3"/>
  <c r="N66" i="3"/>
  <c r="M66" i="3"/>
  <c r="L66" i="3"/>
  <c r="E66" i="3"/>
  <c r="B66" i="3"/>
  <c r="A66" i="3"/>
  <c r="Q65" i="3"/>
  <c r="P65" i="3"/>
  <c r="O65" i="3"/>
  <c r="N65" i="3"/>
  <c r="M65" i="3"/>
  <c r="L65" i="3"/>
  <c r="E65" i="3"/>
  <c r="B65" i="3"/>
  <c r="A65" i="3"/>
  <c r="Q64" i="3"/>
  <c r="P64" i="3"/>
  <c r="O64" i="3"/>
  <c r="N64" i="3"/>
  <c r="M64" i="3"/>
  <c r="L64" i="3"/>
  <c r="E64" i="3"/>
  <c r="B64" i="3"/>
  <c r="A64" i="3"/>
  <c r="Q63" i="3"/>
  <c r="P63" i="3"/>
  <c r="O63" i="3"/>
  <c r="N63" i="3"/>
  <c r="M63" i="3"/>
  <c r="L63" i="3"/>
  <c r="E63" i="3"/>
  <c r="B63" i="3"/>
  <c r="A63" i="3"/>
  <c r="Q62" i="3"/>
  <c r="P62" i="3"/>
  <c r="O62" i="3"/>
  <c r="N62" i="3"/>
  <c r="M62" i="3"/>
  <c r="L62" i="3"/>
  <c r="E62" i="3"/>
  <c r="B62" i="3"/>
  <c r="A62" i="3"/>
  <c r="Q61" i="3"/>
  <c r="P61" i="3"/>
  <c r="O61" i="3"/>
  <c r="N61" i="3"/>
  <c r="M61" i="3"/>
  <c r="L61" i="3"/>
  <c r="E61" i="3"/>
  <c r="B61" i="3"/>
  <c r="A61" i="3"/>
  <c r="Q60" i="3"/>
  <c r="P60" i="3"/>
  <c r="O60" i="3"/>
  <c r="N60" i="3"/>
  <c r="M60" i="3"/>
  <c r="L60" i="3"/>
  <c r="E60" i="3"/>
  <c r="B60" i="3"/>
  <c r="A60" i="3"/>
  <c r="Q59" i="3"/>
  <c r="P59" i="3"/>
  <c r="O59" i="3"/>
  <c r="N59" i="3"/>
  <c r="M59" i="3"/>
  <c r="L59" i="3"/>
  <c r="E59" i="3"/>
  <c r="B59" i="3"/>
  <c r="A59" i="3"/>
  <c r="Q58" i="3"/>
  <c r="P58" i="3"/>
  <c r="O58" i="3"/>
  <c r="N58" i="3"/>
  <c r="M58" i="3"/>
  <c r="L58" i="3"/>
  <c r="E58" i="3"/>
  <c r="B58" i="3"/>
  <c r="A58" i="3"/>
  <c r="Q57" i="3"/>
  <c r="P57" i="3"/>
  <c r="O57" i="3"/>
  <c r="N57" i="3"/>
  <c r="M57" i="3"/>
  <c r="L57" i="3"/>
  <c r="E57" i="3"/>
  <c r="B57" i="3"/>
  <c r="A57" i="3"/>
  <c r="Q56" i="3"/>
  <c r="P56" i="3"/>
  <c r="O56" i="3"/>
  <c r="N56" i="3"/>
  <c r="M56" i="3"/>
  <c r="L56" i="3"/>
  <c r="E56" i="3"/>
  <c r="B56" i="3"/>
  <c r="A56" i="3"/>
  <c r="Q55" i="3"/>
  <c r="P55" i="3"/>
  <c r="O55" i="3"/>
  <c r="N55" i="3"/>
  <c r="M55" i="3"/>
  <c r="L55" i="3"/>
  <c r="E55" i="3"/>
  <c r="B55" i="3"/>
  <c r="A55" i="3"/>
  <c r="Q54" i="3"/>
  <c r="P54" i="3"/>
  <c r="O54" i="3"/>
  <c r="N54" i="3"/>
  <c r="M54" i="3"/>
  <c r="L54" i="3"/>
  <c r="E54" i="3"/>
  <c r="B54" i="3"/>
  <c r="A54" i="3"/>
  <c r="Q53" i="3"/>
  <c r="P53" i="3"/>
  <c r="O53" i="3"/>
  <c r="N53" i="3"/>
  <c r="M53" i="3"/>
  <c r="L53" i="3"/>
  <c r="E53" i="3"/>
  <c r="B53" i="3"/>
  <c r="A53" i="3"/>
  <c r="Q52" i="3"/>
  <c r="P52" i="3"/>
  <c r="O52" i="3"/>
  <c r="N52" i="3"/>
  <c r="M52" i="3"/>
  <c r="L52" i="3"/>
  <c r="E52" i="3"/>
  <c r="B52" i="3"/>
  <c r="A52" i="3"/>
  <c r="Q51" i="3"/>
  <c r="P51" i="3"/>
  <c r="O51" i="3"/>
  <c r="N51" i="3"/>
  <c r="M51" i="3"/>
  <c r="L51" i="3"/>
  <c r="E51" i="3"/>
  <c r="B51" i="3"/>
  <c r="A51" i="3"/>
  <c r="Q50" i="3"/>
  <c r="P50" i="3"/>
  <c r="O50" i="3"/>
  <c r="N50" i="3"/>
  <c r="M50" i="3"/>
  <c r="L50" i="3"/>
  <c r="E50" i="3"/>
  <c r="B50" i="3"/>
  <c r="A50" i="3"/>
  <c r="Q49" i="3"/>
  <c r="P49" i="3"/>
  <c r="O49" i="3"/>
  <c r="N49" i="3"/>
  <c r="M49" i="3"/>
  <c r="L49" i="3"/>
  <c r="E49" i="3"/>
  <c r="B49" i="3"/>
  <c r="A49" i="3"/>
  <c r="Q48" i="3"/>
  <c r="P48" i="3"/>
  <c r="O48" i="3"/>
  <c r="N48" i="3"/>
  <c r="M48" i="3"/>
  <c r="L48" i="3"/>
  <c r="E48" i="3"/>
  <c r="B48" i="3"/>
  <c r="A48" i="3"/>
  <c r="Q47" i="3"/>
  <c r="P47" i="3"/>
  <c r="O47" i="3"/>
  <c r="N47" i="3"/>
  <c r="M47" i="3"/>
  <c r="L47" i="3"/>
  <c r="E47" i="3"/>
  <c r="B47" i="3"/>
  <c r="A47" i="3"/>
  <c r="Q46" i="3"/>
  <c r="P46" i="3"/>
  <c r="O46" i="3"/>
  <c r="N46" i="3"/>
  <c r="M46" i="3"/>
  <c r="L46" i="3"/>
  <c r="E46" i="3"/>
  <c r="B46" i="3"/>
  <c r="A46" i="3"/>
  <c r="Q45" i="3"/>
  <c r="P45" i="3"/>
  <c r="O45" i="3"/>
  <c r="N45" i="3"/>
  <c r="M45" i="3"/>
  <c r="L45" i="3"/>
  <c r="E45" i="3"/>
  <c r="B45" i="3"/>
  <c r="A45" i="3"/>
  <c r="Q44" i="3"/>
  <c r="P44" i="3"/>
  <c r="O44" i="3"/>
  <c r="N44" i="3"/>
  <c r="M44" i="3"/>
  <c r="L44" i="3"/>
  <c r="E44" i="3"/>
  <c r="B44" i="3"/>
  <c r="A44" i="3"/>
  <c r="Q43" i="3"/>
  <c r="P43" i="3"/>
  <c r="O43" i="3"/>
  <c r="N43" i="3"/>
  <c r="M43" i="3"/>
  <c r="L43" i="3"/>
  <c r="E43" i="3"/>
  <c r="B43" i="3"/>
  <c r="A43" i="3"/>
  <c r="Q42" i="3"/>
  <c r="P42" i="3"/>
  <c r="O42" i="3"/>
  <c r="N42" i="3"/>
  <c r="M42" i="3"/>
  <c r="L42" i="3"/>
  <c r="E42" i="3"/>
  <c r="B42" i="3"/>
  <c r="A42" i="3"/>
  <c r="Q41" i="3"/>
  <c r="P41" i="3"/>
  <c r="O41" i="3"/>
  <c r="N41" i="3"/>
  <c r="M41" i="3"/>
  <c r="L41" i="3"/>
  <c r="E41" i="3"/>
  <c r="B41" i="3"/>
  <c r="A41" i="3"/>
  <c r="Q40" i="3"/>
  <c r="P40" i="3"/>
  <c r="O40" i="3"/>
  <c r="N40" i="3"/>
  <c r="M40" i="3"/>
  <c r="L40" i="3"/>
  <c r="E40" i="3"/>
  <c r="B40" i="3"/>
  <c r="A40" i="3"/>
  <c r="Q39" i="3"/>
  <c r="P39" i="3"/>
  <c r="O39" i="3"/>
  <c r="N39" i="3"/>
  <c r="M39" i="3"/>
  <c r="L39" i="3"/>
  <c r="E39" i="3"/>
  <c r="B39" i="3"/>
  <c r="A39" i="3"/>
  <c r="Q38" i="3"/>
  <c r="P38" i="3"/>
  <c r="O38" i="3"/>
  <c r="N38" i="3"/>
  <c r="M38" i="3"/>
  <c r="L38" i="3"/>
  <c r="E38" i="3"/>
  <c r="B38" i="3"/>
  <c r="A38" i="3"/>
  <c r="Q37" i="3"/>
  <c r="P37" i="3"/>
  <c r="O37" i="3"/>
  <c r="N37" i="3"/>
  <c r="M37" i="3"/>
  <c r="L37" i="3"/>
  <c r="E37" i="3"/>
  <c r="B37" i="3"/>
  <c r="A37" i="3"/>
  <c r="Q36" i="3"/>
  <c r="P36" i="3"/>
  <c r="O36" i="3"/>
  <c r="N36" i="3"/>
  <c r="M36" i="3"/>
  <c r="L36" i="3"/>
  <c r="E36" i="3"/>
  <c r="B36" i="3"/>
  <c r="A36" i="3"/>
  <c r="Q35" i="3"/>
  <c r="P35" i="3"/>
  <c r="O35" i="3"/>
  <c r="N35" i="3"/>
  <c r="M35" i="3"/>
  <c r="L35" i="3"/>
  <c r="E35" i="3"/>
  <c r="B35" i="3"/>
  <c r="A35" i="3"/>
  <c r="Q34" i="3"/>
  <c r="P34" i="3"/>
  <c r="O34" i="3"/>
  <c r="N34" i="3"/>
  <c r="M34" i="3"/>
  <c r="L34" i="3"/>
  <c r="E34" i="3"/>
  <c r="B34" i="3"/>
  <c r="A34" i="3"/>
  <c r="Q33" i="3"/>
  <c r="P33" i="3"/>
  <c r="O33" i="3"/>
  <c r="N33" i="3"/>
  <c r="M33" i="3"/>
  <c r="L33" i="3"/>
  <c r="E33" i="3"/>
  <c r="B33" i="3"/>
  <c r="A33" i="3"/>
  <c r="Q32" i="3"/>
  <c r="P32" i="3"/>
  <c r="O32" i="3"/>
  <c r="N32" i="3"/>
  <c r="M32" i="3"/>
  <c r="L32" i="3"/>
  <c r="E32" i="3"/>
  <c r="B32" i="3"/>
  <c r="A32" i="3"/>
  <c r="Q31" i="3"/>
  <c r="P31" i="3"/>
  <c r="O31" i="3"/>
  <c r="N31" i="3"/>
  <c r="M31" i="3"/>
  <c r="L31" i="3"/>
  <c r="E31" i="3"/>
  <c r="B31" i="3"/>
  <c r="A31" i="3"/>
  <c r="Q30" i="3"/>
  <c r="P30" i="3"/>
  <c r="O30" i="3"/>
  <c r="N30" i="3"/>
  <c r="M30" i="3"/>
  <c r="L30" i="3"/>
  <c r="E30" i="3"/>
  <c r="B30" i="3"/>
  <c r="A30" i="3"/>
  <c r="Q29" i="3"/>
  <c r="P29" i="3"/>
  <c r="O29" i="3"/>
  <c r="N29" i="3"/>
  <c r="M29" i="3"/>
  <c r="L29" i="3"/>
  <c r="E29" i="3"/>
  <c r="B29" i="3"/>
  <c r="A29" i="3"/>
  <c r="Q28" i="3"/>
  <c r="P28" i="3"/>
  <c r="O28" i="3"/>
  <c r="N28" i="3"/>
  <c r="M28" i="3"/>
  <c r="L28" i="3"/>
  <c r="E28" i="3"/>
  <c r="B28" i="3"/>
  <c r="A28" i="3"/>
  <c r="Q27" i="3"/>
  <c r="P27" i="3"/>
  <c r="O27" i="3"/>
  <c r="N27" i="3"/>
  <c r="M27" i="3"/>
  <c r="L27" i="3"/>
  <c r="E27" i="3"/>
  <c r="B27" i="3"/>
  <c r="A27" i="3"/>
  <c r="Q26" i="3"/>
  <c r="P26" i="3"/>
  <c r="O26" i="3"/>
  <c r="N26" i="3"/>
  <c r="M26" i="3"/>
  <c r="L26" i="3"/>
  <c r="E26" i="3"/>
  <c r="B26" i="3"/>
  <c r="A26" i="3"/>
  <c r="Q25" i="3"/>
  <c r="P25" i="3"/>
  <c r="O25" i="3"/>
  <c r="N25" i="3"/>
  <c r="M25" i="3"/>
  <c r="L25" i="3"/>
  <c r="E25" i="3"/>
  <c r="B25" i="3"/>
  <c r="A25" i="3"/>
  <c r="Q24" i="3"/>
  <c r="P24" i="3"/>
  <c r="O24" i="3"/>
  <c r="N24" i="3"/>
  <c r="M24" i="3"/>
  <c r="L24" i="3"/>
  <c r="E24" i="3"/>
  <c r="B24" i="3"/>
  <c r="A24" i="3"/>
  <c r="Q23" i="3"/>
  <c r="P23" i="3"/>
  <c r="O23" i="3"/>
  <c r="N23" i="3"/>
  <c r="M23" i="3"/>
  <c r="L23" i="3"/>
  <c r="E23" i="3"/>
  <c r="B23" i="3"/>
  <c r="A23" i="3"/>
  <c r="Q22" i="3"/>
  <c r="P22" i="3"/>
  <c r="O22" i="3"/>
  <c r="N22" i="3"/>
  <c r="M22" i="3"/>
  <c r="L22" i="3"/>
  <c r="E22" i="3"/>
  <c r="B22" i="3"/>
  <c r="A22" i="3"/>
  <c r="Q21" i="3"/>
  <c r="P21" i="3"/>
  <c r="O21" i="3"/>
  <c r="N21" i="3"/>
  <c r="M21" i="3"/>
  <c r="L21" i="3"/>
  <c r="E21" i="3"/>
  <c r="B21" i="3"/>
  <c r="A21" i="3"/>
  <c r="Q20" i="3"/>
  <c r="P20" i="3"/>
  <c r="O20" i="3"/>
  <c r="N20" i="3"/>
  <c r="M20" i="3"/>
  <c r="L20" i="3"/>
  <c r="E20" i="3"/>
  <c r="B20" i="3"/>
  <c r="A20" i="3"/>
  <c r="Q19" i="3"/>
  <c r="P19" i="3"/>
  <c r="O19" i="3"/>
  <c r="N19" i="3"/>
  <c r="M19" i="3"/>
  <c r="L19" i="3"/>
  <c r="E19" i="3"/>
  <c r="B19" i="3"/>
  <c r="A19" i="3"/>
  <c r="Q18" i="3"/>
  <c r="P18" i="3"/>
  <c r="O18" i="3"/>
  <c r="N18" i="3"/>
  <c r="M18" i="3"/>
  <c r="L18" i="3"/>
  <c r="E18" i="3"/>
  <c r="B18" i="3"/>
  <c r="A18" i="3"/>
  <c r="Q17" i="3"/>
  <c r="P17" i="3"/>
  <c r="O17" i="3"/>
  <c r="N17" i="3"/>
  <c r="M17" i="3"/>
  <c r="L17" i="3"/>
  <c r="E17" i="3"/>
  <c r="B17" i="3"/>
  <c r="A17" i="3"/>
  <c r="Q16" i="3"/>
  <c r="P16" i="3"/>
  <c r="O16" i="3"/>
  <c r="N16" i="3"/>
  <c r="M16" i="3"/>
  <c r="L16" i="3"/>
  <c r="E16" i="3"/>
  <c r="B16" i="3"/>
  <c r="A16" i="3"/>
  <c r="Q15" i="3"/>
  <c r="P15" i="3"/>
  <c r="O15" i="3"/>
  <c r="N15" i="3"/>
  <c r="M15" i="3"/>
  <c r="L15" i="3"/>
  <c r="E15" i="3"/>
  <c r="B15" i="3"/>
  <c r="A15" i="3"/>
  <c r="Q14" i="3"/>
  <c r="P14" i="3"/>
  <c r="O14" i="3"/>
  <c r="N14" i="3"/>
  <c r="M14" i="3"/>
  <c r="L14" i="3"/>
  <c r="E14" i="3"/>
  <c r="B14" i="3"/>
  <c r="A14" i="3"/>
  <c r="Q13" i="3"/>
  <c r="P13" i="3"/>
  <c r="O13" i="3"/>
  <c r="N13" i="3"/>
  <c r="M13" i="3"/>
  <c r="L13" i="3"/>
  <c r="E13" i="3"/>
  <c r="B13" i="3"/>
  <c r="A13" i="3"/>
  <c r="Q12" i="3"/>
  <c r="P12" i="3"/>
  <c r="O12" i="3"/>
  <c r="N12" i="3"/>
  <c r="M12" i="3"/>
  <c r="L12" i="3"/>
  <c r="E12" i="3"/>
  <c r="B12" i="3"/>
  <c r="A12" i="3"/>
  <c r="Q11" i="3"/>
  <c r="P11" i="3"/>
  <c r="O11" i="3"/>
  <c r="N11" i="3"/>
  <c r="M11" i="3"/>
  <c r="L11" i="3"/>
  <c r="E11" i="3"/>
  <c r="B11" i="3"/>
  <c r="A11" i="3"/>
  <c r="Q10" i="3"/>
  <c r="P10" i="3"/>
  <c r="O10" i="3"/>
  <c r="N10" i="3"/>
  <c r="M10" i="3"/>
  <c r="L10" i="3"/>
  <c r="E10" i="3"/>
  <c r="B10" i="3"/>
  <c r="A10" i="3"/>
  <c r="Q9" i="3"/>
  <c r="P9" i="3"/>
  <c r="O9" i="3"/>
  <c r="N9" i="3"/>
  <c r="M9" i="3"/>
  <c r="L9" i="3"/>
  <c r="E9" i="3"/>
  <c r="B9" i="3"/>
  <c r="A9" i="3"/>
  <c r="Q8" i="3"/>
  <c r="P8" i="3"/>
  <c r="O8" i="3"/>
  <c r="N8" i="3"/>
  <c r="M8" i="3"/>
  <c r="L8" i="3"/>
  <c r="E8" i="3"/>
  <c r="B8" i="3"/>
  <c r="A8" i="3"/>
  <c r="Q7" i="3"/>
  <c r="P7" i="3"/>
  <c r="O7" i="3"/>
  <c r="N7" i="3"/>
  <c r="M7" i="3"/>
  <c r="L7" i="3"/>
  <c r="E7" i="3"/>
  <c r="B7" i="3"/>
  <c r="A7" i="3"/>
  <c r="Q6" i="3"/>
  <c r="P6" i="3"/>
  <c r="O6" i="3"/>
  <c r="N6" i="3"/>
  <c r="M6" i="3"/>
  <c r="L6" i="3"/>
  <c r="E6" i="3"/>
  <c r="B6" i="3"/>
  <c r="A6" i="3"/>
  <c r="Q5" i="3"/>
  <c r="P5" i="3"/>
  <c r="O5" i="3"/>
  <c r="N5" i="3"/>
  <c r="M5" i="3"/>
  <c r="L5" i="3"/>
  <c r="E5" i="3"/>
  <c r="B5" i="3"/>
  <c r="A5" i="3"/>
  <c r="Q4" i="3"/>
  <c r="P4" i="3"/>
  <c r="O4" i="3"/>
  <c r="N4" i="3"/>
  <c r="M4" i="3"/>
  <c r="L4" i="3"/>
  <c r="E4" i="3"/>
  <c r="B4" i="3"/>
  <c r="A4" i="3"/>
  <c r="Q3" i="3"/>
  <c r="P3" i="3"/>
  <c r="O3" i="3"/>
  <c r="N3" i="3"/>
  <c r="M3" i="3"/>
  <c r="L3" i="3"/>
  <c r="E3" i="3"/>
  <c r="B3" i="3"/>
  <c r="A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K102" i="3"/>
  <c r="G102" i="3"/>
  <c r="J101" i="3"/>
  <c r="F101" i="3"/>
  <c r="I100" i="3"/>
  <c r="H99" i="3"/>
  <c r="K98" i="3"/>
  <c r="G98" i="3"/>
  <c r="J97" i="3"/>
  <c r="F97" i="3"/>
  <c r="I96" i="3"/>
  <c r="H95" i="3"/>
  <c r="K94" i="3"/>
  <c r="G94" i="3"/>
  <c r="J93" i="3"/>
  <c r="F93" i="3"/>
  <c r="I92" i="3"/>
  <c r="K90" i="3"/>
  <c r="G90" i="3"/>
  <c r="J89" i="3"/>
  <c r="F89" i="3"/>
  <c r="I88" i="3"/>
  <c r="H87" i="3"/>
  <c r="K86" i="3"/>
  <c r="G86" i="3"/>
  <c r="J85" i="3"/>
  <c r="F85" i="3"/>
  <c r="I84" i="3"/>
  <c r="H83" i="3"/>
  <c r="K82" i="3"/>
  <c r="G82" i="3"/>
  <c r="J81" i="3"/>
  <c r="F81" i="3"/>
  <c r="I80" i="3"/>
  <c r="K78" i="3"/>
  <c r="G78" i="3"/>
  <c r="J77" i="3"/>
  <c r="F77" i="3"/>
  <c r="I76" i="3"/>
  <c r="H75" i="3"/>
  <c r="K74" i="3"/>
  <c r="G74" i="3"/>
  <c r="J73" i="3"/>
  <c r="F73" i="3"/>
  <c r="I72" i="3"/>
  <c r="H71" i="3"/>
  <c r="K70" i="3"/>
  <c r="G70" i="3"/>
  <c r="J69" i="3"/>
  <c r="F69" i="3"/>
  <c r="I68" i="3"/>
  <c r="K66" i="3"/>
  <c r="G66" i="3"/>
  <c r="J65" i="3"/>
  <c r="F65" i="3"/>
  <c r="I64" i="3"/>
  <c r="H63" i="3"/>
  <c r="K62" i="3"/>
  <c r="G62" i="3"/>
  <c r="J61" i="3"/>
  <c r="F61" i="3"/>
  <c r="I60" i="3"/>
  <c r="H59" i="3"/>
  <c r="K58" i="3"/>
  <c r="G58" i="3"/>
  <c r="J57" i="3"/>
  <c r="F57" i="3"/>
  <c r="I56" i="3"/>
  <c r="K54" i="3"/>
  <c r="G54" i="3"/>
  <c r="J53" i="3"/>
  <c r="F53" i="3"/>
  <c r="I52" i="3"/>
  <c r="H51" i="3"/>
  <c r="K50" i="3"/>
  <c r="G50" i="3"/>
  <c r="J49" i="3"/>
  <c r="F49" i="3"/>
  <c r="I48" i="3"/>
  <c r="H47" i="3"/>
  <c r="K46" i="3"/>
  <c r="G46" i="3"/>
  <c r="J45" i="3"/>
  <c r="F45" i="3"/>
  <c r="I44" i="3"/>
  <c r="K42" i="3"/>
  <c r="G42" i="3"/>
  <c r="J41" i="3"/>
  <c r="F41" i="3"/>
  <c r="I40" i="3"/>
  <c r="H39" i="3"/>
  <c r="K38" i="3"/>
  <c r="G38" i="3"/>
  <c r="J37" i="3"/>
  <c r="F37" i="3"/>
  <c r="I36" i="3"/>
  <c r="H35" i="3"/>
  <c r="K34" i="3"/>
  <c r="G34" i="3"/>
  <c r="J33" i="3"/>
  <c r="F33" i="3"/>
  <c r="I32" i="3"/>
  <c r="K30" i="3"/>
  <c r="G30" i="3"/>
  <c r="J29" i="3"/>
  <c r="F29" i="3"/>
  <c r="I28" i="3"/>
  <c r="H27" i="3"/>
  <c r="K26" i="3"/>
  <c r="G26" i="3"/>
  <c r="J25" i="3"/>
  <c r="F25" i="3"/>
  <c r="I24" i="3"/>
  <c r="H23" i="3"/>
  <c r="K22" i="3"/>
  <c r="G22" i="3"/>
  <c r="J21" i="3"/>
  <c r="F21" i="3"/>
  <c r="J102" i="3"/>
  <c r="F102" i="3"/>
  <c r="I102" i="3"/>
  <c r="H101" i="3"/>
  <c r="K100" i="3"/>
  <c r="G100" i="3"/>
  <c r="J99" i="3"/>
  <c r="F99" i="3"/>
  <c r="I98" i="3"/>
  <c r="H97" i="3"/>
  <c r="K96" i="3"/>
  <c r="G96" i="3"/>
  <c r="J95" i="3"/>
  <c r="F95" i="3"/>
  <c r="I94" i="3"/>
  <c r="H93" i="3"/>
  <c r="K92" i="3"/>
  <c r="G92" i="3"/>
  <c r="I90" i="3"/>
  <c r="H89" i="3"/>
  <c r="K88" i="3"/>
  <c r="G88" i="3"/>
  <c r="J87" i="3"/>
  <c r="F87" i="3"/>
  <c r="I86" i="3"/>
  <c r="H85" i="3"/>
  <c r="K84" i="3"/>
  <c r="G84" i="3"/>
  <c r="J83" i="3"/>
  <c r="F83" i="3"/>
  <c r="I82" i="3"/>
  <c r="H81" i="3"/>
  <c r="K80" i="3"/>
  <c r="G80" i="3"/>
  <c r="I78" i="3"/>
  <c r="H77" i="3"/>
  <c r="K76" i="3"/>
  <c r="G76" i="3"/>
  <c r="J75" i="3"/>
  <c r="F75" i="3"/>
  <c r="I74" i="3"/>
  <c r="H73" i="3"/>
  <c r="K72" i="3"/>
  <c r="G72" i="3"/>
  <c r="J71" i="3"/>
  <c r="F71" i="3"/>
  <c r="I70" i="3"/>
  <c r="H69" i="3"/>
  <c r="K68" i="3"/>
  <c r="G68" i="3"/>
  <c r="I66" i="3"/>
  <c r="H65" i="3"/>
  <c r="K64" i="3"/>
  <c r="G64" i="3"/>
  <c r="J63" i="3"/>
  <c r="F63" i="3"/>
  <c r="I62" i="3"/>
  <c r="H61" i="3"/>
  <c r="K60" i="3"/>
  <c r="G60" i="3"/>
  <c r="J59" i="3"/>
  <c r="F59" i="3"/>
  <c r="I58" i="3"/>
  <c r="H57" i="3"/>
  <c r="K56" i="3"/>
  <c r="G56" i="3"/>
  <c r="I54" i="3"/>
  <c r="A112" i="3"/>
  <c r="H102" i="3"/>
  <c r="G101" i="3"/>
  <c r="F100" i="3"/>
  <c r="G99" i="3"/>
  <c r="F98" i="3"/>
  <c r="G97" i="3"/>
  <c r="F96" i="3"/>
  <c r="G95" i="3"/>
  <c r="F94" i="3"/>
  <c r="G93" i="3"/>
  <c r="F92" i="3"/>
  <c r="F90" i="3"/>
  <c r="G89" i="3"/>
  <c r="F88" i="3"/>
  <c r="G87" i="3"/>
  <c r="F86" i="3"/>
  <c r="G85" i="3"/>
  <c r="F84" i="3"/>
  <c r="G83" i="3"/>
  <c r="F82" i="3"/>
  <c r="G81" i="3"/>
  <c r="F80" i="3"/>
  <c r="F78" i="3"/>
  <c r="G77" i="3"/>
  <c r="F76" i="3"/>
  <c r="G75" i="3"/>
  <c r="F74" i="3"/>
  <c r="G73" i="3"/>
  <c r="F72" i="3"/>
  <c r="G71" i="3"/>
  <c r="F70" i="3"/>
  <c r="G69" i="3"/>
  <c r="F68" i="3"/>
  <c r="F66" i="3"/>
  <c r="G65" i="3"/>
  <c r="F64" i="3"/>
  <c r="G63" i="3"/>
  <c r="F62" i="3"/>
  <c r="G61" i="3"/>
  <c r="F60" i="3"/>
  <c r="G59" i="3"/>
  <c r="F58" i="3"/>
  <c r="G57" i="3"/>
  <c r="F56" i="3"/>
  <c r="F54" i="3"/>
  <c r="H53" i="3"/>
  <c r="J52" i="3"/>
  <c r="G51" i="3"/>
  <c r="I50" i="3"/>
  <c r="K49" i="3"/>
  <c r="G48" i="3"/>
  <c r="J47" i="3"/>
  <c r="F46" i="3"/>
  <c r="H45" i="3"/>
  <c r="G53" i="3"/>
  <c r="H52" i="3"/>
  <c r="K51" i="3"/>
  <c r="F51" i="3"/>
  <c r="H50" i="3"/>
  <c r="I49" i="3"/>
  <c r="K48" i="3"/>
  <c r="F48" i="3"/>
  <c r="I47" i="3"/>
  <c r="J46" i="3"/>
  <c r="G45" i="3"/>
  <c r="H44" i="3"/>
  <c r="H42" i="3"/>
  <c r="I41" i="3"/>
  <c r="K40" i="3"/>
  <c r="F40" i="3"/>
  <c r="I39" i="3"/>
  <c r="J38" i="3"/>
  <c r="G37" i="3"/>
  <c r="H36" i="3"/>
  <c r="K35" i="3"/>
  <c r="F35" i="3"/>
  <c r="H34" i="3"/>
  <c r="I33" i="3"/>
  <c r="K32" i="3"/>
  <c r="F32" i="3"/>
  <c r="J30" i="3"/>
  <c r="G29" i="3"/>
  <c r="H28" i="3"/>
  <c r="K27" i="3"/>
  <c r="F27" i="3"/>
  <c r="H26" i="3"/>
  <c r="I25" i="3"/>
  <c r="K24" i="3"/>
  <c r="F24" i="3"/>
  <c r="I23" i="3"/>
  <c r="J22" i="3"/>
  <c r="G21" i="3"/>
  <c r="I20" i="3"/>
  <c r="K18" i="3"/>
  <c r="G18" i="3"/>
  <c r="J17" i="3"/>
  <c r="F17" i="3"/>
  <c r="I16" i="3"/>
  <c r="H15" i="3"/>
  <c r="K14" i="3"/>
  <c r="G14" i="3"/>
  <c r="J13" i="3"/>
  <c r="F13" i="3"/>
  <c r="I12" i="3"/>
  <c r="H11" i="3"/>
  <c r="K10" i="3"/>
  <c r="G10" i="3"/>
  <c r="J9" i="3"/>
  <c r="F9" i="3"/>
  <c r="I8" i="3"/>
  <c r="K6" i="3"/>
  <c r="G6" i="3"/>
  <c r="J5" i="3"/>
  <c r="F5" i="3"/>
  <c r="K101" i="3"/>
  <c r="J100" i="3"/>
  <c r="K99" i="3"/>
  <c r="J98" i="3"/>
  <c r="K97" i="3"/>
  <c r="J96" i="3"/>
  <c r="K95" i="3"/>
  <c r="J94" i="3"/>
  <c r="K93" i="3"/>
  <c r="J92" i="3"/>
  <c r="J90" i="3"/>
  <c r="K89" i="3"/>
  <c r="J88" i="3"/>
  <c r="K87" i="3"/>
  <c r="J86" i="3"/>
  <c r="K85" i="3"/>
  <c r="J84" i="3"/>
  <c r="K83" i="3"/>
  <c r="J82" i="3"/>
  <c r="K81" i="3"/>
  <c r="J80" i="3"/>
  <c r="J78" i="3"/>
  <c r="K77" i="3"/>
  <c r="J76" i="3"/>
  <c r="K75" i="3"/>
  <c r="J74" i="3"/>
  <c r="K73" i="3"/>
  <c r="J72" i="3"/>
  <c r="K71" i="3"/>
  <c r="J70" i="3"/>
  <c r="K69" i="3"/>
  <c r="J68" i="3"/>
  <c r="J66" i="3"/>
  <c r="K65" i="3"/>
  <c r="J64" i="3"/>
  <c r="K63" i="3"/>
  <c r="J62" i="3"/>
  <c r="K61" i="3"/>
  <c r="J60" i="3"/>
  <c r="K59" i="3"/>
  <c r="J58" i="3"/>
  <c r="K57" i="3"/>
  <c r="J56" i="3"/>
  <c r="J54" i="3"/>
  <c r="K53" i="3"/>
  <c r="G52" i="3"/>
  <c r="J51" i="3"/>
  <c r="F50" i="3"/>
  <c r="H49" i="3"/>
  <c r="J48" i="3"/>
  <c r="G47" i="3"/>
  <c r="I46" i="3"/>
  <c r="K45" i="3"/>
  <c r="G44" i="3"/>
  <c r="F42" i="3"/>
  <c r="H41" i="3"/>
  <c r="J40" i="3"/>
  <c r="G39" i="3"/>
  <c r="I38" i="3"/>
  <c r="K37" i="3"/>
  <c r="G36" i="3"/>
  <c r="J35" i="3"/>
  <c r="F34" i="3"/>
  <c r="H33" i="3"/>
  <c r="J32" i="3"/>
  <c r="I30" i="3"/>
  <c r="K29" i="3"/>
  <c r="G28" i="3"/>
  <c r="J27" i="3"/>
  <c r="F26" i="3"/>
  <c r="H25" i="3"/>
  <c r="J24" i="3"/>
  <c r="G23" i="3"/>
  <c r="I22" i="3"/>
  <c r="K21" i="3"/>
  <c r="H20" i="3"/>
  <c r="J18" i="3"/>
  <c r="F18" i="3"/>
  <c r="I17" i="3"/>
  <c r="H16" i="3"/>
  <c r="K15" i="3"/>
  <c r="G15" i="3"/>
  <c r="J14" i="3"/>
  <c r="F14" i="3"/>
  <c r="I13" i="3"/>
  <c r="H12" i="3"/>
  <c r="K11" i="3"/>
  <c r="G11" i="3"/>
  <c r="J10" i="3"/>
  <c r="F10" i="3"/>
  <c r="I9" i="3"/>
  <c r="H8" i="3"/>
  <c r="I101" i="3"/>
  <c r="H100" i="3"/>
  <c r="I99" i="3"/>
  <c r="H98" i="3"/>
  <c r="I97" i="3"/>
  <c r="H96" i="3"/>
  <c r="I95" i="3"/>
  <c r="H94" i="3"/>
  <c r="I93" i="3"/>
  <c r="H92" i="3"/>
  <c r="H90" i="3"/>
  <c r="I89" i="3"/>
  <c r="H88" i="3"/>
  <c r="I87" i="3"/>
  <c r="H86" i="3"/>
  <c r="I85" i="3"/>
  <c r="H84" i="3"/>
  <c r="I83" i="3"/>
  <c r="H82" i="3"/>
  <c r="I81" i="3"/>
  <c r="H80" i="3"/>
  <c r="H78" i="3"/>
  <c r="I77" i="3"/>
  <c r="H76" i="3"/>
  <c r="I75" i="3"/>
  <c r="H74" i="3"/>
  <c r="I73" i="3"/>
  <c r="H72" i="3"/>
  <c r="I71" i="3"/>
  <c r="H70" i="3"/>
  <c r="I69" i="3"/>
  <c r="H68" i="3"/>
  <c r="H66" i="3"/>
  <c r="I65" i="3"/>
  <c r="H64" i="3"/>
  <c r="I63" i="3"/>
  <c r="H62" i="3"/>
  <c r="I61" i="3"/>
  <c r="H60" i="3"/>
  <c r="I59" i="3"/>
  <c r="H58" i="3"/>
  <c r="I57" i="3"/>
  <c r="H56" i="3"/>
  <c r="H54" i="3"/>
  <c r="I53" i="3"/>
  <c r="K52" i="3"/>
  <c r="F52" i="3"/>
  <c r="I51" i="3"/>
  <c r="J50" i="3"/>
  <c r="G49" i="3"/>
  <c r="H48" i="3"/>
  <c r="K47" i="3"/>
  <c r="F47" i="3"/>
  <c r="H46" i="3"/>
  <c r="I45" i="3"/>
  <c r="K44" i="3"/>
  <c r="F44" i="3"/>
  <c r="J42" i="3"/>
  <c r="G41" i="3"/>
  <c r="H40" i="3"/>
  <c r="K39" i="3"/>
  <c r="F39" i="3"/>
  <c r="H38" i="3"/>
  <c r="I37" i="3"/>
  <c r="K36" i="3"/>
  <c r="F36" i="3"/>
  <c r="I35" i="3"/>
  <c r="J34" i="3"/>
  <c r="G33" i="3"/>
  <c r="H32" i="3"/>
  <c r="H30" i="3"/>
  <c r="I29" i="3"/>
  <c r="K28" i="3"/>
  <c r="F28" i="3"/>
  <c r="I27" i="3"/>
  <c r="J26" i="3"/>
  <c r="G25" i="3"/>
  <c r="H24" i="3"/>
  <c r="K23" i="3"/>
  <c r="F23" i="3"/>
  <c r="H22" i="3"/>
  <c r="I21" i="3"/>
  <c r="K20" i="3"/>
  <c r="G20" i="3"/>
  <c r="I18" i="3"/>
  <c r="H17" i="3"/>
  <c r="K16" i="3"/>
  <c r="G16" i="3"/>
  <c r="J15" i="3"/>
  <c r="F15" i="3"/>
  <c r="I14" i="3"/>
  <c r="H13" i="3"/>
  <c r="K12" i="3"/>
  <c r="G12" i="3"/>
  <c r="J11" i="3"/>
  <c r="F11" i="3"/>
  <c r="I10" i="3"/>
  <c r="H9" i="3"/>
  <c r="K8" i="3"/>
  <c r="G8" i="3"/>
  <c r="I6" i="3"/>
  <c r="H5" i="3"/>
  <c r="F20" i="3"/>
  <c r="H18" i="3"/>
  <c r="I15" i="3"/>
  <c r="K13" i="3"/>
  <c r="F12" i="3"/>
  <c r="H10" i="3"/>
  <c r="J6" i="3"/>
  <c r="K5" i="3"/>
  <c r="K41" i="3"/>
  <c r="J39" i="3"/>
  <c r="H37" i="3"/>
  <c r="G35" i="3"/>
  <c r="K33" i="3"/>
  <c r="H29" i="3"/>
  <c r="G27" i="3"/>
  <c r="K25" i="3"/>
  <c r="J23" i="3"/>
  <c r="H21" i="3"/>
  <c r="J16" i="3"/>
  <c r="G13" i="3"/>
  <c r="J8" i="3"/>
  <c r="H6" i="3"/>
  <c r="I5" i="3"/>
  <c r="K17" i="3"/>
  <c r="F16" i="3"/>
  <c r="H14" i="3"/>
  <c r="I11" i="3"/>
  <c r="K9" i="3"/>
  <c r="F8" i="3"/>
  <c r="F6" i="3"/>
  <c r="G5" i="3"/>
  <c r="J44" i="3"/>
  <c r="I42" i="3"/>
  <c r="G40" i="3"/>
  <c r="F38" i="3"/>
  <c r="J36" i="3"/>
  <c r="I34" i="3"/>
  <c r="G32" i="3"/>
  <c r="F30" i="3"/>
  <c r="J28" i="3"/>
  <c r="I26" i="3"/>
  <c r="G24" i="3"/>
  <c r="F22" i="3"/>
  <c r="J20" i="3"/>
  <c r="G17" i="3"/>
  <c r="J12" i="3"/>
  <c r="G9" i="3"/>
  <c r="J9" i="2" l="1"/>
  <c r="G12" i="2"/>
  <c r="J17" i="2"/>
  <c r="J19" i="3"/>
  <c r="G19" i="2" s="1"/>
  <c r="G20" i="2"/>
  <c r="K22" i="2"/>
  <c r="J24" i="2"/>
  <c r="H26" i="2"/>
  <c r="G28" i="2"/>
  <c r="K30" i="2"/>
  <c r="G31" i="3"/>
  <c r="J31" i="2" s="1"/>
  <c r="J32" i="2"/>
  <c r="H34" i="2"/>
  <c r="G36" i="2"/>
  <c r="K38" i="2"/>
  <c r="J40" i="2"/>
  <c r="H42" i="2"/>
  <c r="J43" i="3"/>
  <c r="G43" i="2" s="1"/>
  <c r="G44" i="2"/>
  <c r="J5" i="2"/>
  <c r="K6" i="2"/>
  <c r="F7" i="3"/>
  <c r="K7" i="2" s="1"/>
  <c r="K8" i="2"/>
  <c r="F9" i="2"/>
  <c r="H11" i="2"/>
  <c r="I14" i="2"/>
  <c r="K16" i="2"/>
  <c r="F17" i="2"/>
  <c r="H5" i="2"/>
  <c r="I6" i="2"/>
  <c r="J7" i="3"/>
  <c r="G7" i="2" s="1"/>
  <c r="G8" i="2"/>
  <c r="J13" i="2"/>
  <c r="G16" i="2"/>
  <c r="I21" i="2"/>
  <c r="G23" i="2"/>
  <c r="F25" i="2"/>
  <c r="J27" i="2"/>
  <c r="I29" i="2"/>
  <c r="F33" i="2"/>
  <c r="J35" i="2"/>
  <c r="I37" i="2"/>
  <c r="G39" i="2"/>
  <c r="F41" i="2"/>
  <c r="F5" i="2"/>
  <c r="G6" i="2"/>
  <c r="I10" i="2"/>
  <c r="K12" i="2"/>
  <c r="F13" i="2"/>
  <c r="H15" i="2"/>
  <c r="I18" i="2"/>
  <c r="F19" i="3"/>
  <c r="K19" i="2" s="1"/>
  <c r="K20" i="2"/>
  <c r="I5" i="2"/>
  <c r="H6" i="2"/>
  <c r="G7" i="3"/>
  <c r="J7" i="2" s="1"/>
  <c r="J8" i="2"/>
  <c r="K7" i="3"/>
  <c r="F7" i="2" s="1"/>
  <c r="F8" i="2"/>
  <c r="I9" i="2"/>
  <c r="H10" i="2"/>
  <c r="K11" i="2"/>
  <c r="G11" i="2"/>
  <c r="J12" i="2"/>
  <c r="F12" i="2"/>
  <c r="I13" i="2"/>
  <c r="H14" i="2"/>
  <c r="K15" i="2"/>
  <c r="G15" i="2"/>
  <c r="J16" i="2"/>
  <c r="F16" i="2"/>
  <c r="I17" i="2"/>
  <c r="H18" i="2"/>
  <c r="G19" i="3"/>
  <c r="J19" i="2" s="1"/>
  <c r="J20" i="2"/>
  <c r="K19" i="3"/>
  <c r="F19" i="2" s="1"/>
  <c r="F20" i="2"/>
  <c r="H21" i="2"/>
  <c r="I22" i="2"/>
  <c r="K23" i="2"/>
  <c r="F23" i="2"/>
  <c r="I24" i="2"/>
  <c r="J25" i="2"/>
  <c r="G26" i="2"/>
  <c r="H27" i="2"/>
  <c r="K28" i="2"/>
  <c r="F28" i="2"/>
  <c r="H29" i="2"/>
  <c r="I30" i="2"/>
  <c r="H31" i="3"/>
  <c r="I31" i="2" s="1"/>
  <c r="I32" i="2"/>
  <c r="J33" i="2"/>
  <c r="G34" i="2"/>
  <c r="H35" i="2"/>
  <c r="K36" i="2"/>
  <c r="F36" i="2"/>
  <c r="H37" i="2"/>
  <c r="I38" i="2"/>
  <c r="K39" i="2"/>
  <c r="F39" i="2"/>
  <c r="I40" i="2"/>
  <c r="J41" i="2"/>
  <c r="G42" i="2"/>
  <c r="F43" i="3"/>
  <c r="K43" i="2" s="1"/>
  <c r="K44" i="2"/>
  <c r="K43" i="3"/>
  <c r="F43" i="2" s="1"/>
  <c r="F44" i="2"/>
  <c r="H45" i="2"/>
  <c r="I46" i="2"/>
  <c r="K47" i="2"/>
  <c r="F47" i="2"/>
  <c r="I48" i="2"/>
  <c r="J49" i="2"/>
  <c r="G50" i="2"/>
  <c r="H51" i="2"/>
  <c r="K52" i="2"/>
  <c r="F52" i="2"/>
  <c r="H53" i="2"/>
  <c r="I54" i="2"/>
  <c r="H55" i="3"/>
  <c r="I55" i="2" s="1"/>
  <c r="I56" i="2"/>
  <c r="H57" i="2"/>
  <c r="I58" i="2"/>
  <c r="H59" i="2"/>
  <c r="I60" i="2"/>
  <c r="H61" i="2"/>
  <c r="I62" i="2"/>
  <c r="H63" i="2"/>
  <c r="I64" i="2"/>
  <c r="H65" i="2"/>
  <c r="I66" i="2"/>
  <c r="H67" i="3"/>
  <c r="I67" i="2" s="1"/>
  <c r="I68" i="2"/>
  <c r="H69" i="2"/>
  <c r="I70" i="2"/>
  <c r="H71" i="2"/>
  <c r="I72" i="2"/>
  <c r="H73" i="2"/>
  <c r="I74" i="2"/>
  <c r="H75" i="2"/>
  <c r="I76" i="2"/>
  <c r="H77" i="2"/>
  <c r="I78" i="2"/>
  <c r="H79" i="3"/>
  <c r="I79" i="2" s="1"/>
  <c r="I80" i="2"/>
  <c r="H81" i="2"/>
  <c r="I82" i="2"/>
  <c r="H83" i="2"/>
  <c r="I84" i="2"/>
  <c r="H85" i="2"/>
  <c r="I86" i="2"/>
  <c r="H87" i="2"/>
  <c r="I88" i="2"/>
  <c r="H89" i="2"/>
  <c r="I90" i="2"/>
  <c r="H91" i="3"/>
  <c r="I91" i="2" s="1"/>
  <c r="I92" i="2"/>
  <c r="H93" i="2"/>
  <c r="I94" i="2"/>
  <c r="H95" i="2"/>
  <c r="I96" i="2"/>
  <c r="H97" i="2"/>
  <c r="I98" i="2"/>
  <c r="H99" i="2"/>
  <c r="I100" i="2"/>
  <c r="H101" i="2"/>
  <c r="H7" i="3"/>
  <c r="I7" i="2" s="1"/>
  <c r="I8" i="2"/>
  <c r="H9" i="2"/>
  <c r="K10" i="2"/>
  <c r="G10" i="2"/>
  <c r="J11" i="2"/>
  <c r="F11" i="2"/>
  <c r="I12" i="2"/>
  <c r="H13" i="2"/>
  <c r="K14" i="2"/>
  <c r="G14" i="2"/>
  <c r="J15" i="2"/>
  <c r="F15" i="2"/>
  <c r="I16" i="2"/>
  <c r="H17" i="2"/>
  <c r="K18" i="2"/>
  <c r="G18" i="2"/>
  <c r="H19" i="3"/>
  <c r="I19" i="2" s="1"/>
  <c r="I20" i="2"/>
  <c r="F21" i="2"/>
  <c r="H22" i="2"/>
  <c r="J23" i="2"/>
  <c r="G24" i="2"/>
  <c r="I25" i="2"/>
  <c r="K26" i="2"/>
  <c r="G27" i="2"/>
  <c r="J28" i="2"/>
  <c r="F29" i="2"/>
  <c r="H30" i="2"/>
  <c r="J31" i="3"/>
  <c r="G31" i="2" s="1"/>
  <c r="G32" i="2"/>
  <c r="I33" i="2"/>
  <c r="K34" i="2"/>
  <c r="G35" i="2"/>
  <c r="J36" i="2"/>
  <c r="F37" i="2"/>
  <c r="H38" i="2"/>
  <c r="J39" i="2"/>
  <c r="G40" i="2"/>
  <c r="I41" i="2"/>
  <c r="K42" i="2"/>
  <c r="G43" i="3"/>
  <c r="J43" i="2" s="1"/>
  <c r="J44" i="2"/>
  <c r="F45" i="2"/>
  <c r="H46" i="2"/>
  <c r="J47" i="2"/>
  <c r="G48" i="2"/>
  <c r="I49" i="2"/>
  <c r="K50" i="2"/>
  <c r="G51" i="2"/>
  <c r="J52" i="2"/>
  <c r="F53" i="2"/>
  <c r="G54" i="2"/>
  <c r="J55" i="3"/>
  <c r="G55" i="2" s="1"/>
  <c r="G56" i="2"/>
  <c r="F57" i="2"/>
  <c r="G58" i="2"/>
  <c r="F59" i="2"/>
  <c r="G60" i="2"/>
  <c r="F61" i="2"/>
  <c r="G62" i="2"/>
  <c r="F63" i="2"/>
  <c r="G64" i="2"/>
  <c r="F65" i="2"/>
  <c r="G66" i="2"/>
  <c r="J67" i="3"/>
  <c r="G67" i="2" s="1"/>
  <c r="G68" i="2"/>
  <c r="F69" i="2"/>
  <c r="G70" i="2"/>
  <c r="F71" i="2"/>
  <c r="G72" i="2"/>
  <c r="F73" i="2"/>
  <c r="G74" i="2"/>
  <c r="F75" i="2"/>
  <c r="G76" i="2"/>
  <c r="F77" i="2"/>
  <c r="G78" i="2"/>
  <c r="J79" i="3"/>
  <c r="G79" i="2" s="1"/>
  <c r="G80" i="2"/>
  <c r="F81" i="2"/>
  <c r="G82" i="2"/>
  <c r="F83" i="2"/>
  <c r="G84" i="2"/>
  <c r="F85" i="2"/>
  <c r="G86" i="2"/>
  <c r="F87" i="2"/>
  <c r="G88" i="2"/>
  <c r="F89" i="2"/>
  <c r="G90" i="2"/>
  <c r="J91" i="3"/>
  <c r="G91" i="2" s="1"/>
  <c r="G92" i="2"/>
  <c r="F93" i="2"/>
  <c r="G94" i="2"/>
  <c r="F95" i="2"/>
  <c r="G96" i="2"/>
  <c r="F97" i="2"/>
  <c r="G98" i="2"/>
  <c r="F99" i="2"/>
  <c r="G100" i="2"/>
  <c r="F101" i="2"/>
  <c r="K5" i="2"/>
  <c r="G5" i="2"/>
  <c r="J6" i="2"/>
  <c r="F6" i="2"/>
  <c r="I7" i="3"/>
  <c r="H7" i="2" s="1"/>
  <c r="H8" i="2"/>
  <c r="K9" i="2"/>
  <c r="G9" i="2"/>
  <c r="J10" i="2"/>
  <c r="F10" i="2"/>
  <c r="I11" i="2"/>
  <c r="H12" i="2"/>
  <c r="K13" i="2"/>
  <c r="G13" i="2"/>
  <c r="J14" i="2"/>
  <c r="F14" i="2"/>
  <c r="I15" i="2"/>
  <c r="H16" i="2"/>
  <c r="K17" i="2"/>
  <c r="G17" i="2"/>
  <c r="J18" i="2"/>
  <c r="F18" i="2"/>
  <c r="I19" i="3"/>
  <c r="H19" i="2" s="1"/>
  <c r="H20" i="2"/>
  <c r="J21" i="2"/>
  <c r="G22" i="2"/>
  <c r="H23" i="2"/>
  <c r="K24" i="2"/>
  <c r="F24" i="2"/>
  <c r="H25" i="2"/>
  <c r="I26" i="2"/>
  <c r="K27" i="2"/>
  <c r="F27" i="2"/>
  <c r="I28" i="2"/>
  <c r="J29" i="2"/>
  <c r="G30" i="2"/>
  <c r="F31" i="3"/>
  <c r="K31" i="2" s="1"/>
  <c r="K32" i="2"/>
  <c r="K31" i="3"/>
  <c r="F31" i="2" s="1"/>
  <c r="F32" i="2"/>
  <c r="H33" i="2"/>
  <c r="I34" i="2"/>
  <c r="K35" i="2"/>
  <c r="F35" i="2"/>
  <c r="I36" i="2"/>
  <c r="J37" i="2"/>
  <c r="G38" i="2"/>
  <c r="H39" i="2"/>
  <c r="K40" i="2"/>
  <c r="F40" i="2"/>
  <c r="H41" i="2"/>
  <c r="I42" i="2"/>
  <c r="H43" i="3"/>
  <c r="I43" i="2" s="1"/>
  <c r="I44" i="2"/>
  <c r="J45" i="2"/>
  <c r="G46" i="2"/>
  <c r="H47" i="2"/>
  <c r="K48" i="2"/>
  <c r="F48" i="2"/>
  <c r="H49" i="2"/>
  <c r="I50" i="2"/>
  <c r="K51" i="2"/>
  <c r="F51" i="2"/>
  <c r="I52" i="2"/>
  <c r="J53" i="2"/>
  <c r="I45" i="2"/>
  <c r="K46" i="2"/>
  <c r="G47" i="2"/>
  <c r="J48" i="2"/>
  <c r="F49" i="2"/>
  <c r="H50" i="2"/>
  <c r="J51" i="2"/>
  <c r="G52" i="2"/>
  <c r="I53" i="2"/>
  <c r="K54" i="2"/>
  <c r="F55" i="3"/>
  <c r="K55" i="2" s="1"/>
  <c r="K56" i="2"/>
  <c r="J57" i="2"/>
  <c r="K58" i="2"/>
  <c r="J59" i="2"/>
  <c r="K60" i="2"/>
  <c r="J61" i="2"/>
  <c r="K62" i="2"/>
  <c r="J63" i="2"/>
  <c r="K64" i="2"/>
  <c r="J65" i="2"/>
  <c r="K66" i="2"/>
  <c r="F67" i="3"/>
  <c r="K67" i="2" s="1"/>
  <c r="K68" i="2"/>
  <c r="J69" i="2"/>
  <c r="K70" i="2"/>
  <c r="J71" i="2"/>
  <c r="K72" i="2"/>
  <c r="J73" i="2"/>
  <c r="K74" i="2"/>
  <c r="J75" i="2"/>
  <c r="K76" i="2"/>
  <c r="J77" i="2"/>
  <c r="K78" i="2"/>
  <c r="F79" i="3"/>
  <c r="K79" i="2" s="1"/>
  <c r="K80" i="2"/>
  <c r="J81" i="2"/>
  <c r="K82" i="2"/>
  <c r="J83" i="2"/>
  <c r="K84" i="2"/>
  <c r="J85" i="2"/>
  <c r="K86" i="2"/>
  <c r="J87" i="2"/>
  <c r="K88" i="2"/>
  <c r="J89" i="2"/>
  <c r="K90" i="2"/>
  <c r="F91" i="3"/>
  <c r="K91" i="2" s="1"/>
  <c r="K92" i="2"/>
  <c r="J93" i="2"/>
  <c r="K94" i="2"/>
  <c r="J95" i="2"/>
  <c r="K96" i="2"/>
  <c r="J97" i="2"/>
  <c r="K98" i="2"/>
  <c r="J99" i="2"/>
  <c r="K100" i="2"/>
  <c r="J101" i="2"/>
  <c r="I102" i="2"/>
  <c r="H54" i="2"/>
  <c r="G55" i="3"/>
  <c r="J55" i="2" s="1"/>
  <c r="J56" i="2"/>
  <c r="K55" i="3"/>
  <c r="F55" i="2" s="1"/>
  <c r="F56" i="2"/>
  <c r="I57" i="2"/>
  <c r="H58" i="2"/>
  <c r="K59" i="2"/>
  <c r="G59" i="2"/>
  <c r="J60" i="2"/>
  <c r="F60" i="2"/>
  <c r="I61" i="2"/>
  <c r="H62" i="2"/>
  <c r="K63" i="2"/>
  <c r="G63" i="2"/>
  <c r="J64" i="2"/>
  <c r="F64" i="2"/>
  <c r="I65" i="2"/>
  <c r="H66" i="2"/>
  <c r="G67" i="3"/>
  <c r="J67" i="2" s="1"/>
  <c r="J68" i="2"/>
  <c r="K67" i="3"/>
  <c r="F67" i="2" s="1"/>
  <c r="F68" i="2"/>
  <c r="I69" i="2"/>
  <c r="H70" i="2"/>
  <c r="K71" i="2"/>
  <c r="G71" i="2"/>
  <c r="J72" i="2"/>
  <c r="F72" i="2"/>
  <c r="I73" i="2"/>
  <c r="H74" i="2"/>
  <c r="K75" i="2"/>
  <c r="G75" i="2"/>
  <c r="J76" i="2"/>
  <c r="F76" i="2"/>
  <c r="I77" i="2"/>
  <c r="H78" i="2"/>
  <c r="G79" i="3"/>
  <c r="J79" i="2" s="1"/>
  <c r="J80" i="2"/>
  <c r="K79" i="3"/>
  <c r="F79" i="2" s="1"/>
  <c r="F80" i="2"/>
  <c r="I81" i="2"/>
  <c r="H82" i="2"/>
  <c r="K83" i="2"/>
  <c r="G83" i="2"/>
  <c r="J84" i="2"/>
  <c r="F84" i="2"/>
  <c r="I85" i="2"/>
  <c r="H86" i="2"/>
  <c r="K87" i="2"/>
  <c r="G87" i="2"/>
  <c r="J88" i="2"/>
  <c r="F88" i="2"/>
  <c r="I89" i="2"/>
  <c r="H90" i="2"/>
  <c r="G91" i="3"/>
  <c r="J91" i="2" s="1"/>
  <c r="J92" i="2"/>
  <c r="K91" i="3"/>
  <c r="F91" i="2" s="1"/>
  <c r="F92" i="2"/>
  <c r="I93" i="2"/>
  <c r="H94" i="2"/>
  <c r="K95" i="2"/>
  <c r="G95" i="2"/>
  <c r="J96" i="2"/>
  <c r="F96" i="2"/>
  <c r="I97" i="2"/>
  <c r="H98" i="2"/>
  <c r="K99" i="2"/>
  <c r="G99" i="2"/>
  <c r="J100" i="2"/>
  <c r="F100" i="2"/>
  <c r="I101" i="2"/>
  <c r="H102" i="2"/>
  <c r="K102" i="2"/>
  <c r="G102" i="2"/>
  <c r="K21" i="2"/>
  <c r="G21" i="2"/>
  <c r="J22" i="2"/>
  <c r="F22" i="2"/>
  <c r="I23" i="2"/>
  <c r="H24" i="2"/>
  <c r="K25" i="2"/>
  <c r="G25" i="2"/>
  <c r="J26" i="2"/>
  <c r="F26" i="2"/>
  <c r="I27" i="2"/>
  <c r="H28" i="2"/>
  <c r="K29" i="2"/>
  <c r="G29" i="2"/>
  <c r="J30" i="2"/>
  <c r="F30" i="2"/>
  <c r="I31" i="3"/>
  <c r="H31" i="2" s="1"/>
  <c r="H32" i="2"/>
  <c r="K33" i="2"/>
  <c r="G33" i="2"/>
  <c r="J34" i="2"/>
  <c r="F34" i="2"/>
  <c r="I35" i="2"/>
  <c r="H36" i="2"/>
  <c r="K37" i="2"/>
  <c r="G37" i="2"/>
  <c r="J38" i="2"/>
  <c r="F38" i="2"/>
  <c r="I39" i="2"/>
  <c r="H40" i="2"/>
  <c r="K41" i="2"/>
  <c r="G41" i="2"/>
  <c r="J42" i="2"/>
  <c r="F42" i="2"/>
  <c r="I43" i="3"/>
  <c r="H43" i="2" s="1"/>
  <c r="H44" i="2"/>
  <c r="K45" i="2"/>
  <c r="G45" i="2"/>
  <c r="J46" i="2"/>
  <c r="F46" i="2"/>
  <c r="I47" i="2"/>
  <c r="H48" i="2"/>
  <c r="K49" i="2"/>
  <c r="G49" i="2"/>
  <c r="J50" i="2"/>
  <c r="F50" i="2"/>
  <c r="I51" i="2"/>
  <c r="H52" i="2"/>
  <c r="K53" i="2"/>
  <c r="G53" i="2"/>
  <c r="J54" i="2"/>
  <c r="F54" i="2"/>
  <c r="I55" i="3"/>
  <c r="H55" i="2" s="1"/>
  <c r="H56" i="2"/>
  <c r="K57" i="2"/>
  <c r="G57" i="2"/>
  <c r="J58" i="2"/>
  <c r="F58" i="2"/>
  <c r="I59" i="2"/>
  <c r="H60" i="2"/>
  <c r="K61" i="2"/>
  <c r="G61" i="2"/>
  <c r="J62" i="2"/>
  <c r="F62" i="2"/>
  <c r="I63" i="2"/>
  <c r="H64" i="2"/>
  <c r="K65" i="2"/>
  <c r="G65" i="2"/>
  <c r="J66" i="2"/>
  <c r="F66" i="2"/>
  <c r="I67" i="3"/>
  <c r="H67" i="2" s="1"/>
  <c r="H68" i="2"/>
  <c r="K69" i="2"/>
  <c r="G69" i="2"/>
  <c r="J70" i="2"/>
  <c r="F70" i="2"/>
  <c r="I71" i="2"/>
  <c r="H72" i="2"/>
  <c r="K73" i="2"/>
  <c r="G73" i="2"/>
  <c r="J74" i="2"/>
  <c r="F74" i="2"/>
  <c r="I75" i="2"/>
  <c r="H76" i="2"/>
  <c r="K77" i="2"/>
  <c r="G77" i="2"/>
  <c r="J78" i="2"/>
  <c r="F78" i="2"/>
  <c r="I79" i="3"/>
  <c r="H79" i="2" s="1"/>
  <c r="H80" i="2"/>
  <c r="K81" i="2"/>
  <c r="G81" i="2"/>
  <c r="J82" i="2"/>
  <c r="F82" i="2"/>
  <c r="I83" i="2"/>
  <c r="H84" i="2"/>
  <c r="K85" i="2"/>
  <c r="G85" i="2"/>
  <c r="J86" i="2"/>
  <c r="F86" i="2"/>
  <c r="I87" i="2"/>
  <c r="H88" i="2"/>
  <c r="K89" i="2"/>
  <c r="G89" i="2"/>
  <c r="J90" i="2"/>
  <c r="F90" i="2"/>
  <c r="I91" i="3"/>
  <c r="H91" i="2" s="1"/>
  <c r="H92" i="2"/>
  <c r="K93" i="2"/>
  <c r="G93" i="2"/>
  <c r="J94" i="2"/>
  <c r="F94" i="2"/>
  <c r="I95" i="2"/>
  <c r="H96" i="2"/>
  <c r="K97" i="2"/>
  <c r="G97" i="2"/>
  <c r="J98" i="2"/>
  <c r="F98" i="2"/>
  <c r="I99" i="2"/>
  <c r="H100" i="2"/>
  <c r="K101" i="2"/>
  <c r="G101" i="2"/>
  <c r="J102" i="2"/>
  <c r="F102" i="2"/>
  <c r="B116" i="3"/>
</calcChain>
</file>

<file path=xl/sharedStrings.xml><?xml version="1.0" encoding="utf-8"?>
<sst xmlns="http://schemas.openxmlformats.org/spreadsheetml/2006/main" count="1482" uniqueCount="121">
  <si>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</si>
  <si>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</si>
  <si>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</si>
  <si>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</si>
  <si>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</si>
  <si>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</si>
  <si>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</si>
  <si>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</si>
  <si>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</si>
  <si>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</si>
  <si>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</si>
  <si>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</si>
  <si>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</si>
  <si>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</si>
  <si>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</si>
  <si>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</si>
  <si>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</si>
  <si>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</si>
  <si>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</si>
  <si>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</si>
  <si>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</si>
  <si>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</si>
  <si>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</si>
  <si>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</si>
  <si>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</si>
  <si>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</si>
  <si>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</si>
  <si>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</si>
  <si>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</si>
  <si>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</si>
  <si>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</si>
  <si>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</si>
  <si>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</si>
  <si>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2014</t>
  </si>
  <si>
    <t>2015</t>
  </si>
  <si>
    <t>2016</t>
  </si>
  <si>
    <t>2017</t>
  </si>
  <si>
    <t>2018</t>
  </si>
  <si>
    <t>2019</t>
  </si>
  <si>
    <t>***** Source: IDC *****</t>
  </si>
  <si>
    <t/>
  </si>
  <si>
    <t>Heading</t>
  </si>
  <si>
    <t>Denominated in billions of US$</t>
  </si>
  <si>
    <t>Static</t>
  </si>
  <si>
    <t>Worldwide Services</t>
  </si>
  <si>
    <t>APAC (ex. Japan)</t>
  </si>
  <si>
    <t>Sum</t>
  </si>
  <si>
    <t xml:space="preserve">    IBM</t>
  </si>
  <si>
    <t xml:space="preserve">    Accenture</t>
  </si>
  <si>
    <t xml:space="preserve">    Samsung SDS</t>
  </si>
  <si>
    <t xml:space="preserve">    DXC</t>
  </si>
  <si>
    <t xml:space="preserve">    Deloitte</t>
  </si>
  <si>
    <t xml:space="preserve">    Tata Consultancy Services</t>
  </si>
  <si>
    <t xml:space="preserve">    PwC</t>
  </si>
  <si>
    <t xml:space="preserve">    LG CNS</t>
  </si>
  <si>
    <t xml:space="preserve">    NCS</t>
  </si>
  <si>
    <t xml:space="preserve">    Cisco</t>
  </si>
  <si>
    <t xml:space="preserve">    Other</t>
  </si>
  <si>
    <t>Canada</t>
  </si>
  <si>
    <t xml:space="preserve">    CGI/Logica</t>
  </si>
  <si>
    <t xml:space="preserve">    Bell Canada</t>
  </si>
  <si>
    <t xml:space="preserve">    Telus</t>
  </si>
  <si>
    <t xml:space="preserve">    Capgemini</t>
  </si>
  <si>
    <t>Central &amp; Eastern Europe</t>
  </si>
  <si>
    <t xml:space="preserve">    LANIT</t>
  </si>
  <si>
    <t xml:space="preserve">    Asseco CEMA</t>
  </si>
  <si>
    <t xml:space="preserve">    Deutsche Telekom (T-Systems)</t>
  </si>
  <si>
    <t xml:space="preserve">    S&amp;T Group</t>
  </si>
  <si>
    <t xml:space="preserve">    ATOS</t>
  </si>
  <si>
    <t xml:space="preserve">    CROC</t>
  </si>
  <si>
    <t xml:space="preserve">    Hewlett Packard Enterprise</t>
  </si>
  <si>
    <t>Japan</t>
  </si>
  <si>
    <t xml:space="preserve">    Fujitsu</t>
  </si>
  <si>
    <t xml:space="preserve">    NTT DATA</t>
  </si>
  <si>
    <t xml:space="preserve">    Hitachi</t>
  </si>
  <si>
    <t xml:space="preserve">    NEC</t>
  </si>
  <si>
    <t xml:space="preserve">    TIS</t>
  </si>
  <si>
    <t xml:space="preserve">    NRI</t>
  </si>
  <si>
    <t xml:space="preserve">    SCSK</t>
  </si>
  <si>
    <t xml:space="preserve">    CTC</t>
  </si>
  <si>
    <t>Latin America</t>
  </si>
  <si>
    <t xml:space="preserve">    Indra</t>
  </si>
  <si>
    <t xml:space="preserve">    Sonda</t>
  </si>
  <si>
    <t xml:space="preserve">    Tivit</t>
  </si>
  <si>
    <t xml:space="preserve">    Oracle</t>
  </si>
  <si>
    <t xml:space="preserve">    Grupo Kio</t>
  </si>
  <si>
    <t xml:space="preserve">    Telmex</t>
  </si>
  <si>
    <t>Middle East &amp; Africa</t>
  </si>
  <si>
    <t xml:space="preserve">    Telkom Business Connexion</t>
  </si>
  <si>
    <t xml:space="preserve">    Dimension Data</t>
  </si>
  <si>
    <t xml:space="preserve">    Matrix CEMA</t>
  </si>
  <si>
    <t xml:space="preserve">    EOH</t>
  </si>
  <si>
    <t xml:space="preserve">    MDS UAE</t>
  </si>
  <si>
    <t xml:space="preserve">    Wipro</t>
  </si>
  <si>
    <t xml:space="preserve">    Altron TMT</t>
  </si>
  <si>
    <t>USA</t>
  </si>
  <si>
    <t xml:space="preserve">    Cognizant</t>
  </si>
  <si>
    <t xml:space="preserve">    ADP</t>
  </si>
  <si>
    <t xml:space="preserve">    Tata Consultancy Group</t>
  </si>
  <si>
    <t xml:space="preserve">    General Dynamics</t>
  </si>
  <si>
    <t xml:space="preserve">    Leidos</t>
  </si>
  <si>
    <t xml:space="preserve">    Dell</t>
  </si>
  <si>
    <t>Western Europe</t>
  </si>
  <si>
    <t xml:space="preserve">    Capgemini/CPM Braxis</t>
  </si>
  <si>
    <t xml:space="preserve">    CGI</t>
  </si>
  <si>
    <t xml:space="preserve">    Ernst &amp; Young</t>
  </si>
  <si>
    <t>~~~~~~~~~~</t>
  </si>
  <si>
    <t>All rows below have been added for reference by formula rows above.</t>
  </si>
  <si>
    <t>Currency</t>
  </si>
  <si>
    <t>USD</t>
  </si>
  <si>
    <t>Periodicity</t>
  </si>
  <si>
    <t>CY</t>
  </si>
  <si>
    <t>AY</t>
  </si>
  <si>
    <t>Number of Periods</t>
  </si>
  <si>
    <t>Start Date</t>
  </si>
  <si>
    <t>-6CY</t>
  </si>
  <si>
    <t>-6AY</t>
  </si>
  <si>
    <t>End Date</t>
  </si>
  <si>
    <t>HeaderStatus</t>
  </si>
  <si>
    <t>Snapshot header</t>
  </si>
  <si>
    <t>No error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</si>
</sst>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>
        <v>0</v>
        <stp/>
        <stp>#track</stp>
        <stp>DBG</stp>
        <stp>BIHITX</stp>
        <stp>1.0</stp>
        <stp>RepeatHit</stp>
        <tr r="A11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1" width="9.1406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IFERROR(IF(0=LEN(ReferenceData!$K$2),"",ReferenceData!$K$2),"")</f>
        <v>2014</v>
      </c>
      <c r="G2" t="str">
        <f>IFERROR(IF(0=LEN(ReferenceData!$J$2),"",ReferenceData!$J$2),"")</f>
        <v>2015</v>
      </c>
      <c r="H2" t="str">
        <f>IFERROR(IF(0=LEN(ReferenceData!$I$2),"",ReferenceData!$I$2),"")</f>
        <v>2016</v>
      </c>
      <c r="I2" t="str">
        <f>IFERROR(IF(0=LEN(ReferenceData!$H$2),"",ReferenceData!$H$2),"")</f>
        <v>2017</v>
      </c>
      <c r="J2" t="str">
        <f>IFERROR(IF(0=LEN(ReferenceData!$G$2),"",ReferenceData!$G$2),"")</f>
        <v>2018</v>
      </c>
      <c r="K2" t="str">
        <f>IFERROR(IF(0=LEN(ReferenceData!$F$2),"",ReferenceData!$F$2),"")</f>
        <v>2019</v>
      </c>
    </row>
    <row r="3" spans="1:11" x14ac:dyDescent="0.25">
      <c r="A3" t="str">
        <f>IFERROR(IF(0=LEN(ReferenceData!$A$3),"",ReferenceData!$A$3),"")</f>
        <v>***** Source: IDC *****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IFERROR(IF(0=LEN(ReferenceData!$K$3),"",ReferenceData!$K$3),"")</f>
        <v/>
      </c>
      <c r="G3" t="str">
        <f>IFERROR(IF(0=LEN(ReferenceData!$J$3),"",ReferenceData!$J$3),"")</f>
        <v/>
      </c>
      <c r="H3" t="str">
        <f>IFERROR(IF(0=LEN(ReferenceData!$I$3),"",ReferenceData!$I$3),"")</f>
        <v/>
      </c>
      <c r="I3" t="str">
        <f>IFERROR(IF(0=LEN(ReferenceData!$H$3),"",ReferenceData!$H$3),"")</f>
        <v/>
      </c>
      <c r="J3" t="str">
        <f>IFERROR(IF(0=LEN(ReferenceData!$G$3),"",ReferenceData!$G$3),"")</f>
        <v/>
      </c>
      <c r="K3" t="str">
        <f>IFERROR(IF(0=LEN(ReferenceData!$F$3),"",ReferenceData!$F$3),"")</f>
        <v/>
      </c>
    </row>
    <row r="4" spans="1:11" x14ac:dyDescent="0.25">
      <c r="A4" t="str">
        <f>IFERROR(IF(0=LEN(ReferenceData!$A$4),"",ReferenceData!$A$4),"")</f>
        <v>Denominated in billions of US$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Heading</v>
      </c>
      <c r="F4" t="str">
        <f>IFERROR(IF(0=LEN(ReferenceData!$K$4),"",ReferenceData!$K$4),"")</f>
        <v/>
      </c>
      <c r="G4" t="str">
        <f>IFERROR(IF(0=LEN(ReferenceData!$J$4),"",ReferenceData!$J$4),"")</f>
        <v/>
      </c>
      <c r="H4" t="str">
        <f>IFERROR(IF(0=LEN(ReferenceData!$I$4),"",ReferenceData!$I$4),"")</f>
        <v/>
      </c>
      <c r="I4" t="str">
        <f>IFERROR(IF(0=LEN(ReferenceData!$H$4),"",ReferenceData!$H$4),"")</f>
        <v/>
      </c>
      <c r="J4" t="str">
        <f>IFERROR(IF(0=LEN(ReferenceData!$G$4),"",ReferenceData!$G$4),"")</f>
        <v/>
      </c>
      <c r="K4" t="str">
        <f>IFERROR(IF(0=LEN(ReferenceData!$F$4),"",ReferenceData!$F$4),"")</f>
        <v/>
      </c>
    </row>
    <row r="5" spans="1:11" x14ac:dyDescent="0.25">
      <c r="A5" t="str">
        <f>IFERROR(IF(0=LEN(ReferenceData!$A$5),"",ReferenceData!$A$5),"")</f>
        <v/>
      </c>
      <c r="B5" t="str">
        <f>IFERROR(IF(0=LEN(ReferenceData!$B$5),"",ReferenceData!$B$5),"")</f>
        <v/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Static</v>
      </c>
      <c r="F5" t="str">
        <f ca="1">IFERROR(IF(0=LEN(ReferenceData!$K$5),"",ReferenceData!$K$5),"")</f>
        <v/>
      </c>
      <c r="G5" t="str">
        <f ca="1">IFERROR(IF(0=LEN(ReferenceData!$J$5),"",ReferenceData!$J$5),"")</f>
        <v/>
      </c>
      <c r="H5" t="str">
        <f ca="1">IFERROR(IF(0=LEN(ReferenceData!$I$5),"",ReferenceData!$I$5),"")</f>
        <v/>
      </c>
      <c r="I5" t="str">
        <f ca="1">IFERROR(IF(0=LEN(ReferenceData!$H$5),"",ReferenceData!$H$5),"")</f>
        <v/>
      </c>
      <c r="J5" t="str">
        <f ca="1">IFERROR(IF(0=LEN(ReferenceData!$G$5),"",ReferenceData!$G$5),"")</f>
        <v/>
      </c>
      <c r="K5" t="str">
        <f ca="1">IFERROR(IF(0=LEN(ReferenceData!$F$5),"",ReferenceData!$F$5),"")</f>
        <v/>
      </c>
    </row>
    <row r="6" spans="1:11" x14ac:dyDescent="0.25">
      <c r="A6" t="str">
        <f>IFERROR(IF(0=LEN(ReferenceData!$A$6),"",ReferenceData!$A$6),"")</f>
        <v>Worldwide Services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Static</v>
      </c>
      <c r="F6" t="str">
        <f ca="1">IFERROR(IF(0=LEN(ReferenceData!$K$6),"",ReferenceData!$K$6),"")</f>
        <v/>
      </c>
      <c r="G6" t="str">
        <f ca="1">IFERROR(IF(0=LEN(ReferenceData!$J$6),"",ReferenceData!$J$6),"")</f>
        <v/>
      </c>
      <c r="H6" t="str">
        <f ca="1">IFERROR(IF(0=LEN(ReferenceData!$I$6),"",ReferenceData!$I$6),"")</f>
        <v/>
      </c>
      <c r="I6" t="str">
        <f ca="1">IFERROR(IF(0=LEN(ReferenceData!$H$6),"",ReferenceData!$H$6),"")</f>
        <v/>
      </c>
      <c r="J6" t="str">
        <f ca="1">IFERROR(IF(0=LEN(ReferenceData!$G$6),"",ReferenceData!$G$6),"")</f>
        <v/>
      </c>
      <c r="K6" t="str">
        <f ca="1">IFERROR(IF(0=LEN(ReferenceData!$F$6),"",ReferenceData!$F$6),"")</f>
        <v/>
      </c>
    </row>
    <row r="7" spans="1:11" x14ac:dyDescent="0.25">
      <c r="A7" t="str">
        <f>IFERROR(IF(0=LEN(ReferenceData!$A$7),"",ReferenceData!$A$7),"")</f>
        <v>APAC (ex. Japan)</v>
      </c>
      <c r="B7" t="str">
        <f>IFERROR(IF(0=LEN(ReferenceData!$B$7),"",ReferenceData!$B$7),"")</f>
        <v/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Sum</v>
      </c>
      <c r="F7">
        <f ca="1">IFERROR(IF(0=LEN(ReferenceData!$K$7),"",ReferenceData!$K$7),"")</f>
        <v>98.361000000000004</v>
      </c>
      <c r="G7">
        <f ca="1">IFERROR(IF(0=LEN(ReferenceData!$J$7),"",ReferenceData!$J$7),"")</f>
        <v>96.576999999999998</v>
      </c>
      <c r="H7">
        <f ca="1">IFERROR(IF(0=LEN(ReferenceData!$I$7),"",ReferenceData!$I$7),"")</f>
        <v>99.664000000000001</v>
      </c>
      <c r="I7">
        <f ca="1">IFERROR(IF(0=LEN(ReferenceData!$H$7),"",ReferenceData!$H$7),"")</f>
        <v>107.139</v>
      </c>
      <c r="J7">
        <f ca="1">IFERROR(IF(0=LEN(ReferenceData!$G$7),"",ReferenceData!$G$7),"")</f>
        <v>113.90599999999999</v>
      </c>
      <c r="K7">
        <f ca="1">IFERROR(IF(0=LEN(ReferenceData!$F$7),"",ReferenceData!$F$7),"")</f>
        <v>116.62899999999999</v>
      </c>
    </row>
    <row r="8" spans="1:11" x14ac:dyDescent="0.25">
      <c r="A8" t="str">
        <f>IFERROR(IF(0=LEN(ReferenceData!$A$8),"",ReferenceData!$A$8),"")</f>
        <v xml:space="preserve">    IBM</v>
      </c>
      <c r="B8" t="str">
        <f>IFERROR(IF(0=LEN(ReferenceData!$B$8),"",ReferenceData!$B$8),"")</f>
        <v/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Static</v>
      </c>
      <c r="F8">
        <f ca="1">IFERROR(IF(0=LEN(ReferenceData!$K$8),"",ReferenceData!$K$8),"")</f>
        <v>6.9909999999999997</v>
      </c>
      <c r="G8">
        <f ca="1">IFERROR(IF(0=LEN(ReferenceData!$J$8),"",ReferenceData!$J$8),"")</f>
        <v>6.1660000000000004</v>
      </c>
      <c r="H8">
        <f ca="1">IFERROR(IF(0=LEN(ReferenceData!$I$8),"",ReferenceData!$I$8),"")</f>
        <v>6.0510000000000002</v>
      </c>
      <c r="I8">
        <f ca="1">IFERROR(IF(0=LEN(ReferenceData!$H$8),"",ReferenceData!$H$8),"")</f>
        <v>6.2080000000000002</v>
      </c>
      <c r="J8">
        <f ca="1">IFERROR(IF(0=LEN(ReferenceData!$G$8),"",ReferenceData!$G$8),"")</f>
        <v>6.32</v>
      </c>
      <c r="K8">
        <f ca="1">IFERROR(IF(0=LEN(ReferenceData!$F$8),"",ReferenceData!$F$8),"")</f>
        <v>6.2089999999999996</v>
      </c>
    </row>
    <row r="9" spans="1:11" x14ac:dyDescent="0.25">
      <c r="A9" t="str">
        <f>IFERROR(IF(0=LEN(ReferenceData!$A$9),"",ReferenceData!$A$9),"")</f>
        <v xml:space="preserve">    Accenture</v>
      </c>
      <c r="B9" t="str">
        <f>IFERROR(IF(0=LEN(ReferenceData!$B$9),"",ReferenceData!$B$9),"")</f>
        <v/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Static</v>
      </c>
      <c r="F9">
        <f ca="1">IFERROR(IF(0=LEN(ReferenceData!$K$9),"",ReferenceData!$K$9),"")</f>
        <v>2.7490000000000001</v>
      </c>
      <c r="G9">
        <f ca="1">IFERROR(IF(0=LEN(ReferenceData!$J$9),"",ReferenceData!$J$9),"")</f>
        <v>2.597</v>
      </c>
      <c r="H9">
        <f ca="1">IFERROR(IF(0=LEN(ReferenceData!$I$9),"",ReferenceData!$I$9),"")</f>
        <v>2.9159999999999999</v>
      </c>
      <c r="I9">
        <f ca="1">IFERROR(IF(0=LEN(ReferenceData!$H$9),"",ReferenceData!$H$9),"")</f>
        <v>3.0819999999999999</v>
      </c>
      <c r="J9">
        <f ca="1">IFERROR(IF(0=LEN(ReferenceData!$G$9),"",ReferenceData!$G$9),"")</f>
        <v>3.2839999999999998</v>
      </c>
      <c r="K9">
        <f ca="1">IFERROR(IF(0=LEN(ReferenceData!$F$9),"",ReferenceData!$F$9),"")</f>
        <v>3.375</v>
      </c>
    </row>
    <row r="10" spans="1:11" x14ac:dyDescent="0.25">
      <c r="A10" t="str">
        <f>IFERROR(IF(0=LEN(ReferenceData!$A$10),"",ReferenceData!$A$10),"")</f>
        <v xml:space="preserve">    Samsung SDS</v>
      </c>
      <c r="B10" t="str">
        <f>IFERROR(IF(0=LEN(ReferenceData!$B$10),"",ReferenceData!$B$10),"")</f>
        <v/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Static</v>
      </c>
      <c r="F10">
        <f ca="1">IFERROR(IF(0=LEN(ReferenceData!$K$10),"",ReferenceData!$K$10),"")</f>
        <v>2.7669999999999999</v>
      </c>
      <c r="G10">
        <f ca="1">IFERROR(IF(0=LEN(ReferenceData!$J$10),"",ReferenceData!$J$10),"")</f>
        <v>2.6139999999999999</v>
      </c>
      <c r="H10">
        <f ca="1">IFERROR(IF(0=LEN(ReferenceData!$I$10),"",ReferenceData!$I$10),"")</f>
        <v>2.5089999999999999</v>
      </c>
      <c r="I10">
        <f ca="1">IFERROR(IF(0=LEN(ReferenceData!$H$10),"",ReferenceData!$H$10),"")</f>
        <v>2.879</v>
      </c>
      <c r="J10">
        <f ca="1">IFERROR(IF(0=LEN(ReferenceData!$G$10),"",ReferenceData!$G$10),"")</f>
        <v>3.226</v>
      </c>
      <c r="K10">
        <f ca="1">IFERROR(IF(0=LEN(ReferenceData!$F$10),"",ReferenceData!$F$10),"")</f>
        <v>3.2330000000000001</v>
      </c>
    </row>
    <row r="11" spans="1:11" x14ac:dyDescent="0.25">
      <c r="A11" t="str">
        <f>IFERROR(IF(0=LEN(ReferenceData!$A$11),"",ReferenceData!$A$11),"")</f>
        <v xml:space="preserve">    DXC</v>
      </c>
      <c r="B11" t="str">
        <f>IFERROR(IF(0=LEN(ReferenceData!$B$11),"",ReferenceData!$B$11),"")</f>
        <v/>
      </c>
      <c r="C11" t="str">
        <f>IFERROR(IF(0=LEN(ReferenceData!$C$11),"",ReferenceData!$C$11),"")</f>
        <v/>
      </c>
      <c r="D11" t="str">
        <f>IFERROR(IF(0=LEN(ReferenceData!$D$11),"",ReferenceData!$D$11),"")</f>
        <v/>
      </c>
      <c r="E11" t="str">
        <f>IFERROR(IF(0=LEN(ReferenceData!$E$11),"",ReferenceData!$E$11),"")</f>
        <v>Static</v>
      </c>
      <c r="F11">
        <f ca="1">IFERROR(IF(0=LEN(ReferenceData!$K$11),"",ReferenceData!$K$11),"")</f>
        <v>4.1050000000000004</v>
      </c>
      <c r="G11">
        <f ca="1">IFERROR(IF(0=LEN(ReferenceData!$J$11),"",ReferenceData!$J$11),"")</f>
        <v>3.738</v>
      </c>
      <c r="H11">
        <f ca="1">IFERROR(IF(0=LEN(ReferenceData!$I$11),"",ReferenceData!$I$11),"")</f>
        <v>1.2689999999999999</v>
      </c>
      <c r="I11">
        <f ca="1">IFERROR(IF(0=LEN(ReferenceData!$H$11),"",ReferenceData!$H$11),"")</f>
        <v>2.5070000000000001</v>
      </c>
      <c r="J11">
        <f ca="1">IFERROR(IF(0=LEN(ReferenceData!$G$11),"",ReferenceData!$G$11),"")</f>
        <v>2.8780000000000001</v>
      </c>
      <c r="K11">
        <f ca="1">IFERROR(IF(0=LEN(ReferenceData!$F$11),"",ReferenceData!$F$11),"")</f>
        <v>2.605</v>
      </c>
    </row>
    <row r="12" spans="1:11" x14ac:dyDescent="0.25">
      <c r="A12" t="str">
        <f>IFERROR(IF(0=LEN(ReferenceData!$A$12),"",ReferenceData!$A$12),"")</f>
        <v xml:space="preserve">    Deloitte</v>
      </c>
      <c r="B12" t="str">
        <f>IFERROR(IF(0=LEN(ReferenceData!$B$12),"",ReferenceData!$B$12),"")</f>
        <v/>
      </c>
      <c r="C12" t="str">
        <f>IFERROR(IF(0=LEN(ReferenceData!$C$12),"",ReferenceData!$C$12),"")</f>
        <v/>
      </c>
      <c r="D12" t="str">
        <f>IFERROR(IF(0=LEN(ReferenceData!$D$12),"",ReferenceData!$D$12),"")</f>
        <v/>
      </c>
      <c r="E12" t="str">
        <f>IFERROR(IF(0=LEN(ReferenceData!$E$12),"",ReferenceData!$E$12),"")</f>
        <v>Static</v>
      </c>
      <c r="F12">
        <f ca="1">IFERROR(IF(0=LEN(ReferenceData!$K$12),"",ReferenceData!$K$12),"")</f>
        <v>1.71</v>
      </c>
      <c r="G12">
        <f ca="1">IFERROR(IF(0=LEN(ReferenceData!$J$12),"",ReferenceData!$J$12),"")</f>
        <v>1.704</v>
      </c>
      <c r="H12">
        <f ca="1">IFERROR(IF(0=LEN(ReferenceData!$I$12),"",ReferenceData!$I$12),"")</f>
        <v>1.863</v>
      </c>
      <c r="I12">
        <f ca="1">IFERROR(IF(0=LEN(ReferenceData!$H$12),"",ReferenceData!$H$12),"")</f>
        <v>2.044</v>
      </c>
      <c r="J12">
        <f ca="1">IFERROR(IF(0=LEN(ReferenceData!$G$12),"",ReferenceData!$G$12),"")</f>
        <v>2.2589999999999999</v>
      </c>
      <c r="K12">
        <f ca="1">IFERROR(IF(0=LEN(ReferenceData!$F$12),"",ReferenceData!$F$12),"")</f>
        <v>2.427</v>
      </c>
    </row>
    <row r="13" spans="1:11" x14ac:dyDescent="0.25">
      <c r="A13" t="str">
        <f>IFERROR(IF(0=LEN(ReferenceData!$A$13),"",ReferenceData!$A$13),"")</f>
        <v xml:space="preserve">    Tata Consultancy Services</v>
      </c>
      <c r="B13" t="str">
        <f>IFERROR(IF(0=LEN(ReferenceData!$B$13),"",ReferenceData!$B$13),"")</f>
        <v/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Static</v>
      </c>
      <c r="F13" t="str">
        <f ca="1">IFERROR(IF(0=LEN(ReferenceData!$K$13),"",ReferenceData!$K$13),"")</f>
        <v/>
      </c>
      <c r="G13" t="str">
        <f ca="1">IFERROR(IF(0=LEN(ReferenceData!$J$13),"",ReferenceData!$J$13),"")</f>
        <v/>
      </c>
      <c r="H13" t="str">
        <f ca="1">IFERROR(IF(0=LEN(ReferenceData!$I$13),"",ReferenceData!$I$13),"")</f>
        <v/>
      </c>
      <c r="I13">
        <f ca="1">IFERROR(IF(0=LEN(ReferenceData!$H$13),"",ReferenceData!$H$13),"")</f>
        <v>1.8979999999999999</v>
      </c>
      <c r="J13">
        <f ca="1">IFERROR(IF(0=LEN(ReferenceData!$G$13),"",ReferenceData!$G$13),"")</f>
        <v>1.988</v>
      </c>
      <c r="K13">
        <f ca="1">IFERROR(IF(0=LEN(ReferenceData!$F$13),"",ReferenceData!$F$13),"")</f>
        <v>2.0459999999999998</v>
      </c>
    </row>
    <row r="14" spans="1:11" x14ac:dyDescent="0.25">
      <c r="A14" t="str">
        <f>IFERROR(IF(0=LEN(ReferenceData!$A$14),"",ReferenceData!$A$14),"")</f>
        <v xml:space="preserve">    PwC</v>
      </c>
      <c r="B14" t="str">
        <f>IFERROR(IF(0=LEN(ReferenceData!$B$14),"",ReferenceData!$B$14),"")</f>
        <v/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Static</v>
      </c>
      <c r="F14" t="str">
        <f ca="1">IFERROR(IF(0=LEN(ReferenceData!$K$14),"",ReferenceData!$K$14),"")</f>
        <v/>
      </c>
      <c r="G14" t="str">
        <f ca="1">IFERROR(IF(0=LEN(ReferenceData!$J$14),"",ReferenceData!$J$14),"")</f>
        <v/>
      </c>
      <c r="H14" t="str">
        <f ca="1">IFERROR(IF(0=LEN(ReferenceData!$I$14),"",ReferenceData!$I$14),"")</f>
        <v/>
      </c>
      <c r="I14">
        <f ca="1">IFERROR(IF(0=LEN(ReferenceData!$H$14),"",ReferenceData!$H$14),"")</f>
        <v>1.3819999999999999</v>
      </c>
      <c r="J14">
        <f ca="1">IFERROR(IF(0=LEN(ReferenceData!$G$14),"",ReferenceData!$G$14),"")</f>
        <v>1.5840000000000001</v>
      </c>
      <c r="K14">
        <f ca="1">IFERROR(IF(0=LEN(ReferenceData!$F$14),"",ReferenceData!$F$14),"")</f>
        <v>1.744</v>
      </c>
    </row>
    <row r="15" spans="1:11" x14ac:dyDescent="0.25">
      <c r="A15" t="str">
        <f>IFERROR(IF(0=LEN(ReferenceData!$A$15),"",ReferenceData!$A$15),"")</f>
        <v xml:space="preserve">    LG CNS</v>
      </c>
      <c r="B15" t="str">
        <f>IFERROR(IF(0=LEN(ReferenceData!$B$15),"",ReferenceData!$B$15),"")</f>
        <v/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Static</v>
      </c>
      <c r="F15" t="str">
        <f ca="1">IFERROR(IF(0=LEN(ReferenceData!$K$15),"",ReferenceData!$K$15),"")</f>
        <v/>
      </c>
      <c r="G15" t="str">
        <f ca="1">IFERROR(IF(0=LEN(ReferenceData!$J$15),"",ReferenceData!$J$15),"")</f>
        <v/>
      </c>
      <c r="H15" t="str">
        <f ca="1">IFERROR(IF(0=LEN(ReferenceData!$I$15),"",ReferenceData!$I$15),"")</f>
        <v/>
      </c>
      <c r="I15">
        <f ca="1">IFERROR(IF(0=LEN(ReferenceData!$H$15),"",ReferenceData!$H$15),"")</f>
        <v>1.5580000000000001</v>
      </c>
      <c r="J15">
        <f ca="1">IFERROR(IF(0=LEN(ReferenceData!$G$15),"",ReferenceData!$G$15),"")</f>
        <v>1.655</v>
      </c>
      <c r="K15">
        <f ca="1">IFERROR(IF(0=LEN(ReferenceData!$F$15),"",ReferenceData!$F$15),"")</f>
        <v>1.641</v>
      </c>
    </row>
    <row r="16" spans="1:11" x14ac:dyDescent="0.25">
      <c r="A16" t="str">
        <f>IFERROR(IF(0=LEN(ReferenceData!$A$16),"",ReferenceData!$A$16),"")</f>
        <v xml:space="preserve">    NCS</v>
      </c>
      <c r="B16" t="str">
        <f>IFERROR(IF(0=LEN(ReferenceData!$B$16),"",ReferenceData!$B$16),"")</f>
        <v/>
      </c>
      <c r="C16" t="str">
        <f>IFERROR(IF(0=LEN(ReferenceData!$C$16),"",ReferenceData!$C$16),"")</f>
        <v/>
      </c>
      <c r="D16" t="str">
        <f>IFERROR(IF(0=LEN(ReferenceData!$D$16),"",ReferenceData!$D$16),"")</f>
        <v/>
      </c>
      <c r="E16" t="str">
        <f>IFERROR(IF(0=LEN(ReferenceData!$E$16),"",ReferenceData!$E$16),"")</f>
        <v>Static</v>
      </c>
      <c r="F16" t="str">
        <f ca="1">IFERROR(IF(0=LEN(ReferenceData!$K$16),"",ReferenceData!$K$16),"")</f>
        <v/>
      </c>
      <c r="G16" t="str">
        <f ca="1">IFERROR(IF(0=LEN(ReferenceData!$J$16),"",ReferenceData!$J$16),"")</f>
        <v/>
      </c>
      <c r="H16" t="str">
        <f ca="1">IFERROR(IF(0=LEN(ReferenceData!$I$16),"",ReferenceData!$I$16),"")</f>
        <v/>
      </c>
      <c r="I16">
        <f ca="1">IFERROR(IF(0=LEN(ReferenceData!$H$16),"",ReferenceData!$H$16),"")</f>
        <v>1.236</v>
      </c>
      <c r="J16">
        <f ca="1">IFERROR(IF(0=LEN(ReferenceData!$G$16),"",ReferenceData!$G$16),"")</f>
        <v>1.345</v>
      </c>
      <c r="K16">
        <f ca="1">IFERROR(IF(0=LEN(ReferenceData!$F$16),"",ReferenceData!$F$16),"")</f>
        <v>1.4079999999999999</v>
      </c>
    </row>
    <row r="17" spans="1:11" x14ac:dyDescent="0.25">
      <c r="A17" t="str">
        <f>IFERROR(IF(0=LEN(ReferenceData!$A$17),"",ReferenceData!$A$17),"")</f>
        <v xml:space="preserve">    Cisco</v>
      </c>
      <c r="B17" t="str">
        <f>IFERROR(IF(0=LEN(ReferenceData!$B$17),"",ReferenceData!$B$17),"")</f>
        <v/>
      </c>
      <c r="C17" t="str">
        <f>IFERROR(IF(0=LEN(ReferenceData!$C$17),"",ReferenceData!$C$17),"")</f>
        <v/>
      </c>
      <c r="D17" t="str">
        <f>IFERROR(IF(0=LEN(ReferenceData!$D$17),"",ReferenceData!$D$17),"")</f>
        <v/>
      </c>
      <c r="E17" t="str">
        <f>IFERROR(IF(0=LEN(ReferenceData!$E$17),"",ReferenceData!$E$17),"")</f>
        <v>Static</v>
      </c>
      <c r="F17" t="str">
        <f ca="1">IFERROR(IF(0=LEN(ReferenceData!$K$17),"",ReferenceData!$K$17),"")</f>
        <v/>
      </c>
      <c r="G17" t="str">
        <f ca="1">IFERROR(IF(0=LEN(ReferenceData!$J$17),"",ReferenceData!$J$17),"")</f>
        <v/>
      </c>
      <c r="H17" t="str">
        <f ca="1">IFERROR(IF(0=LEN(ReferenceData!$I$17),"",ReferenceData!$I$17),"")</f>
        <v/>
      </c>
      <c r="I17">
        <f ca="1">IFERROR(IF(0=LEN(ReferenceData!$H$17),"",ReferenceData!$H$17),"")</f>
        <v>1.2350000000000001</v>
      </c>
      <c r="J17">
        <f ca="1">IFERROR(IF(0=LEN(ReferenceData!$G$17),"",ReferenceData!$G$17),"")</f>
        <v>1.2789999999999999</v>
      </c>
      <c r="K17">
        <f ca="1">IFERROR(IF(0=LEN(ReferenceData!$F$17),"",ReferenceData!$F$17),"")</f>
        <v>1.3049999999999999</v>
      </c>
    </row>
    <row r="18" spans="1:11" x14ac:dyDescent="0.25">
      <c r="A18" t="str">
        <f>IFERROR(IF(0=LEN(ReferenceData!$A$18),"",ReferenceData!$A$18),"")</f>
        <v xml:space="preserve">    Other</v>
      </c>
      <c r="B18" t="str">
        <f>IFERROR(IF(0=LEN(ReferenceData!$B$18),"",ReferenceData!$B$18),"")</f>
        <v/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Static</v>
      </c>
      <c r="F18">
        <f ca="1">IFERROR(IF(0=LEN(ReferenceData!$K$18),"",ReferenceData!$K$18),"")</f>
        <v>80.039000000000001</v>
      </c>
      <c r="G18">
        <f ca="1">IFERROR(IF(0=LEN(ReferenceData!$J$18),"",ReferenceData!$J$18),"")</f>
        <v>79.757999999999996</v>
      </c>
      <c r="H18">
        <f ca="1">IFERROR(IF(0=LEN(ReferenceData!$I$18),"",ReferenceData!$I$18),"")</f>
        <v>85.055999999999997</v>
      </c>
      <c r="I18">
        <f ca="1">IFERROR(IF(0=LEN(ReferenceData!$H$18),"",ReferenceData!$H$18),"")</f>
        <v>83.11</v>
      </c>
      <c r="J18">
        <f ca="1">IFERROR(IF(0=LEN(ReferenceData!$G$18),"",ReferenceData!$G$18),"")</f>
        <v>88.087999999999994</v>
      </c>
      <c r="K18">
        <f ca="1">IFERROR(IF(0=LEN(ReferenceData!$F$18),"",ReferenceData!$F$18),"")</f>
        <v>90.635999999999996</v>
      </c>
    </row>
    <row r="19" spans="1:11" x14ac:dyDescent="0.25">
      <c r="A19" t="str">
        <f>IFERROR(IF(0=LEN(ReferenceData!$A$19),"",ReferenceData!$A$19),"")</f>
        <v>Canada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Sum</v>
      </c>
      <c r="F19">
        <f ca="1">IFERROR(IF(0=LEN(ReferenceData!$K$19),"",ReferenceData!$K$19),"")</f>
        <v>28.043999999999997</v>
      </c>
      <c r="G19">
        <f ca="1">IFERROR(IF(0=LEN(ReferenceData!$J$19),"",ReferenceData!$J$19),"")</f>
        <v>24.465</v>
      </c>
      <c r="H19">
        <f ca="1">IFERROR(IF(0=LEN(ReferenceData!$I$19),"",ReferenceData!$I$19),"")</f>
        <v>24.977</v>
      </c>
      <c r="I19">
        <f ca="1">IFERROR(IF(0=LEN(ReferenceData!$H$19),"",ReferenceData!$H$19),"")</f>
        <v>25.913999999999998</v>
      </c>
      <c r="J19">
        <f ca="1">IFERROR(IF(0=LEN(ReferenceData!$G$19),"",ReferenceData!$G$19),"")</f>
        <v>26.427999999999997</v>
      </c>
      <c r="K19">
        <f ca="1">IFERROR(IF(0=LEN(ReferenceData!$F$19),"",ReferenceData!$F$19),"")</f>
        <v>26.356999999999999</v>
      </c>
    </row>
    <row r="20" spans="1:11" x14ac:dyDescent="0.25">
      <c r="A20" t="str">
        <f>IFERROR(IF(0=LEN(ReferenceData!$A$20),"",ReferenceData!$A$20),"")</f>
        <v xml:space="preserve">    IBM</v>
      </c>
      <c r="B20" t="str">
        <f>IFERROR(IF(0=LEN(ReferenceData!$B$20),"",ReferenceData!$B$20),"")</f>
        <v/>
      </c>
      <c r="C20" t="str">
        <f>IFERROR(IF(0=LEN(ReferenceData!$C$20),"",ReferenceData!$C$20),"")</f>
        <v/>
      </c>
      <c r="D20" t="str">
        <f>IFERROR(IF(0=LEN(ReferenceData!$D$20),"",ReferenceData!$D$20),"")</f>
        <v/>
      </c>
      <c r="E20" t="str">
        <f>IFERROR(IF(0=LEN(ReferenceData!$E$20),"",ReferenceData!$E$20),"")</f>
        <v>Static</v>
      </c>
      <c r="F20">
        <f ca="1">IFERROR(IF(0=LEN(ReferenceData!$K$20),"",ReferenceData!$K$20),"")</f>
        <v>3.0019999999999998</v>
      </c>
      <c r="G20">
        <f ca="1">IFERROR(IF(0=LEN(ReferenceData!$J$20),"",ReferenceData!$J$20),"")</f>
        <v>2.3199999999999998</v>
      </c>
      <c r="H20">
        <f ca="1">IFERROR(IF(0=LEN(ReferenceData!$I$20),"",ReferenceData!$I$20),"")</f>
        <v>2.2200000000000002</v>
      </c>
      <c r="I20">
        <f ca="1">IFERROR(IF(0=LEN(ReferenceData!$H$20),"",ReferenceData!$H$20),"")</f>
        <v>2.3109999999999999</v>
      </c>
      <c r="J20">
        <f ca="1">IFERROR(IF(0=LEN(ReferenceData!$G$20),"",ReferenceData!$G$20),"")</f>
        <v>2.3860000000000001</v>
      </c>
      <c r="K20">
        <f ca="1">IFERROR(IF(0=LEN(ReferenceData!$F$20),"",ReferenceData!$F$20),"")</f>
        <v>2.5499999999999998</v>
      </c>
    </row>
    <row r="21" spans="1:11" x14ac:dyDescent="0.25">
      <c r="A21" t="str">
        <f>IFERROR(IF(0=LEN(ReferenceData!$A$21),"",ReferenceData!$A$21),"")</f>
        <v xml:space="preserve">    CGI/Logica</v>
      </c>
      <c r="B21" t="str">
        <f>IFERROR(IF(0=LEN(ReferenceData!$B$21),"",ReferenceData!$B$21),"")</f>
        <v/>
      </c>
      <c r="C21" t="str">
        <f>IFERROR(IF(0=LEN(ReferenceData!$C$21),"",ReferenceData!$C$21),"")</f>
        <v/>
      </c>
      <c r="D21" t="str">
        <f>IFERROR(IF(0=LEN(ReferenceData!$D$21),"",ReferenceData!$D$21),"")</f>
        <v/>
      </c>
      <c r="E21" t="str">
        <f>IFERROR(IF(0=LEN(ReferenceData!$E$21),"",ReferenceData!$E$21),"")</f>
        <v>Static</v>
      </c>
      <c r="F21">
        <f ca="1">IFERROR(IF(0=LEN(ReferenceData!$K$21),"",ReferenceData!$K$21),"")</f>
        <v>1.38</v>
      </c>
      <c r="G21">
        <f ca="1">IFERROR(IF(0=LEN(ReferenceData!$J$21),"",ReferenceData!$J$21),"")</f>
        <v>1.163</v>
      </c>
      <c r="H21">
        <f ca="1">IFERROR(IF(0=LEN(ReferenceData!$I$21),"",ReferenceData!$I$21),"")</f>
        <v>1.1160000000000001</v>
      </c>
      <c r="I21">
        <f ca="1">IFERROR(IF(0=LEN(ReferenceData!$H$21),"",ReferenceData!$H$21),"")</f>
        <v>1.3069999999999999</v>
      </c>
      <c r="J21">
        <f ca="1">IFERROR(IF(0=LEN(ReferenceData!$G$21),"",ReferenceData!$G$21),"")</f>
        <v>1.36</v>
      </c>
      <c r="K21">
        <f ca="1">IFERROR(IF(0=LEN(ReferenceData!$F$21),"",ReferenceData!$F$21),"")</f>
        <v>1.3440000000000001</v>
      </c>
    </row>
    <row r="22" spans="1:11" x14ac:dyDescent="0.25">
      <c r="A22" t="str">
        <f>IFERROR(IF(0=LEN(ReferenceData!$A$22),"",ReferenceData!$A$22),"")</f>
        <v xml:space="preserve">    Deloitte</v>
      </c>
      <c r="B22" t="str">
        <f>IFERROR(IF(0=LEN(ReferenceData!$B$22),"",ReferenceData!$B$22),"")</f>
        <v/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Static</v>
      </c>
      <c r="F22">
        <f ca="1">IFERROR(IF(0=LEN(ReferenceData!$K$22),"",ReferenceData!$K$22),"")</f>
        <v>0.98899999999999999</v>
      </c>
      <c r="G22">
        <f ca="1">IFERROR(IF(0=LEN(ReferenceData!$J$22),"",ReferenceData!$J$22),"")</f>
        <v>0.96399999999999997</v>
      </c>
      <c r="H22">
        <f ca="1">IFERROR(IF(0=LEN(ReferenceData!$I$22),"",ReferenceData!$I$22),"")</f>
        <v>1.0329999999999999</v>
      </c>
      <c r="I22">
        <f ca="1">IFERROR(IF(0=LEN(ReferenceData!$H$22),"",ReferenceData!$H$22),"")</f>
        <v>1.1279999999999999</v>
      </c>
      <c r="J22">
        <f ca="1">IFERROR(IF(0=LEN(ReferenceData!$G$22),"",ReferenceData!$G$22),"")</f>
        <v>1.232</v>
      </c>
      <c r="K22">
        <f ca="1">IFERROR(IF(0=LEN(ReferenceData!$F$22),"",ReferenceData!$F$22),"")</f>
        <v>1.2789999999999999</v>
      </c>
    </row>
    <row r="23" spans="1:11" x14ac:dyDescent="0.25">
      <c r="A23" t="str">
        <f>IFERROR(IF(0=LEN(ReferenceData!$A$23),"",ReferenceData!$A$23),"")</f>
        <v xml:space="preserve">    Bell Canada</v>
      </c>
      <c r="B23" t="str">
        <f>IFERROR(IF(0=LEN(ReferenceData!$B$23),"",ReferenceData!$B$23),"")</f>
        <v/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Static</v>
      </c>
      <c r="F23">
        <f ca="1">IFERROR(IF(0=LEN(ReferenceData!$K$23),"",ReferenceData!$K$23),"")</f>
        <v>0.88800000000000001</v>
      </c>
      <c r="G23">
        <f ca="1">IFERROR(IF(0=LEN(ReferenceData!$J$23),"",ReferenceData!$J$23),"")</f>
        <v>0.83799999999999997</v>
      </c>
      <c r="H23">
        <f ca="1">IFERROR(IF(0=LEN(ReferenceData!$I$23),"",ReferenceData!$I$23),"")</f>
        <v>0.98099999999999998</v>
      </c>
      <c r="I23">
        <f ca="1">IFERROR(IF(0=LEN(ReferenceData!$H$23),"",ReferenceData!$H$23),"")</f>
        <v>0.99199999999999999</v>
      </c>
      <c r="J23">
        <f ca="1">IFERROR(IF(0=LEN(ReferenceData!$G$23),"",ReferenceData!$G$23),"")</f>
        <v>0.98699999999999999</v>
      </c>
      <c r="K23">
        <f ca="1">IFERROR(IF(0=LEN(ReferenceData!$F$23),"",ReferenceData!$F$23),"")</f>
        <v>1.0009999999999999</v>
      </c>
    </row>
    <row r="24" spans="1:11" x14ac:dyDescent="0.25">
      <c r="A24" t="str">
        <f>IFERROR(IF(0=LEN(ReferenceData!$A$24),"",ReferenceData!$A$24),"")</f>
        <v xml:space="preserve">    Accenture</v>
      </c>
      <c r="B24" t="str">
        <f>IFERROR(IF(0=LEN(ReferenceData!$B$24),"",ReferenceData!$B$24),"")</f>
        <v/>
      </c>
      <c r="C24" t="str">
        <f>IFERROR(IF(0=LEN(ReferenceData!$C$24),"",ReferenceData!$C$24),"")</f>
        <v/>
      </c>
      <c r="D24" t="str">
        <f>IFERROR(IF(0=LEN(ReferenceData!$D$24),"",ReferenceData!$D$24),"")</f>
        <v/>
      </c>
      <c r="E24" t="str">
        <f>IFERROR(IF(0=LEN(ReferenceData!$E$24),"",ReferenceData!$E$24),"")</f>
        <v>Static</v>
      </c>
      <c r="F24">
        <f ca="1">IFERROR(IF(0=LEN(ReferenceData!$K$24),"",ReferenceData!$K$24),"")</f>
        <v>0.94599999999999995</v>
      </c>
      <c r="G24">
        <f ca="1">IFERROR(IF(0=LEN(ReferenceData!$J$24),"",ReferenceData!$J$24),"")</f>
        <v>0.97799999999999998</v>
      </c>
      <c r="H24">
        <f ca="1">IFERROR(IF(0=LEN(ReferenceData!$I$24),"",ReferenceData!$I$24),"")</f>
        <v>0.72899999999999998</v>
      </c>
      <c r="I24">
        <f ca="1">IFERROR(IF(0=LEN(ReferenceData!$H$24),"",ReferenceData!$H$24),"")</f>
        <v>0.77100000000000002</v>
      </c>
      <c r="J24">
        <f ca="1">IFERROR(IF(0=LEN(ReferenceData!$G$24),"",ReferenceData!$G$24),"")</f>
        <v>0.83399999999999996</v>
      </c>
      <c r="K24">
        <f ca="1">IFERROR(IF(0=LEN(ReferenceData!$F$24),"",ReferenceData!$F$24),"")</f>
        <v>0.878</v>
      </c>
    </row>
    <row r="25" spans="1:11" x14ac:dyDescent="0.25">
      <c r="A25" t="str">
        <f>IFERROR(IF(0=LEN(ReferenceData!$A$25),"",ReferenceData!$A$25),"")</f>
        <v xml:space="preserve">    Tata Consultancy Services</v>
      </c>
      <c r="B25" t="str">
        <f>IFERROR(IF(0=LEN(ReferenceData!$B$25),"",ReferenceData!$B$25),"")</f>
        <v/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Static</v>
      </c>
      <c r="F25" t="str">
        <f ca="1">IFERROR(IF(0=LEN(ReferenceData!$K$25),"",ReferenceData!$K$25),"")</f>
        <v/>
      </c>
      <c r="G25" t="str">
        <f ca="1">IFERROR(IF(0=LEN(ReferenceData!$J$25),"",ReferenceData!$J$25),"")</f>
        <v/>
      </c>
      <c r="H25" t="str">
        <f ca="1">IFERROR(IF(0=LEN(ReferenceData!$I$25),"",ReferenceData!$I$25),"")</f>
        <v/>
      </c>
      <c r="I25">
        <f ca="1">IFERROR(IF(0=LEN(ReferenceData!$H$25),"",ReferenceData!$H$25),"")</f>
        <v>0.67200000000000004</v>
      </c>
      <c r="J25">
        <f ca="1">IFERROR(IF(0=LEN(ReferenceData!$G$25),"",ReferenceData!$G$25),"")</f>
        <v>0.77600000000000002</v>
      </c>
      <c r="K25">
        <f ca="1">IFERROR(IF(0=LEN(ReferenceData!$F$25),"",ReferenceData!$F$25),"")</f>
        <v>0.78800000000000003</v>
      </c>
    </row>
    <row r="26" spans="1:11" x14ac:dyDescent="0.25">
      <c r="A26" t="str">
        <f>IFERROR(IF(0=LEN(ReferenceData!$A$26),"",ReferenceData!$A$26),"")</f>
        <v xml:space="preserve">    Telus</v>
      </c>
      <c r="B26" t="str">
        <f>IFERROR(IF(0=LEN(ReferenceData!$B$26),"",ReferenceData!$B$26),"")</f>
        <v/>
      </c>
      <c r="C26" t="str">
        <f>IFERROR(IF(0=LEN(ReferenceData!$C$26),"",ReferenceData!$C$26),"")</f>
        <v/>
      </c>
      <c r="D26" t="str">
        <f>IFERROR(IF(0=LEN(ReferenceData!$D$26),"",ReferenceData!$D$26),"")</f>
        <v/>
      </c>
      <c r="E26" t="str">
        <f>IFERROR(IF(0=LEN(ReferenceData!$E$26),"",ReferenceData!$E$26),"")</f>
        <v>Static</v>
      </c>
      <c r="F26" t="str">
        <f ca="1">IFERROR(IF(0=LEN(ReferenceData!$K$26),"",ReferenceData!$K$26),"")</f>
        <v/>
      </c>
      <c r="G26" t="str">
        <f ca="1">IFERROR(IF(0=LEN(ReferenceData!$J$26),"",ReferenceData!$J$26),"")</f>
        <v/>
      </c>
      <c r="H26" t="str">
        <f ca="1">IFERROR(IF(0=LEN(ReferenceData!$I$26),"",ReferenceData!$I$26),"")</f>
        <v/>
      </c>
      <c r="I26">
        <f ca="1">IFERROR(IF(0=LEN(ReferenceData!$H$26),"",ReferenceData!$H$26),"")</f>
        <v>0.68500000000000005</v>
      </c>
      <c r="J26">
        <f ca="1">IFERROR(IF(0=LEN(ReferenceData!$G$26),"",ReferenceData!$G$26),"")</f>
        <v>0.71699999999999997</v>
      </c>
      <c r="K26">
        <f ca="1">IFERROR(IF(0=LEN(ReferenceData!$F$26),"",ReferenceData!$F$26),"")</f>
        <v>0.73099999999999998</v>
      </c>
    </row>
    <row r="27" spans="1:11" x14ac:dyDescent="0.25">
      <c r="A27" t="str">
        <f>IFERROR(IF(0=LEN(ReferenceData!$A$27),"",ReferenceData!$A$27),"")</f>
        <v xml:space="preserve">    PwC</v>
      </c>
      <c r="B27" t="str">
        <f>IFERROR(IF(0=LEN(ReferenceData!$B$27),"",ReferenceData!$B$27),"")</f>
        <v/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Static</v>
      </c>
      <c r="F27" t="str">
        <f ca="1">IFERROR(IF(0=LEN(ReferenceData!$K$27),"",ReferenceData!$K$27),"")</f>
        <v/>
      </c>
      <c r="G27" t="str">
        <f ca="1">IFERROR(IF(0=LEN(ReferenceData!$J$27),"",ReferenceData!$J$27),"")</f>
        <v/>
      </c>
      <c r="H27" t="str">
        <f ca="1">IFERROR(IF(0=LEN(ReferenceData!$I$27),"",ReferenceData!$I$27),"")</f>
        <v/>
      </c>
      <c r="I27">
        <f ca="1">IFERROR(IF(0=LEN(ReferenceData!$H$27),"",ReferenceData!$H$27),"")</f>
        <v>0.60699999999999998</v>
      </c>
      <c r="J27">
        <f ca="1">IFERROR(IF(0=LEN(ReferenceData!$G$27),"",ReferenceData!$G$27),"")</f>
        <v>0.61899999999999999</v>
      </c>
      <c r="K27">
        <f ca="1">IFERROR(IF(0=LEN(ReferenceData!$F$27),"",ReferenceData!$F$27),"")</f>
        <v>0.64</v>
      </c>
    </row>
    <row r="28" spans="1:11" x14ac:dyDescent="0.25">
      <c r="A28" t="str">
        <f>IFERROR(IF(0=LEN(ReferenceData!$A$28),"",ReferenceData!$A$28),"")</f>
        <v xml:space="preserve">    DXC</v>
      </c>
      <c r="B28" t="str">
        <f>IFERROR(IF(0=LEN(ReferenceData!$B$28),"",ReferenceData!$B$28),"")</f>
        <v/>
      </c>
      <c r="C28" t="str">
        <f>IFERROR(IF(0=LEN(ReferenceData!$C$28),"",ReferenceData!$C$28),"")</f>
        <v/>
      </c>
      <c r="D28" t="str">
        <f>IFERROR(IF(0=LEN(ReferenceData!$D$28),"",ReferenceData!$D$28),"")</f>
        <v/>
      </c>
      <c r="E28" t="str">
        <f>IFERROR(IF(0=LEN(ReferenceData!$E$28),"",ReferenceData!$E$28),"")</f>
        <v>Static</v>
      </c>
      <c r="F28" t="str">
        <f ca="1">IFERROR(IF(0=LEN(ReferenceData!$K$28),"",ReferenceData!$K$28),"")</f>
        <v/>
      </c>
      <c r="G28" t="str">
        <f ca="1">IFERROR(IF(0=LEN(ReferenceData!$J$28),"",ReferenceData!$J$28),"")</f>
        <v/>
      </c>
      <c r="H28" t="str">
        <f ca="1">IFERROR(IF(0=LEN(ReferenceData!$I$28),"",ReferenceData!$I$28),"")</f>
        <v/>
      </c>
      <c r="I28">
        <f ca="1">IFERROR(IF(0=LEN(ReferenceData!$H$28),"",ReferenceData!$H$28),"")</f>
        <v>0.50800000000000001</v>
      </c>
      <c r="J28">
        <f ca="1">IFERROR(IF(0=LEN(ReferenceData!$G$28),"",ReferenceData!$G$28),"")</f>
        <v>0.59499999999999997</v>
      </c>
      <c r="K28">
        <f ca="1">IFERROR(IF(0=LEN(ReferenceData!$F$28),"",ReferenceData!$F$28),"")</f>
        <v>0.54700000000000004</v>
      </c>
    </row>
    <row r="29" spans="1:11" x14ac:dyDescent="0.25">
      <c r="A29" t="str">
        <f>IFERROR(IF(0=LEN(ReferenceData!$A$29),"",ReferenceData!$A$29),"")</f>
        <v xml:space="preserve">    Capgemini</v>
      </c>
      <c r="B29" t="str">
        <f>IFERROR(IF(0=LEN(ReferenceData!$B$29),"",ReferenceData!$B$29),"")</f>
        <v/>
      </c>
      <c r="C29" t="str">
        <f>IFERROR(IF(0=LEN(ReferenceData!$C$29),"",ReferenceData!$C$29),"")</f>
        <v/>
      </c>
      <c r="D29" t="str">
        <f>IFERROR(IF(0=LEN(ReferenceData!$D$29),"",ReferenceData!$D$29),"")</f>
        <v/>
      </c>
      <c r="E29" t="str">
        <f>IFERROR(IF(0=LEN(ReferenceData!$E$29),"",ReferenceData!$E$29),"")</f>
        <v>Static</v>
      </c>
      <c r="F29" t="str">
        <f ca="1">IFERROR(IF(0=LEN(ReferenceData!$K$29),"",ReferenceData!$K$29),"")</f>
        <v/>
      </c>
      <c r="G29" t="str">
        <f ca="1">IFERROR(IF(0=LEN(ReferenceData!$J$29),"",ReferenceData!$J$29),"")</f>
        <v/>
      </c>
      <c r="H29" t="str">
        <f ca="1">IFERROR(IF(0=LEN(ReferenceData!$I$29),"",ReferenceData!$I$29),"")</f>
        <v/>
      </c>
      <c r="I29">
        <f ca="1">IFERROR(IF(0=LEN(ReferenceData!$H$29),"",ReferenceData!$H$29),"")</f>
        <v>0.48599999999999999</v>
      </c>
      <c r="J29">
        <f ca="1">IFERROR(IF(0=LEN(ReferenceData!$G$29),"",ReferenceData!$G$29),"")</f>
        <v>0.53300000000000003</v>
      </c>
      <c r="K29">
        <f ca="1">IFERROR(IF(0=LEN(ReferenceData!$F$29),"",ReferenceData!$F$29),"")</f>
        <v>0.54600000000000004</v>
      </c>
    </row>
    <row r="30" spans="1:11" x14ac:dyDescent="0.25">
      <c r="A30" t="str">
        <f>IFERROR(IF(0=LEN(ReferenceData!$A$30),"",ReferenceData!$A$30),"")</f>
        <v xml:space="preserve">    Other</v>
      </c>
      <c r="B30" t="str">
        <f>IFERROR(IF(0=LEN(ReferenceData!$B$30),"",ReferenceData!$B$30),"")</f>
        <v/>
      </c>
      <c r="C30" t="str">
        <f>IFERROR(IF(0=LEN(ReferenceData!$C$30),"",ReferenceData!$C$30),"")</f>
        <v/>
      </c>
      <c r="D30" t="str">
        <f>IFERROR(IF(0=LEN(ReferenceData!$D$30),"",ReferenceData!$D$30),"")</f>
        <v/>
      </c>
      <c r="E30" t="str">
        <f>IFERROR(IF(0=LEN(ReferenceData!$E$30),"",ReferenceData!$E$30),"")</f>
        <v>Static</v>
      </c>
      <c r="F30">
        <f ca="1">IFERROR(IF(0=LEN(ReferenceData!$K$30),"",ReferenceData!$K$30),"")</f>
        <v>20.838999999999999</v>
      </c>
      <c r="G30">
        <f ca="1">IFERROR(IF(0=LEN(ReferenceData!$J$30),"",ReferenceData!$J$30),"")</f>
        <v>18.202000000000002</v>
      </c>
      <c r="H30">
        <f ca="1">IFERROR(IF(0=LEN(ReferenceData!$I$30),"",ReferenceData!$I$30),"")</f>
        <v>18.898</v>
      </c>
      <c r="I30">
        <f ca="1">IFERROR(IF(0=LEN(ReferenceData!$H$30),"",ReferenceData!$H$30),"")</f>
        <v>16.446999999999999</v>
      </c>
      <c r="J30">
        <f ca="1">IFERROR(IF(0=LEN(ReferenceData!$G$30),"",ReferenceData!$G$30),"")</f>
        <v>16.388999999999999</v>
      </c>
      <c r="K30">
        <f ca="1">IFERROR(IF(0=LEN(ReferenceData!$F$30),"",ReferenceData!$F$30),"")</f>
        <v>16.053000000000001</v>
      </c>
    </row>
    <row r="31" spans="1:11" x14ac:dyDescent="0.25">
      <c r="A31" t="str">
        <f>IFERROR(IF(0=LEN(ReferenceData!$A$31),"",ReferenceData!$A$31),"")</f>
        <v>Central &amp; Eastern Europe</v>
      </c>
      <c r="B31" t="str">
        <f>IFERROR(IF(0=LEN(ReferenceData!$B$31),"",ReferenceData!$B$31),"")</f>
        <v/>
      </c>
      <c r="C31" t="str">
        <f>IFERROR(IF(0=LEN(ReferenceData!$C$31),"",ReferenceData!$C$31),"")</f>
        <v/>
      </c>
      <c r="D31" t="str">
        <f>IFERROR(IF(0=LEN(ReferenceData!$D$31),"",ReferenceData!$D$31),"")</f>
        <v/>
      </c>
      <c r="E31" t="str">
        <f>IFERROR(IF(0=LEN(ReferenceData!$E$31),"",ReferenceData!$E$31),"")</f>
        <v>Sum</v>
      </c>
      <c r="F31">
        <f ca="1">IFERROR(IF(0=LEN(ReferenceData!$K$31),"",ReferenceData!$K$31),"")</f>
        <v>20.405999999999999</v>
      </c>
      <c r="G31">
        <f ca="1">IFERROR(IF(0=LEN(ReferenceData!$J$31),"",ReferenceData!$J$31),"")</f>
        <v>16.279</v>
      </c>
      <c r="H31">
        <f ca="1">IFERROR(IF(0=LEN(ReferenceData!$I$31),"",ReferenceData!$I$31),"")</f>
        <v>16.425000000000001</v>
      </c>
      <c r="I31">
        <f ca="1">IFERROR(IF(0=LEN(ReferenceData!$H$31),"",ReferenceData!$H$31),"")</f>
        <v>18.891999999999999</v>
      </c>
      <c r="J31">
        <f ca="1">IFERROR(IF(0=LEN(ReferenceData!$G$31),"",ReferenceData!$G$31),"")</f>
        <v>20.482000000000003</v>
      </c>
      <c r="K31">
        <f ca="1">IFERROR(IF(0=LEN(ReferenceData!$F$31),"",ReferenceData!$F$31),"")</f>
        <v>21.419</v>
      </c>
    </row>
    <row r="32" spans="1:11" x14ac:dyDescent="0.25">
      <c r="A32" t="str">
        <f>IFERROR(IF(0=LEN(ReferenceData!$A$32),"",ReferenceData!$A$32),"")</f>
        <v xml:space="preserve">    LANIT</v>
      </c>
      <c r="B32" t="str">
        <f>IFERROR(IF(0=LEN(ReferenceData!$B$32),"",ReferenceData!$B$32),"")</f>
        <v/>
      </c>
      <c r="C32" t="str">
        <f>IFERROR(IF(0=LEN(ReferenceData!$C$32),"",ReferenceData!$C$32),"")</f>
        <v/>
      </c>
      <c r="D32" t="str">
        <f>IFERROR(IF(0=LEN(ReferenceData!$D$32),"",ReferenceData!$D$32),"")</f>
        <v/>
      </c>
      <c r="E32" t="str">
        <f>IFERROR(IF(0=LEN(ReferenceData!$E$32),"",ReferenceData!$E$32),"")</f>
        <v>Static</v>
      </c>
      <c r="F32">
        <f ca="1">IFERROR(IF(0=LEN(ReferenceData!$K$32),"",ReferenceData!$K$32),"")</f>
        <v>0.63</v>
      </c>
      <c r="G32">
        <f ca="1">IFERROR(IF(0=LEN(ReferenceData!$J$32),"",ReferenceData!$J$32),"")</f>
        <v>0.39100000000000001</v>
      </c>
      <c r="H32">
        <f ca="1">IFERROR(IF(0=LEN(ReferenceData!$I$32),"",ReferenceData!$I$32),"")</f>
        <v>0.39700000000000002</v>
      </c>
      <c r="I32">
        <f ca="1">IFERROR(IF(0=LEN(ReferenceData!$H$32),"",ReferenceData!$H$32),"")</f>
        <v>0.59099999999999997</v>
      </c>
      <c r="J32">
        <f ca="1">IFERROR(IF(0=LEN(ReferenceData!$G$32),"",ReferenceData!$G$32),"")</f>
        <v>0.65900000000000003</v>
      </c>
      <c r="K32">
        <f ca="1">IFERROR(IF(0=LEN(ReferenceData!$F$32),"",ReferenceData!$F$32),"")</f>
        <v>0.65900000000000003</v>
      </c>
    </row>
    <row r="33" spans="1:11" x14ac:dyDescent="0.25">
      <c r="A33" t="str">
        <f>IFERROR(IF(0=LEN(ReferenceData!$A$33),"",ReferenceData!$A$33),"")</f>
        <v xml:space="preserve">    Asseco CEMA</v>
      </c>
      <c r="B33" t="str">
        <f>IFERROR(IF(0=LEN(ReferenceData!$B$33),"",ReferenceData!$B$33),"")</f>
        <v/>
      </c>
      <c r="C33" t="str">
        <f>IFERROR(IF(0=LEN(ReferenceData!$C$33),"",ReferenceData!$C$33),"")</f>
        <v/>
      </c>
      <c r="D33" t="str">
        <f>IFERROR(IF(0=LEN(ReferenceData!$D$33),"",ReferenceData!$D$33),"")</f>
        <v/>
      </c>
      <c r="E33" t="str">
        <f>IFERROR(IF(0=LEN(ReferenceData!$E$33),"",ReferenceData!$E$33),"")</f>
        <v>Static</v>
      </c>
      <c r="F33">
        <f ca="1">IFERROR(IF(0=LEN(ReferenceData!$K$33),"",ReferenceData!$K$33),"")</f>
        <v>0.53200000000000003</v>
      </c>
      <c r="G33">
        <f ca="1">IFERROR(IF(0=LEN(ReferenceData!$J$33),"",ReferenceData!$J$33),"")</f>
        <v>0.498</v>
      </c>
      <c r="H33">
        <f ca="1">IFERROR(IF(0=LEN(ReferenceData!$I$33),"",ReferenceData!$I$33),"")</f>
        <v>0.50900000000000001</v>
      </c>
      <c r="I33">
        <f ca="1">IFERROR(IF(0=LEN(ReferenceData!$H$33),"",ReferenceData!$H$33),"")</f>
        <v>0.502</v>
      </c>
      <c r="J33">
        <f ca="1">IFERROR(IF(0=LEN(ReferenceData!$G$33),"",ReferenceData!$G$33),"")</f>
        <v>0.51300000000000001</v>
      </c>
      <c r="K33">
        <f ca="1">IFERROR(IF(0=LEN(ReferenceData!$F$33),"",ReferenceData!$F$33),"")</f>
        <v>0.52800000000000002</v>
      </c>
    </row>
    <row r="34" spans="1:11" x14ac:dyDescent="0.25">
      <c r="A34" t="str">
        <f>IFERROR(IF(0=LEN(ReferenceData!$A$34),"",ReferenceData!$A$34),"")</f>
        <v xml:space="preserve">    Deutsche Telekom (T-Systems)</v>
      </c>
      <c r="B34" t="str">
        <f>IFERROR(IF(0=LEN(ReferenceData!$B$34),"",ReferenceData!$B$34),"")</f>
        <v/>
      </c>
      <c r="C34" t="str">
        <f>IFERROR(IF(0=LEN(ReferenceData!$C$34),"",ReferenceData!$C$34),"")</f>
        <v/>
      </c>
      <c r="D34" t="str">
        <f>IFERROR(IF(0=LEN(ReferenceData!$D$34),"",ReferenceData!$D$34),"")</f>
        <v/>
      </c>
      <c r="E34" t="str">
        <f>IFERROR(IF(0=LEN(ReferenceData!$E$34),"",ReferenceData!$E$34),"")</f>
        <v>Static</v>
      </c>
      <c r="F34">
        <f ca="1">IFERROR(IF(0=LEN(ReferenceData!$K$34),"",ReferenceData!$K$34),"")</f>
        <v>0.80900000000000005</v>
      </c>
      <c r="G34">
        <f ca="1">IFERROR(IF(0=LEN(ReferenceData!$J$34),"",ReferenceData!$J$34),"")</f>
        <v>0.68700000000000006</v>
      </c>
      <c r="H34">
        <f ca="1">IFERROR(IF(0=LEN(ReferenceData!$I$34),"",ReferenceData!$I$34),"")</f>
        <v>0.4</v>
      </c>
      <c r="I34">
        <f ca="1">IFERROR(IF(0=LEN(ReferenceData!$H$34),"",ReferenceData!$H$34),"")</f>
        <v>0.44400000000000001</v>
      </c>
      <c r="J34">
        <f ca="1">IFERROR(IF(0=LEN(ReferenceData!$G$34),"",ReferenceData!$G$34),"")</f>
        <v>0.47799999999999998</v>
      </c>
      <c r="K34">
        <f ca="1">IFERROR(IF(0=LEN(ReferenceData!$F$34),"",ReferenceData!$F$34),"")</f>
        <v>0.48899999999999999</v>
      </c>
    </row>
    <row r="35" spans="1:11" x14ac:dyDescent="0.25">
      <c r="A35" t="str">
        <f>IFERROR(IF(0=LEN(ReferenceData!$A$35),"",ReferenceData!$A$35),"")</f>
        <v xml:space="preserve">    IBM</v>
      </c>
      <c r="B35" t="str">
        <f>IFERROR(IF(0=LEN(ReferenceData!$B$35),"",ReferenceData!$B$35),"")</f>
        <v/>
      </c>
      <c r="C35" t="str">
        <f>IFERROR(IF(0=LEN(ReferenceData!$C$35),"",ReferenceData!$C$35),"")</f>
        <v/>
      </c>
      <c r="D35" t="str">
        <f>IFERROR(IF(0=LEN(ReferenceData!$D$35),"",ReferenceData!$D$35),"")</f>
        <v/>
      </c>
      <c r="E35" t="str">
        <f>IFERROR(IF(0=LEN(ReferenceData!$E$35),"",ReferenceData!$E$35),"")</f>
        <v>Static</v>
      </c>
      <c r="F35">
        <f ca="1">IFERROR(IF(0=LEN(ReferenceData!$K$35),"",ReferenceData!$K$35),"")</f>
        <v>0.65700000000000003</v>
      </c>
      <c r="G35">
        <f ca="1">IFERROR(IF(0=LEN(ReferenceData!$J$35),"",ReferenceData!$J$35),"")</f>
        <v>0.54600000000000004</v>
      </c>
      <c r="H35">
        <f ca="1">IFERROR(IF(0=LEN(ReferenceData!$I$35),"",ReferenceData!$I$35),"")</f>
        <v>0.498</v>
      </c>
      <c r="I35">
        <f ca="1">IFERROR(IF(0=LEN(ReferenceData!$H$35),"",ReferenceData!$H$35),"")</f>
        <v>0.495</v>
      </c>
      <c r="J35">
        <f ca="1">IFERROR(IF(0=LEN(ReferenceData!$G$35),"",ReferenceData!$G$35),"")</f>
        <v>0.46</v>
      </c>
      <c r="K35">
        <f ca="1">IFERROR(IF(0=LEN(ReferenceData!$F$35),"",ReferenceData!$F$35),"")</f>
        <v>0.44900000000000001</v>
      </c>
    </row>
    <row r="36" spans="1:11" x14ac:dyDescent="0.25">
      <c r="A36" t="str">
        <f>IFERROR(IF(0=LEN(ReferenceData!$A$36),"",ReferenceData!$A$36),"")</f>
        <v xml:space="preserve">    S&amp;T Group</v>
      </c>
      <c r="B36" t="str">
        <f>IFERROR(IF(0=LEN(ReferenceData!$B$36),"",ReferenceData!$B$36),"")</f>
        <v/>
      </c>
      <c r="C36" t="str">
        <f>IFERROR(IF(0=LEN(ReferenceData!$C$36),"",ReferenceData!$C$36),"")</f>
        <v/>
      </c>
      <c r="D36" t="str">
        <f>IFERROR(IF(0=LEN(ReferenceData!$D$36),"",ReferenceData!$D$36),"")</f>
        <v/>
      </c>
      <c r="E36" t="str">
        <f>IFERROR(IF(0=LEN(ReferenceData!$E$36),"",ReferenceData!$E$36),"")</f>
        <v>Static</v>
      </c>
      <c r="F36" t="str">
        <f ca="1">IFERROR(IF(0=LEN(ReferenceData!$K$36),"",ReferenceData!$K$36),"")</f>
        <v/>
      </c>
      <c r="G36" t="str">
        <f ca="1">IFERROR(IF(0=LEN(ReferenceData!$J$36),"",ReferenceData!$J$36),"")</f>
        <v/>
      </c>
      <c r="H36" t="str">
        <f ca="1">IFERROR(IF(0=LEN(ReferenceData!$I$36),"",ReferenceData!$I$36),"")</f>
        <v/>
      </c>
      <c r="I36">
        <f ca="1">IFERROR(IF(0=LEN(ReferenceData!$H$36),"",ReferenceData!$H$36),"")</f>
        <v>0.30099999999999999</v>
      </c>
      <c r="J36">
        <f ca="1">IFERROR(IF(0=LEN(ReferenceData!$G$36),"",ReferenceData!$G$36),"")</f>
        <v>0.35899999999999999</v>
      </c>
      <c r="K36">
        <f ca="1">IFERROR(IF(0=LEN(ReferenceData!$F$36),"",ReferenceData!$F$36),"")</f>
        <v>0.40600000000000003</v>
      </c>
    </row>
    <row r="37" spans="1:11" x14ac:dyDescent="0.25">
      <c r="A37" t="str">
        <f>IFERROR(IF(0=LEN(ReferenceData!$A$37),"",ReferenceData!$A$37),"")</f>
        <v xml:space="preserve">    ATOS</v>
      </c>
      <c r="B37" t="str">
        <f>IFERROR(IF(0=LEN(ReferenceData!$B$37),"",ReferenceData!$B$37),"")</f>
        <v/>
      </c>
      <c r="C37" t="str">
        <f>IFERROR(IF(0=LEN(ReferenceData!$C$37),"",ReferenceData!$C$37),"")</f>
        <v/>
      </c>
      <c r="D37" t="str">
        <f>IFERROR(IF(0=LEN(ReferenceData!$D$37),"",ReferenceData!$D$37),"")</f>
        <v/>
      </c>
      <c r="E37" t="str">
        <f>IFERROR(IF(0=LEN(ReferenceData!$E$37),"",ReferenceData!$E$37),"")</f>
        <v>Static</v>
      </c>
      <c r="F37" t="str">
        <f ca="1">IFERROR(IF(0=LEN(ReferenceData!$K$37),"",ReferenceData!$K$37),"")</f>
        <v/>
      </c>
      <c r="G37" t="str">
        <f ca="1">IFERROR(IF(0=LEN(ReferenceData!$J$37),"",ReferenceData!$J$37),"")</f>
        <v/>
      </c>
      <c r="H37" t="str">
        <f ca="1">IFERROR(IF(0=LEN(ReferenceData!$I$37),"",ReferenceData!$I$37),"")</f>
        <v/>
      </c>
      <c r="I37">
        <f ca="1">IFERROR(IF(0=LEN(ReferenceData!$H$37),"",ReferenceData!$H$37),"")</f>
        <v>0.33900000000000002</v>
      </c>
      <c r="J37">
        <f ca="1">IFERROR(IF(0=LEN(ReferenceData!$G$37),"",ReferenceData!$G$37),"")</f>
        <v>0.34399999999999997</v>
      </c>
      <c r="K37">
        <f ca="1">IFERROR(IF(0=LEN(ReferenceData!$F$37),"",ReferenceData!$F$37),"")</f>
        <v>0.36199999999999999</v>
      </c>
    </row>
    <row r="38" spans="1:11" x14ac:dyDescent="0.25">
      <c r="A38" t="str">
        <f>IFERROR(IF(0=LEN(ReferenceData!$A$38),"",ReferenceData!$A$38),"")</f>
        <v xml:space="preserve">    Deloitte</v>
      </c>
      <c r="B38" t="str">
        <f>IFERROR(IF(0=LEN(ReferenceData!$B$38),"",ReferenceData!$B$38),"")</f>
        <v/>
      </c>
      <c r="C38" t="str">
        <f>IFERROR(IF(0=LEN(ReferenceData!$C$38),"",ReferenceData!$C$38),"")</f>
        <v/>
      </c>
      <c r="D38" t="str">
        <f>IFERROR(IF(0=LEN(ReferenceData!$D$38),"",ReferenceData!$D$38),"")</f>
        <v/>
      </c>
      <c r="E38" t="str">
        <f>IFERROR(IF(0=LEN(ReferenceData!$E$38),"",ReferenceData!$E$38),"")</f>
        <v>Static</v>
      </c>
      <c r="F38" t="str">
        <f ca="1">IFERROR(IF(0=LEN(ReferenceData!$K$38),"",ReferenceData!$K$38),"")</f>
        <v/>
      </c>
      <c r="G38" t="str">
        <f ca="1">IFERROR(IF(0=LEN(ReferenceData!$J$38),"",ReferenceData!$J$38),"")</f>
        <v/>
      </c>
      <c r="H38" t="str">
        <f ca="1">IFERROR(IF(0=LEN(ReferenceData!$I$38),"",ReferenceData!$I$38),"")</f>
        <v/>
      </c>
      <c r="I38">
        <f ca="1">IFERROR(IF(0=LEN(ReferenceData!$H$38),"",ReferenceData!$H$38),"")</f>
        <v>0.26300000000000001</v>
      </c>
      <c r="J38">
        <f ca="1">IFERROR(IF(0=LEN(ReferenceData!$G$38),"",ReferenceData!$G$38),"")</f>
        <v>0.28699999999999998</v>
      </c>
      <c r="K38">
        <f ca="1">IFERROR(IF(0=LEN(ReferenceData!$F$38),"",ReferenceData!$F$38),"")</f>
        <v>0.30599999999999999</v>
      </c>
    </row>
    <row r="39" spans="1:11" x14ac:dyDescent="0.25">
      <c r="A39" t="str">
        <f>IFERROR(IF(0=LEN(ReferenceData!$A$39),"",ReferenceData!$A$39),"")</f>
        <v xml:space="preserve">    PwC</v>
      </c>
      <c r="B39" t="str">
        <f>IFERROR(IF(0=LEN(ReferenceData!$B$39),"",ReferenceData!$B$39),"")</f>
        <v/>
      </c>
      <c r="C39" t="str">
        <f>IFERROR(IF(0=LEN(ReferenceData!$C$39),"",ReferenceData!$C$39),"")</f>
        <v/>
      </c>
      <c r="D39" t="str">
        <f>IFERROR(IF(0=LEN(ReferenceData!$D$39),"",ReferenceData!$D$39),"")</f>
        <v/>
      </c>
      <c r="E39" t="str">
        <f>IFERROR(IF(0=LEN(ReferenceData!$E$39),"",ReferenceData!$E$39),"")</f>
        <v>Static</v>
      </c>
      <c r="F39" t="str">
        <f ca="1">IFERROR(IF(0=LEN(ReferenceData!$K$39),"",ReferenceData!$K$39),"")</f>
        <v/>
      </c>
      <c r="G39" t="str">
        <f ca="1">IFERROR(IF(0=LEN(ReferenceData!$J$39),"",ReferenceData!$J$39),"")</f>
        <v/>
      </c>
      <c r="H39" t="str">
        <f ca="1">IFERROR(IF(0=LEN(ReferenceData!$I$39),"",ReferenceData!$I$39),"")</f>
        <v/>
      </c>
      <c r="I39">
        <f ca="1">IFERROR(IF(0=LEN(ReferenceData!$H$39),"",ReferenceData!$H$39),"")</f>
        <v>0.23</v>
      </c>
      <c r="J39">
        <f ca="1">IFERROR(IF(0=LEN(ReferenceData!$G$39),"",ReferenceData!$G$39),"")</f>
        <v>0.25700000000000001</v>
      </c>
      <c r="K39">
        <f ca="1">IFERROR(IF(0=LEN(ReferenceData!$F$39),"",ReferenceData!$F$39),"")</f>
        <v>0.29499999999999998</v>
      </c>
    </row>
    <row r="40" spans="1:11" x14ac:dyDescent="0.25">
      <c r="A40" t="str">
        <f>IFERROR(IF(0=LEN(ReferenceData!$A$40),"",ReferenceData!$A$40),"")</f>
        <v xml:space="preserve">    CROC</v>
      </c>
      <c r="B40" t="str">
        <f>IFERROR(IF(0=LEN(ReferenceData!$B$40),"",ReferenceData!$B$40),"")</f>
        <v/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Static</v>
      </c>
      <c r="F40" t="str">
        <f ca="1">IFERROR(IF(0=LEN(ReferenceData!$K$40),"",ReferenceData!$K$40),"")</f>
        <v/>
      </c>
      <c r="G40" t="str">
        <f ca="1">IFERROR(IF(0=LEN(ReferenceData!$J$40),"",ReferenceData!$J$40),"")</f>
        <v/>
      </c>
      <c r="H40" t="str">
        <f ca="1">IFERROR(IF(0=LEN(ReferenceData!$I$40),"",ReferenceData!$I$40),"")</f>
        <v/>
      </c>
      <c r="I40">
        <f ca="1">IFERROR(IF(0=LEN(ReferenceData!$H$40),"",ReferenceData!$H$40),"")</f>
        <v>0.24</v>
      </c>
      <c r="J40">
        <f ca="1">IFERROR(IF(0=LEN(ReferenceData!$G$40),"",ReferenceData!$G$40),"")</f>
        <v>0.27300000000000002</v>
      </c>
      <c r="K40">
        <f ca="1">IFERROR(IF(0=LEN(ReferenceData!$F$40),"",ReferenceData!$F$40),"")</f>
        <v>0.28199999999999997</v>
      </c>
    </row>
    <row r="41" spans="1:11" x14ac:dyDescent="0.25">
      <c r="A41" t="str">
        <f>IFERROR(IF(0=LEN(ReferenceData!$A$41),"",ReferenceData!$A$41),"")</f>
        <v xml:space="preserve">    Hewlett Packard Enterprise</v>
      </c>
      <c r="B41" t="str">
        <f>IFERROR(IF(0=LEN(ReferenceData!$B$41),"",ReferenceData!$B$41),"")</f>
        <v/>
      </c>
      <c r="C41" t="str">
        <f>IFERROR(IF(0=LEN(ReferenceData!$C$41),"",ReferenceData!$C$41),"")</f>
        <v/>
      </c>
      <c r="D41" t="str">
        <f>IFERROR(IF(0=LEN(ReferenceData!$D$41),"",ReferenceData!$D$41),"")</f>
        <v/>
      </c>
      <c r="E41" t="str">
        <f>IFERROR(IF(0=LEN(ReferenceData!$E$41),"",ReferenceData!$E$41),"")</f>
        <v>Static</v>
      </c>
      <c r="F41" t="str">
        <f ca="1">IFERROR(IF(0=LEN(ReferenceData!$K$41),"",ReferenceData!$K$41),"")</f>
        <v/>
      </c>
      <c r="G41" t="str">
        <f ca="1">IFERROR(IF(0=LEN(ReferenceData!$J$41),"",ReferenceData!$J$41),"")</f>
        <v/>
      </c>
      <c r="H41" t="str">
        <f ca="1">IFERROR(IF(0=LEN(ReferenceData!$I$41),"",ReferenceData!$I$41),"")</f>
        <v/>
      </c>
      <c r="I41">
        <f ca="1">IFERROR(IF(0=LEN(ReferenceData!$H$41),"",ReferenceData!$H$41),"")</f>
        <v>0.379</v>
      </c>
      <c r="J41">
        <f ca="1">IFERROR(IF(0=LEN(ReferenceData!$G$41),"",ReferenceData!$G$41),"")</f>
        <v>0.28100000000000003</v>
      </c>
      <c r="K41">
        <f ca="1">IFERROR(IF(0=LEN(ReferenceData!$F$41),"",ReferenceData!$F$41),"")</f>
        <v>0.27700000000000002</v>
      </c>
    </row>
    <row r="42" spans="1:11" x14ac:dyDescent="0.25">
      <c r="A42" t="str">
        <f>IFERROR(IF(0=LEN(ReferenceData!$A$42),"",ReferenceData!$A$42),"")</f>
        <v xml:space="preserve">    Other</v>
      </c>
      <c r="B42" t="str">
        <f>IFERROR(IF(0=LEN(ReferenceData!$B$42),"",ReferenceData!$B$42),"")</f>
        <v/>
      </c>
      <c r="C42" t="str">
        <f>IFERROR(IF(0=LEN(ReferenceData!$C$42),"",ReferenceData!$C$42),"")</f>
        <v/>
      </c>
      <c r="D42" t="str">
        <f>IFERROR(IF(0=LEN(ReferenceData!$D$42),"",ReferenceData!$D$42),"")</f>
        <v/>
      </c>
      <c r="E42" t="str">
        <f>IFERROR(IF(0=LEN(ReferenceData!$E$42),"",ReferenceData!$E$42),"")</f>
        <v>Static</v>
      </c>
      <c r="F42">
        <f ca="1">IFERROR(IF(0=LEN(ReferenceData!$K$42),"",ReferenceData!$K$42),"")</f>
        <v>17.777999999999999</v>
      </c>
      <c r="G42">
        <f ca="1">IFERROR(IF(0=LEN(ReferenceData!$J$42),"",ReferenceData!$J$42),"")</f>
        <v>14.157</v>
      </c>
      <c r="H42">
        <f ca="1">IFERROR(IF(0=LEN(ReferenceData!$I$42),"",ReferenceData!$I$42),"")</f>
        <v>14.621</v>
      </c>
      <c r="I42">
        <f ca="1">IFERROR(IF(0=LEN(ReferenceData!$H$42),"",ReferenceData!$H$42),"")</f>
        <v>15.108000000000001</v>
      </c>
      <c r="J42">
        <f ca="1">IFERROR(IF(0=LEN(ReferenceData!$G$42),"",ReferenceData!$G$42),"")</f>
        <v>16.571000000000002</v>
      </c>
      <c r="K42">
        <f ca="1">IFERROR(IF(0=LEN(ReferenceData!$F$42),"",ReferenceData!$F$42),"")</f>
        <v>17.366</v>
      </c>
    </row>
    <row r="43" spans="1:11" x14ac:dyDescent="0.25">
      <c r="A43" t="str">
        <f>IFERROR(IF(0=LEN(ReferenceData!$A$43),"",ReferenceData!$A$43),"")</f>
        <v>Japan</v>
      </c>
      <c r="B43" t="str">
        <f>IFERROR(IF(0=LEN(ReferenceData!$B$43),"",ReferenceData!$B$43),"")</f>
        <v/>
      </c>
      <c r="C43" t="str">
        <f>IFERROR(IF(0=LEN(ReferenceData!$C$43),"",ReferenceData!$C$43),"")</f>
        <v/>
      </c>
      <c r="D43" t="str">
        <f>IFERROR(IF(0=LEN(ReferenceData!$D$43),"",ReferenceData!$D$43),"")</f>
        <v/>
      </c>
      <c r="E43" t="str">
        <f>IFERROR(IF(0=LEN(ReferenceData!$E$43),"",ReferenceData!$E$43),"")</f>
        <v>Sum</v>
      </c>
      <c r="F43">
        <f ca="1">IFERROR(IF(0=LEN(ReferenceData!$K$43),"",ReferenceData!$K$43),"")</f>
        <v>58.347999999999999</v>
      </c>
      <c r="G43">
        <f ca="1">IFERROR(IF(0=LEN(ReferenceData!$J$43),"",ReferenceData!$J$43),"")</f>
        <v>52.75</v>
      </c>
      <c r="H43">
        <f ca="1">IFERROR(IF(0=LEN(ReferenceData!$I$43),"",ReferenceData!$I$43),"")</f>
        <v>59.960999999999999</v>
      </c>
      <c r="I43">
        <f ca="1">IFERROR(IF(0=LEN(ReferenceData!$H$43),"",ReferenceData!$H$43),"")</f>
        <v>59.491999999999997</v>
      </c>
      <c r="J43">
        <f ca="1">IFERROR(IF(0=LEN(ReferenceData!$G$43),"",ReferenceData!$G$43),"")</f>
        <v>62.199999999999989</v>
      </c>
      <c r="K43">
        <f ca="1">IFERROR(IF(0=LEN(ReferenceData!$F$43),"",ReferenceData!$F$43),"")</f>
        <v>65.37</v>
      </c>
    </row>
    <row r="44" spans="1:11" x14ac:dyDescent="0.25">
      <c r="A44" t="str">
        <f>IFERROR(IF(0=LEN(ReferenceData!$A$44),"",ReferenceData!$A$44),"")</f>
        <v xml:space="preserve">    Fujitsu</v>
      </c>
      <c r="B44" t="str">
        <f>IFERROR(IF(0=LEN(ReferenceData!$B$44),"",ReferenceData!$B$44),"")</f>
        <v/>
      </c>
      <c r="C44" t="str">
        <f>IFERROR(IF(0=LEN(ReferenceData!$C$44),"",ReferenceData!$C$44),"")</f>
        <v/>
      </c>
      <c r="D44" t="str">
        <f>IFERROR(IF(0=LEN(ReferenceData!$D$44),"",ReferenceData!$D$44),"")</f>
        <v/>
      </c>
      <c r="E44" t="str">
        <f>IFERROR(IF(0=LEN(ReferenceData!$E$44),"",ReferenceData!$E$44),"")</f>
        <v>Static</v>
      </c>
      <c r="F44">
        <f ca="1">IFERROR(IF(0=LEN(ReferenceData!$K$44),"",ReferenceData!$K$44),"")</f>
        <v>10.794</v>
      </c>
      <c r="G44">
        <f ca="1">IFERROR(IF(0=LEN(ReferenceData!$J$44),"",ReferenceData!$J$44),"")</f>
        <v>9.7579999999999991</v>
      </c>
      <c r="H44">
        <f ca="1">IFERROR(IF(0=LEN(ReferenceData!$I$44),"",ReferenceData!$I$44),"")</f>
        <v>11.08</v>
      </c>
      <c r="I44">
        <f ca="1">IFERROR(IF(0=LEN(ReferenceData!$H$44),"",ReferenceData!$H$44),"")</f>
        <v>10.829000000000001</v>
      </c>
      <c r="J44">
        <f ca="1">IFERROR(IF(0=LEN(ReferenceData!$G$44),"",ReferenceData!$G$44),"")</f>
        <v>11.069000000000001</v>
      </c>
      <c r="K44">
        <f ca="1">IFERROR(IF(0=LEN(ReferenceData!$F$44),"",ReferenceData!$F$44),"")</f>
        <v>11.680999999999999</v>
      </c>
    </row>
    <row r="45" spans="1:11" x14ac:dyDescent="0.25">
      <c r="A45" t="str">
        <f>IFERROR(IF(0=LEN(ReferenceData!$A$45),"",ReferenceData!$A$45),"")</f>
        <v xml:space="preserve">    NTT DATA</v>
      </c>
      <c r="B45" t="str">
        <f>IFERROR(IF(0=LEN(ReferenceData!$B$45),"",ReferenceData!$B$45),"")</f>
        <v/>
      </c>
      <c r="C45" t="str">
        <f>IFERROR(IF(0=LEN(ReferenceData!$C$45),"",ReferenceData!$C$45),"")</f>
        <v/>
      </c>
      <c r="D45" t="str">
        <f>IFERROR(IF(0=LEN(ReferenceData!$D$45),"",ReferenceData!$D$45),"")</f>
        <v/>
      </c>
      <c r="E45" t="str">
        <f>IFERROR(IF(0=LEN(ReferenceData!$E$45),"",ReferenceData!$E$45),"")</f>
        <v>Static</v>
      </c>
      <c r="F45">
        <f ca="1">IFERROR(IF(0=LEN(ReferenceData!$K$45),"",ReferenceData!$K$45),"")</f>
        <v>7.6420000000000003</v>
      </c>
      <c r="G45">
        <f ca="1">IFERROR(IF(0=LEN(ReferenceData!$J$45),"",ReferenceData!$J$45),"")</f>
        <v>6.95</v>
      </c>
      <c r="H45">
        <f ca="1">IFERROR(IF(0=LEN(ReferenceData!$I$45),"",ReferenceData!$I$45),"")</f>
        <v>7.8440000000000003</v>
      </c>
      <c r="I45">
        <f ca="1">IFERROR(IF(0=LEN(ReferenceData!$H$45),"",ReferenceData!$H$45),"")</f>
        <v>7.8570000000000002</v>
      </c>
      <c r="J45">
        <f ca="1">IFERROR(IF(0=LEN(ReferenceData!$G$45),"",ReferenceData!$G$45),"")</f>
        <v>8.1820000000000004</v>
      </c>
      <c r="K45">
        <f ca="1">IFERROR(IF(0=LEN(ReferenceData!$F$45),"",ReferenceData!$F$45),"")</f>
        <v>8.8019999999999996</v>
      </c>
    </row>
    <row r="46" spans="1:11" x14ac:dyDescent="0.25">
      <c r="A46" t="str">
        <f>IFERROR(IF(0=LEN(ReferenceData!$A$46),"",ReferenceData!$A$46),"")</f>
        <v xml:space="preserve">    Hitachi</v>
      </c>
      <c r="B46" t="str">
        <f>IFERROR(IF(0=LEN(ReferenceData!$B$46),"",ReferenceData!$B$46),"")</f>
        <v/>
      </c>
      <c r="C46" t="str">
        <f>IFERROR(IF(0=LEN(ReferenceData!$C$46),"",ReferenceData!$C$46),"")</f>
        <v/>
      </c>
      <c r="D46" t="str">
        <f>IFERROR(IF(0=LEN(ReferenceData!$D$46),"",ReferenceData!$D$46),"")</f>
        <v/>
      </c>
      <c r="E46" t="str">
        <f>IFERROR(IF(0=LEN(ReferenceData!$E$46),"",ReferenceData!$E$46),"")</f>
        <v>Static</v>
      </c>
      <c r="F46">
        <f ca="1">IFERROR(IF(0=LEN(ReferenceData!$K$46),"",ReferenceData!$K$46),"")</f>
        <v>8.0250000000000004</v>
      </c>
      <c r="G46">
        <f ca="1">IFERROR(IF(0=LEN(ReferenceData!$J$46),"",ReferenceData!$J$46),"")</f>
        <v>7.21</v>
      </c>
      <c r="H46">
        <f ca="1">IFERROR(IF(0=LEN(ReferenceData!$I$46),"",ReferenceData!$I$46),"")</f>
        <v>7.976</v>
      </c>
      <c r="I46">
        <f ca="1">IFERROR(IF(0=LEN(ReferenceData!$H$46),"",ReferenceData!$H$46),"")</f>
        <v>7.7720000000000002</v>
      </c>
      <c r="J46">
        <f ca="1">IFERROR(IF(0=LEN(ReferenceData!$G$46),"",ReferenceData!$G$46),"")</f>
        <v>8.2889999999999997</v>
      </c>
      <c r="K46">
        <f ca="1">IFERROR(IF(0=LEN(ReferenceData!$F$46),"",ReferenceData!$F$46),"")</f>
        <v>8.7110000000000003</v>
      </c>
    </row>
    <row r="47" spans="1:11" x14ac:dyDescent="0.25">
      <c r="A47" t="str">
        <f>IFERROR(IF(0=LEN(ReferenceData!$A$47),"",ReferenceData!$A$47),"")</f>
        <v xml:space="preserve">    NEC</v>
      </c>
      <c r="B47" t="str">
        <f>IFERROR(IF(0=LEN(ReferenceData!$B$47),"",ReferenceData!$B$47),"")</f>
        <v/>
      </c>
      <c r="C47" t="str">
        <f>IFERROR(IF(0=LEN(ReferenceData!$C$47),"",ReferenceData!$C$47),"")</f>
        <v/>
      </c>
      <c r="D47" t="str">
        <f>IFERROR(IF(0=LEN(ReferenceData!$D$47),"",ReferenceData!$D$47),"")</f>
        <v/>
      </c>
      <c r="E47" t="str">
        <f>IFERROR(IF(0=LEN(ReferenceData!$E$47),"",ReferenceData!$E$47),"")</f>
        <v>Static</v>
      </c>
      <c r="F47">
        <f ca="1">IFERROR(IF(0=LEN(ReferenceData!$K$47),"",ReferenceData!$K$47),"")</f>
        <v>8.4269999999999996</v>
      </c>
      <c r="G47">
        <f ca="1">IFERROR(IF(0=LEN(ReferenceData!$J$47),"",ReferenceData!$J$47),"")</f>
        <v>7.4539999999999997</v>
      </c>
      <c r="H47">
        <f ca="1">IFERROR(IF(0=LEN(ReferenceData!$I$47),"",ReferenceData!$I$47),"")</f>
        <v>8.3019999999999996</v>
      </c>
      <c r="I47">
        <f ca="1">IFERROR(IF(0=LEN(ReferenceData!$H$47),"",ReferenceData!$H$47),"")</f>
        <v>7.806</v>
      </c>
      <c r="J47">
        <f ca="1">IFERROR(IF(0=LEN(ReferenceData!$G$47),"",ReferenceData!$G$47),"")</f>
        <v>8.0399999999999991</v>
      </c>
      <c r="K47">
        <f ca="1">IFERROR(IF(0=LEN(ReferenceData!$F$47),"",ReferenceData!$F$47),"")</f>
        <v>8.4220000000000006</v>
      </c>
    </row>
    <row r="48" spans="1:11" x14ac:dyDescent="0.25">
      <c r="A48" t="str">
        <f>IFERROR(IF(0=LEN(ReferenceData!$A$48),"",ReferenceData!$A$48),"")</f>
        <v xml:space="preserve">    IBM</v>
      </c>
      <c r="B48" t="str">
        <f>IFERROR(IF(0=LEN(ReferenceData!$B$48),"",ReferenceData!$B$48),"")</f>
        <v/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Static</v>
      </c>
      <c r="F48">
        <f ca="1">IFERROR(IF(0=LEN(ReferenceData!$K$48),"",ReferenceData!$K$48),"")</f>
        <v>6.3659999999999997</v>
      </c>
      <c r="G48">
        <f ca="1">IFERROR(IF(0=LEN(ReferenceData!$J$48),"",ReferenceData!$J$48),"")</f>
        <v>5.7969999999999997</v>
      </c>
      <c r="H48">
        <f ca="1">IFERROR(IF(0=LEN(ReferenceData!$I$48),"",ReferenceData!$I$48),"")</f>
        <v>6.44</v>
      </c>
      <c r="I48">
        <f ca="1">IFERROR(IF(0=LEN(ReferenceData!$H$48),"",ReferenceData!$H$48),"")</f>
        <v>6.391</v>
      </c>
      <c r="J48">
        <f ca="1">IFERROR(IF(0=LEN(ReferenceData!$G$48),"",ReferenceData!$G$48),"")</f>
        <v>6.5910000000000002</v>
      </c>
      <c r="K48">
        <f ca="1">IFERROR(IF(0=LEN(ReferenceData!$F$48),"",ReferenceData!$F$48),"")</f>
        <v>6.6550000000000002</v>
      </c>
    </row>
    <row r="49" spans="1:11" x14ac:dyDescent="0.25">
      <c r="A49" t="str">
        <f>IFERROR(IF(0=LEN(ReferenceData!$A$49),"",ReferenceData!$A$49),"")</f>
        <v xml:space="preserve">    TIS</v>
      </c>
      <c r="B49" t="str">
        <f>IFERROR(IF(0=LEN(ReferenceData!$B$49),"",ReferenceData!$B$49),"")</f>
        <v/>
      </c>
      <c r="C49" t="str">
        <f>IFERROR(IF(0=LEN(ReferenceData!$C$49),"",ReferenceData!$C$49),"")</f>
        <v/>
      </c>
      <c r="D49" t="str">
        <f>IFERROR(IF(0=LEN(ReferenceData!$D$49),"",ReferenceData!$D$49),"")</f>
        <v/>
      </c>
      <c r="E49" t="str">
        <f>IFERROR(IF(0=LEN(ReferenceData!$E$49),"",ReferenceData!$E$49),"")</f>
        <v>Static</v>
      </c>
      <c r="F49" t="str">
        <f ca="1">IFERROR(IF(0=LEN(ReferenceData!$K$49),"",ReferenceData!$K$49),"")</f>
        <v/>
      </c>
      <c r="G49" t="str">
        <f ca="1">IFERROR(IF(0=LEN(ReferenceData!$J$49),"",ReferenceData!$J$49),"")</f>
        <v/>
      </c>
      <c r="H49" t="str">
        <f ca="1">IFERROR(IF(0=LEN(ReferenceData!$I$49),"",ReferenceData!$I$49),"")</f>
        <v/>
      </c>
      <c r="I49">
        <f ca="1">IFERROR(IF(0=LEN(ReferenceData!$H$49),"",ReferenceData!$H$49),"")</f>
        <v>2.802</v>
      </c>
      <c r="J49">
        <f ca="1">IFERROR(IF(0=LEN(ReferenceData!$G$49),"",ReferenceData!$G$49),"")</f>
        <v>2.9569999999999999</v>
      </c>
      <c r="K49">
        <f ca="1">IFERROR(IF(0=LEN(ReferenceData!$F$49),"",ReferenceData!$F$49),"")</f>
        <v>3.1190000000000002</v>
      </c>
    </row>
    <row r="50" spans="1:11" x14ac:dyDescent="0.25">
      <c r="A50" t="str">
        <f>IFERROR(IF(0=LEN(ReferenceData!$A$50),"",ReferenceData!$A$50),"")</f>
        <v xml:space="preserve">    NRI</v>
      </c>
      <c r="B50" t="str">
        <f>IFERROR(IF(0=LEN(ReferenceData!$B$50),"",ReferenceData!$B$50),"")</f>
        <v/>
      </c>
      <c r="C50" t="str">
        <f>IFERROR(IF(0=LEN(ReferenceData!$C$50),"",ReferenceData!$C$50),"")</f>
        <v/>
      </c>
      <c r="D50" t="str">
        <f>IFERROR(IF(0=LEN(ReferenceData!$D$50),"",ReferenceData!$D$50),"")</f>
        <v/>
      </c>
      <c r="E50" t="str">
        <f>IFERROR(IF(0=LEN(ReferenceData!$E$50),"",ReferenceData!$E$50),"")</f>
        <v>Static</v>
      </c>
      <c r="F50" t="str">
        <f ca="1">IFERROR(IF(0=LEN(ReferenceData!$K$50),"",ReferenceData!$K$50),"")</f>
        <v/>
      </c>
      <c r="G50" t="str">
        <f ca="1">IFERROR(IF(0=LEN(ReferenceData!$J$50),"",ReferenceData!$J$50),"")</f>
        <v/>
      </c>
      <c r="H50" t="str">
        <f ca="1">IFERROR(IF(0=LEN(ReferenceData!$I$50),"",ReferenceData!$I$50),"")</f>
        <v/>
      </c>
      <c r="I50">
        <f ca="1">IFERROR(IF(0=LEN(ReferenceData!$H$50),"",ReferenceData!$H$50),"")</f>
        <v>2.4710000000000001</v>
      </c>
      <c r="J50">
        <f ca="1">IFERROR(IF(0=LEN(ReferenceData!$G$50),"",ReferenceData!$G$50),"")</f>
        <v>2.7330000000000001</v>
      </c>
      <c r="K50">
        <f ca="1">IFERROR(IF(0=LEN(ReferenceData!$F$50),"",ReferenceData!$F$50),"")</f>
        <v>3.0419999999999998</v>
      </c>
    </row>
    <row r="51" spans="1:11" x14ac:dyDescent="0.25">
      <c r="A51" t="str">
        <f>IFERROR(IF(0=LEN(ReferenceData!$A$51),"",ReferenceData!$A$51),"")</f>
        <v xml:space="preserve">    Accenture</v>
      </c>
      <c r="B51" t="str">
        <f>IFERROR(IF(0=LEN(ReferenceData!$B$51),"",ReferenceData!$B$51),"")</f>
        <v/>
      </c>
      <c r="C51" t="str">
        <f>IFERROR(IF(0=LEN(ReferenceData!$C$51),"",ReferenceData!$C$51),"")</f>
        <v/>
      </c>
      <c r="D51" t="str">
        <f>IFERROR(IF(0=LEN(ReferenceData!$D$51),"",ReferenceData!$D$51),"")</f>
        <v/>
      </c>
      <c r="E51" t="str">
        <f>IFERROR(IF(0=LEN(ReferenceData!$E$51),"",ReferenceData!$E$51),"")</f>
        <v>Static</v>
      </c>
      <c r="F51" t="str">
        <f ca="1">IFERROR(IF(0=LEN(ReferenceData!$K$51),"",ReferenceData!$K$51),"")</f>
        <v/>
      </c>
      <c r="G51" t="str">
        <f ca="1">IFERROR(IF(0=LEN(ReferenceData!$J$51),"",ReferenceData!$J$51),"")</f>
        <v/>
      </c>
      <c r="H51" t="str">
        <f ca="1">IFERROR(IF(0=LEN(ReferenceData!$I$51),"",ReferenceData!$I$51),"")</f>
        <v/>
      </c>
      <c r="I51">
        <f ca="1">IFERROR(IF(0=LEN(ReferenceData!$H$51),"",ReferenceData!$H$51),"")</f>
        <v>1.78</v>
      </c>
      <c r="J51">
        <f ca="1">IFERROR(IF(0=LEN(ReferenceData!$G$51),"",ReferenceData!$G$51),"")</f>
        <v>2.2080000000000002</v>
      </c>
      <c r="K51">
        <f ca="1">IFERROR(IF(0=LEN(ReferenceData!$F$51),"",ReferenceData!$F$51),"")</f>
        <v>2.7210000000000001</v>
      </c>
    </row>
    <row r="52" spans="1:11" x14ac:dyDescent="0.25">
      <c r="A52" t="str">
        <f>IFERROR(IF(0=LEN(ReferenceData!$A$52),"",ReferenceData!$A$52),"")</f>
        <v xml:space="preserve">    SCSK</v>
      </c>
      <c r="B52" t="str">
        <f>IFERROR(IF(0=LEN(ReferenceData!$B$52),"",ReferenceData!$B$52),"")</f>
        <v/>
      </c>
      <c r="C52" t="str">
        <f>IFERROR(IF(0=LEN(ReferenceData!$C$52),"",ReferenceData!$C$52),"")</f>
        <v/>
      </c>
      <c r="D52" t="str">
        <f>IFERROR(IF(0=LEN(ReferenceData!$D$52),"",ReferenceData!$D$52),"")</f>
        <v/>
      </c>
      <c r="E52" t="str">
        <f>IFERROR(IF(0=LEN(ReferenceData!$E$52),"",ReferenceData!$E$52),"")</f>
        <v>Static</v>
      </c>
      <c r="F52" t="str">
        <f ca="1">IFERROR(IF(0=LEN(ReferenceData!$K$52),"",ReferenceData!$K$52),"")</f>
        <v/>
      </c>
      <c r="G52" t="str">
        <f ca="1">IFERROR(IF(0=LEN(ReferenceData!$J$52),"",ReferenceData!$J$52),"")</f>
        <v/>
      </c>
      <c r="H52" t="str">
        <f ca="1">IFERROR(IF(0=LEN(ReferenceData!$I$52),"",ReferenceData!$I$52),"")</f>
        <v/>
      </c>
      <c r="I52">
        <f ca="1">IFERROR(IF(0=LEN(ReferenceData!$H$52),"",ReferenceData!$H$52),"")</f>
        <v>1.964</v>
      </c>
      <c r="J52">
        <f ca="1">IFERROR(IF(0=LEN(ReferenceData!$G$52),"",ReferenceData!$G$52),"")</f>
        <v>2.0699999999999998</v>
      </c>
      <c r="K52">
        <f ca="1">IFERROR(IF(0=LEN(ReferenceData!$F$52),"",ReferenceData!$F$52),"")</f>
        <v>2.242</v>
      </c>
    </row>
    <row r="53" spans="1:11" x14ac:dyDescent="0.25">
      <c r="A53" t="str">
        <f>IFERROR(IF(0=LEN(ReferenceData!$A$53),"",ReferenceData!$A$53),"")</f>
        <v xml:space="preserve">    CTC</v>
      </c>
      <c r="B53" t="str">
        <f>IFERROR(IF(0=LEN(ReferenceData!$B$53),"",ReferenceData!$B$53),"")</f>
        <v/>
      </c>
      <c r="C53" t="str">
        <f>IFERROR(IF(0=LEN(ReferenceData!$C$53),"",ReferenceData!$C$53),"")</f>
        <v/>
      </c>
      <c r="D53" t="str">
        <f>IFERROR(IF(0=LEN(ReferenceData!$D$53),"",ReferenceData!$D$53),"")</f>
        <v/>
      </c>
      <c r="E53" t="str">
        <f>IFERROR(IF(0=LEN(ReferenceData!$E$53),"",ReferenceData!$E$53),"")</f>
        <v>Static</v>
      </c>
      <c r="F53" t="str">
        <f ca="1">IFERROR(IF(0=LEN(ReferenceData!$K$53),"",ReferenceData!$K$53),"")</f>
        <v/>
      </c>
      <c r="G53" t="str">
        <f ca="1">IFERROR(IF(0=LEN(ReferenceData!$J$53),"",ReferenceData!$J$53),"")</f>
        <v/>
      </c>
      <c r="H53" t="str">
        <f ca="1">IFERROR(IF(0=LEN(ReferenceData!$I$53),"",ReferenceData!$I$53),"")</f>
        <v/>
      </c>
      <c r="I53">
        <f ca="1">IFERROR(IF(0=LEN(ReferenceData!$H$53),"",ReferenceData!$H$53),"")</f>
        <v>1.9330000000000001</v>
      </c>
      <c r="J53">
        <f ca="1">IFERROR(IF(0=LEN(ReferenceData!$G$53),"",ReferenceData!$G$53),"")</f>
        <v>1.974</v>
      </c>
      <c r="K53">
        <f ca="1">IFERROR(IF(0=LEN(ReferenceData!$F$53),"",ReferenceData!$F$53),"")</f>
        <v>2.1019999999999999</v>
      </c>
    </row>
    <row r="54" spans="1:11" x14ac:dyDescent="0.25">
      <c r="A54" t="str">
        <f>IFERROR(IF(0=LEN(ReferenceData!$A$54),"",ReferenceData!$A$54),"")</f>
        <v xml:space="preserve">    Other</v>
      </c>
      <c r="B54" t="str">
        <f>IFERROR(IF(0=LEN(ReferenceData!$B$54),"",ReferenceData!$B$54),"")</f>
        <v/>
      </c>
      <c r="C54" t="str">
        <f>IFERROR(IF(0=LEN(ReferenceData!$C$54),"",ReferenceData!$C$54),"")</f>
        <v/>
      </c>
      <c r="D54" t="str">
        <f>IFERROR(IF(0=LEN(ReferenceData!$D$54),"",ReferenceData!$D$54),"")</f>
        <v/>
      </c>
      <c r="E54" t="str">
        <f>IFERROR(IF(0=LEN(ReferenceData!$E$54),"",ReferenceData!$E$54),"")</f>
        <v>Static</v>
      </c>
      <c r="F54">
        <f ca="1">IFERROR(IF(0=LEN(ReferenceData!$K$54),"",ReferenceData!$K$54),"")</f>
        <v>17.094000000000001</v>
      </c>
      <c r="G54">
        <f ca="1">IFERROR(IF(0=LEN(ReferenceData!$J$54),"",ReferenceData!$J$54),"")</f>
        <v>15.581</v>
      </c>
      <c r="H54">
        <f ca="1">IFERROR(IF(0=LEN(ReferenceData!$I$54),"",ReferenceData!$I$54),"")</f>
        <v>18.318999999999999</v>
      </c>
      <c r="I54">
        <f ca="1">IFERROR(IF(0=LEN(ReferenceData!$H$54),"",ReferenceData!$H$54),"")</f>
        <v>7.8869999999999996</v>
      </c>
      <c r="J54">
        <f ca="1">IFERROR(IF(0=LEN(ReferenceData!$G$54),"",ReferenceData!$G$54),"")</f>
        <v>8.0869999999999997</v>
      </c>
      <c r="K54">
        <f ca="1">IFERROR(IF(0=LEN(ReferenceData!$F$54),"",ReferenceData!$F$54),"")</f>
        <v>7.8730000000000002</v>
      </c>
    </row>
    <row r="55" spans="1:11" x14ac:dyDescent="0.25">
      <c r="A55" t="str">
        <f>IFERROR(IF(0=LEN(ReferenceData!$A$55),"",ReferenceData!$A$55),"")</f>
        <v>Latin America</v>
      </c>
      <c r="B55" t="str">
        <f>IFERROR(IF(0=LEN(ReferenceData!$B$55),"",ReferenceData!$B$55),"")</f>
        <v/>
      </c>
      <c r="C55" t="str">
        <f>IFERROR(IF(0=LEN(ReferenceData!$C$55),"",ReferenceData!$C$55),"")</f>
        <v/>
      </c>
      <c r="D55" t="str">
        <f>IFERROR(IF(0=LEN(ReferenceData!$D$55),"",ReferenceData!$D$55),"")</f>
        <v/>
      </c>
      <c r="E55" t="str">
        <f>IFERROR(IF(0=LEN(ReferenceData!$E$55),"",ReferenceData!$E$55),"")</f>
        <v>Sum</v>
      </c>
      <c r="F55">
        <f ca="1">IFERROR(IF(0=LEN(ReferenceData!$K$55),"",ReferenceData!$K$55),"")</f>
        <v>45.045999999999999</v>
      </c>
      <c r="G55">
        <f ca="1">IFERROR(IF(0=LEN(ReferenceData!$J$55),"",ReferenceData!$J$55),"")</f>
        <v>39.526000000000003</v>
      </c>
      <c r="H55">
        <f ca="1">IFERROR(IF(0=LEN(ReferenceData!$I$55),"",ReferenceData!$I$55),"")</f>
        <v>38.766999999999996</v>
      </c>
      <c r="I55">
        <f ca="1">IFERROR(IF(0=LEN(ReferenceData!$H$55),"",ReferenceData!$H$55),"")</f>
        <v>42.051000000000002</v>
      </c>
      <c r="J55">
        <f ca="1">IFERROR(IF(0=LEN(ReferenceData!$G$55),"",ReferenceData!$G$55),"")</f>
        <v>41.276999999999994</v>
      </c>
      <c r="K55">
        <f ca="1">IFERROR(IF(0=LEN(ReferenceData!$F$55),"",ReferenceData!$F$55),"")</f>
        <v>41.024000000000001</v>
      </c>
    </row>
    <row r="56" spans="1:11" x14ac:dyDescent="0.25">
      <c r="A56" t="str">
        <f>IFERROR(IF(0=LEN(ReferenceData!$A$56),"",ReferenceData!$A$56),"")</f>
        <v xml:space="preserve">    IBM</v>
      </c>
      <c r="B56" t="str">
        <f>IFERROR(IF(0=LEN(ReferenceData!$B$56),"",ReferenceData!$B$56),"")</f>
        <v/>
      </c>
      <c r="C56" t="str">
        <f>IFERROR(IF(0=LEN(ReferenceData!$C$56),"",ReferenceData!$C$56),"")</f>
        <v/>
      </c>
      <c r="D56" t="str">
        <f>IFERROR(IF(0=LEN(ReferenceData!$D$56),"",ReferenceData!$D$56),"")</f>
        <v/>
      </c>
      <c r="E56" t="str">
        <f>IFERROR(IF(0=LEN(ReferenceData!$E$56),"",ReferenceData!$E$56),"")</f>
        <v>Static</v>
      </c>
      <c r="F56">
        <f ca="1">IFERROR(IF(0=LEN(ReferenceData!$K$56),"",ReferenceData!$K$56),"")</f>
        <v>3.1560000000000001</v>
      </c>
      <c r="G56">
        <f ca="1">IFERROR(IF(0=LEN(ReferenceData!$J$56),"",ReferenceData!$J$56),"")</f>
        <v>2.7309999999999999</v>
      </c>
      <c r="H56">
        <f ca="1">IFERROR(IF(0=LEN(ReferenceData!$I$56),"",ReferenceData!$I$56),"")</f>
        <v>2.6949999999999998</v>
      </c>
      <c r="I56">
        <f ca="1">IFERROR(IF(0=LEN(ReferenceData!$H$56),"",ReferenceData!$H$56),"")</f>
        <v>2.68</v>
      </c>
      <c r="J56">
        <f ca="1">IFERROR(IF(0=LEN(ReferenceData!$G$56),"",ReferenceData!$G$56),"")</f>
        <v>2.718</v>
      </c>
      <c r="K56">
        <f ca="1">IFERROR(IF(0=LEN(ReferenceData!$F$56),"",ReferenceData!$F$56),"")</f>
        <v>2.734</v>
      </c>
    </row>
    <row r="57" spans="1:11" x14ac:dyDescent="0.25">
      <c r="A57" t="str">
        <f>IFERROR(IF(0=LEN(ReferenceData!$A$57),"",ReferenceData!$A$57),"")</f>
        <v xml:space="preserve">    Accenture</v>
      </c>
      <c r="B57" t="str">
        <f>IFERROR(IF(0=LEN(ReferenceData!$B$57),"",ReferenceData!$B$57),"")</f>
        <v/>
      </c>
      <c r="C57" t="str">
        <f>IFERROR(IF(0=LEN(ReferenceData!$C$57),"",ReferenceData!$C$57),"")</f>
        <v/>
      </c>
      <c r="D57" t="str">
        <f>IFERROR(IF(0=LEN(ReferenceData!$D$57),"",ReferenceData!$D$57),"")</f>
        <v/>
      </c>
      <c r="E57" t="str">
        <f>IFERROR(IF(0=LEN(ReferenceData!$E$57),"",ReferenceData!$E$57),"")</f>
        <v>Static</v>
      </c>
      <c r="F57">
        <f ca="1">IFERROR(IF(0=LEN(ReferenceData!$K$57),"",ReferenceData!$K$57),"")</f>
        <v>1.7529999999999999</v>
      </c>
      <c r="G57">
        <f ca="1">IFERROR(IF(0=LEN(ReferenceData!$J$57),"",ReferenceData!$J$57),"")</f>
        <v>1.462</v>
      </c>
      <c r="H57">
        <f ca="1">IFERROR(IF(0=LEN(ReferenceData!$I$57),"",ReferenceData!$I$57),"")</f>
        <v>1.4710000000000001</v>
      </c>
      <c r="I57">
        <f ca="1">IFERROR(IF(0=LEN(ReferenceData!$H$57),"",ReferenceData!$H$57),"")</f>
        <v>1.5580000000000001</v>
      </c>
      <c r="J57">
        <f ca="1">IFERROR(IF(0=LEN(ReferenceData!$G$57),"",ReferenceData!$G$57),"")</f>
        <v>1.4970000000000001</v>
      </c>
      <c r="K57">
        <f ca="1">IFERROR(IF(0=LEN(ReferenceData!$F$57),"",ReferenceData!$F$57),"")</f>
        <v>1.468</v>
      </c>
    </row>
    <row r="58" spans="1:11" x14ac:dyDescent="0.25">
      <c r="A58" t="str">
        <f>IFERROR(IF(0=LEN(ReferenceData!$A$58),"",ReferenceData!$A$58),"")</f>
        <v xml:space="preserve">    Indra</v>
      </c>
      <c r="B58" t="str">
        <f>IFERROR(IF(0=LEN(ReferenceData!$B$58),"",ReferenceData!$B$58),"")</f>
        <v/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Static</v>
      </c>
      <c r="F58">
        <f ca="1">IFERROR(IF(0=LEN(ReferenceData!$K$58),"",ReferenceData!$K$58),"")</f>
        <v>1.0169999999999999</v>
      </c>
      <c r="G58">
        <f ca="1">IFERROR(IF(0=LEN(ReferenceData!$J$58),"",ReferenceData!$J$58),"")</f>
        <v>0.92</v>
      </c>
      <c r="H58">
        <f ca="1">IFERROR(IF(0=LEN(ReferenceData!$I$58),"",ReferenceData!$I$58),"")</f>
        <v>0.82599999999999996</v>
      </c>
      <c r="I58">
        <f ca="1">IFERROR(IF(0=LEN(ReferenceData!$H$58),"",ReferenceData!$H$58),"")</f>
        <v>0.877</v>
      </c>
      <c r="J58">
        <f ca="1">IFERROR(IF(0=LEN(ReferenceData!$G$58),"",ReferenceData!$G$58),"")</f>
        <v>0.86199999999999999</v>
      </c>
      <c r="K58">
        <f ca="1">IFERROR(IF(0=LEN(ReferenceData!$F$58),"",ReferenceData!$F$58),"")</f>
        <v>0.88300000000000001</v>
      </c>
    </row>
    <row r="59" spans="1:11" x14ac:dyDescent="0.25">
      <c r="A59" t="str">
        <f>IFERROR(IF(0=LEN(ReferenceData!$A$59),"",ReferenceData!$A$59),"")</f>
        <v xml:space="preserve">    DXC</v>
      </c>
      <c r="B59" t="str">
        <f>IFERROR(IF(0=LEN(ReferenceData!$B$59),"",ReferenceData!$B$59),"")</f>
        <v/>
      </c>
      <c r="C59" t="str">
        <f>IFERROR(IF(0=LEN(ReferenceData!$C$59),"",ReferenceData!$C$59),"")</f>
        <v/>
      </c>
      <c r="D59" t="str">
        <f>IFERROR(IF(0=LEN(ReferenceData!$D$59),"",ReferenceData!$D$59),"")</f>
        <v/>
      </c>
      <c r="E59" t="str">
        <f>IFERROR(IF(0=LEN(ReferenceData!$E$59),"",ReferenceData!$E$59),"")</f>
        <v>Static</v>
      </c>
      <c r="F59">
        <f ca="1">IFERROR(IF(0=LEN(ReferenceData!$K$59),"",ReferenceData!$K$59),"")</f>
        <v>1.593</v>
      </c>
      <c r="G59">
        <f ca="1">IFERROR(IF(0=LEN(ReferenceData!$J$59),"",ReferenceData!$J$59),"")</f>
        <v>1.4450000000000001</v>
      </c>
      <c r="H59">
        <f ca="1">IFERROR(IF(0=LEN(ReferenceData!$I$59),"",ReferenceData!$I$59),"")</f>
        <v>7.5999999999999998E-2</v>
      </c>
      <c r="I59">
        <f ca="1">IFERROR(IF(0=LEN(ReferenceData!$H$59),"",ReferenceData!$H$59),"")</f>
        <v>0.70699999999999996</v>
      </c>
      <c r="J59">
        <f ca="1">IFERROR(IF(0=LEN(ReferenceData!$G$59),"",ReferenceData!$G$59),"")</f>
        <v>0.81499999999999995</v>
      </c>
      <c r="K59">
        <f ca="1">IFERROR(IF(0=LEN(ReferenceData!$F$59),"",ReferenceData!$F$59),"")</f>
        <v>0.78100000000000003</v>
      </c>
    </row>
    <row r="60" spans="1:11" x14ac:dyDescent="0.25">
      <c r="A60" t="str">
        <f>IFERROR(IF(0=LEN(ReferenceData!$A$60),"",ReferenceData!$A$60),"")</f>
        <v xml:space="preserve">    Sonda</v>
      </c>
      <c r="B60" t="str">
        <f>IFERROR(IF(0=LEN(ReferenceData!$B$60),"",ReferenceData!$B$60),"")</f>
        <v/>
      </c>
      <c r="C60" t="str">
        <f>IFERROR(IF(0=LEN(ReferenceData!$C$60),"",ReferenceData!$C$60),"")</f>
        <v/>
      </c>
      <c r="D60" t="str">
        <f>IFERROR(IF(0=LEN(ReferenceData!$D$60),"",ReferenceData!$D$60),"")</f>
        <v/>
      </c>
      <c r="E60" t="str">
        <f>IFERROR(IF(0=LEN(ReferenceData!$E$60),"",ReferenceData!$E$60),"")</f>
        <v>Static</v>
      </c>
      <c r="F60" t="str">
        <f ca="1">IFERROR(IF(0=LEN(ReferenceData!$K$60),"",ReferenceData!$K$60),"")</f>
        <v/>
      </c>
      <c r="G60" t="str">
        <f ca="1">IFERROR(IF(0=LEN(ReferenceData!$J$60),"",ReferenceData!$J$60),"")</f>
        <v/>
      </c>
      <c r="H60" t="str">
        <f ca="1">IFERROR(IF(0=LEN(ReferenceData!$I$60),"",ReferenceData!$I$60),"")</f>
        <v/>
      </c>
      <c r="I60">
        <f ca="1">IFERROR(IF(0=LEN(ReferenceData!$H$60),"",ReferenceData!$H$60),"")</f>
        <v>0.88900000000000001</v>
      </c>
      <c r="J60">
        <f ca="1">IFERROR(IF(0=LEN(ReferenceData!$G$60),"",ReferenceData!$G$60),"")</f>
        <v>0.66400000000000003</v>
      </c>
      <c r="K60">
        <f ca="1">IFERROR(IF(0=LEN(ReferenceData!$F$60),"",ReferenceData!$F$60),"")</f>
        <v>0.66100000000000003</v>
      </c>
    </row>
    <row r="61" spans="1:11" x14ac:dyDescent="0.25">
      <c r="A61" t="str">
        <f>IFERROR(IF(0=LEN(ReferenceData!$A$61),"",ReferenceData!$A$61),"")</f>
        <v xml:space="preserve">    Tivit</v>
      </c>
      <c r="B61" t="str">
        <f>IFERROR(IF(0=LEN(ReferenceData!$B$61),"",ReferenceData!$B$61),"")</f>
        <v/>
      </c>
      <c r="C61" t="str">
        <f>IFERROR(IF(0=LEN(ReferenceData!$C$61),"",ReferenceData!$C$61),"")</f>
        <v/>
      </c>
      <c r="D61" t="str">
        <f>IFERROR(IF(0=LEN(ReferenceData!$D$61),"",ReferenceData!$D$61),"")</f>
        <v/>
      </c>
      <c r="E61" t="str">
        <f>IFERROR(IF(0=LEN(ReferenceData!$E$61),"",ReferenceData!$E$61),"")</f>
        <v>Static</v>
      </c>
      <c r="F61" t="str">
        <f ca="1">IFERROR(IF(0=LEN(ReferenceData!$K$61),"",ReferenceData!$K$61),"")</f>
        <v/>
      </c>
      <c r="G61" t="str">
        <f ca="1">IFERROR(IF(0=LEN(ReferenceData!$J$61),"",ReferenceData!$J$61),"")</f>
        <v/>
      </c>
      <c r="H61" t="str">
        <f ca="1">IFERROR(IF(0=LEN(ReferenceData!$I$61),"",ReferenceData!$I$61),"")</f>
        <v/>
      </c>
      <c r="I61">
        <f ca="1">IFERROR(IF(0=LEN(ReferenceData!$H$61),"",ReferenceData!$H$61),"")</f>
        <v>0.55800000000000005</v>
      </c>
      <c r="J61">
        <f ca="1">IFERROR(IF(0=LEN(ReferenceData!$G$61),"",ReferenceData!$G$61),"")</f>
        <v>0.54100000000000004</v>
      </c>
      <c r="K61">
        <f ca="1">IFERROR(IF(0=LEN(ReferenceData!$F$61),"",ReferenceData!$F$61),"")</f>
        <v>0.54600000000000004</v>
      </c>
    </row>
    <row r="62" spans="1:11" x14ac:dyDescent="0.25">
      <c r="A62" t="str">
        <f>IFERROR(IF(0=LEN(ReferenceData!$A$62),"",ReferenceData!$A$62),"")</f>
        <v xml:space="preserve">    Capgemini</v>
      </c>
      <c r="B62" t="str">
        <f>IFERROR(IF(0=LEN(ReferenceData!$B$62),"",ReferenceData!$B$62),"")</f>
        <v/>
      </c>
      <c r="C62" t="str">
        <f>IFERROR(IF(0=LEN(ReferenceData!$C$62),"",ReferenceData!$C$62),"")</f>
        <v/>
      </c>
      <c r="D62" t="str">
        <f>IFERROR(IF(0=LEN(ReferenceData!$D$62),"",ReferenceData!$D$62),"")</f>
        <v/>
      </c>
      <c r="E62" t="str">
        <f>IFERROR(IF(0=LEN(ReferenceData!$E$62),"",ReferenceData!$E$62),"")</f>
        <v>Static</v>
      </c>
      <c r="F62" t="str">
        <f ca="1">IFERROR(IF(0=LEN(ReferenceData!$K$62),"",ReferenceData!$K$62),"")</f>
        <v/>
      </c>
      <c r="G62" t="str">
        <f ca="1">IFERROR(IF(0=LEN(ReferenceData!$J$62),"",ReferenceData!$J$62),"")</f>
        <v/>
      </c>
      <c r="H62" t="str">
        <f ca="1">IFERROR(IF(0=LEN(ReferenceData!$I$62),"",ReferenceData!$I$62),"")</f>
        <v/>
      </c>
      <c r="I62">
        <f ca="1">IFERROR(IF(0=LEN(ReferenceData!$H$62),"",ReferenceData!$H$62),"")</f>
        <v>0.54400000000000004</v>
      </c>
      <c r="J62">
        <f ca="1">IFERROR(IF(0=LEN(ReferenceData!$G$62),"",ReferenceData!$G$62),"")</f>
        <v>0.52</v>
      </c>
      <c r="K62">
        <f ca="1">IFERROR(IF(0=LEN(ReferenceData!$F$62),"",ReferenceData!$F$62),"")</f>
        <v>0.53300000000000003</v>
      </c>
    </row>
    <row r="63" spans="1:11" x14ac:dyDescent="0.25">
      <c r="A63" t="str">
        <f>IFERROR(IF(0=LEN(ReferenceData!$A$63),"",ReferenceData!$A$63),"")</f>
        <v xml:space="preserve">    Oracle</v>
      </c>
      <c r="B63" t="str">
        <f>IFERROR(IF(0=LEN(ReferenceData!$B$63),"",ReferenceData!$B$63),"")</f>
        <v/>
      </c>
      <c r="C63" t="str">
        <f>IFERROR(IF(0=LEN(ReferenceData!$C$63),"",ReferenceData!$C$63),"")</f>
        <v/>
      </c>
      <c r="D63" t="str">
        <f>IFERROR(IF(0=LEN(ReferenceData!$D$63),"",ReferenceData!$D$63),"")</f>
        <v/>
      </c>
      <c r="E63" t="str">
        <f>IFERROR(IF(0=LEN(ReferenceData!$E$63),"",ReferenceData!$E$63),"")</f>
        <v>Static</v>
      </c>
      <c r="F63" t="str">
        <f ca="1">IFERROR(IF(0=LEN(ReferenceData!$K$63),"",ReferenceData!$K$63),"")</f>
        <v/>
      </c>
      <c r="G63" t="str">
        <f ca="1">IFERROR(IF(0=LEN(ReferenceData!$J$63),"",ReferenceData!$J$63),"")</f>
        <v/>
      </c>
      <c r="H63" t="str">
        <f ca="1">IFERROR(IF(0=LEN(ReferenceData!$I$63),"",ReferenceData!$I$63),"")</f>
        <v/>
      </c>
      <c r="I63">
        <f ca="1">IFERROR(IF(0=LEN(ReferenceData!$H$63),"",ReferenceData!$H$63),"")</f>
        <v>0.54500000000000004</v>
      </c>
      <c r="J63">
        <f ca="1">IFERROR(IF(0=LEN(ReferenceData!$G$63),"",ReferenceData!$G$63),"")</f>
        <v>0.52400000000000002</v>
      </c>
      <c r="K63">
        <f ca="1">IFERROR(IF(0=LEN(ReferenceData!$F$63),"",ReferenceData!$F$63),"")</f>
        <v>0.498</v>
      </c>
    </row>
    <row r="64" spans="1:11" x14ac:dyDescent="0.25">
      <c r="A64" t="str">
        <f>IFERROR(IF(0=LEN(ReferenceData!$A$64),"",ReferenceData!$A$64),"")</f>
        <v xml:space="preserve">    Grupo Kio</v>
      </c>
      <c r="B64" t="str">
        <f>IFERROR(IF(0=LEN(ReferenceData!$B$64),"",ReferenceData!$B$64),"")</f>
        <v/>
      </c>
      <c r="C64" t="str">
        <f>IFERROR(IF(0=LEN(ReferenceData!$C$64),"",ReferenceData!$C$64),"")</f>
        <v/>
      </c>
      <c r="D64" t="str">
        <f>IFERROR(IF(0=LEN(ReferenceData!$D$64),"",ReferenceData!$D$64),"")</f>
        <v/>
      </c>
      <c r="E64" t="str">
        <f>IFERROR(IF(0=LEN(ReferenceData!$E$64),"",ReferenceData!$E$64),"")</f>
        <v>Static</v>
      </c>
      <c r="F64" t="str">
        <f ca="1">IFERROR(IF(0=LEN(ReferenceData!$K$64),"",ReferenceData!$K$64),"")</f>
        <v/>
      </c>
      <c r="G64" t="str">
        <f ca="1">IFERROR(IF(0=LEN(ReferenceData!$J$64),"",ReferenceData!$J$64),"")</f>
        <v/>
      </c>
      <c r="H64" t="str">
        <f ca="1">IFERROR(IF(0=LEN(ReferenceData!$I$64),"",ReferenceData!$I$64),"")</f>
        <v/>
      </c>
      <c r="I64">
        <f ca="1">IFERROR(IF(0=LEN(ReferenceData!$H$64),"",ReferenceData!$H$64),"")</f>
        <v>0.47199999999999998</v>
      </c>
      <c r="J64">
        <f ca="1">IFERROR(IF(0=LEN(ReferenceData!$G$64),"",ReferenceData!$G$64),"")</f>
        <v>0.47899999999999998</v>
      </c>
      <c r="K64">
        <f ca="1">IFERROR(IF(0=LEN(ReferenceData!$F$64),"",ReferenceData!$F$64),"")</f>
        <v>0.46300000000000002</v>
      </c>
    </row>
    <row r="65" spans="1:11" x14ac:dyDescent="0.25">
      <c r="A65" t="str">
        <f>IFERROR(IF(0=LEN(ReferenceData!$A$65),"",ReferenceData!$A$65),"")</f>
        <v xml:space="preserve">    Telmex</v>
      </c>
      <c r="B65" t="str">
        <f>IFERROR(IF(0=LEN(ReferenceData!$B$65),"",ReferenceData!$B$65),"")</f>
        <v/>
      </c>
      <c r="C65" t="str">
        <f>IFERROR(IF(0=LEN(ReferenceData!$C$65),"",ReferenceData!$C$65),"")</f>
        <v/>
      </c>
      <c r="D65" t="str">
        <f>IFERROR(IF(0=LEN(ReferenceData!$D$65),"",ReferenceData!$D$65),"")</f>
        <v/>
      </c>
      <c r="E65" t="str">
        <f>IFERROR(IF(0=LEN(ReferenceData!$E$65),"",ReferenceData!$E$65),"")</f>
        <v>Static</v>
      </c>
      <c r="F65" t="str">
        <f ca="1">IFERROR(IF(0=LEN(ReferenceData!$K$65),"",ReferenceData!$K$65),"")</f>
        <v/>
      </c>
      <c r="G65" t="str">
        <f ca="1">IFERROR(IF(0=LEN(ReferenceData!$J$65),"",ReferenceData!$J$65),"")</f>
        <v/>
      </c>
      <c r="H65" t="str">
        <f ca="1">IFERROR(IF(0=LEN(ReferenceData!$I$65),"",ReferenceData!$I$65),"")</f>
        <v/>
      </c>
      <c r="I65">
        <f ca="1">IFERROR(IF(0=LEN(ReferenceData!$H$65),"",ReferenceData!$H$65),"")</f>
        <v>0.42299999999999999</v>
      </c>
      <c r="J65">
        <f ca="1">IFERROR(IF(0=LEN(ReferenceData!$G$65),"",ReferenceData!$G$65),"")</f>
        <v>0.443</v>
      </c>
      <c r="K65">
        <f ca="1">IFERROR(IF(0=LEN(ReferenceData!$F$65),"",ReferenceData!$F$65),"")</f>
        <v>0.45900000000000002</v>
      </c>
    </row>
    <row r="66" spans="1:11" x14ac:dyDescent="0.25">
      <c r="A66" t="str">
        <f>IFERROR(IF(0=LEN(ReferenceData!$A$66),"",ReferenceData!$A$66),"")</f>
        <v xml:space="preserve">    Other</v>
      </c>
      <c r="B66" t="str">
        <f>IFERROR(IF(0=LEN(ReferenceData!$B$66),"",ReferenceData!$B$66),"")</f>
        <v/>
      </c>
      <c r="C66" t="str">
        <f>IFERROR(IF(0=LEN(ReferenceData!$C$66),"",ReferenceData!$C$66),"")</f>
        <v/>
      </c>
      <c r="D66" t="str">
        <f>IFERROR(IF(0=LEN(ReferenceData!$D$66),"",ReferenceData!$D$66),"")</f>
        <v/>
      </c>
      <c r="E66" t="str">
        <f>IFERROR(IF(0=LEN(ReferenceData!$E$66),"",ReferenceData!$E$66),"")</f>
        <v>Static</v>
      </c>
      <c r="F66">
        <f ca="1">IFERROR(IF(0=LEN(ReferenceData!$K$66),"",ReferenceData!$K$66),"")</f>
        <v>37.527000000000001</v>
      </c>
      <c r="G66">
        <f ca="1">IFERROR(IF(0=LEN(ReferenceData!$J$66),"",ReferenceData!$J$66),"")</f>
        <v>32.968000000000004</v>
      </c>
      <c r="H66">
        <f ca="1">IFERROR(IF(0=LEN(ReferenceData!$I$66),"",ReferenceData!$I$66),"")</f>
        <v>33.698999999999998</v>
      </c>
      <c r="I66">
        <f ca="1">IFERROR(IF(0=LEN(ReferenceData!$H$66),"",ReferenceData!$H$66),"")</f>
        <v>32.798000000000002</v>
      </c>
      <c r="J66">
        <f ca="1">IFERROR(IF(0=LEN(ReferenceData!$G$66),"",ReferenceData!$G$66),"")</f>
        <v>32.213999999999999</v>
      </c>
      <c r="K66">
        <f ca="1">IFERROR(IF(0=LEN(ReferenceData!$F$66),"",ReferenceData!$F$66),"")</f>
        <v>31.998000000000001</v>
      </c>
    </row>
    <row r="67" spans="1:11" x14ac:dyDescent="0.25">
      <c r="A67" t="str">
        <f>IFERROR(IF(0=LEN(ReferenceData!$A$67),"",ReferenceData!$A$67),"")</f>
        <v>Middle East &amp; Africa</v>
      </c>
      <c r="B67" t="str">
        <f>IFERROR(IF(0=LEN(ReferenceData!$B$67),"",ReferenceData!$B$67),"")</f>
        <v/>
      </c>
      <c r="C67" t="str">
        <f>IFERROR(IF(0=LEN(ReferenceData!$C$67),"",ReferenceData!$C$67),"")</f>
        <v/>
      </c>
      <c r="D67" t="str">
        <f>IFERROR(IF(0=LEN(ReferenceData!$D$67),"",ReferenceData!$D$67),"")</f>
        <v/>
      </c>
      <c r="E67" t="str">
        <f>IFERROR(IF(0=LEN(ReferenceData!$E$67),"",ReferenceData!$E$67),"")</f>
        <v>Sum</v>
      </c>
      <c r="F67">
        <f ca="1">IFERROR(IF(0=LEN(ReferenceData!$K$67),"",ReferenceData!$K$67),"")</f>
        <v>22.152000000000001</v>
      </c>
      <c r="G67">
        <f ca="1">IFERROR(IF(0=LEN(ReferenceData!$J$67),"",ReferenceData!$J$67),"")</f>
        <v>23.036999999999999</v>
      </c>
      <c r="H67">
        <f ca="1">IFERROR(IF(0=LEN(ReferenceData!$I$67),"",ReferenceData!$I$67),"")</f>
        <v>24.49</v>
      </c>
      <c r="I67">
        <f ca="1">IFERROR(IF(0=LEN(ReferenceData!$H$67),"",ReferenceData!$H$67),"")</f>
        <v>26.693000000000001</v>
      </c>
      <c r="J67">
        <f ca="1">IFERROR(IF(0=LEN(ReferenceData!$G$67),"",ReferenceData!$G$67),"")</f>
        <v>27.116</v>
      </c>
      <c r="K67">
        <f ca="1">IFERROR(IF(0=LEN(ReferenceData!$F$67),"",ReferenceData!$F$67),"")</f>
        <v>28.016000000000002</v>
      </c>
    </row>
    <row r="68" spans="1:11" x14ac:dyDescent="0.25">
      <c r="A68" t="str">
        <f>IFERROR(IF(0=LEN(ReferenceData!$A$68),"",ReferenceData!$A$68),"")</f>
        <v xml:space="preserve">    Telkom Business Connexion</v>
      </c>
      <c r="B68" t="str">
        <f>IFERROR(IF(0=LEN(ReferenceData!$B$68),"",ReferenceData!$B$68),"")</f>
        <v/>
      </c>
      <c r="C68" t="str">
        <f>IFERROR(IF(0=LEN(ReferenceData!$C$68),"",ReferenceData!$C$68),"")</f>
        <v/>
      </c>
      <c r="D68" t="str">
        <f>IFERROR(IF(0=LEN(ReferenceData!$D$68),"",ReferenceData!$D$68),"")</f>
        <v/>
      </c>
      <c r="E68" t="str">
        <f>IFERROR(IF(0=LEN(ReferenceData!$E$68),"",ReferenceData!$E$68),"")</f>
        <v>Static</v>
      </c>
      <c r="F68">
        <f ca="1">IFERROR(IF(0=LEN(ReferenceData!$K$68),"",ReferenceData!$K$68),"")</f>
        <v>0.59399999999999997</v>
      </c>
      <c r="G68">
        <f ca="1">IFERROR(IF(0=LEN(ReferenceData!$J$68),"",ReferenceData!$J$68),"")</f>
        <v>0.60399999999999998</v>
      </c>
      <c r="H68">
        <f ca="1">IFERROR(IF(0=LEN(ReferenceData!$I$68),"",ReferenceData!$I$68),"")</f>
        <v>1.0660000000000001</v>
      </c>
      <c r="I68">
        <f ca="1">IFERROR(IF(0=LEN(ReferenceData!$H$68),"",ReferenceData!$H$68),"")</f>
        <v>1.069</v>
      </c>
      <c r="J68">
        <f ca="1">IFERROR(IF(0=LEN(ReferenceData!$G$68),"",ReferenceData!$G$68),"")</f>
        <v>1.0549999999999999</v>
      </c>
      <c r="K68">
        <f ca="1">IFERROR(IF(0=LEN(ReferenceData!$F$68),"",ReferenceData!$F$68),"")</f>
        <v>1.012</v>
      </c>
    </row>
    <row r="69" spans="1:11" x14ac:dyDescent="0.25">
      <c r="A69" t="str">
        <f>IFERROR(IF(0=LEN(ReferenceData!$A$69),"",ReferenceData!$A$69),"")</f>
        <v xml:space="preserve">    IBM</v>
      </c>
      <c r="B69" t="str">
        <f>IFERROR(IF(0=LEN(ReferenceData!$B$69),"",ReferenceData!$B$69),"")</f>
        <v/>
      </c>
      <c r="C69" t="str">
        <f>IFERROR(IF(0=LEN(ReferenceData!$C$69),"",ReferenceData!$C$69),"")</f>
        <v/>
      </c>
      <c r="D69" t="str">
        <f>IFERROR(IF(0=LEN(ReferenceData!$D$69),"",ReferenceData!$D$69),"")</f>
        <v/>
      </c>
      <c r="E69" t="str">
        <f>IFERROR(IF(0=LEN(ReferenceData!$E$69),"",ReferenceData!$E$69),"")</f>
        <v>Static</v>
      </c>
      <c r="F69">
        <f ca="1">IFERROR(IF(0=LEN(ReferenceData!$K$69),"",ReferenceData!$K$69),"")</f>
        <v>0.85199999999999998</v>
      </c>
      <c r="G69">
        <f ca="1">IFERROR(IF(0=LEN(ReferenceData!$J$69),"",ReferenceData!$J$69),"")</f>
        <v>0.873</v>
      </c>
      <c r="H69">
        <f ca="1">IFERROR(IF(0=LEN(ReferenceData!$I$69),"",ReferenceData!$I$69),"")</f>
        <v>0.79500000000000004</v>
      </c>
      <c r="I69">
        <f ca="1">IFERROR(IF(0=LEN(ReferenceData!$H$69),"",ReferenceData!$H$69),"")</f>
        <v>0.82799999999999996</v>
      </c>
      <c r="J69">
        <f ca="1">IFERROR(IF(0=LEN(ReferenceData!$G$69),"",ReferenceData!$G$69),"")</f>
        <v>0.83299999999999996</v>
      </c>
      <c r="K69">
        <f ca="1">IFERROR(IF(0=LEN(ReferenceData!$F$69),"",ReferenceData!$F$69),"")</f>
        <v>0.83799999999999997</v>
      </c>
    </row>
    <row r="70" spans="1:11" x14ac:dyDescent="0.25">
      <c r="A70" t="str">
        <f>IFERROR(IF(0=LEN(ReferenceData!$A$70),"",ReferenceData!$A$70),"")</f>
        <v xml:space="preserve">    Dimension Data</v>
      </c>
      <c r="B70" t="str">
        <f>IFERROR(IF(0=LEN(ReferenceData!$B$70),"",ReferenceData!$B$70),"")</f>
        <v/>
      </c>
      <c r="C70" t="str">
        <f>IFERROR(IF(0=LEN(ReferenceData!$C$70),"",ReferenceData!$C$70),"")</f>
        <v/>
      </c>
      <c r="D70" t="str">
        <f>IFERROR(IF(0=LEN(ReferenceData!$D$70),"",ReferenceData!$D$70),"")</f>
        <v/>
      </c>
      <c r="E70" t="str">
        <f>IFERROR(IF(0=LEN(ReferenceData!$E$70),"",ReferenceData!$E$70),"")</f>
        <v>Static</v>
      </c>
      <c r="F70">
        <f ca="1">IFERROR(IF(0=LEN(ReferenceData!$K$70),"",ReferenceData!$K$70),"")</f>
        <v>0.90300000000000002</v>
      </c>
      <c r="G70">
        <f ca="1">IFERROR(IF(0=LEN(ReferenceData!$J$70),"",ReferenceData!$J$70),"")</f>
        <v>0.91600000000000004</v>
      </c>
      <c r="H70">
        <f ca="1">IFERROR(IF(0=LEN(ReferenceData!$I$70),"",ReferenceData!$I$70),"")</f>
        <v>0.84</v>
      </c>
      <c r="I70">
        <f ca="1">IFERROR(IF(0=LEN(ReferenceData!$H$70),"",ReferenceData!$H$70),"")</f>
        <v>0.81799999999999995</v>
      </c>
      <c r="J70">
        <f ca="1">IFERROR(IF(0=LEN(ReferenceData!$G$70),"",ReferenceData!$G$70),"")</f>
        <v>0.77</v>
      </c>
      <c r="K70">
        <f ca="1">IFERROR(IF(0=LEN(ReferenceData!$F$70),"",ReferenceData!$F$70),"")</f>
        <v>0.77700000000000002</v>
      </c>
    </row>
    <row r="71" spans="1:11" x14ac:dyDescent="0.25">
      <c r="A71" t="str">
        <f>IFERROR(IF(0=LEN(ReferenceData!$A$71),"",ReferenceData!$A$71),"")</f>
        <v xml:space="preserve">    Matrix CEMA</v>
      </c>
      <c r="B71" t="str">
        <f>IFERROR(IF(0=LEN(ReferenceData!$B$71),"",ReferenceData!$B$71),"")</f>
        <v/>
      </c>
      <c r="C71" t="str">
        <f>IFERROR(IF(0=LEN(ReferenceData!$C$71),"",ReferenceData!$C$71),"")</f>
        <v/>
      </c>
      <c r="D71" t="str">
        <f>IFERROR(IF(0=LEN(ReferenceData!$D$71),"",ReferenceData!$D$71),"")</f>
        <v/>
      </c>
      <c r="E71" t="str">
        <f>IFERROR(IF(0=LEN(ReferenceData!$E$71),"",ReferenceData!$E$71),"")</f>
        <v>Static</v>
      </c>
      <c r="F71" t="str">
        <f ca="1">IFERROR(IF(0=LEN(ReferenceData!$K$71),"",ReferenceData!$K$71),"")</f>
        <v/>
      </c>
      <c r="G71" t="str">
        <f ca="1">IFERROR(IF(0=LEN(ReferenceData!$J$71),"",ReferenceData!$J$71),"")</f>
        <v/>
      </c>
      <c r="H71" t="str">
        <f ca="1">IFERROR(IF(0=LEN(ReferenceData!$I$71),"",ReferenceData!$I$71),"")</f>
        <v/>
      </c>
      <c r="I71">
        <f ca="1">IFERROR(IF(0=LEN(ReferenceData!$H$71),"",ReferenceData!$H$71),"")</f>
        <v>0.58899999999999997</v>
      </c>
      <c r="J71">
        <f ca="1">IFERROR(IF(0=LEN(ReferenceData!$G$71),"",ReferenceData!$G$71),"")</f>
        <v>0.65700000000000003</v>
      </c>
      <c r="K71">
        <f ca="1">IFERROR(IF(0=LEN(ReferenceData!$F$71),"",ReferenceData!$F$71),"")</f>
        <v>0.7</v>
      </c>
    </row>
    <row r="72" spans="1:11" x14ac:dyDescent="0.25">
      <c r="A72" t="str">
        <f>IFERROR(IF(0=LEN(ReferenceData!$A$72),"",ReferenceData!$A$72),"")</f>
        <v xml:space="preserve">    EOH</v>
      </c>
      <c r="B72" t="str">
        <f>IFERROR(IF(0=LEN(ReferenceData!$B$72),"",ReferenceData!$B$72),"")</f>
        <v/>
      </c>
      <c r="C72" t="str">
        <f>IFERROR(IF(0=LEN(ReferenceData!$C$72),"",ReferenceData!$C$72),"")</f>
        <v/>
      </c>
      <c r="D72" t="str">
        <f>IFERROR(IF(0=LEN(ReferenceData!$D$72),"",ReferenceData!$D$72),"")</f>
        <v/>
      </c>
      <c r="E72" t="str">
        <f>IFERROR(IF(0=LEN(ReferenceData!$E$72),"",ReferenceData!$E$72),"")</f>
        <v>Static</v>
      </c>
      <c r="F72">
        <f ca="1">IFERROR(IF(0=LEN(ReferenceData!$K$72),"",ReferenceData!$K$72),"")</f>
        <v>0.54400000000000004</v>
      </c>
      <c r="G72">
        <f ca="1">IFERROR(IF(0=LEN(ReferenceData!$J$72),"",ReferenceData!$J$72),"")</f>
        <v>0.55100000000000005</v>
      </c>
      <c r="H72">
        <f ca="1">IFERROR(IF(0=LEN(ReferenceData!$I$72),"",ReferenceData!$I$72),"")</f>
        <v>0.56799999999999995</v>
      </c>
      <c r="I72">
        <f ca="1">IFERROR(IF(0=LEN(ReferenceData!$H$72),"",ReferenceData!$H$72),"")</f>
        <v>0.67200000000000004</v>
      </c>
      <c r="J72">
        <f ca="1">IFERROR(IF(0=LEN(ReferenceData!$G$72),"",ReferenceData!$G$72),"")</f>
        <v>0.72699999999999998</v>
      </c>
      <c r="K72">
        <f ca="1">IFERROR(IF(0=LEN(ReferenceData!$F$72),"",ReferenceData!$F$72),"")</f>
        <v>0.7</v>
      </c>
    </row>
    <row r="73" spans="1:11" x14ac:dyDescent="0.25">
      <c r="A73" t="str">
        <f>IFERROR(IF(0=LEN(ReferenceData!$A$73),"",ReferenceData!$A$73),"")</f>
        <v xml:space="preserve">    Accenture</v>
      </c>
      <c r="B73" t="str">
        <f>IFERROR(IF(0=LEN(ReferenceData!$B$73),"",ReferenceData!$B$73),"")</f>
        <v/>
      </c>
      <c r="C73" t="str">
        <f>IFERROR(IF(0=LEN(ReferenceData!$C$73),"",ReferenceData!$C$73),"")</f>
        <v/>
      </c>
      <c r="D73" t="str">
        <f>IFERROR(IF(0=LEN(ReferenceData!$D$73),"",ReferenceData!$D$73),"")</f>
        <v/>
      </c>
      <c r="E73" t="str">
        <f>IFERROR(IF(0=LEN(ReferenceData!$E$73),"",ReferenceData!$E$73),"")</f>
        <v>Static</v>
      </c>
      <c r="F73">
        <f ca="1">IFERROR(IF(0=LEN(ReferenceData!$K$73),"",ReferenceData!$K$73),"")</f>
        <v>0.621</v>
      </c>
      <c r="G73">
        <f ca="1">IFERROR(IF(0=LEN(ReferenceData!$J$73),"",ReferenceData!$J$73),"")</f>
        <v>0.60799999999999998</v>
      </c>
      <c r="H73">
        <f ca="1">IFERROR(IF(0=LEN(ReferenceData!$I$73),"",ReferenceData!$I$73),"")</f>
        <v>0.55000000000000004</v>
      </c>
      <c r="I73">
        <f ca="1">IFERROR(IF(0=LEN(ReferenceData!$H$73),"",ReferenceData!$H$73),"")</f>
        <v>0.59099999999999997</v>
      </c>
      <c r="J73">
        <f ca="1">IFERROR(IF(0=LEN(ReferenceData!$G$73),"",ReferenceData!$G$73),"")</f>
        <v>0.65200000000000002</v>
      </c>
      <c r="K73">
        <f ca="1">IFERROR(IF(0=LEN(ReferenceData!$F$73),"",ReferenceData!$F$73),"")</f>
        <v>0.65300000000000002</v>
      </c>
    </row>
    <row r="74" spans="1:11" x14ac:dyDescent="0.25">
      <c r="A74" t="str">
        <f>IFERROR(IF(0=LEN(ReferenceData!$A$74),"",ReferenceData!$A$74),"")</f>
        <v xml:space="preserve">    MDS UAE</v>
      </c>
      <c r="B74" t="str">
        <f>IFERROR(IF(0=LEN(ReferenceData!$B$74),"",ReferenceData!$B$74),"")</f>
        <v/>
      </c>
      <c r="C74" t="str">
        <f>IFERROR(IF(0=LEN(ReferenceData!$C$74),"",ReferenceData!$C$74),"")</f>
        <v/>
      </c>
      <c r="D74" t="str">
        <f>IFERROR(IF(0=LEN(ReferenceData!$D$74),"",ReferenceData!$D$74),"")</f>
        <v/>
      </c>
      <c r="E74" t="str">
        <f>IFERROR(IF(0=LEN(ReferenceData!$E$74),"",ReferenceData!$E$74),"")</f>
        <v>Static</v>
      </c>
      <c r="F74" t="str">
        <f ca="1">IFERROR(IF(0=LEN(ReferenceData!$K$74),"",ReferenceData!$K$74),"")</f>
        <v/>
      </c>
      <c r="G74" t="str">
        <f ca="1">IFERROR(IF(0=LEN(ReferenceData!$J$74),"",ReferenceData!$J$74),"")</f>
        <v/>
      </c>
      <c r="H74" t="str">
        <f ca="1">IFERROR(IF(0=LEN(ReferenceData!$I$74),"",ReferenceData!$I$74),"")</f>
        <v/>
      </c>
      <c r="I74">
        <f ca="1">IFERROR(IF(0=LEN(ReferenceData!$H$74),"",ReferenceData!$H$74),"")</f>
        <v>0.54600000000000004</v>
      </c>
      <c r="J74">
        <f ca="1">IFERROR(IF(0=LEN(ReferenceData!$G$74),"",ReferenceData!$G$74),"")</f>
        <v>0.6</v>
      </c>
      <c r="K74">
        <f ca="1">IFERROR(IF(0=LEN(ReferenceData!$F$74),"",ReferenceData!$F$74),"")</f>
        <v>0.64200000000000002</v>
      </c>
    </row>
    <row r="75" spans="1:11" x14ac:dyDescent="0.25">
      <c r="A75" t="str">
        <f>IFERROR(IF(0=LEN(ReferenceData!$A$75),"",ReferenceData!$A$75),"")</f>
        <v xml:space="preserve">    DXC</v>
      </c>
      <c r="B75" t="str">
        <f>IFERROR(IF(0=LEN(ReferenceData!$B$75),"",ReferenceData!$B$75),"")</f>
        <v/>
      </c>
      <c r="C75" t="str">
        <f>IFERROR(IF(0=LEN(ReferenceData!$C$75),"",ReferenceData!$C$75),"")</f>
        <v/>
      </c>
      <c r="D75" t="str">
        <f>IFERROR(IF(0=LEN(ReferenceData!$D$75),"",ReferenceData!$D$75),"")</f>
        <v/>
      </c>
      <c r="E75" t="str">
        <f>IFERROR(IF(0=LEN(ReferenceData!$E$75),"",ReferenceData!$E$75),"")</f>
        <v>Static</v>
      </c>
      <c r="F75" t="str">
        <f ca="1">IFERROR(IF(0=LEN(ReferenceData!$K$75),"",ReferenceData!$K$75),"")</f>
        <v/>
      </c>
      <c r="G75" t="str">
        <f ca="1">IFERROR(IF(0=LEN(ReferenceData!$J$75),"",ReferenceData!$J$75),"")</f>
        <v/>
      </c>
      <c r="H75" t="str">
        <f ca="1">IFERROR(IF(0=LEN(ReferenceData!$I$75),"",ReferenceData!$I$75),"")</f>
        <v/>
      </c>
      <c r="I75">
        <f ca="1">IFERROR(IF(0=LEN(ReferenceData!$H$75),"",ReferenceData!$H$75),"")</f>
        <v>0.36799999999999999</v>
      </c>
      <c r="J75">
        <f ca="1">IFERROR(IF(0=LEN(ReferenceData!$G$75),"",ReferenceData!$G$75),"")</f>
        <v>0.47699999999999998</v>
      </c>
      <c r="K75">
        <f ca="1">IFERROR(IF(0=LEN(ReferenceData!$F$75),"",ReferenceData!$F$75),"")</f>
        <v>0.48199999999999998</v>
      </c>
    </row>
    <row r="76" spans="1:11" x14ac:dyDescent="0.25">
      <c r="A76" t="str">
        <f>IFERROR(IF(0=LEN(ReferenceData!$A$76),"",ReferenceData!$A$76),"")</f>
        <v xml:space="preserve">    Wipro</v>
      </c>
      <c r="B76" t="str">
        <f>IFERROR(IF(0=LEN(ReferenceData!$B$76),"",ReferenceData!$B$76),"")</f>
        <v/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Static</v>
      </c>
      <c r="F76" t="str">
        <f ca="1">IFERROR(IF(0=LEN(ReferenceData!$K$76),"",ReferenceData!$K$76),"")</f>
        <v/>
      </c>
      <c r="G76" t="str">
        <f ca="1">IFERROR(IF(0=LEN(ReferenceData!$J$76),"",ReferenceData!$J$76),"")</f>
        <v/>
      </c>
      <c r="H76" t="str">
        <f ca="1">IFERROR(IF(0=LEN(ReferenceData!$I$76),"",ReferenceData!$I$76),"")</f>
        <v/>
      </c>
      <c r="I76">
        <f ca="1">IFERROR(IF(0=LEN(ReferenceData!$H$76),"",ReferenceData!$H$76),"")</f>
        <v>0.45900000000000002</v>
      </c>
      <c r="J76">
        <f ca="1">IFERROR(IF(0=LEN(ReferenceData!$G$76),"",ReferenceData!$G$76),"")</f>
        <v>0.44</v>
      </c>
      <c r="K76">
        <f ca="1">IFERROR(IF(0=LEN(ReferenceData!$F$76),"",ReferenceData!$F$76),"")</f>
        <v>0.45600000000000002</v>
      </c>
    </row>
    <row r="77" spans="1:11" x14ac:dyDescent="0.25">
      <c r="A77" t="str">
        <f>IFERROR(IF(0=LEN(ReferenceData!$A$77),"",ReferenceData!$A$77),"")</f>
        <v xml:space="preserve">    Altron TMT</v>
      </c>
      <c r="B77" t="str">
        <f>IFERROR(IF(0=LEN(ReferenceData!$B$77),"",ReferenceData!$B$77),"")</f>
        <v/>
      </c>
      <c r="C77" t="str">
        <f>IFERROR(IF(0=LEN(ReferenceData!$C$77),"",ReferenceData!$C$77),"")</f>
        <v/>
      </c>
      <c r="D77" t="str">
        <f>IFERROR(IF(0=LEN(ReferenceData!$D$77),"",ReferenceData!$D$77),"")</f>
        <v/>
      </c>
      <c r="E77" t="str">
        <f>IFERROR(IF(0=LEN(ReferenceData!$E$77),"",ReferenceData!$E$77),"")</f>
        <v>Static</v>
      </c>
      <c r="F77" t="str">
        <f ca="1">IFERROR(IF(0=LEN(ReferenceData!$K$77),"",ReferenceData!$K$77),"")</f>
        <v/>
      </c>
      <c r="G77" t="str">
        <f ca="1">IFERROR(IF(0=LEN(ReferenceData!$J$77),"",ReferenceData!$J$77),"")</f>
        <v/>
      </c>
      <c r="H77" t="str">
        <f ca="1">IFERROR(IF(0=LEN(ReferenceData!$I$77),"",ReferenceData!$I$77),"")</f>
        <v/>
      </c>
      <c r="I77">
        <f ca="1">IFERROR(IF(0=LEN(ReferenceData!$H$77),"",ReferenceData!$H$77),"")</f>
        <v>0.372</v>
      </c>
      <c r="J77">
        <f ca="1">IFERROR(IF(0=LEN(ReferenceData!$G$77),"",ReferenceData!$G$77),"")</f>
        <v>0.377</v>
      </c>
      <c r="K77">
        <f ca="1">IFERROR(IF(0=LEN(ReferenceData!$F$77),"",ReferenceData!$F$77),"")</f>
        <v>0.40100000000000002</v>
      </c>
    </row>
    <row r="78" spans="1:11" x14ac:dyDescent="0.25">
      <c r="A78" t="str">
        <f>IFERROR(IF(0=LEN(ReferenceData!$A$78),"",ReferenceData!$A$78),"")</f>
        <v xml:space="preserve">    Other</v>
      </c>
      <c r="B78" t="str">
        <f>IFERROR(IF(0=LEN(ReferenceData!$B$78),"",ReferenceData!$B$78),"")</f>
        <v/>
      </c>
      <c r="C78" t="str">
        <f>IFERROR(IF(0=LEN(ReferenceData!$C$78),"",ReferenceData!$C$78),"")</f>
        <v/>
      </c>
      <c r="D78" t="str">
        <f>IFERROR(IF(0=LEN(ReferenceData!$D$78),"",ReferenceData!$D$78),"")</f>
        <v/>
      </c>
      <c r="E78" t="str">
        <f>IFERROR(IF(0=LEN(ReferenceData!$E$78),"",ReferenceData!$E$78),"")</f>
        <v>Static</v>
      </c>
      <c r="F78">
        <f ca="1">IFERROR(IF(0=LEN(ReferenceData!$K$78),"",ReferenceData!$K$78),"")</f>
        <v>18.638000000000002</v>
      </c>
      <c r="G78">
        <f ca="1">IFERROR(IF(0=LEN(ReferenceData!$J$78),"",ReferenceData!$J$78),"")</f>
        <v>19.484999999999999</v>
      </c>
      <c r="H78">
        <f ca="1">IFERROR(IF(0=LEN(ReferenceData!$I$78),"",ReferenceData!$I$78),"")</f>
        <v>20.670999999999999</v>
      </c>
      <c r="I78">
        <f ca="1">IFERROR(IF(0=LEN(ReferenceData!$H$78),"",ReferenceData!$H$78),"")</f>
        <v>20.381</v>
      </c>
      <c r="J78">
        <f ca="1">IFERROR(IF(0=LEN(ReferenceData!$G$78),"",ReferenceData!$G$78),"")</f>
        <v>20.527999999999999</v>
      </c>
      <c r="K78">
        <f ca="1">IFERROR(IF(0=LEN(ReferenceData!$F$78),"",ReferenceData!$F$78),"")</f>
        <v>21.355</v>
      </c>
    </row>
    <row r="79" spans="1:11" x14ac:dyDescent="0.25">
      <c r="A79" t="str">
        <f>IFERROR(IF(0=LEN(ReferenceData!$A$79),"",ReferenceData!$A$79),"")</f>
        <v>USA</v>
      </c>
      <c r="B79" t="str">
        <f>IFERROR(IF(0=LEN(ReferenceData!$B$79),"",ReferenceData!$B$79),"")</f>
        <v/>
      </c>
      <c r="C79" t="str">
        <f>IFERROR(IF(0=LEN(ReferenceData!$C$79),"",ReferenceData!$C$79),"")</f>
        <v/>
      </c>
      <c r="D79" t="str">
        <f>IFERROR(IF(0=LEN(ReferenceData!$D$79),"",ReferenceData!$D$79),"")</f>
        <v/>
      </c>
      <c r="E79" t="str">
        <f>IFERROR(IF(0=LEN(ReferenceData!$E$79),"",ReferenceData!$E$79),"")</f>
        <v>Sum</v>
      </c>
      <c r="F79">
        <f ca="1">IFERROR(IF(0=LEN(ReferenceData!$K$79),"",ReferenceData!$K$79),"")</f>
        <v>380.69099999999997</v>
      </c>
      <c r="G79">
        <f ca="1">IFERROR(IF(0=LEN(ReferenceData!$J$79),"",ReferenceData!$J$79),"")</f>
        <v>395.13700000000006</v>
      </c>
      <c r="H79">
        <f ca="1">IFERROR(IF(0=LEN(ReferenceData!$I$79),"",ReferenceData!$I$79),"")</f>
        <v>421.42199999999997</v>
      </c>
      <c r="I79">
        <f ca="1">IFERROR(IF(0=LEN(ReferenceData!$H$79),"",ReferenceData!$H$79),"")</f>
        <v>440.803</v>
      </c>
      <c r="J79">
        <f ca="1">IFERROR(IF(0=LEN(ReferenceData!$G$79),"",ReferenceData!$G$79),"")</f>
        <v>461.31599999999997</v>
      </c>
      <c r="K79">
        <f ca="1">IFERROR(IF(0=LEN(ReferenceData!$F$79),"",ReferenceData!$F$79),"")</f>
        <v>485.57499999999999</v>
      </c>
    </row>
    <row r="80" spans="1:11" x14ac:dyDescent="0.25">
      <c r="A80" t="str">
        <f>IFERROR(IF(0=LEN(ReferenceData!$A$80),"",ReferenceData!$A$80),"")</f>
        <v xml:space="preserve">    Deloitte</v>
      </c>
      <c r="B80" t="str">
        <f>IFERROR(IF(0=LEN(ReferenceData!$B$80),"",ReferenceData!$B$80),"")</f>
        <v/>
      </c>
      <c r="C80" t="str">
        <f>IFERROR(IF(0=LEN(ReferenceData!$C$80),"",ReferenceData!$C$80),"")</f>
        <v/>
      </c>
      <c r="D80" t="str">
        <f>IFERROR(IF(0=LEN(ReferenceData!$D$80),"",ReferenceData!$D$80),"")</f>
        <v/>
      </c>
      <c r="E80" t="str">
        <f>IFERROR(IF(0=LEN(ReferenceData!$E$80),"",ReferenceData!$E$80),"")</f>
        <v>Static</v>
      </c>
      <c r="F80">
        <f ca="1">IFERROR(IF(0=LEN(ReferenceData!$K$80),"",ReferenceData!$K$80),"")</f>
        <v>10.041</v>
      </c>
      <c r="G80">
        <f ca="1">IFERROR(IF(0=LEN(ReferenceData!$J$80),"",ReferenceData!$J$80),"")</f>
        <v>11.874000000000001</v>
      </c>
      <c r="H80">
        <f ca="1">IFERROR(IF(0=LEN(ReferenceData!$I$80),"",ReferenceData!$I$80),"")</f>
        <v>13.643000000000001</v>
      </c>
      <c r="I80">
        <f ca="1">IFERROR(IF(0=LEN(ReferenceData!$H$80),"",ReferenceData!$H$80),"")</f>
        <v>14.72</v>
      </c>
      <c r="J80">
        <f ca="1">IFERROR(IF(0=LEN(ReferenceData!$G$80),"",ReferenceData!$G$80),"")</f>
        <v>16.303999999999998</v>
      </c>
      <c r="K80">
        <f ca="1">IFERROR(IF(0=LEN(ReferenceData!$F$80),"",ReferenceData!$F$80),"")</f>
        <v>17.978000000000002</v>
      </c>
    </row>
    <row r="81" spans="1:11" x14ac:dyDescent="0.25">
      <c r="A81" t="str">
        <f>IFERROR(IF(0=LEN(ReferenceData!$A$81),"",ReferenceData!$A$81),"")</f>
        <v xml:space="preserve">    Accenture</v>
      </c>
      <c r="B81" t="str">
        <f>IFERROR(IF(0=LEN(ReferenceData!$B$81),"",ReferenceData!$B$81),"")</f>
        <v/>
      </c>
      <c r="C81" t="str">
        <f>IFERROR(IF(0=LEN(ReferenceData!$C$81),"",ReferenceData!$C$81),"")</f>
        <v/>
      </c>
      <c r="D81" t="str">
        <f>IFERROR(IF(0=LEN(ReferenceData!$D$81),"",ReferenceData!$D$81),"")</f>
        <v/>
      </c>
      <c r="E81" t="str">
        <f>IFERROR(IF(0=LEN(ReferenceData!$E$81),"",ReferenceData!$E$81),"")</f>
        <v>Static</v>
      </c>
      <c r="F81">
        <f ca="1">IFERROR(IF(0=LEN(ReferenceData!$K$81),"",ReferenceData!$K$81),"")</f>
        <v>11.265000000000001</v>
      </c>
      <c r="G81">
        <f ca="1">IFERROR(IF(0=LEN(ReferenceData!$J$81),"",ReferenceData!$J$81),"")</f>
        <v>12.791</v>
      </c>
      <c r="H81">
        <f ca="1">IFERROR(IF(0=LEN(ReferenceData!$I$81),"",ReferenceData!$I$81),"")</f>
        <v>14.045</v>
      </c>
      <c r="I81">
        <f ca="1">IFERROR(IF(0=LEN(ReferenceData!$H$81),"",ReferenceData!$H$81),"")</f>
        <v>14.733000000000001</v>
      </c>
      <c r="J81">
        <f ca="1">IFERROR(IF(0=LEN(ReferenceData!$G$81),"",ReferenceData!$G$81),"")</f>
        <v>16.117999999999999</v>
      </c>
      <c r="K81">
        <f ca="1">IFERROR(IF(0=LEN(ReferenceData!$F$81),"",ReferenceData!$F$81),"")</f>
        <v>17.856000000000002</v>
      </c>
    </row>
    <row r="82" spans="1:11" x14ac:dyDescent="0.25">
      <c r="A82" t="str">
        <f>IFERROR(IF(0=LEN(ReferenceData!$A$82),"",ReferenceData!$A$82),"")</f>
        <v xml:space="preserve">    IBM</v>
      </c>
      <c r="B82" t="str">
        <f>IFERROR(IF(0=LEN(ReferenceData!$B$82),"",ReferenceData!$B$82),"")</f>
        <v/>
      </c>
      <c r="C82" t="str">
        <f>IFERROR(IF(0=LEN(ReferenceData!$C$82),"",ReferenceData!$C$82),"")</f>
        <v/>
      </c>
      <c r="D82" t="str">
        <f>IFERROR(IF(0=LEN(ReferenceData!$D$82),"",ReferenceData!$D$82),"")</f>
        <v/>
      </c>
      <c r="E82" t="str">
        <f>IFERROR(IF(0=LEN(ReferenceData!$E$82),"",ReferenceData!$E$82),"")</f>
        <v>Static</v>
      </c>
      <c r="F82">
        <f ca="1">IFERROR(IF(0=LEN(ReferenceData!$K$82),"",ReferenceData!$K$82),"")</f>
        <v>20.428999999999998</v>
      </c>
      <c r="G82">
        <f ca="1">IFERROR(IF(0=LEN(ReferenceData!$J$82),"",ReferenceData!$J$82),"")</f>
        <v>19.442</v>
      </c>
      <c r="H82">
        <f ca="1">IFERROR(IF(0=LEN(ReferenceData!$I$82),"",ReferenceData!$I$82),"")</f>
        <v>19.172000000000001</v>
      </c>
      <c r="I82">
        <f ca="1">IFERROR(IF(0=LEN(ReferenceData!$H$82),"",ReferenceData!$H$82),"")</f>
        <v>16.024999999999999</v>
      </c>
      <c r="J82">
        <f ca="1">IFERROR(IF(0=LEN(ReferenceData!$G$82),"",ReferenceData!$G$82),"")</f>
        <v>15.406000000000001</v>
      </c>
      <c r="K82">
        <f ca="1">IFERROR(IF(0=LEN(ReferenceData!$F$82),"",ReferenceData!$F$82),"")</f>
        <v>15.196999999999999</v>
      </c>
    </row>
    <row r="83" spans="1:11" x14ac:dyDescent="0.25">
      <c r="A83" t="str">
        <f>IFERROR(IF(0=LEN(ReferenceData!$A$83),"",ReferenceData!$A$83),"")</f>
        <v xml:space="preserve">    Cognizant</v>
      </c>
      <c r="B83" t="str">
        <f>IFERROR(IF(0=LEN(ReferenceData!$B$83),"",ReferenceData!$B$83),"")</f>
        <v/>
      </c>
      <c r="C83" t="str">
        <f>IFERROR(IF(0=LEN(ReferenceData!$C$83),"",ReferenceData!$C$83),"")</f>
        <v/>
      </c>
      <c r="D83" t="str">
        <f>IFERROR(IF(0=LEN(ReferenceData!$D$83),"",ReferenceData!$D$83),"")</f>
        <v/>
      </c>
      <c r="E83" t="str">
        <f>IFERROR(IF(0=LEN(ReferenceData!$E$83),"",ReferenceData!$E$83),"")</f>
        <v>Static</v>
      </c>
      <c r="F83">
        <f ca="1">IFERROR(IF(0=LEN(ReferenceData!$K$83),"",ReferenceData!$K$83),"")</f>
        <v>11.746</v>
      </c>
      <c r="G83">
        <f ca="1">IFERROR(IF(0=LEN(ReferenceData!$J$83),"",ReferenceData!$J$83),"")</f>
        <v>10.596</v>
      </c>
      <c r="H83">
        <f ca="1">IFERROR(IF(0=LEN(ReferenceData!$I$83),"",ReferenceData!$I$83),"")</f>
        <v>9.1690000000000005</v>
      </c>
      <c r="I83">
        <f ca="1">IFERROR(IF(0=LEN(ReferenceData!$H$83),"",ReferenceData!$H$83),"")</f>
        <v>9.9550000000000001</v>
      </c>
      <c r="J83">
        <f ca="1">IFERROR(IF(0=LEN(ReferenceData!$G$83),"",ReferenceData!$G$83),"")</f>
        <v>10.667</v>
      </c>
      <c r="K83">
        <f ca="1">IFERROR(IF(0=LEN(ReferenceData!$F$83),"",ReferenceData!$F$83),"")</f>
        <v>11.105</v>
      </c>
    </row>
    <row r="84" spans="1:11" x14ac:dyDescent="0.25">
      <c r="A84" t="str">
        <f>IFERROR(IF(0=LEN(ReferenceData!$A$84),"",ReferenceData!$A$84),"")</f>
        <v xml:space="preserve">    ADP</v>
      </c>
      <c r="B84" t="str">
        <f>IFERROR(IF(0=LEN(ReferenceData!$B$84),"",ReferenceData!$B$84),"")</f>
        <v/>
      </c>
      <c r="C84" t="str">
        <f>IFERROR(IF(0=LEN(ReferenceData!$C$84),"",ReferenceData!$C$84),"")</f>
        <v/>
      </c>
      <c r="D84" t="str">
        <f>IFERROR(IF(0=LEN(ReferenceData!$D$84),"",ReferenceData!$D$84),"")</f>
        <v/>
      </c>
      <c r="E84" t="str">
        <f>IFERROR(IF(0=LEN(ReferenceData!$E$84),"",ReferenceData!$E$84),"")</f>
        <v>Static</v>
      </c>
      <c r="F84" t="str">
        <f ca="1">IFERROR(IF(0=LEN(ReferenceData!$K$84),"",ReferenceData!$K$84),"")</f>
        <v/>
      </c>
      <c r="G84" t="str">
        <f ca="1">IFERROR(IF(0=LEN(ReferenceData!$J$84),"",ReferenceData!$J$84),"")</f>
        <v/>
      </c>
      <c r="H84" t="str">
        <f ca="1">IFERROR(IF(0=LEN(ReferenceData!$I$84),"",ReferenceData!$I$84),"")</f>
        <v/>
      </c>
      <c r="I84">
        <f ca="1">IFERROR(IF(0=LEN(ReferenceData!$H$84),"",ReferenceData!$H$84),"")</f>
        <v>8.9030000000000005</v>
      </c>
      <c r="J84">
        <f ca="1">IFERROR(IF(0=LEN(ReferenceData!$G$84),"",ReferenceData!$G$84),"")</f>
        <v>9.1579999999999995</v>
      </c>
      <c r="K84">
        <f ca="1">IFERROR(IF(0=LEN(ReferenceData!$F$84),"",ReferenceData!$F$84),"")</f>
        <v>9.9499999999999993</v>
      </c>
    </row>
    <row r="85" spans="1:11" x14ac:dyDescent="0.25">
      <c r="A85" t="str">
        <f>IFERROR(IF(0=LEN(ReferenceData!$A$85),"",ReferenceData!$A$85),"")</f>
        <v xml:space="preserve">    Tata Consultancy Group</v>
      </c>
      <c r="B85" t="str">
        <f>IFERROR(IF(0=LEN(ReferenceData!$B$85),"",ReferenceData!$B$85),"")</f>
        <v/>
      </c>
      <c r="C85" t="str">
        <f>IFERROR(IF(0=LEN(ReferenceData!$C$85),"",ReferenceData!$C$85),"")</f>
        <v/>
      </c>
      <c r="D85" t="str">
        <f>IFERROR(IF(0=LEN(ReferenceData!$D$85),"",ReferenceData!$D$85),"")</f>
        <v/>
      </c>
      <c r="E85" t="str">
        <f>IFERROR(IF(0=LEN(ReferenceData!$E$85),"",ReferenceData!$E$85),"")</f>
        <v>Static</v>
      </c>
      <c r="F85" t="str">
        <f ca="1">IFERROR(IF(0=LEN(ReferenceData!$K$85),"",ReferenceData!$K$85),"")</f>
        <v/>
      </c>
      <c r="G85" t="str">
        <f ca="1">IFERROR(IF(0=LEN(ReferenceData!$J$85),"",ReferenceData!$J$85),"")</f>
        <v/>
      </c>
      <c r="H85" t="str">
        <f ca="1">IFERROR(IF(0=LEN(ReferenceData!$I$85),"",ReferenceData!$I$85),"")</f>
        <v/>
      </c>
      <c r="I85">
        <f ca="1">IFERROR(IF(0=LEN(ReferenceData!$H$85),"",ReferenceData!$H$85),"")</f>
        <v>7.5860000000000003</v>
      </c>
      <c r="J85">
        <f ca="1">IFERROR(IF(0=LEN(ReferenceData!$G$85),"",ReferenceData!$G$85),"")</f>
        <v>8.4049999999999994</v>
      </c>
      <c r="K85">
        <f ca="1">IFERROR(IF(0=LEN(ReferenceData!$F$85),"",ReferenceData!$F$85),"")</f>
        <v>8.9510000000000005</v>
      </c>
    </row>
    <row r="86" spans="1:11" x14ac:dyDescent="0.25">
      <c r="A86" t="str">
        <f>IFERROR(IF(0=LEN(ReferenceData!$A$86),"",ReferenceData!$A$86),"")</f>
        <v xml:space="preserve">    General Dynamics</v>
      </c>
      <c r="B86" t="str">
        <f>IFERROR(IF(0=LEN(ReferenceData!$B$86),"",ReferenceData!$B$86),"")</f>
        <v/>
      </c>
      <c r="C86" t="str">
        <f>IFERROR(IF(0=LEN(ReferenceData!$C$86),"",ReferenceData!$C$86),"")</f>
        <v/>
      </c>
      <c r="D86" t="str">
        <f>IFERROR(IF(0=LEN(ReferenceData!$D$86),"",ReferenceData!$D$86),"")</f>
        <v/>
      </c>
      <c r="E86" t="str">
        <f>IFERROR(IF(0=LEN(ReferenceData!$E$86),"",ReferenceData!$E$86),"")</f>
        <v>Static</v>
      </c>
      <c r="F86" t="str">
        <f ca="1">IFERROR(IF(0=LEN(ReferenceData!$K$86),"",ReferenceData!$K$86),"")</f>
        <v/>
      </c>
      <c r="G86" t="str">
        <f ca="1">IFERROR(IF(0=LEN(ReferenceData!$J$86),"",ReferenceData!$J$86),"")</f>
        <v/>
      </c>
      <c r="H86" t="str">
        <f ca="1">IFERROR(IF(0=LEN(ReferenceData!$I$86),"",ReferenceData!$I$86),"")</f>
        <v/>
      </c>
      <c r="I86">
        <f ca="1">IFERROR(IF(0=LEN(ReferenceData!$H$86),"",ReferenceData!$H$86),"")</f>
        <v>4.8780000000000001</v>
      </c>
      <c r="J86">
        <f ca="1">IFERROR(IF(0=LEN(ReferenceData!$G$86),"",ReferenceData!$G$86),"")</f>
        <v>8.7219999999999995</v>
      </c>
      <c r="K86">
        <f ca="1">IFERROR(IF(0=LEN(ReferenceData!$F$86),"",ReferenceData!$F$86),"")</f>
        <v>8.9109999999999996</v>
      </c>
    </row>
    <row r="87" spans="1:11" x14ac:dyDescent="0.25">
      <c r="A87" t="str">
        <f>IFERROR(IF(0=LEN(ReferenceData!$A$87),"",ReferenceData!$A$87),"")</f>
        <v xml:space="preserve">    Leidos</v>
      </c>
      <c r="B87" t="str">
        <f>IFERROR(IF(0=LEN(ReferenceData!$B$87),"",ReferenceData!$B$87),"")</f>
        <v/>
      </c>
      <c r="C87" t="str">
        <f>IFERROR(IF(0=LEN(ReferenceData!$C$87),"",ReferenceData!$C$87),"")</f>
        <v/>
      </c>
      <c r="D87" t="str">
        <f>IFERROR(IF(0=LEN(ReferenceData!$D$87),"",ReferenceData!$D$87),"")</f>
        <v/>
      </c>
      <c r="E87" t="str">
        <f>IFERROR(IF(0=LEN(ReferenceData!$E$87),"",ReferenceData!$E$87),"")</f>
        <v>Static</v>
      </c>
      <c r="F87" t="str">
        <f ca="1">IFERROR(IF(0=LEN(ReferenceData!$K$87),"",ReferenceData!$K$87),"")</f>
        <v/>
      </c>
      <c r="G87" t="str">
        <f ca="1">IFERROR(IF(0=LEN(ReferenceData!$J$87),"",ReferenceData!$J$87),"")</f>
        <v/>
      </c>
      <c r="H87" t="str">
        <f ca="1">IFERROR(IF(0=LEN(ReferenceData!$I$87),"",ReferenceData!$I$87),"")</f>
        <v/>
      </c>
      <c r="I87">
        <f ca="1">IFERROR(IF(0=LEN(ReferenceData!$H$87),"",ReferenceData!$H$87),"")</f>
        <v>7.4210000000000003</v>
      </c>
      <c r="J87">
        <f ca="1">IFERROR(IF(0=LEN(ReferenceData!$G$87),"",ReferenceData!$G$87),"")</f>
        <v>7.4669999999999996</v>
      </c>
      <c r="K87">
        <f ca="1">IFERROR(IF(0=LEN(ReferenceData!$F$87),"",ReferenceData!$F$87),"")</f>
        <v>8.2919999999999998</v>
      </c>
    </row>
    <row r="88" spans="1:11" x14ac:dyDescent="0.25">
      <c r="A88" t="str">
        <f>IFERROR(IF(0=LEN(ReferenceData!$A$88),"",ReferenceData!$A$88),"")</f>
        <v xml:space="preserve">    Cisco</v>
      </c>
      <c r="B88" t="str">
        <f>IFERROR(IF(0=LEN(ReferenceData!$B$88),"",ReferenceData!$B$88),"")</f>
        <v/>
      </c>
      <c r="C88" t="str">
        <f>IFERROR(IF(0=LEN(ReferenceData!$C$88),"",ReferenceData!$C$88),"")</f>
        <v/>
      </c>
      <c r="D88" t="str">
        <f>IFERROR(IF(0=LEN(ReferenceData!$D$88),"",ReferenceData!$D$88),"")</f>
        <v/>
      </c>
      <c r="E88" t="str">
        <f>IFERROR(IF(0=LEN(ReferenceData!$E$88),"",ReferenceData!$E$88),"")</f>
        <v>Static</v>
      </c>
      <c r="F88" t="str">
        <f ca="1">IFERROR(IF(0=LEN(ReferenceData!$K$88),"",ReferenceData!$K$88),"")</f>
        <v/>
      </c>
      <c r="G88" t="str">
        <f ca="1">IFERROR(IF(0=LEN(ReferenceData!$J$88),"",ReferenceData!$J$88),"")</f>
        <v/>
      </c>
      <c r="H88" t="str">
        <f ca="1">IFERROR(IF(0=LEN(ReferenceData!$I$88),"",ReferenceData!$I$88),"")</f>
        <v/>
      </c>
      <c r="I88">
        <f ca="1">IFERROR(IF(0=LEN(ReferenceData!$H$88),"",ReferenceData!$H$88),"")</f>
        <v>7.282</v>
      </c>
      <c r="J88">
        <f ca="1">IFERROR(IF(0=LEN(ReferenceData!$G$88),"",ReferenceData!$G$88),"")</f>
        <v>7.52</v>
      </c>
      <c r="K88">
        <f ca="1">IFERROR(IF(0=LEN(ReferenceData!$F$88),"",ReferenceData!$F$88),"")</f>
        <v>7.6390000000000002</v>
      </c>
    </row>
    <row r="89" spans="1:11" x14ac:dyDescent="0.25">
      <c r="A89" t="str">
        <f>IFERROR(IF(0=LEN(ReferenceData!$A$89),"",ReferenceData!$A$89),"")</f>
        <v xml:space="preserve">    Dell</v>
      </c>
      <c r="B89" t="str">
        <f>IFERROR(IF(0=LEN(ReferenceData!$B$89),"",ReferenceData!$B$89),"")</f>
        <v/>
      </c>
      <c r="C89" t="str">
        <f>IFERROR(IF(0=LEN(ReferenceData!$C$89),"",ReferenceData!$C$89),"")</f>
        <v/>
      </c>
      <c r="D89" t="str">
        <f>IFERROR(IF(0=LEN(ReferenceData!$D$89),"",ReferenceData!$D$89),"")</f>
        <v/>
      </c>
      <c r="E89" t="str">
        <f>IFERROR(IF(0=LEN(ReferenceData!$E$89),"",ReferenceData!$E$89),"")</f>
        <v>Static</v>
      </c>
      <c r="F89" t="str">
        <f ca="1">IFERROR(IF(0=LEN(ReferenceData!$K$89),"",ReferenceData!$K$89),"")</f>
        <v/>
      </c>
      <c r="G89" t="str">
        <f ca="1">IFERROR(IF(0=LEN(ReferenceData!$J$89),"",ReferenceData!$J$89),"")</f>
        <v/>
      </c>
      <c r="H89" t="str">
        <f ca="1">IFERROR(IF(0=LEN(ReferenceData!$I$89),"",ReferenceData!$I$89),"")</f>
        <v/>
      </c>
      <c r="I89">
        <f ca="1">IFERROR(IF(0=LEN(ReferenceData!$H$89),"",ReferenceData!$H$89),"")</f>
        <v>6.45</v>
      </c>
      <c r="J89">
        <f ca="1">IFERROR(IF(0=LEN(ReferenceData!$G$89),"",ReferenceData!$G$89),"")</f>
        <v>6.4630000000000001</v>
      </c>
      <c r="K89">
        <f ca="1">IFERROR(IF(0=LEN(ReferenceData!$F$89),"",ReferenceData!$F$89),"")</f>
        <v>7.258</v>
      </c>
    </row>
    <row r="90" spans="1:11" x14ac:dyDescent="0.25">
      <c r="A90" t="str">
        <f>IFERROR(IF(0=LEN(ReferenceData!$A$90),"",ReferenceData!$A$90),"")</f>
        <v xml:space="preserve">    Other</v>
      </c>
      <c r="B90" t="str">
        <f>IFERROR(IF(0=LEN(ReferenceData!$B$90),"",ReferenceData!$B$90),"")</f>
        <v/>
      </c>
      <c r="C90" t="str">
        <f>IFERROR(IF(0=LEN(ReferenceData!$C$90),"",ReferenceData!$C$90),"")</f>
        <v/>
      </c>
      <c r="D90" t="str">
        <f>IFERROR(IF(0=LEN(ReferenceData!$D$90),"",ReferenceData!$D$90),"")</f>
        <v/>
      </c>
      <c r="E90" t="str">
        <f>IFERROR(IF(0=LEN(ReferenceData!$E$90),"",ReferenceData!$E$90),"")</f>
        <v>Static</v>
      </c>
      <c r="F90">
        <f ca="1">IFERROR(IF(0=LEN(ReferenceData!$K$90),"",ReferenceData!$K$90),"")</f>
        <v>327.20999999999998</v>
      </c>
      <c r="G90">
        <f ca="1">IFERROR(IF(0=LEN(ReferenceData!$J$90),"",ReferenceData!$J$90),"")</f>
        <v>340.43400000000003</v>
      </c>
      <c r="H90">
        <f ca="1">IFERROR(IF(0=LEN(ReferenceData!$I$90),"",ReferenceData!$I$90),"")</f>
        <v>365.39299999999997</v>
      </c>
      <c r="I90">
        <f ca="1">IFERROR(IF(0=LEN(ReferenceData!$H$90),"",ReferenceData!$H$90),"")</f>
        <v>342.85</v>
      </c>
      <c r="J90">
        <f ca="1">IFERROR(IF(0=LEN(ReferenceData!$G$90),"",ReferenceData!$G$90),"")</f>
        <v>355.08600000000001</v>
      </c>
      <c r="K90">
        <f ca="1">IFERROR(IF(0=LEN(ReferenceData!$F$90),"",ReferenceData!$F$90),"")</f>
        <v>372.43799999999999</v>
      </c>
    </row>
    <row r="91" spans="1:11" x14ac:dyDescent="0.25">
      <c r="A91" t="str">
        <f>IFERROR(IF(0=LEN(ReferenceData!$A$91),"",ReferenceData!$A$91),"")</f>
        <v>Western Europe</v>
      </c>
      <c r="B91" t="str">
        <f>IFERROR(IF(0=LEN(ReferenceData!$B$91),"",ReferenceData!$B$91),"")</f>
        <v/>
      </c>
      <c r="C91" t="str">
        <f>IFERROR(IF(0=LEN(ReferenceData!$C$91),"",ReferenceData!$C$91),"")</f>
        <v/>
      </c>
      <c r="D91" t="str">
        <f>IFERROR(IF(0=LEN(ReferenceData!$D$91),"",ReferenceData!$D$91),"")</f>
        <v/>
      </c>
      <c r="E91" t="str">
        <f>IFERROR(IF(0=LEN(ReferenceData!$E$91),"",ReferenceData!$E$91),"")</f>
        <v>Sum</v>
      </c>
      <c r="F91">
        <f ca="1">IFERROR(IF(0=LEN(ReferenceData!$K$91),"",ReferenceData!$K$91),"")</f>
        <v>283.02699999999999</v>
      </c>
      <c r="G91">
        <f ca="1">IFERROR(IF(0=LEN(ReferenceData!$J$91),"",ReferenceData!$J$91),"")</f>
        <v>251.589</v>
      </c>
      <c r="H91">
        <f ca="1">IFERROR(IF(0=LEN(ReferenceData!$I$91),"",ReferenceData!$I$91),"")</f>
        <v>250.31400000000002</v>
      </c>
      <c r="I91">
        <f ca="1">IFERROR(IF(0=LEN(ReferenceData!$H$91),"",ReferenceData!$H$91),"")</f>
        <v>257.79399999999998</v>
      </c>
      <c r="J91">
        <f ca="1">IFERROR(IF(0=LEN(ReferenceData!$G$91),"",ReferenceData!$G$91),"")</f>
        <v>275.42</v>
      </c>
      <c r="K91">
        <f ca="1">IFERROR(IF(0=LEN(ReferenceData!$F$91),"",ReferenceData!$F$91),"")</f>
        <v>272.11500000000001</v>
      </c>
    </row>
    <row r="92" spans="1:11" x14ac:dyDescent="0.25">
      <c r="A92" t="str">
        <f>IFERROR(IF(0=LEN(ReferenceData!$A$92),"",ReferenceData!$A$92),"")</f>
        <v xml:space="preserve">    IBM</v>
      </c>
      <c r="B92" t="str">
        <f>IFERROR(IF(0=LEN(ReferenceData!$B$92),"",ReferenceData!$B$92),"")</f>
        <v/>
      </c>
      <c r="C92" t="str">
        <f>IFERROR(IF(0=LEN(ReferenceData!$C$92),"",ReferenceData!$C$92),"")</f>
        <v/>
      </c>
      <c r="D92" t="str">
        <f>IFERROR(IF(0=LEN(ReferenceData!$D$92),"",ReferenceData!$D$92),"")</f>
        <v/>
      </c>
      <c r="E92" t="str">
        <f>IFERROR(IF(0=LEN(ReferenceData!$E$92),"",ReferenceData!$E$92),"")</f>
        <v>Static</v>
      </c>
      <c r="F92">
        <f ca="1">IFERROR(IF(0=LEN(ReferenceData!$K$92),"",ReferenceData!$K$92),"")</f>
        <v>14.585000000000001</v>
      </c>
      <c r="G92">
        <f ca="1">IFERROR(IF(0=LEN(ReferenceData!$J$92),"",ReferenceData!$J$92),"")</f>
        <v>12.456</v>
      </c>
      <c r="H92">
        <f ca="1">IFERROR(IF(0=LEN(ReferenceData!$I$92),"",ReferenceData!$I$92),"")</f>
        <v>11.922000000000001</v>
      </c>
      <c r="I92">
        <f ca="1">IFERROR(IF(0=LEN(ReferenceData!$H$92),"",ReferenceData!$H$92),"")</f>
        <v>14.061999999999999</v>
      </c>
      <c r="J92">
        <f ca="1">IFERROR(IF(0=LEN(ReferenceData!$G$92),"",ReferenceData!$G$92),"")</f>
        <v>14.281000000000001</v>
      </c>
      <c r="K92">
        <f ca="1">IFERROR(IF(0=LEN(ReferenceData!$F$92),"",ReferenceData!$F$92),"")</f>
        <v>13.686999999999999</v>
      </c>
    </row>
    <row r="93" spans="1:11" x14ac:dyDescent="0.25">
      <c r="A93" t="str">
        <f>IFERROR(IF(0=LEN(ReferenceData!$A$93),"",ReferenceData!$A$93),"")</f>
        <v xml:space="preserve">    Accenture</v>
      </c>
      <c r="B93" t="str">
        <f>IFERROR(IF(0=LEN(ReferenceData!$B$93),"",ReferenceData!$B$93),"")</f>
        <v/>
      </c>
      <c r="C93" t="str">
        <f>IFERROR(IF(0=LEN(ReferenceData!$C$93),"",ReferenceData!$C$93),"")</f>
        <v/>
      </c>
      <c r="D93" t="str">
        <f>IFERROR(IF(0=LEN(ReferenceData!$D$93),"",ReferenceData!$D$93),"")</f>
        <v/>
      </c>
      <c r="E93" t="str">
        <f>IFERROR(IF(0=LEN(ReferenceData!$E$93),"",ReferenceData!$E$93),"")</f>
        <v>Static</v>
      </c>
      <c r="F93">
        <f ca="1">IFERROR(IF(0=LEN(ReferenceData!$K$93),"",ReferenceData!$K$93),"")</f>
        <v>10.406000000000001</v>
      </c>
      <c r="G93">
        <f ca="1">IFERROR(IF(0=LEN(ReferenceData!$J$93),"",ReferenceData!$J$93),"")</f>
        <v>9.9489999999999998</v>
      </c>
      <c r="H93">
        <f ca="1">IFERROR(IF(0=LEN(ReferenceData!$I$93),"",ReferenceData!$I$93),"")</f>
        <v>10.451000000000001</v>
      </c>
      <c r="I93">
        <f ca="1">IFERROR(IF(0=LEN(ReferenceData!$H$93),"",ReferenceData!$H$93),"")</f>
        <v>11.303000000000001</v>
      </c>
      <c r="J93">
        <f ca="1">IFERROR(IF(0=LEN(ReferenceData!$G$93),"",ReferenceData!$G$93),"")</f>
        <v>12.648999999999999</v>
      </c>
      <c r="K93">
        <f ca="1">IFERROR(IF(0=LEN(ReferenceData!$F$93),"",ReferenceData!$F$93),"")</f>
        <v>12.577</v>
      </c>
    </row>
    <row r="94" spans="1:11" x14ac:dyDescent="0.25">
      <c r="A94" t="str">
        <f>IFERROR(IF(0=LEN(ReferenceData!$A$94),"",ReferenceData!$A$94),"")</f>
        <v xml:space="preserve">    Deloitte</v>
      </c>
      <c r="B94" t="str">
        <f>IFERROR(IF(0=LEN(ReferenceData!$B$94),"",ReferenceData!$B$94),"")</f>
        <v/>
      </c>
      <c r="C94" t="str">
        <f>IFERROR(IF(0=LEN(ReferenceData!$C$94),"",ReferenceData!$C$94),"")</f>
        <v/>
      </c>
      <c r="D94" t="str">
        <f>IFERROR(IF(0=LEN(ReferenceData!$D$94),"",ReferenceData!$D$94),"")</f>
        <v/>
      </c>
      <c r="E94" t="str">
        <f>IFERROR(IF(0=LEN(ReferenceData!$E$94),"",ReferenceData!$E$94),"")</f>
        <v>Static</v>
      </c>
      <c r="F94">
        <f ca="1">IFERROR(IF(0=LEN(ReferenceData!$K$94),"",ReferenceData!$K$94),"")</f>
        <v>7.165</v>
      </c>
      <c r="G94">
        <f ca="1">IFERROR(IF(0=LEN(ReferenceData!$J$94),"",ReferenceData!$J$94),"")</f>
        <v>7.1550000000000002</v>
      </c>
      <c r="H94">
        <f ca="1">IFERROR(IF(0=LEN(ReferenceData!$I$94),"",ReferenceData!$I$94),"")</f>
        <v>8.0879999999999992</v>
      </c>
      <c r="I94">
        <f ca="1">IFERROR(IF(0=LEN(ReferenceData!$H$94),"",ReferenceData!$H$94),"")</f>
        <v>8.359</v>
      </c>
      <c r="J94">
        <f ca="1">IFERROR(IF(0=LEN(ReferenceData!$G$94),"",ReferenceData!$G$94),"")</f>
        <v>9.4410000000000007</v>
      </c>
      <c r="K94">
        <f ca="1">IFERROR(IF(0=LEN(ReferenceData!$F$94),"",ReferenceData!$F$94),"")</f>
        <v>9.9480000000000004</v>
      </c>
    </row>
    <row r="95" spans="1:11" x14ac:dyDescent="0.25">
      <c r="A95" t="str">
        <f>IFERROR(IF(0=LEN(ReferenceData!$A$95),"",ReferenceData!$A$95),"")</f>
        <v xml:space="preserve">    Capgemini/CPM Braxis</v>
      </c>
      <c r="B95" t="str">
        <f>IFERROR(IF(0=LEN(ReferenceData!$B$95),"",ReferenceData!$B$95),"")</f>
        <v/>
      </c>
      <c r="C95" t="str">
        <f>IFERROR(IF(0=LEN(ReferenceData!$C$95),"",ReferenceData!$C$95),"")</f>
        <v/>
      </c>
      <c r="D95" t="str">
        <f>IFERROR(IF(0=LEN(ReferenceData!$D$95),"",ReferenceData!$D$95),"")</f>
        <v/>
      </c>
      <c r="E95" t="str">
        <f>IFERROR(IF(0=LEN(ReferenceData!$E$95),"",ReferenceData!$E$95),"")</f>
        <v>Static</v>
      </c>
      <c r="F95">
        <f ca="1">IFERROR(IF(0=LEN(ReferenceData!$K$95),"",ReferenceData!$K$95),"")</f>
        <v>8.9760000000000009</v>
      </c>
      <c r="G95">
        <f ca="1">IFERROR(IF(0=LEN(ReferenceData!$J$95),"",ReferenceData!$J$95),"")</f>
        <v>7.6769999999999996</v>
      </c>
      <c r="H95">
        <f ca="1">IFERROR(IF(0=LEN(ReferenceData!$I$95),"",ReferenceData!$I$95),"")</f>
        <v>7.8049999999999997</v>
      </c>
      <c r="I95">
        <f ca="1">IFERROR(IF(0=LEN(ReferenceData!$H$95),"",ReferenceData!$H$95),"")</f>
        <v>8.0039999999999996</v>
      </c>
      <c r="J95">
        <f ca="1">IFERROR(IF(0=LEN(ReferenceData!$G$95),"",ReferenceData!$G$95),"")</f>
        <v>8.548</v>
      </c>
      <c r="K95">
        <f ca="1">IFERROR(IF(0=LEN(ReferenceData!$F$95),"",ReferenceData!$F$95),"")</f>
        <v>8.9350000000000005</v>
      </c>
    </row>
    <row r="96" spans="1:11" x14ac:dyDescent="0.25">
      <c r="A96" t="str">
        <f>IFERROR(IF(0=LEN(ReferenceData!$A$96),"",ReferenceData!$A$96),"")</f>
        <v xml:space="preserve">    ATOS</v>
      </c>
      <c r="B96" t="str">
        <f>IFERROR(IF(0=LEN(ReferenceData!$B$96),"",ReferenceData!$B$96),"")</f>
        <v/>
      </c>
      <c r="C96" t="str">
        <f>IFERROR(IF(0=LEN(ReferenceData!$C$96),"",ReferenceData!$C$96),"")</f>
        <v/>
      </c>
      <c r="D96" t="str">
        <f>IFERROR(IF(0=LEN(ReferenceData!$D$96),"",ReferenceData!$D$96),"")</f>
        <v/>
      </c>
      <c r="E96" t="str">
        <f>IFERROR(IF(0=LEN(ReferenceData!$E$96),"",ReferenceData!$E$96),"")</f>
        <v>Static</v>
      </c>
      <c r="F96">
        <f ca="1">IFERROR(IF(0=LEN(ReferenceData!$K$96),"",ReferenceData!$K$96),"")</f>
        <v>10.89</v>
      </c>
      <c r="G96">
        <f ca="1">IFERROR(IF(0=LEN(ReferenceData!$J$96),"",ReferenceData!$J$96),"")</f>
        <v>9.5410000000000004</v>
      </c>
      <c r="H96">
        <f ca="1">IFERROR(IF(0=LEN(ReferenceData!$I$96),"",ReferenceData!$I$96),"")</f>
        <v>7.5229999999999997</v>
      </c>
      <c r="I96">
        <f ca="1">IFERROR(IF(0=LEN(ReferenceData!$H$96),"",ReferenceData!$H$96),"")</f>
        <v>8.0510000000000002</v>
      </c>
      <c r="J96">
        <f ca="1">IFERROR(IF(0=LEN(ReferenceData!$G$96),"",ReferenceData!$G$96),"")</f>
        <v>8.266</v>
      </c>
      <c r="K96">
        <f ca="1">IFERROR(IF(0=LEN(ReferenceData!$F$96),"",ReferenceData!$F$96),"")</f>
        <v>8.2870000000000008</v>
      </c>
    </row>
    <row r="97" spans="1:11" x14ac:dyDescent="0.25">
      <c r="A97" t="str">
        <f>IFERROR(IF(0=LEN(ReferenceData!$A$97),"",ReferenceData!$A$97),"")</f>
        <v xml:space="preserve">    DXC</v>
      </c>
      <c r="B97" t="str">
        <f>IFERROR(IF(0=LEN(ReferenceData!$B$97),"",ReferenceData!$B$97),"")</f>
        <v/>
      </c>
      <c r="C97" t="str">
        <f>IFERROR(IF(0=LEN(ReferenceData!$C$97),"",ReferenceData!$C$97),"")</f>
        <v/>
      </c>
      <c r="D97" t="str">
        <f>IFERROR(IF(0=LEN(ReferenceData!$D$97),"",ReferenceData!$D$97),"")</f>
        <v/>
      </c>
      <c r="E97" t="str">
        <f>IFERROR(IF(0=LEN(ReferenceData!$E$97),"",ReferenceData!$E$97),"")</f>
        <v>Static</v>
      </c>
      <c r="F97" t="str">
        <f ca="1">IFERROR(IF(0=LEN(ReferenceData!$K$97),"",ReferenceData!$K$97),"")</f>
        <v/>
      </c>
      <c r="G97" t="str">
        <f ca="1">IFERROR(IF(0=LEN(ReferenceData!$J$97),"",ReferenceData!$J$97),"")</f>
        <v/>
      </c>
      <c r="H97" t="str">
        <f ca="1">IFERROR(IF(0=LEN(ReferenceData!$I$97),"",ReferenceData!$I$97),"")</f>
        <v/>
      </c>
      <c r="I97">
        <f ca="1">IFERROR(IF(0=LEN(ReferenceData!$H$97),"",ReferenceData!$H$97),"")</f>
        <v>6.5220000000000002</v>
      </c>
      <c r="J97">
        <f ca="1">IFERROR(IF(0=LEN(ReferenceData!$G$97),"",ReferenceData!$G$97),"")</f>
        <v>7.7130000000000001</v>
      </c>
      <c r="K97">
        <f ca="1">IFERROR(IF(0=LEN(ReferenceData!$F$97),"",ReferenceData!$F$97),"")</f>
        <v>7.3639999999999999</v>
      </c>
    </row>
    <row r="98" spans="1:11" x14ac:dyDescent="0.25">
      <c r="A98" t="str">
        <f>IFERROR(IF(0=LEN(ReferenceData!$A$98),"",ReferenceData!$A$98),"")</f>
        <v xml:space="preserve">    PwC</v>
      </c>
      <c r="B98" t="str">
        <f>IFERROR(IF(0=LEN(ReferenceData!$B$98),"",ReferenceData!$B$98),"")</f>
        <v/>
      </c>
      <c r="C98" t="str">
        <f>IFERROR(IF(0=LEN(ReferenceData!$C$98),"",ReferenceData!$C$98),"")</f>
        <v/>
      </c>
      <c r="D98" t="str">
        <f>IFERROR(IF(0=LEN(ReferenceData!$D$98),"",ReferenceData!$D$98),"")</f>
        <v/>
      </c>
      <c r="E98" t="str">
        <f>IFERROR(IF(0=LEN(ReferenceData!$E$98),"",ReferenceData!$E$98),"")</f>
        <v>Static</v>
      </c>
      <c r="F98" t="str">
        <f ca="1">IFERROR(IF(0=LEN(ReferenceData!$K$98),"",ReferenceData!$K$98),"")</f>
        <v/>
      </c>
      <c r="G98" t="str">
        <f ca="1">IFERROR(IF(0=LEN(ReferenceData!$J$98),"",ReferenceData!$J$98),"")</f>
        <v/>
      </c>
      <c r="H98" t="str">
        <f ca="1">IFERROR(IF(0=LEN(ReferenceData!$I$98),"",ReferenceData!$I$98),"")</f>
        <v/>
      </c>
      <c r="I98">
        <f ca="1">IFERROR(IF(0=LEN(ReferenceData!$H$98),"",ReferenceData!$H$98),"")</f>
        <v>5.1479999999999997</v>
      </c>
      <c r="J98">
        <f ca="1">IFERROR(IF(0=LEN(ReferenceData!$G$98),"",ReferenceData!$G$98),"")</f>
        <v>5.907</v>
      </c>
      <c r="K98">
        <f ca="1">IFERROR(IF(0=LEN(ReferenceData!$F$98),"",ReferenceData!$F$98),"")</f>
        <v>6.7839999999999998</v>
      </c>
    </row>
    <row r="99" spans="1:11" x14ac:dyDescent="0.25">
      <c r="A99" t="str">
        <f>IFERROR(IF(0=LEN(ReferenceData!$A$99),"",ReferenceData!$A$99),"")</f>
        <v xml:space="preserve">    CGI</v>
      </c>
      <c r="B99" t="str">
        <f>IFERROR(IF(0=LEN(ReferenceData!$B$99),"",ReferenceData!$B$99),"")</f>
        <v/>
      </c>
      <c r="C99" t="str">
        <f>IFERROR(IF(0=LEN(ReferenceData!$C$99),"",ReferenceData!$C$99),"")</f>
        <v/>
      </c>
      <c r="D99" t="str">
        <f>IFERROR(IF(0=LEN(ReferenceData!$D$99),"",ReferenceData!$D$99),"")</f>
        <v/>
      </c>
      <c r="E99" t="str">
        <f>IFERROR(IF(0=LEN(ReferenceData!$E$99),"",ReferenceData!$E$99),"")</f>
        <v>Static</v>
      </c>
      <c r="F99" t="str">
        <f ca="1">IFERROR(IF(0=LEN(ReferenceData!$K$99),"",ReferenceData!$K$99),"")</f>
        <v/>
      </c>
      <c r="G99" t="str">
        <f ca="1">IFERROR(IF(0=LEN(ReferenceData!$J$99),"",ReferenceData!$J$99),"")</f>
        <v/>
      </c>
      <c r="H99" t="str">
        <f ca="1">IFERROR(IF(0=LEN(ReferenceData!$I$99),"",ReferenceData!$I$99),"")</f>
        <v/>
      </c>
      <c r="I99">
        <f ca="1">IFERROR(IF(0=LEN(ReferenceData!$H$99),"",ReferenceData!$H$99),"")</f>
        <v>4.2830000000000004</v>
      </c>
      <c r="J99">
        <f ca="1">IFERROR(IF(0=LEN(ReferenceData!$G$99),"",ReferenceData!$G$99),"")</f>
        <v>4.625</v>
      </c>
      <c r="K99">
        <f ca="1">IFERROR(IF(0=LEN(ReferenceData!$F$99),"",ReferenceData!$F$99),"")</f>
        <v>4.915</v>
      </c>
    </row>
    <row r="100" spans="1:11" x14ac:dyDescent="0.25">
      <c r="A100" t="str">
        <f>IFERROR(IF(0=LEN(ReferenceData!$A$100),"",ReferenceData!$A$100),"")</f>
        <v xml:space="preserve">    Ernst &amp; Young</v>
      </c>
      <c r="B100" t="str">
        <f>IFERROR(IF(0=LEN(ReferenceData!$B$100),"",ReferenceData!$B$100),"")</f>
        <v/>
      </c>
      <c r="C100" t="str">
        <f>IFERROR(IF(0=LEN(ReferenceData!$C$100),"",ReferenceData!$C$100),"")</f>
        <v/>
      </c>
      <c r="D100" t="str">
        <f>IFERROR(IF(0=LEN(ReferenceData!$D$100),"",ReferenceData!$D$100),"")</f>
        <v/>
      </c>
      <c r="E100" t="str">
        <f>IFERROR(IF(0=LEN(ReferenceData!$E$100),"",ReferenceData!$E$100),"")</f>
        <v>Static</v>
      </c>
      <c r="F100" t="str">
        <f ca="1">IFERROR(IF(0=LEN(ReferenceData!$K$100),"",ReferenceData!$K$100),"")</f>
        <v/>
      </c>
      <c r="G100" t="str">
        <f ca="1">IFERROR(IF(0=LEN(ReferenceData!$J$100),"",ReferenceData!$J$100),"")</f>
        <v/>
      </c>
      <c r="H100" t="str">
        <f ca="1">IFERROR(IF(0=LEN(ReferenceData!$I$100),"",ReferenceData!$I$100),"")</f>
        <v/>
      </c>
      <c r="I100">
        <f ca="1">IFERROR(IF(0=LEN(ReferenceData!$H$100),"",ReferenceData!$H$100),"")</f>
        <v>4.2140000000000004</v>
      </c>
      <c r="J100">
        <f ca="1">IFERROR(IF(0=LEN(ReferenceData!$G$100),"",ReferenceData!$G$100),"")</f>
        <v>4.5830000000000002</v>
      </c>
      <c r="K100">
        <f ca="1">IFERROR(IF(0=LEN(ReferenceData!$F$100),"",ReferenceData!$F$100),"")</f>
        <v>4.5949999999999998</v>
      </c>
    </row>
    <row r="101" spans="1:11" x14ac:dyDescent="0.25">
      <c r="A101" t="str">
        <f>IFERROR(IF(0=LEN(ReferenceData!$A$101),"",ReferenceData!$A$101),"")</f>
        <v xml:space="preserve">    Tata Consultancy Group</v>
      </c>
      <c r="B101" t="str">
        <f>IFERROR(IF(0=LEN(ReferenceData!$B$101),"",ReferenceData!$B$101),"")</f>
        <v/>
      </c>
      <c r="C101" t="str">
        <f>IFERROR(IF(0=LEN(ReferenceData!$C$101),"",ReferenceData!$C$101),"")</f>
        <v/>
      </c>
      <c r="D101" t="str">
        <f>IFERROR(IF(0=LEN(ReferenceData!$D$101),"",ReferenceData!$D$101),"")</f>
        <v/>
      </c>
      <c r="E101" t="str">
        <f>IFERROR(IF(0=LEN(ReferenceData!$E$101),"",ReferenceData!$E$101),"")</f>
        <v>Static</v>
      </c>
      <c r="F101" t="str">
        <f ca="1">IFERROR(IF(0=LEN(ReferenceData!$K$101),"",ReferenceData!$K$101),"")</f>
        <v/>
      </c>
      <c r="G101" t="str">
        <f ca="1">IFERROR(IF(0=LEN(ReferenceData!$J$101),"",ReferenceData!$J$101),"")</f>
        <v/>
      </c>
      <c r="H101" t="str">
        <f ca="1">IFERROR(IF(0=LEN(ReferenceData!$I$101),"",ReferenceData!$I$101),"")</f>
        <v/>
      </c>
      <c r="I101">
        <f ca="1">IFERROR(IF(0=LEN(ReferenceData!$H$101),"",ReferenceData!$H$101),"")</f>
        <v>3.4289999999999998</v>
      </c>
      <c r="J101">
        <f ca="1">IFERROR(IF(0=LEN(ReferenceData!$G$101),"",ReferenceData!$G$101),"")</f>
        <v>4.1689999999999996</v>
      </c>
      <c r="K101">
        <f ca="1">IFERROR(IF(0=LEN(ReferenceData!$F$101),"",ReferenceData!$F$101),"")</f>
        <v>4.5679999999999996</v>
      </c>
    </row>
    <row r="102" spans="1:11" x14ac:dyDescent="0.25">
      <c r="A102" t="str">
        <f>IFERROR(IF(0=LEN(ReferenceData!$A$102),"",ReferenceData!$A$102),"")</f>
        <v xml:space="preserve">    Other</v>
      </c>
      <c r="B102" t="str">
        <f>IFERROR(IF(0=LEN(ReferenceData!$B$102),"",ReferenceData!$B$102),"")</f>
        <v/>
      </c>
      <c r="C102" t="str">
        <f>IFERROR(IF(0=LEN(ReferenceData!$C$102),"",ReferenceData!$C$102),"")</f>
        <v/>
      </c>
      <c r="D102" t="str">
        <f>IFERROR(IF(0=LEN(ReferenceData!$D$102),"",ReferenceData!$D$102),"")</f>
        <v/>
      </c>
      <c r="E102" t="str">
        <f>IFERROR(IF(0=LEN(ReferenceData!$E$102),"",ReferenceData!$E$102),"")</f>
        <v>Static</v>
      </c>
      <c r="F102">
        <f ca="1">IFERROR(IF(0=LEN(ReferenceData!$K$102),"",ReferenceData!$K$102),"")</f>
        <v>231.005</v>
      </c>
      <c r="G102">
        <f ca="1">IFERROR(IF(0=LEN(ReferenceData!$J$102),"",ReferenceData!$J$102),"")</f>
        <v>204.81100000000001</v>
      </c>
      <c r="H102">
        <f ca="1">IFERROR(IF(0=LEN(ReferenceData!$I$102),"",ReferenceData!$I$102),"")</f>
        <v>204.52500000000001</v>
      </c>
      <c r="I102">
        <f ca="1">IFERROR(IF(0=LEN(ReferenceData!$H$102),"",ReferenceData!$H$102),"")</f>
        <v>184.41900000000001</v>
      </c>
      <c r="J102">
        <f ca="1">IFERROR(IF(0=LEN(ReferenceData!$G$102),"",ReferenceData!$G$102),"")</f>
        <v>195.238</v>
      </c>
      <c r="K102">
        <f ca="1">IFERROR(IF(0=LEN(ReferenceData!$F$102),"",ReferenceData!$F$102),"")</f>
        <v>190.45500000000001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6722-4169-4500-B619-33683147E090}">
  <dimension ref="A2:K102"/>
  <sheetViews>
    <sheetView workbookViewId="0">
      <selection activeCell="P16" sqref="P16"/>
    </sheetView>
  </sheetViews>
  <sheetFormatPr defaultRowHeight="15" x14ac:dyDescent="0.25"/>
  <cols>
    <col min="1" max="1" width="34.7109375" customWidth="1"/>
    <col min="2" max="11" width="17.42578125" customWidth="1"/>
  </cols>
  <sheetData>
    <row r="2" spans="1:11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</row>
    <row r="3" spans="1:11" x14ac:dyDescent="0.25">
      <c r="A3" t="s">
        <v>39</v>
      </c>
      <c r="B3" t="s">
        <v>40</v>
      </c>
      <c r="C3" t="s">
        <v>40</v>
      </c>
      <c r="D3" t="s">
        <v>40</v>
      </c>
      <c r="E3" t="s">
        <v>41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</row>
    <row r="4" spans="1:11" x14ac:dyDescent="0.25">
      <c r="A4" t="s">
        <v>42</v>
      </c>
      <c r="B4" t="s">
        <v>40</v>
      </c>
      <c r="C4" t="s">
        <v>40</v>
      </c>
      <c r="D4" t="s">
        <v>40</v>
      </c>
      <c r="E4" t="s">
        <v>41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</row>
    <row r="5" spans="1:11" x14ac:dyDescent="0.25">
      <c r="A5" t="s">
        <v>40</v>
      </c>
      <c r="B5" t="s">
        <v>40</v>
      </c>
      <c r="C5" t="s">
        <v>40</v>
      </c>
      <c r="D5" t="s">
        <v>40</v>
      </c>
      <c r="E5" t="s">
        <v>43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</row>
    <row r="6" spans="1:11" x14ac:dyDescent="0.25">
      <c r="A6" t="s">
        <v>44</v>
      </c>
      <c r="B6" t="s">
        <v>40</v>
      </c>
      <c r="C6" t="s">
        <v>40</v>
      </c>
      <c r="D6" t="s">
        <v>40</v>
      </c>
      <c r="E6" t="s">
        <v>43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</row>
    <row r="7" spans="1:11" x14ac:dyDescent="0.25">
      <c r="A7" t="s">
        <v>45</v>
      </c>
      <c r="B7" t="s">
        <v>40</v>
      </c>
      <c r="C7" t="s">
        <v>40</v>
      </c>
      <c r="D7" t="s">
        <v>40</v>
      </c>
      <c r="E7" t="s">
        <v>46</v>
      </c>
      <c r="F7">
        <v>98.361000000000004</v>
      </c>
      <c r="G7">
        <v>96.576999999999998</v>
      </c>
      <c r="H7">
        <v>99.664000000000001</v>
      </c>
      <c r="I7">
        <v>107.139</v>
      </c>
      <c r="J7">
        <v>113.90599999999999</v>
      </c>
      <c r="K7">
        <v>116.62899999999999</v>
      </c>
    </row>
    <row r="8" spans="1:11" x14ac:dyDescent="0.25">
      <c r="A8" t="s">
        <v>47</v>
      </c>
      <c r="B8" t="s">
        <v>40</v>
      </c>
      <c r="C8" t="s">
        <v>40</v>
      </c>
      <c r="D8" t="s">
        <v>40</v>
      </c>
      <c r="E8" t="s">
        <v>43</v>
      </c>
      <c r="F8">
        <v>6.9909999999999997</v>
      </c>
      <c r="G8">
        <v>6.1660000000000004</v>
      </c>
      <c r="H8">
        <v>6.0510000000000002</v>
      </c>
      <c r="I8">
        <v>6.2080000000000002</v>
      </c>
      <c r="J8">
        <v>6.32</v>
      </c>
      <c r="K8">
        <v>6.2089999999999996</v>
      </c>
    </row>
    <row r="9" spans="1:11" x14ac:dyDescent="0.25">
      <c r="A9" t="s">
        <v>48</v>
      </c>
      <c r="B9" t="s">
        <v>40</v>
      </c>
      <c r="C9" t="s">
        <v>40</v>
      </c>
      <c r="D9" t="s">
        <v>40</v>
      </c>
      <c r="E9" t="s">
        <v>43</v>
      </c>
      <c r="F9">
        <v>2.7490000000000001</v>
      </c>
      <c r="G9">
        <v>2.597</v>
      </c>
      <c r="H9">
        <v>2.9159999999999999</v>
      </c>
      <c r="I9">
        <v>3.0819999999999999</v>
      </c>
      <c r="J9">
        <v>3.2839999999999998</v>
      </c>
      <c r="K9">
        <v>3.375</v>
      </c>
    </row>
    <row r="10" spans="1:11" x14ac:dyDescent="0.25">
      <c r="A10" t="s">
        <v>49</v>
      </c>
      <c r="B10" t="s">
        <v>40</v>
      </c>
      <c r="C10" t="s">
        <v>40</v>
      </c>
      <c r="D10" t="s">
        <v>40</v>
      </c>
      <c r="E10" t="s">
        <v>43</v>
      </c>
      <c r="F10">
        <v>2.7669999999999999</v>
      </c>
      <c r="G10">
        <v>2.6139999999999999</v>
      </c>
      <c r="H10">
        <v>2.5089999999999999</v>
      </c>
      <c r="I10">
        <v>2.879</v>
      </c>
      <c r="J10">
        <v>3.226</v>
      </c>
      <c r="K10">
        <v>3.2330000000000001</v>
      </c>
    </row>
    <row r="11" spans="1:11" x14ac:dyDescent="0.25">
      <c r="A11" t="s">
        <v>50</v>
      </c>
      <c r="B11" t="s">
        <v>40</v>
      </c>
      <c r="C11" t="s">
        <v>40</v>
      </c>
      <c r="D11" t="s">
        <v>40</v>
      </c>
      <c r="E11" t="s">
        <v>43</v>
      </c>
      <c r="F11">
        <v>4.1050000000000004</v>
      </c>
      <c r="G11">
        <v>3.738</v>
      </c>
      <c r="H11">
        <v>1.2689999999999999</v>
      </c>
      <c r="I11">
        <v>2.5070000000000001</v>
      </c>
      <c r="J11">
        <v>2.8780000000000001</v>
      </c>
      <c r="K11">
        <v>2.605</v>
      </c>
    </row>
    <row r="12" spans="1:11" x14ac:dyDescent="0.25">
      <c r="A12" t="s">
        <v>51</v>
      </c>
      <c r="B12" t="s">
        <v>40</v>
      </c>
      <c r="C12" t="s">
        <v>40</v>
      </c>
      <c r="D12" t="s">
        <v>40</v>
      </c>
      <c r="E12" t="s">
        <v>43</v>
      </c>
      <c r="F12">
        <v>1.71</v>
      </c>
      <c r="G12">
        <v>1.704</v>
      </c>
      <c r="H12">
        <v>1.863</v>
      </c>
      <c r="I12">
        <v>2.044</v>
      </c>
      <c r="J12">
        <v>2.2589999999999999</v>
      </c>
      <c r="K12">
        <v>2.427</v>
      </c>
    </row>
    <row r="13" spans="1:11" x14ac:dyDescent="0.25">
      <c r="A13" t="s">
        <v>52</v>
      </c>
      <c r="B13" t="s">
        <v>40</v>
      </c>
      <c r="C13" t="s">
        <v>40</v>
      </c>
      <c r="D13" t="s">
        <v>40</v>
      </c>
      <c r="E13" t="s">
        <v>43</v>
      </c>
      <c r="F13" t="s">
        <v>40</v>
      </c>
      <c r="G13" t="s">
        <v>40</v>
      </c>
      <c r="H13" t="s">
        <v>40</v>
      </c>
      <c r="I13">
        <v>1.8979999999999999</v>
      </c>
      <c r="J13">
        <v>1.988</v>
      </c>
      <c r="K13">
        <v>2.0459999999999998</v>
      </c>
    </row>
    <row r="14" spans="1:11" x14ac:dyDescent="0.25">
      <c r="A14" t="s">
        <v>53</v>
      </c>
      <c r="B14" t="s">
        <v>40</v>
      </c>
      <c r="C14" t="s">
        <v>40</v>
      </c>
      <c r="D14" t="s">
        <v>40</v>
      </c>
      <c r="E14" t="s">
        <v>43</v>
      </c>
      <c r="F14" t="s">
        <v>40</v>
      </c>
      <c r="G14" t="s">
        <v>40</v>
      </c>
      <c r="H14" t="s">
        <v>40</v>
      </c>
      <c r="I14">
        <v>1.3819999999999999</v>
      </c>
      <c r="J14">
        <v>1.5840000000000001</v>
      </c>
      <c r="K14">
        <v>1.744</v>
      </c>
    </row>
    <row r="15" spans="1:11" x14ac:dyDescent="0.25">
      <c r="A15" t="s">
        <v>54</v>
      </c>
      <c r="B15" t="s">
        <v>40</v>
      </c>
      <c r="C15" t="s">
        <v>40</v>
      </c>
      <c r="D15" t="s">
        <v>40</v>
      </c>
      <c r="E15" t="s">
        <v>43</v>
      </c>
      <c r="F15" t="s">
        <v>40</v>
      </c>
      <c r="G15" t="s">
        <v>40</v>
      </c>
      <c r="H15" t="s">
        <v>40</v>
      </c>
      <c r="I15">
        <v>1.5580000000000001</v>
      </c>
      <c r="J15">
        <v>1.655</v>
      </c>
      <c r="K15">
        <v>1.641</v>
      </c>
    </row>
    <row r="16" spans="1:11" x14ac:dyDescent="0.25">
      <c r="A16" t="s">
        <v>55</v>
      </c>
      <c r="B16" t="s">
        <v>40</v>
      </c>
      <c r="C16" t="s">
        <v>40</v>
      </c>
      <c r="D16" t="s">
        <v>40</v>
      </c>
      <c r="E16" t="s">
        <v>43</v>
      </c>
      <c r="F16" t="s">
        <v>40</v>
      </c>
      <c r="G16" t="s">
        <v>40</v>
      </c>
      <c r="H16" t="s">
        <v>40</v>
      </c>
      <c r="I16">
        <v>1.236</v>
      </c>
      <c r="J16">
        <v>1.345</v>
      </c>
      <c r="K16">
        <v>1.4079999999999999</v>
      </c>
    </row>
    <row r="17" spans="1:11" x14ac:dyDescent="0.25">
      <c r="A17" t="s">
        <v>56</v>
      </c>
      <c r="B17" t="s">
        <v>40</v>
      </c>
      <c r="C17" t="s">
        <v>40</v>
      </c>
      <c r="D17" t="s">
        <v>40</v>
      </c>
      <c r="E17" t="s">
        <v>43</v>
      </c>
      <c r="F17" t="s">
        <v>40</v>
      </c>
      <c r="G17" t="s">
        <v>40</v>
      </c>
      <c r="H17" t="s">
        <v>40</v>
      </c>
      <c r="I17">
        <v>1.2350000000000001</v>
      </c>
      <c r="J17">
        <v>1.2789999999999999</v>
      </c>
      <c r="K17">
        <v>1.3049999999999999</v>
      </c>
    </row>
    <row r="18" spans="1:11" x14ac:dyDescent="0.25">
      <c r="A18" t="s">
        <v>57</v>
      </c>
      <c r="B18" t="s">
        <v>40</v>
      </c>
      <c r="C18" t="s">
        <v>40</v>
      </c>
      <c r="D18" t="s">
        <v>40</v>
      </c>
      <c r="E18" t="s">
        <v>43</v>
      </c>
      <c r="F18">
        <v>80.039000000000001</v>
      </c>
      <c r="G18">
        <v>79.757999999999996</v>
      </c>
      <c r="H18">
        <v>85.055999999999997</v>
      </c>
      <c r="I18">
        <v>83.11</v>
      </c>
      <c r="J18">
        <v>88.087999999999994</v>
      </c>
      <c r="K18">
        <v>90.635999999999996</v>
      </c>
    </row>
    <row r="19" spans="1:11" x14ac:dyDescent="0.25">
      <c r="A19" t="s">
        <v>58</v>
      </c>
      <c r="B19" t="s">
        <v>40</v>
      </c>
      <c r="C19" t="s">
        <v>40</v>
      </c>
      <c r="D19" t="s">
        <v>40</v>
      </c>
      <c r="E19" t="s">
        <v>46</v>
      </c>
      <c r="F19">
        <v>28.043999999999997</v>
      </c>
      <c r="G19">
        <v>24.465</v>
      </c>
      <c r="H19">
        <v>24.977</v>
      </c>
      <c r="I19">
        <v>25.913999999999998</v>
      </c>
      <c r="J19">
        <v>26.427999999999997</v>
      </c>
      <c r="K19">
        <v>26.356999999999999</v>
      </c>
    </row>
    <row r="20" spans="1:11" x14ac:dyDescent="0.25">
      <c r="A20" t="s">
        <v>47</v>
      </c>
      <c r="B20" t="s">
        <v>40</v>
      </c>
      <c r="C20" t="s">
        <v>40</v>
      </c>
      <c r="D20" t="s">
        <v>40</v>
      </c>
      <c r="E20" t="s">
        <v>43</v>
      </c>
      <c r="F20">
        <v>3.0019999999999998</v>
      </c>
      <c r="G20">
        <v>2.3199999999999998</v>
      </c>
      <c r="H20">
        <v>2.2200000000000002</v>
      </c>
      <c r="I20">
        <v>2.3109999999999999</v>
      </c>
      <c r="J20">
        <v>2.3860000000000001</v>
      </c>
      <c r="K20">
        <v>2.5499999999999998</v>
      </c>
    </row>
    <row r="21" spans="1:11" x14ac:dyDescent="0.25">
      <c r="A21" t="s">
        <v>59</v>
      </c>
      <c r="B21" t="s">
        <v>40</v>
      </c>
      <c r="C21" t="s">
        <v>40</v>
      </c>
      <c r="D21" t="s">
        <v>40</v>
      </c>
      <c r="E21" t="s">
        <v>43</v>
      </c>
      <c r="F21">
        <v>1.38</v>
      </c>
      <c r="G21">
        <v>1.163</v>
      </c>
      <c r="H21">
        <v>1.1160000000000001</v>
      </c>
      <c r="I21">
        <v>1.3069999999999999</v>
      </c>
      <c r="J21">
        <v>1.36</v>
      </c>
      <c r="K21">
        <v>1.3440000000000001</v>
      </c>
    </row>
    <row r="22" spans="1:11" x14ac:dyDescent="0.25">
      <c r="A22" t="s">
        <v>51</v>
      </c>
      <c r="B22" t="s">
        <v>40</v>
      </c>
      <c r="C22" t="s">
        <v>40</v>
      </c>
      <c r="D22" t="s">
        <v>40</v>
      </c>
      <c r="E22" t="s">
        <v>43</v>
      </c>
      <c r="F22">
        <v>0.98899999999999999</v>
      </c>
      <c r="G22">
        <v>0.96399999999999997</v>
      </c>
      <c r="H22">
        <v>1.0329999999999999</v>
      </c>
      <c r="I22">
        <v>1.1279999999999999</v>
      </c>
      <c r="J22">
        <v>1.232</v>
      </c>
      <c r="K22">
        <v>1.2789999999999999</v>
      </c>
    </row>
    <row r="23" spans="1:11" x14ac:dyDescent="0.25">
      <c r="A23" t="s">
        <v>60</v>
      </c>
      <c r="B23" t="s">
        <v>40</v>
      </c>
      <c r="C23" t="s">
        <v>40</v>
      </c>
      <c r="D23" t="s">
        <v>40</v>
      </c>
      <c r="E23" t="s">
        <v>43</v>
      </c>
      <c r="F23">
        <v>0.88800000000000001</v>
      </c>
      <c r="G23">
        <v>0.83799999999999997</v>
      </c>
      <c r="H23">
        <v>0.98099999999999998</v>
      </c>
      <c r="I23">
        <v>0.99199999999999999</v>
      </c>
      <c r="J23">
        <v>0.98699999999999999</v>
      </c>
      <c r="K23">
        <v>1.0009999999999999</v>
      </c>
    </row>
    <row r="24" spans="1:11" x14ac:dyDescent="0.25">
      <c r="A24" t="s">
        <v>48</v>
      </c>
      <c r="B24" t="s">
        <v>40</v>
      </c>
      <c r="C24" t="s">
        <v>40</v>
      </c>
      <c r="D24" t="s">
        <v>40</v>
      </c>
      <c r="E24" t="s">
        <v>43</v>
      </c>
      <c r="F24">
        <v>0.94599999999999995</v>
      </c>
      <c r="G24">
        <v>0.97799999999999998</v>
      </c>
      <c r="H24">
        <v>0.72899999999999998</v>
      </c>
      <c r="I24">
        <v>0.77100000000000002</v>
      </c>
      <c r="J24">
        <v>0.83399999999999996</v>
      </c>
      <c r="K24">
        <v>0.878</v>
      </c>
    </row>
    <row r="25" spans="1:11" x14ac:dyDescent="0.25">
      <c r="A25" t="s">
        <v>52</v>
      </c>
      <c r="B25" t="s">
        <v>40</v>
      </c>
      <c r="C25" t="s">
        <v>40</v>
      </c>
      <c r="D25" t="s">
        <v>40</v>
      </c>
      <c r="E25" t="s">
        <v>43</v>
      </c>
      <c r="F25" t="s">
        <v>40</v>
      </c>
      <c r="G25" t="s">
        <v>40</v>
      </c>
      <c r="H25" t="s">
        <v>40</v>
      </c>
      <c r="I25">
        <v>0.67200000000000004</v>
      </c>
      <c r="J25">
        <v>0.77600000000000002</v>
      </c>
      <c r="K25">
        <v>0.78800000000000003</v>
      </c>
    </row>
    <row r="26" spans="1:11" x14ac:dyDescent="0.25">
      <c r="A26" t="s">
        <v>61</v>
      </c>
      <c r="B26" t="s">
        <v>40</v>
      </c>
      <c r="C26" t="s">
        <v>40</v>
      </c>
      <c r="D26" t="s">
        <v>40</v>
      </c>
      <c r="E26" t="s">
        <v>43</v>
      </c>
      <c r="F26" t="s">
        <v>40</v>
      </c>
      <c r="G26" t="s">
        <v>40</v>
      </c>
      <c r="H26" t="s">
        <v>40</v>
      </c>
      <c r="I26">
        <v>0.68500000000000005</v>
      </c>
      <c r="J26">
        <v>0.71699999999999997</v>
      </c>
      <c r="K26">
        <v>0.73099999999999998</v>
      </c>
    </row>
    <row r="27" spans="1:11" x14ac:dyDescent="0.25">
      <c r="A27" t="s">
        <v>53</v>
      </c>
      <c r="B27" t="s">
        <v>40</v>
      </c>
      <c r="C27" t="s">
        <v>40</v>
      </c>
      <c r="D27" t="s">
        <v>40</v>
      </c>
      <c r="E27" t="s">
        <v>43</v>
      </c>
      <c r="F27" t="s">
        <v>40</v>
      </c>
      <c r="G27" t="s">
        <v>40</v>
      </c>
      <c r="H27" t="s">
        <v>40</v>
      </c>
      <c r="I27">
        <v>0.60699999999999998</v>
      </c>
      <c r="J27">
        <v>0.61899999999999999</v>
      </c>
      <c r="K27">
        <v>0.64</v>
      </c>
    </row>
    <row r="28" spans="1:11" x14ac:dyDescent="0.25">
      <c r="A28" t="s">
        <v>50</v>
      </c>
      <c r="B28" t="s">
        <v>40</v>
      </c>
      <c r="C28" t="s">
        <v>40</v>
      </c>
      <c r="D28" t="s">
        <v>40</v>
      </c>
      <c r="E28" t="s">
        <v>43</v>
      </c>
      <c r="F28" t="s">
        <v>40</v>
      </c>
      <c r="G28" t="s">
        <v>40</v>
      </c>
      <c r="H28" t="s">
        <v>40</v>
      </c>
      <c r="I28">
        <v>0.50800000000000001</v>
      </c>
      <c r="J28">
        <v>0.59499999999999997</v>
      </c>
      <c r="K28">
        <v>0.54700000000000004</v>
      </c>
    </row>
    <row r="29" spans="1:11" x14ac:dyDescent="0.25">
      <c r="A29" t="s">
        <v>62</v>
      </c>
      <c r="B29" t="s">
        <v>40</v>
      </c>
      <c r="C29" t="s">
        <v>40</v>
      </c>
      <c r="D29" t="s">
        <v>40</v>
      </c>
      <c r="E29" t="s">
        <v>43</v>
      </c>
      <c r="F29" t="s">
        <v>40</v>
      </c>
      <c r="G29" t="s">
        <v>40</v>
      </c>
      <c r="H29" t="s">
        <v>40</v>
      </c>
      <c r="I29">
        <v>0.48599999999999999</v>
      </c>
      <c r="J29">
        <v>0.53300000000000003</v>
      </c>
      <c r="K29">
        <v>0.54600000000000004</v>
      </c>
    </row>
    <row r="30" spans="1:11" x14ac:dyDescent="0.25">
      <c r="A30" t="s">
        <v>57</v>
      </c>
      <c r="B30" t="s">
        <v>40</v>
      </c>
      <c r="C30" t="s">
        <v>40</v>
      </c>
      <c r="D30" t="s">
        <v>40</v>
      </c>
      <c r="E30" t="s">
        <v>43</v>
      </c>
      <c r="F30">
        <v>20.838999999999999</v>
      </c>
      <c r="G30">
        <v>18.202000000000002</v>
      </c>
      <c r="H30">
        <v>18.898</v>
      </c>
      <c r="I30">
        <v>16.446999999999999</v>
      </c>
      <c r="J30">
        <v>16.388999999999999</v>
      </c>
      <c r="K30">
        <v>16.053000000000001</v>
      </c>
    </row>
    <row r="31" spans="1:11" x14ac:dyDescent="0.25">
      <c r="A31" t="s">
        <v>63</v>
      </c>
      <c r="B31" t="s">
        <v>40</v>
      </c>
      <c r="C31" t="s">
        <v>40</v>
      </c>
      <c r="D31" t="s">
        <v>40</v>
      </c>
      <c r="E31" t="s">
        <v>46</v>
      </c>
      <c r="F31">
        <v>20.405999999999999</v>
      </c>
      <c r="G31">
        <v>16.279</v>
      </c>
      <c r="H31">
        <v>16.425000000000001</v>
      </c>
      <c r="I31">
        <v>18.891999999999999</v>
      </c>
      <c r="J31">
        <v>20.482000000000003</v>
      </c>
      <c r="K31">
        <v>21.419</v>
      </c>
    </row>
    <row r="32" spans="1:11" x14ac:dyDescent="0.25">
      <c r="A32" t="s">
        <v>64</v>
      </c>
      <c r="B32" t="s">
        <v>40</v>
      </c>
      <c r="C32" t="s">
        <v>40</v>
      </c>
      <c r="D32" t="s">
        <v>40</v>
      </c>
      <c r="E32" t="s">
        <v>43</v>
      </c>
      <c r="F32">
        <v>0.63</v>
      </c>
      <c r="G32">
        <v>0.39100000000000001</v>
      </c>
      <c r="H32">
        <v>0.39700000000000002</v>
      </c>
      <c r="I32">
        <v>0.59099999999999997</v>
      </c>
      <c r="J32">
        <v>0.65900000000000003</v>
      </c>
      <c r="K32">
        <v>0.65900000000000003</v>
      </c>
    </row>
    <row r="33" spans="1:11" x14ac:dyDescent="0.25">
      <c r="A33" t="s">
        <v>65</v>
      </c>
      <c r="B33" t="s">
        <v>40</v>
      </c>
      <c r="C33" t="s">
        <v>40</v>
      </c>
      <c r="D33" t="s">
        <v>40</v>
      </c>
      <c r="E33" t="s">
        <v>43</v>
      </c>
      <c r="F33">
        <v>0.53200000000000003</v>
      </c>
      <c r="G33">
        <v>0.498</v>
      </c>
      <c r="H33">
        <v>0.50900000000000001</v>
      </c>
      <c r="I33">
        <v>0.502</v>
      </c>
      <c r="J33">
        <v>0.51300000000000001</v>
      </c>
      <c r="K33">
        <v>0.52800000000000002</v>
      </c>
    </row>
    <row r="34" spans="1:11" x14ac:dyDescent="0.25">
      <c r="A34" t="s">
        <v>66</v>
      </c>
      <c r="B34" t="s">
        <v>40</v>
      </c>
      <c r="C34" t="s">
        <v>40</v>
      </c>
      <c r="D34" t="s">
        <v>40</v>
      </c>
      <c r="E34" t="s">
        <v>43</v>
      </c>
      <c r="F34">
        <v>0.80900000000000005</v>
      </c>
      <c r="G34">
        <v>0.68700000000000006</v>
      </c>
      <c r="H34">
        <v>0.4</v>
      </c>
      <c r="I34">
        <v>0.44400000000000001</v>
      </c>
      <c r="J34">
        <v>0.47799999999999998</v>
      </c>
      <c r="K34">
        <v>0.48899999999999999</v>
      </c>
    </row>
    <row r="35" spans="1:11" x14ac:dyDescent="0.25">
      <c r="A35" t="s">
        <v>47</v>
      </c>
      <c r="B35" t="s">
        <v>40</v>
      </c>
      <c r="C35" t="s">
        <v>40</v>
      </c>
      <c r="D35" t="s">
        <v>40</v>
      </c>
      <c r="E35" t="s">
        <v>43</v>
      </c>
      <c r="F35">
        <v>0.65700000000000003</v>
      </c>
      <c r="G35">
        <v>0.54600000000000004</v>
      </c>
      <c r="H35">
        <v>0.498</v>
      </c>
      <c r="I35">
        <v>0.495</v>
      </c>
      <c r="J35">
        <v>0.46</v>
      </c>
      <c r="K35">
        <v>0.44900000000000001</v>
      </c>
    </row>
    <row r="36" spans="1:11" x14ac:dyDescent="0.25">
      <c r="A36" t="s">
        <v>67</v>
      </c>
      <c r="B36" t="s">
        <v>40</v>
      </c>
      <c r="C36" t="s">
        <v>40</v>
      </c>
      <c r="D36" t="s">
        <v>40</v>
      </c>
      <c r="E36" t="s">
        <v>43</v>
      </c>
      <c r="F36" t="s">
        <v>40</v>
      </c>
      <c r="G36" t="s">
        <v>40</v>
      </c>
      <c r="H36" t="s">
        <v>40</v>
      </c>
      <c r="I36">
        <v>0.30099999999999999</v>
      </c>
      <c r="J36">
        <v>0.35899999999999999</v>
      </c>
      <c r="K36">
        <v>0.40600000000000003</v>
      </c>
    </row>
    <row r="37" spans="1:11" x14ac:dyDescent="0.25">
      <c r="A37" t="s">
        <v>68</v>
      </c>
      <c r="B37" t="s">
        <v>40</v>
      </c>
      <c r="C37" t="s">
        <v>40</v>
      </c>
      <c r="D37" t="s">
        <v>40</v>
      </c>
      <c r="E37" t="s">
        <v>43</v>
      </c>
      <c r="F37" t="s">
        <v>40</v>
      </c>
      <c r="G37" t="s">
        <v>40</v>
      </c>
      <c r="H37" t="s">
        <v>40</v>
      </c>
      <c r="I37">
        <v>0.33900000000000002</v>
      </c>
      <c r="J37">
        <v>0.34399999999999997</v>
      </c>
      <c r="K37">
        <v>0.36199999999999999</v>
      </c>
    </row>
    <row r="38" spans="1:11" x14ac:dyDescent="0.25">
      <c r="A38" t="s">
        <v>51</v>
      </c>
      <c r="B38" t="s">
        <v>40</v>
      </c>
      <c r="C38" t="s">
        <v>40</v>
      </c>
      <c r="D38" t="s">
        <v>40</v>
      </c>
      <c r="E38" t="s">
        <v>43</v>
      </c>
      <c r="F38" t="s">
        <v>40</v>
      </c>
      <c r="G38" t="s">
        <v>40</v>
      </c>
      <c r="H38" t="s">
        <v>40</v>
      </c>
      <c r="I38">
        <v>0.26300000000000001</v>
      </c>
      <c r="J38">
        <v>0.28699999999999998</v>
      </c>
      <c r="K38">
        <v>0.30599999999999999</v>
      </c>
    </row>
    <row r="39" spans="1:11" x14ac:dyDescent="0.25">
      <c r="A39" t="s">
        <v>53</v>
      </c>
      <c r="B39" t="s">
        <v>40</v>
      </c>
      <c r="C39" t="s">
        <v>40</v>
      </c>
      <c r="D39" t="s">
        <v>40</v>
      </c>
      <c r="E39" t="s">
        <v>43</v>
      </c>
      <c r="F39" t="s">
        <v>40</v>
      </c>
      <c r="G39" t="s">
        <v>40</v>
      </c>
      <c r="H39" t="s">
        <v>40</v>
      </c>
      <c r="I39">
        <v>0.23</v>
      </c>
      <c r="J39">
        <v>0.25700000000000001</v>
      </c>
      <c r="K39">
        <v>0.29499999999999998</v>
      </c>
    </row>
    <row r="40" spans="1:11" x14ac:dyDescent="0.25">
      <c r="A40" t="s">
        <v>69</v>
      </c>
      <c r="B40" t="s">
        <v>40</v>
      </c>
      <c r="C40" t="s">
        <v>40</v>
      </c>
      <c r="D40" t="s">
        <v>40</v>
      </c>
      <c r="E40" t="s">
        <v>43</v>
      </c>
      <c r="F40" t="s">
        <v>40</v>
      </c>
      <c r="G40" t="s">
        <v>40</v>
      </c>
      <c r="H40" t="s">
        <v>40</v>
      </c>
      <c r="I40">
        <v>0.24</v>
      </c>
      <c r="J40">
        <v>0.27300000000000002</v>
      </c>
      <c r="K40">
        <v>0.28199999999999997</v>
      </c>
    </row>
    <row r="41" spans="1:11" x14ac:dyDescent="0.25">
      <c r="A41" t="s">
        <v>70</v>
      </c>
      <c r="B41" t="s">
        <v>40</v>
      </c>
      <c r="C41" t="s">
        <v>40</v>
      </c>
      <c r="D41" t="s">
        <v>40</v>
      </c>
      <c r="E41" t="s">
        <v>43</v>
      </c>
      <c r="F41" t="s">
        <v>40</v>
      </c>
      <c r="G41" t="s">
        <v>40</v>
      </c>
      <c r="H41" t="s">
        <v>40</v>
      </c>
      <c r="I41">
        <v>0.379</v>
      </c>
      <c r="J41">
        <v>0.28100000000000003</v>
      </c>
      <c r="K41">
        <v>0.27700000000000002</v>
      </c>
    </row>
    <row r="42" spans="1:11" x14ac:dyDescent="0.25">
      <c r="A42" t="s">
        <v>57</v>
      </c>
      <c r="B42" t="s">
        <v>40</v>
      </c>
      <c r="C42" t="s">
        <v>40</v>
      </c>
      <c r="D42" t="s">
        <v>40</v>
      </c>
      <c r="E42" t="s">
        <v>43</v>
      </c>
      <c r="F42">
        <v>17.777999999999999</v>
      </c>
      <c r="G42">
        <v>14.157</v>
      </c>
      <c r="H42">
        <v>14.621</v>
      </c>
      <c r="I42">
        <v>15.108000000000001</v>
      </c>
      <c r="J42">
        <v>16.571000000000002</v>
      </c>
      <c r="K42">
        <v>17.366</v>
      </c>
    </row>
    <row r="43" spans="1:11" x14ac:dyDescent="0.25">
      <c r="A43" t="s">
        <v>71</v>
      </c>
      <c r="B43" t="s">
        <v>40</v>
      </c>
      <c r="C43" t="s">
        <v>40</v>
      </c>
      <c r="D43" t="s">
        <v>40</v>
      </c>
      <c r="E43" t="s">
        <v>46</v>
      </c>
      <c r="F43">
        <v>58.347999999999999</v>
      </c>
      <c r="G43">
        <v>52.75</v>
      </c>
      <c r="H43">
        <v>59.960999999999999</v>
      </c>
      <c r="I43">
        <v>59.491999999999997</v>
      </c>
      <c r="J43">
        <v>62.199999999999989</v>
      </c>
      <c r="K43">
        <v>65.37</v>
      </c>
    </row>
    <row r="44" spans="1:11" x14ac:dyDescent="0.25">
      <c r="A44" t="s">
        <v>72</v>
      </c>
      <c r="B44" t="s">
        <v>40</v>
      </c>
      <c r="C44" t="s">
        <v>40</v>
      </c>
      <c r="D44" t="s">
        <v>40</v>
      </c>
      <c r="E44" t="s">
        <v>43</v>
      </c>
      <c r="F44">
        <v>10.794</v>
      </c>
      <c r="G44">
        <v>9.7579999999999991</v>
      </c>
      <c r="H44">
        <v>11.08</v>
      </c>
      <c r="I44">
        <v>10.829000000000001</v>
      </c>
      <c r="J44">
        <v>11.069000000000001</v>
      </c>
      <c r="K44">
        <v>11.680999999999999</v>
      </c>
    </row>
    <row r="45" spans="1:11" x14ac:dyDescent="0.25">
      <c r="A45" t="s">
        <v>73</v>
      </c>
      <c r="B45" t="s">
        <v>40</v>
      </c>
      <c r="C45" t="s">
        <v>40</v>
      </c>
      <c r="D45" t="s">
        <v>40</v>
      </c>
      <c r="E45" t="s">
        <v>43</v>
      </c>
      <c r="F45">
        <v>7.6420000000000003</v>
      </c>
      <c r="G45">
        <v>6.95</v>
      </c>
      <c r="H45">
        <v>7.8440000000000003</v>
      </c>
      <c r="I45">
        <v>7.8570000000000002</v>
      </c>
      <c r="J45">
        <v>8.1820000000000004</v>
      </c>
      <c r="K45">
        <v>8.8019999999999996</v>
      </c>
    </row>
    <row r="46" spans="1:11" x14ac:dyDescent="0.25">
      <c r="A46" t="s">
        <v>74</v>
      </c>
      <c r="B46" t="s">
        <v>40</v>
      </c>
      <c r="C46" t="s">
        <v>40</v>
      </c>
      <c r="D46" t="s">
        <v>40</v>
      </c>
      <c r="E46" t="s">
        <v>43</v>
      </c>
      <c r="F46">
        <v>8.0250000000000004</v>
      </c>
      <c r="G46">
        <v>7.21</v>
      </c>
      <c r="H46">
        <v>7.976</v>
      </c>
      <c r="I46">
        <v>7.7720000000000002</v>
      </c>
      <c r="J46">
        <v>8.2889999999999997</v>
      </c>
      <c r="K46">
        <v>8.7110000000000003</v>
      </c>
    </row>
    <row r="47" spans="1:11" x14ac:dyDescent="0.25">
      <c r="A47" t="s">
        <v>75</v>
      </c>
      <c r="B47" t="s">
        <v>40</v>
      </c>
      <c r="C47" t="s">
        <v>40</v>
      </c>
      <c r="D47" t="s">
        <v>40</v>
      </c>
      <c r="E47" t="s">
        <v>43</v>
      </c>
      <c r="F47">
        <v>8.4269999999999996</v>
      </c>
      <c r="G47">
        <v>7.4539999999999997</v>
      </c>
      <c r="H47">
        <v>8.3019999999999996</v>
      </c>
      <c r="I47">
        <v>7.806</v>
      </c>
      <c r="J47">
        <v>8.0399999999999991</v>
      </c>
      <c r="K47">
        <v>8.4220000000000006</v>
      </c>
    </row>
    <row r="48" spans="1:11" x14ac:dyDescent="0.25">
      <c r="A48" t="s">
        <v>47</v>
      </c>
      <c r="B48" t="s">
        <v>40</v>
      </c>
      <c r="C48" t="s">
        <v>40</v>
      </c>
      <c r="D48" t="s">
        <v>40</v>
      </c>
      <c r="E48" t="s">
        <v>43</v>
      </c>
      <c r="F48">
        <v>6.3659999999999997</v>
      </c>
      <c r="G48">
        <v>5.7969999999999997</v>
      </c>
      <c r="H48">
        <v>6.44</v>
      </c>
      <c r="I48">
        <v>6.391</v>
      </c>
      <c r="J48">
        <v>6.5910000000000002</v>
      </c>
      <c r="K48">
        <v>6.6550000000000002</v>
      </c>
    </row>
    <row r="49" spans="1:11" x14ac:dyDescent="0.25">
      <c r="A49" t="s">
        <v>76</v>
      </c>
      <c r="B49" t="s">
        <v>40</v>
      </c>
      <c r="C49" t="s">
        <v>40</v>
      </c>
      <c r="D49" t="s">
        <v>40</v>
      </c>
      <c r="E49" t="s">
        <v>43</v>
      </c>
      <c r="F49" t="s">
        <v>40</v>
      </c>
      <c r="G49" t="s">
        <v>40</v>
      </c>
      <c r="H49" t="s">
        <v>40</v>
      </c>
      <c r="I49">
        <v>2.802</v>
      </c>
      <c r="J49">
        <v>2.9569999999999999</v>
      </c>
      <c r="K49">
        <v>3.1190000000000002</v>
      </c>
    </row>
    <row r="50" spans="1:11" x14ac:dyDescent="0.25">
      <c r="A50" t="s">
        <v>77</v>
      </c>
      <c r="B50" t="s">
        <v>40</v>
      </c>
      <c r="C50" t="s">
        <v>40</v>
      </c>
      <c r="D50" t="s">
        <v>40</v>
      </c>
      <c r="E50" t="s">
        <v>43</v>
      </c>
      <c r="F50" t="s">
        <v>40</v>
      </c>
      <c r="G50" t="s">
        <v>40</v>
      </c>
      <c r="H50" t="s">
        <v>40</v>
      </c>
      <c r="I50">
        <v>2.4710000000000001</v>
      </c>
      <c r="J50">
        <v>2.7330000000000001</v>
      </c>
      <c r="K50">
        <v>3.0419999999999998</v>
      </c>
    </row>
    <row r="51" spans="1:11" x14ac:dyDescent="0.25">
      <c r="A51" t="s">
        <v>48</v>
      </c>
      <c r="B51" t="s">
        <v>40</v>
      </c>
      <c r="C51" t="s">
        <v>40</v>
      </c>
      <c r="D51" t="s">
        <v>40</v>
      </c>
      <c r="E51" t="s">
        <v>43</v>
      </c>
      <c r="F51" t="s">
        <v>40</v>
      </c>
      <c r="G51" t="s">
        <v>40</v>
      </c>
      <c r="H51" t="s">
        <v>40</v>
      </c>
      <c r="I51">
        <v>1.78</v>
      </c>
      <c r="J51">
        <v>2.2080000000000002</v>
      </c>
      <c r="K51">
        <v>2.7210000000000001</v>
      </c>
    </row>
    <row r="52" spans="1:11" x14ac:dyDescent="0.25">
      <c r="A52" t="s">
        <v>78</v>
      </c>
      <c r="B52" t="s">
        <v>40</v>
      </c>
      <c r="C52" t="s">
        <v>40</v>
      </c>
      <c r="D52" t="s">
        <v>40</v>
      </c>
      <c r="E52" t="s">
        <v>43</v>
      </c>
      <c r="F52" t="s">
        <v>40</v>
      </c>
      <c r="G52" t="s">
        <v>40</v>
      </c>
      <c r="H52" t="s">
        <v>40</v>
      </c>
      <c r="I52">
        <v>1.964</v>
      </c>
      <c r="J52">
        <v>2.0699999999999998</v>
      </c>
      <c r="K52">
        <v>2.242</v>
      </c>
    </row>
    <row r="53" spans="1:11" x14ac:dyDescent="0.25">
      <c r="A53" t="s">
        <v>79</v>
      </c>
      <c r="B53" t="s">
        <v>40</v>
      </c>
      <c r="C53" t="s">
        <v>40</v>
      </c>
      <c r="D53" t="s">
        <v>40</v>
      </c>
      <c r="E53" t="s">
        <v>43</v>
      </c>
      <c r="F53" t="s">
        <v>40</v>
      </c>
      <c r="G53" t="s">
        <v>40</v>
      </c>
      <c r="H53" t="s">
        <v>40</v>
      </c>
      <c r="I53">
        <v>1.9330000000000001</v>
      </c>
      <c r="J53">
        <v>1.974</v>
      </c>
      <c r="K53">
        <v>2.1019999999999999</v>
      </c>
    </row>
    <row r="54" spans="1:11" x14ac:dyDescent="0.25">
      <c r="A54" t="s">
        <v>57</v>
      </c>
      <c r="B54" t="s">
        <v>40</v>
      </c>
      <c r="C54" t="s">
        <v>40</v>
      </c>
      <c r="D54" t="s">
        <v>40</v>
      </c>
      <c r="E54" t="s">
        <v>43</v>
      </c>
      <c r="F54">
        <v>17.094000000000001</v>
      </c>
      <c r="G54">
        <v>15.581</v>
      </c>
      <c r="H54">
        <v>18.318999999999999</v>
      </c>
      <c r="I54">
        <v>7.8869999999999996</v>
      </c>
      <c r="J54">
        <v>8.0869999999999997</v>
      </c>
      <c r="K54">
        <v>7.8730000000000002</v>
      </c>
    </row>
    <row r="55" spans="1:11" x14ac:dyDescent="0.25">
      <c r="A55" t="s">
        <v>80</v>
      </c>
      <c r="B55" t="s">
        <v>40</v>
      </c>
      <c r="C55" t="s">
        <v>40</v>
      </c>
      <c r="D55" t="s">
        <v>40</v>
      </c>
      <c r="E55" t="s">
        <v>46</v>
      </c>
      <c r="F55">
        <v>45.045999999999999</v>
      </c>
      <c r="G55">
        <v>39.526000000000003</v>
      </c>
      <c r="H55">
        <v>38.766999999999996</v>
      </c>
      <c r="I55">
        <v>42.051000000000002</v>
      </c>
      <c r="J55">
        <v>41.276999999999994</v>
      </c>
      <c r="K55">
        <v>41.024000000000001</v>
      </c>
    </row>
    <row r="56" spans="1:11" x14ac:dyDescent="0.25">
      <c r="A56" t="s">
        <v>47</v>
      </c>
      <c r="B56" t="s">
        <v>40</v>
      </c>
      <c r="C56" t="s">
        <v>40</v>
      </c>
      <c r="D56" t="s">
        <v>40</v>
      </c>
      <c r="E56" t="s">
        <v>43</v>
      </c>
      <c r="F56">
        <v>3.1560000000000001</v>
      </c>
      <c r="G56">
        <v>2.7309999999999999</v>
      </c>
      <c r="H56">
        <v>2.6949999999999998</v>
      </c>
      <c r="I56">
        <v>2.68</v>
      </c>
      <c r="J56">
        <v>2.718</v>
      </c>
      <c r="K56">
        <v>2.734</v>
      </c>
    </row>
    <row r="57" spans="1:11" x14ac:dyDescent="0.25">
      <c r="A57" t="s">
        <v>48</v>
      </c>
      <c r="B57" t="s">
        <v>40</v>
      </c>
      <c r="C57" t="s">
        <v>40</v>
      </c>
      <c r="D57" t="s">
        <v>40</v>
      </c>
      <c r="E57" t="s">
        <v>43</v>
      </c>
      <c r="F57">
        <v>1.7529999999999999</v>
      </c>
      <c r="G57">
        <v>1.462</v>
      </c>
      <c r="H57">
        <v>1.4710000000000001</v>
      </c>
      <c r="I57">
        <v>1.5580000000000001</v>
      </c>
      <c r="J57">
        <v>1.4970000000000001</v>
      </c>
      <c r="K57">
        <v>1.468</v>
      </c>
    </row>
    <row r="58" spans="1:11" x14ac:dyDescent="0.25">
      <c r="A58" t="s">
        <v>81</v>
      </c>
      <c r="B58" t="s">
        <v>40</v>
      </c>
      <c r="C58" t="s">
        <v>40</v>
      </c>
      <c r="D58" t="s">
        <v>40</v>
      </c>
      <c r="E58" t="s">
        <v>43</v>
      </c>
      <c r="F58">
        <v>1.0169999999999999</v>
      </c>
      <c r="G58">
        <v>0.92</v>
      </c>
      <c r="H58">
        <v>0.82599999999999996</v>
      </c>
      <c r="I58">
        <v>0.877</v>
      </c>
      <c r="J58">
        <v>0.86199999999999999</v>
      </c>
      <c r="K58">
        <v>0.88300000000000001</v>
      </c>
    </row>
    <row r="59" spans="1:11" x14ac:dyDescent="0.25">
      <c r="A59" t="s">
        <v>50</v>
      </c>
      <c r="B59" t="s">
        <v>40</v>
      </c>
      <c r="C59" t="s">
        <v>40</v>
      </c>
      <c r="D59" t="s">
        <v>40</v>
      </c>
      <c r="E59" t="s">
        <v>43</v>
      </c>
      <c r="F59">
        <v>1.593</v>
      </c>
      <c r="G59">
        <v>1.4450000000000001</v>
      </c>
      <c r="H59">
        <v>7.5999999999999998E-2</v>
      </c>
      <c r="I59">
        <v>0.70699999999999996</v>
      </c>
      <c r="J59">
        <v>0.81499999999999995</v>
      </c>
      <c r="K59">
        <v>0.78100000000000003</v>
      </c>
    </row>
    <row r="60" spans="1:11" x14ac:dyDescent="0.25">
      <c r="A60" t="s">
        <v>82</v>
      </c>
      <c r="B60" t="s">
        <v>40</v>
      </c>
      <c r="C60" t="s">
        <v>40</v>
      </c>
      <c r="D60" t="s">
        <v>40</v>
      </c>
      <c r="E60" t="s">
        <v>43</v>
      </c>
      <c r="F60" t="s">
        <v>40</v>
      </c>
      <c r="G60" t="s">
        <v>40</v>
      </c>
      <c r="H60" t="s">
        <v>40</v>
      </c>
      <c r="I60">
        <v>0.88900000000000001</v>
      </c>
      <c r="J60">
        <v>0.66400000000000003</v>
      </c>
      <c r="K60">
        <v>0.66100000000000003</v>
      </c>
    </row>
    <row r="61" spans="1:11" x14ac:dyDescent="0.25">
      <c r="A61" t="s">
        <v>83</v>
      </c>
      <c r="B61" t="s">
        <v>40</v>
      </c>
      <c r="C61" t="s">
        <v>40</v>
      </c>
      <c r="D61" t="s">
        <v>40</v>
      </c>
      <c r="E61" t="s">
        <v>43</v>
      </c>
      <c r="F61" t="s">
        <v>40</v>
      </c>
      <c r="G61" t="s">
        <v>40</v>
      </c>
      <c r="H61" t="s">
        <v>40</v>
      </c>
      <c r="I61">
        <v>0.55800000000000005</v>
      </c>
      <c r="J61">
        <v>0.54100000000000004</v>
      </c>
      <c r="K61">
        <v>0.54600000000000004</v>
      </c>
    </row>
    <row r="62" spans="1:11" x14ac:dyDescent="0.25">
      <c r="A62" t="s">
        <v>62</v>
      </c>
      <c r="B62" t="s">
        <v>40</v>
      </c>
      <c r="C62" t="s">
        <v>40</v>
      </c>
      <c r="D62" t="s">
        <v>40</v>
      </c>
      <c r="E62" t="s">
        <v>43</v>
      </c>
      <c r="F62" t="s">
        <v>40</v>
      </c>
      <c r="G62" t="s">
        <v>40</v>
      </c>
      <c r="H62" t="s">
        <v>40</v>
      </c>
      <c r="I62">
        <v>0.54400000000000004</v>
      </c>
      <c r="J62">
        <v>0.52</v>
      </c>
      <c r="K62">
        <v>0.53300000000000003</v>
      </c>
    </row>
    <row r="63" spans="1:11" x14ac:dyDescent="0.25">
      <c r="A63" t="s">
        <v>84</v>
      </c>
      <c r="B63" t="s">
        <v>40</v>
      </c>
      <c r="C63" t="s">
        <v>40</v>
      </c>
      <c r="D63" t="s">
        <v>40</v>
      </c>
      <c r="E63" t="s">
        <v>43</v>
      </c>
      <c r="F63" t="s">
        <v>40</v>
      </c>
      <c r="G63" t="s">
        <v>40</v>
      </c>
      <c r="H63" t="s">
        <v>40</v>
      </c>
      <c r="I63">
        <v>0.54500000000000004</v>
      </c>
      <c r="J63">
        <v>0.52400000000000002</v>
      </c>
      <c r="K63">
        <v>0.498</v>
      </c>
    </row>
    <row r="64" spans="1:11" x14ac:dyDescent="0.25">
      <c r="A64" t="s">
        <v>85</v>
      </c>
      <c r="B64" t="s">
        <v>40</v>
      </c>
      <c r="C64" t="s">
        <v>40</v>
      </c>
      <c r="D64" t="s">
        <v>40</v>
      </c>
      <c r="E64" t="s">
        <v>43</v>
      </c>
      <c r="F64" t="s">
        <v>40</v>
      </c>
      <c r="G64" t="s">
        <v>40</v>
      </c>
      <c r="H64" t="s">
        <v>40</v>
      </c>
      <c r="I64">
        <v>0.47199999999999998</v>
      </c>
      <c r="J64">
        <v>0.47899999999999998</v>
      </c>
      <c r="K64">
        <v>0.46300000000000002</v>
      </c>
    </row>
    <row r="65" spans="1:11" x14ac:dyDescent="0.25">
      <c r="A65" t="s">
        <v>86</v>
      </c>
      <c r="B65" t="s">
        <v>40</v>
      </c>
      <c r="C65" t="s">
        <v>40</v>
      </c>
      <c r="D65" t="s">
        <v>40</v>
      </c>
      <c r="E65" t="s">
        <v>43</v>
      </c>
      <c r="F65" t="s">
        <v>40</v>
      </c>
      <c r="G65" t="s">
        <v>40</v>
      </c>
      <c r="H65" t="s">
        <v>40</v>
      </c>
      <c r="I65">
        <v>0.42299999999999999</v>
      </c>
      <c r="J65">
        <v>0.443</v>
      </c>
      <c r="K65">
        <v>0.45900000000000002</v>
      </c>
    </row>
    <row r="66" spans="1:11" x14ac:dyDescent="0.25">
      <c r="A66" t="s">
        <v>57</v>
      </c>
      <c r="B66" t="s">
        <v>40</v>
      </c>
      <c r="C66" t="s">
        <v>40</v>
      </c>
      <c r="D66" t="s">
        <v>40</v>
      </c>
      <c r="E66" t="s">
        <v>43</v>
      </c>
      <c r="F66">
        <v>37.527000000000001</v>
      </c>
      <c r="G66">
        <v>32.968000000000004</v>
      </c>
      <c r="H66">
        <v>33.698999999999998</v>
      </c>
      <c r="I66">
        <v>32.798000000000002</v>
      </c>
      <c r="J66">
        <v>32.213999999999999</v>
      </c>
      <c r="K66">
        <v>31.998000000000001</v>
      </c>
    </row>
    <row r="67" spans="1:11" x14ac:dyDescent="0.25">
      <c r="A67" t="s">
        <v>87</v>
      </c>
      <c r="B67" t="s">
        <v>40</v>
      </c>
      <c r="C67" t="s">
        <v>40</v>
      </c>
      <c r="D67" t="s">
        <v>40</v>
      </c>
      <c r="E67" t="s">
        <v>46</v>
      </c>
      <c r="F67">
        <v>22.152000000000001</v>
      </c>
      <c r="G67">
        <v>23.036999999999999</v>
      </c>
      <c r="H67">
        <v>24.49</v>
      </c>
      <c r="I67">
        <v>26.693000000000001</v>
      </c>
      <c r="J67">
        <v>27.116</v>
      </c>
      <c r="K67">
        <v>28.016000000000002</v>
      </c>
    </row>
    <row r="68" spans="1:11" x14ac:dyDescent="0.25">
      <c r="A68" t="s">
        <v>88</v>
      </c>
      <c r="B68" t="s">
        <v>40</v>
      </c>
      <c r="C68" t="s">
        <v>40</v>
      </c>
      <c r="D68" t="s">
        <v>40</v>
      </c>
      <c r="E68" t="s">
        <v>43</v>
      </c>
      <c r="F68">
        <v>0.59399999999999997</v>
      </c>
      <c r="G68">
        <v>0.60399999999999998</v>
      </c>
      <c r="H68">
        <v>1.0660000000000001</v>
      </c>
      <c r="I68">
        <v>1.069</v>
      </c>
      <c r="J68">
        <v>1.0549999999999999</v>
      </c>
      <c r="K68">
        <v>1.012</v>
      </c>
    </row>
    <row r="69" spans="1:11" x14ac:dyDescent="0.25">
      <c r="A69" t="s">
        <v>47</v>
      </c>
      <c r="B69" t="s">
        <v>40</v>
      </c>
      <c r="C69" t="s">
        <v>40</v>
      </c>
      <c r="D69" t="s">
        <v>40</v>
      </c>
      <c r="E69" t="s">
        <v>43</v>
      </c>
      <c r="F69">
        <v>0.85199999999999998</v>
      </c>
      <c r="G69">
        <v>0.873</v>
      </c>
      <c r="H69">
        <v>0.79500000000000004</v>
      </c>
      <c r="I69">
        <v>0.82799999999999996</v>
      </c>
      <c r="J69">
        <v>0.83299999999999996</v>
      </c>
      <c r="K69">
        <v>0.83799999999999997</v>
      </c>
    </row>
    <row r="70" spans="1:11" x14ac:dyDescent="0.25">
      <c r="A70" t="s">
        <v>89</v>
      </c>
      <c r="B70" t="s">
        <v>40</v>
      </c>
      <c r="C70" t="s">
        <v>40</v>
      </c>
      <c r="D70" t="s">
        <v>40</v>
      </c>
      <c r="E70" t="s">
        <v>43</v>
      </c>
      <c r="F70">
        <v>0.90300000000000002</v>
      </c>
      <c r="G70">
        <v>0.91600000000000004</v>
      </c>
      <c r="H70">
        <v>0.84</v>
      </c>
      <c r="I70">
        <v>0.81799999999999995</v>
      </c>
      <c r="J70">
        <v>0.77</v>
      </c>
      <c r="K70">
        <v>0.77700000000000002</v>
      </c>
    </row>
    <row r="71" spans="1:11" x14ac:dyDescent="0.25">
      <c r="A71" t="s">
        <v>90</v>
      </c>
      <c r="B71" t="s">
        <v>40</v>
      </c>
      <c r="C71" t="s">
        <v>40</v>
      </c>
      <c r="D71" t="s">
        <v>40</v>
      </c>
      <c r="E71" t="s">
        <v>43</v>
      </c>
      <c r="F71" t="s">
        <v>40</v>
      </c>
      <c r="G71" t="s">
        <v>40</v>
      </c>
      <c r="H71" t="s">
        <v>40</v>
      </c>
      <c r="I71">
        <v>0.58899999999999997</v>
      </c>
      <c r="J71">
        <v>0.65700000000000003</v>
      </c>
      <c r="K71">
        <v>0.7</v>
      </c>
    </row>
    <row r="72" spans="1:11" x14ac:dyDescent="0.25">
      <c r="A72" t="s">
        <v>91</v>
      </c>
      <c r="B72" t="s">
        <v>40</v>
      </c>
      <c r="C72" t="s">
        <v>40</v>
      </c>
      <c r="D72" t="s">
        <v>40</v>
      </c>
      <c r="E72" t="s">
        <v>43</v>
      </c>
      <c r="F72">
        <v>0.54400000000000004</v>
      </c>
      <c r="G72">
        <v>0.55100000000000005</v>
      </c>
      <c r="H72">
        <v>0.56799999999999995</v>
      </c>
      <c r="I72">
        <v>0.67200000000000004</v>
      </c>
      <c r="J72">
        <v>0.72699999999999998</v>
      </c>
      <c r="K72">
        <v>0.7</v>
      </c>
    </row>
    <row r="73" spans="1:11" x14ac:dyDescent="0.25">
      <c r="A73" t="s">
        <v>48</v>
      </c>
      <c r="B73" t="s">
        <v>40</v>
      </c>
      <c r="C73" t="s">
        <v>40</v>
      </c>
      <c r="D73" t="s">
        <v>40</v>
      </c>
      <c r="E73" t="s">
        <v>43</v>
      </c>
      <c r="F73">
        <v>0.621</v>
      </c>
      <c r="G73">
        <v>0.60799999999999998</v>
      </c>
      <c r="H73">
        <v>0.55000000000000004</v>
      </c>
      <c r="I73">
        <v>0.59099999999999997</v>
      </c>
      <c r="J73">
        <v>0.65200000000000002</v>
      </c>
      <c r="K73">
        <v>0.65300000000000002</v>
      </c>
    </row>
    <row r="74" spans="1:11" x14ac:dyDescent="0.25">
      <c r="A74" t="s">
        <v>92</v>
      </c>
      <c r="B74" t="s">
        <v>40</v>
      </c>
      <c r="C74" t="s">
        <v>40</v>
      </c>
      <c r="D74" t="s">
        <v>40</v>
      </c>
      <c r="E74" t="s">
        <v>43</v>
      </c>
      <c r="F74" t="s">
        <v>40</v>
      </c>
      <c r="G74" t="s">
        <v>40</v>
      </c>
      <c r="H74" t="s">
        <v>40</v>
      </c>
      <c r="I74">
        <v>0.54600000000000004</v>
      </c>
      <c r="J74">
        <v>0.6</v>
      </c>
      <c r="K74">
        <v>0.64200000000000002</v>
      </c>
    </row>
    <row r="75" spans="1:11" x14ac:dyDescent="0.25">
      <c r="A75" t="s">
        <v>50</v>
      </c>
      <c r="B75" t="s">
        <v>40</v>
      </c>
      <c r="C75" t="s">
        <v>40</v>
      </c>
      <c r="D75" t="s">
        <v>40</v>
      </c>
      <c r="E75" t="s">
        <v>43</v>
      </c>
      <c r="F75" t="s">
        <v>40</v>
      </c>
      <c r="G75" t="s">
        <v>40</v>
      </c>
      <c r="H75" t="s">
        <v>40</v>
      </c>
      <c r="I75">
        <v>0.36799999999999999</v>
      </c>
      <c r="J75">
        <v>0.47699999999999998</v>
      </c>
      <c r="K75">
        <v>0.48199999999999998</v>
      </c>
    </row>
    <row r="76" spans="1:11" x14ac:dyDescent="0.25">
      <c r="A76" t="s">
        <v>93</v>
      </c>
      <c r="B76" t="s">
        <v>40</v>
      </c>
      <c r="C76" t="s">
        <v>40</v>
      </c>
      <c r="D76" t="s">
        <v>40</v>
      </c>
      <c r="E76" t="s">
        <v>43</v>
      </c>
      <c r="F76" t="s">
        <v>40</v>
      </c>
      <c r="G76" t="s">
        <v>40</v>
      </c>
      <c r="H76" t="s">
        <v>40</v>
      </c>
      <c r="I76">
        <v>0.45900000000000002</v>
      </c>
      <c r="J76">
        <v>0.44</v>
      </c>
      <c r="K76">
        <v>0.45600000000000002</v>
      </c>
    </row>
    <row r="77" spans="1:11" x14ac:dyDescent="0.25">
      <c r="A77" t="s">
        <v>94</v>
      </c>
      <c r="B77" t="s">
        <v>40</v>
      </c>
      <c r="C77" t="s">
        <v>40</v>
      </c>
      <c r="D77" t="s">
        <v>40</v>
      </c>
      <c r="E77" t="s">
        <v>43</v>
      </c>
      <c r="F77" t="s">
        <v>40</v>
      </c>
      <c r="G77" t="s">
        <v>40</v>
      </c>
      <c r="H77" t="s">
        <v>40</v>
      </c>
      <c r="I77">
        <v>0.372</v>
      </c>
      <c r="J77">
        <v>0.377</v>
      </c>
      <c r="K77">
        <v>0.40100000000000002</v>
      </c>
    </row>
    <row r="78" spans="1:11" x14ac:dyDescent="0.25">
      <c r="A78" t="s">
        <v>57</v>
      </c>
      <c r="B78" t="s">
        <v>40</v>
      </c>
      <c r="C78" t="s">
        <v>40</v>
      </c>
      <c r="D78" t="s">
        <v>40</v>
      </c>
      <c r="E78" t="s">
        <v>43</v>
      </c>
      <c r="F78">
        <v>18.638000000000002</v>
      </c>
      <c r="G78">
        <v>19.484999999999999</v>
      </c>
      <c r="H78">
        <v>20.670999999999999</v>
      </c>
      <c r="I78">
        <v>20.381</v>
      </c>
      <c r="J78">
        <v>20.527999999999999</v>
      </c>
      <c r="K78">
        <v>21.355</v>
      </c>
    </row>
    <row r="79" spans="1:11" x14ac:dyDescent="0.25">
      <c r="A79" t="s">
        <v>95</v>
      </c>
      <c r="B79" t="s">
        <v>40</v>
      </c>
      <c r="C79" t="s">
        <v>40</v>
      </c>
      <c r="D79" t="s">
        <v>40</v>
      </c>
      <c r="E79" t="s">
        <v>46</v>
      </c>
      <c r="F79">
        <v>380.69099999999997</v>
      </c>
      <c r="G79">
        <v>395.13700000000006</v>
      </c>
      <c r="H79">
        <v>421.42199999999997</v>
      </c>
      <c r="I79">
        <v>440.803</v>
      </c>
      <c r="J79">
        <v>461.31599999999997</v>
      </c>
      <c r="K79">
        <v>485.57499999999999</v>
      </c>
    </row>
    <row r="80" spans="1:11" x14ac:dyDescent="0.25">
      <c r="A80" t="s">
        <v>51</v>
      </c>
      <c r="B80" t="s">
        <v>40</v>
      </c>
      <c r="C80" t="s">
        <v>40</v>
      </c>
      <c r="D80" t="s">
        <v>40</v>
      </c>
      <c r="E80" t="s">
        <v>43</v>
      </c>
      <c r="F80">
        <v>10.041</v>
      </c>
      <c r="G80">
        <v>11.874000000000001</v>
      </c>
      <c r="H80">
        <v>13.643000000000001</v>
      </c>
      <c r="I80">
        <v>14.72</v>
      </c>
      <c r="J80">
        <v>16.303999999999998</v>
      </c>
      <c r="K80">
        <v>17.978000000000002</v>
      </c>
    </row>
    <row r="81" spans="1:11" x14ac:dyDescent="0.25">
      <c r="A81" t="s">
        <v>48</v>
      </c>
      <c r="B81" t="s">
        <v>40</v>
      </c>
      <c r="C81" t="s">
        <v>40</v>
      </c>
      <c r="D81" t="s">
        <v>40</v>
      </c>
      <c r="E81" t="s">
        <v>43</v>
      </c>
      <c r="F81">
        <v>11.265000000000001</v>
      </c>
      <c r="G81">
        <v>12.791</v>
      </c>
      <c r="H81">
        <v>14.045</v>
      </c>
      <c r="I81">
        <v>14.733000000000001</v>
      </c>
      <c r="J81">
        <v>16.117999999999999</v>
      </c>
      <c r="K81">
        <v>17.856000000000002</v>
      </c>
    </row>
    <row r="82" spans="1:11" x14ac:dyDescent="0.25">
      <c r="A82" t="s">
        <v>47</v>
      </c>
      <c r="B82" t="s">
        <v>40</v>
      </c>
      <c r="C82" t="s">
        <v>40</v>
      </c>
      <c r="D82" t="s">
        <v>40</v>
      </c>
      <c r="E82" t="s">
        <v>43</v>
      </c>
      <c r="F82">
        <v>20.428999999999998</v>
      </c>
      <c r="G82">
        <v>19.442</v>
      </c>
      <c r="H82">
        <v>19.172000000000001</v>
      </c>
      <c r="I82">
        <v>16.024999999999999</v>
      </c>
      <c r="J82">
        <v>15.406000000000001</v>
      </c>
      <c r="K82">
        <v>15.196999999999999</v>
      </c>
    </row>
    <row r="83" spans="1:11" x14ac:dyDescent="0.25">
      <c r="A83" t="s">
        <v>96</v>
      </c>
      <c r="B83" t="s">
        <v>40</v>
      </c>
      <c r="C83" t="s">
        <v>40</v>
      </c>
      <c r="D83" t="s">
        <v>40</v>
      </c>
      <c r="E83" t="s">
        <v>43</v>
      </c>
      <c r="F83">
        <v>11.746</v>
      </c>
      <c r="G83">
        <v>10.596</v>
      </c>
      <c r="H83">
        <v>9.1690000000000005</v>
      </c>
      <c r="I83">
        <v>9.9550000000000001</v>
      </c>
      <c r="J83">
        <v>10.667</v>
      </c>
      <c r="K83">
        <v>11.105</v>
      </c>
    </row>
    <row r="84" spans="1:11" x14ac:dyDescent="0.25">
      <c r="A84" t="s">
        <v>97</v>
      </c>
      <c r="B84" t="s">
        <v>40</v>
      </c>
      <c r="C84" t="s">
        <v>40</v>
      </c>
      <c r="D84" t="s">
        <v>40</v>
      </c>
      <c r="E84" t="s">
        <v>43</v>
      </c>
      <c r="F84" t="s">
        <v>40</v>
      </c>
      <c r="G84" t="s">
        <v>40</v>
      </c>
      <c r="H84" t="s">
        <v>40</v>
      </c>
      <c r="I84">
        <v>8.9030000000000005</v>
      </c>
      <c r="J84">
        <v>9.1579999999999995</v>
      </c>
      <c r="K84">
        <v>9.9499999999999993</v>
      </c>
    </row>
    <row r="85" spans="1:11" x14ac:dyDescent="0.25">
      <c r="A85" t="s">
        <v>98</v>
      </c>
      <c r="B85" t="s">
        <v>40</v>
      </c>
      <c r="C85" t="s">
        <v>40</v>
      </c>
      <c r="D85" t="s">
        <v>40</v>
      </c>
      <c r="E85" t="s">
        <v>43</v>
      </c>
      <c r="F85" t="s">
        <v>40</v>
      </c>
      <c r="G85" t="s">
        <v>40</v>
      </c>
      <c r="H85" t="s">
        <v>40</v>
      </c>
      <c r="I85">
        <v>7.5860000000000003</v>
      </c>
      <c r="J85">
        <v>8.4049999999999994</v>
      </c>
      <c r="K85">
        <v>8.9510000000000005</v>
      </c>
    </row>
    <row r="86" spans="1:11" x14ac:dyDescent="0.25">
      <c r="A86" t="s">
        <v>99</v>
      </c>
      <c r="B86" t="s">
        <v>40</v>
      </c>
      <c r="C86" t="s">
        <v>40</v>
      </c>
      <c r="D86" t="s">
        <v>40</v>
      </c>
      <c r="E86" t="s">
        <v>43</v>
      </c>
      <c r="F86" t="s">
        <v>40</v>
      </c>
      <c r="G86" t="s">
        <v>40</v>
      </c>
      <c r="H86" t="s">
        <v>40</v>
      </c>
      <c r="I86">
        <v>4.8780000000000001</v>
      </c>
      <c r="J86">
        <v>8.7219999999999995</v>
      </c>
      <c r="K86">
        <v>8.9109999999999996</v>
      </c>
    </row>
    <row r="87" spans="1:11" x14ac:dyDescent="0.25">
      <c r="A87" t="s">
        <v>100</v>
      </c>
      <c r="B87" t="s">
        <v>40</v>
      </c>
      <c r="C87" t="s">
        <v>40</v>
      </c>
      <c r="D87" t="s">
        <v>40</v>
      </c>
      <c r="E87" t="s">
        <v>43</v>
      </c>
      <c r="F87" t="s">
        <v>40</v>
      </c>
      <c r="G87" t="s">
        <v>40</v>
      </c>
      <c r="H87" t="s">
        <v>40</v>
      </c>
      <c r="I87">
        <v>7.4210000000000003</v>
      </c>
      <c r="J87">
        <v>7.4669999999999996</v>
      </c>
      <c r="K87">
        <v>8.2919999999999998</v>
      </c>
    </row>
    <row r="88" spans="1:11" x14ac:dyDescent="0.25">
      <c r="A88" t="s">
        <v>56</v>
      </c>
      <c r="B88" t="s">
        <v>40</v>
      </c>
      <c r="C88" t="s">
        <v>40</v>
      </c>
      <c r="D88" t="s">
        <v>40</v>
      </c>
      <c r="E88" t="s">
        <v>43</v>
      </c>
      <c r="F88" t="s">
        <v>40</v>
      </c>
      <c r="G88" t="s">
        <v>40</v>
      </c>
      <c r="H88" t="s">
        <v>40</v>
      </c>
      <c r="I88">
        <v>7.282</v>
      </c>
      <c r="J88">
        <v>7.52</v>
      </c>
      <c r="K88">
        <v>7.6390000000000002</v>
      </c>
    </row>
    <row r="89" spans="1:11" x14ac:dyDescent="0.25">
      <c r="A89" t="s">
        <v>101</v>
      </c>
      <c r="B89" t="s">
        <v>40</v>
      </c>
      <c r="C89" t="s">
        <v>40</v>
      </c>
      <c r="D89" t="s">
        <v>40</v>
      </c>
      <c r="E89" t="s">
        <v>43</v>
      </c>
      <c r="F89" t="s">
        <v>40</v>
      </c>
      <c r="G89" t="s">
        <v>40</v>
      </c>
      <c r="H89" t="s">
        <v>40</v>
      </c>
      <c r="I89">
        <v>6.45</v>
      </c>
      <c r="J89">
        <v>6.4630000000000001</v>
      </c>
      <c r="K89">
        <v>7.258</v>
      </c>
    </row>
    <row r="90" spans="1:11" x14ac:dyDescent="0.25">
      <c r="A90" t="s">
        <v>57</v>
      </c>
      <c r="B90" t="s">
        <v>40</v>
      </c>
      <c r="C90" t="s">
        <v>40</v>
      </c>
      <c r="D90" t="s">
        <v>40</v>
      </c>
      <c r="E90" t="s">
        <v>43</v>
      </c>
      <c r="F90">
        <v>327.20999999999998</v>
      </c>
      <c r="G90">
        <v>340.43400000000003</v>
      </c>
      <c r="H90">
        <v>365.39299999999997</v>
      </c>
      <c r="I90">
        <v>342.85</v>
      </c>
      <c r="J90">
        <v>355.08600000000001</v>
      </c>
      <c r="K90">
        <v>372.43799999999999</v>
      </c>
    </row>
    <row r="91" spans="1:11" x14ac:dyDescent="0.25">
      <c r="A91" t="s">
        <v>102</v>
      </c>
      <c r="B91" t="s">
        <v>40</v>
      </c>
      <c r="C91" t="s">
        <v>40</v>
      </c>
      <c r="D91" t="s">
        <v>40</v>
      </c>
      <c r="E91" t="s">
        <v>46</v>
      </c>
      <c r="F91">
        <v>283.02699999999999</v>
      </c>
      <c r="G91">
        <v>251.589</v>
      </c>
      <c r="H91">
        <v>250.31400000000002</v>
      </c>
      <c r="I91">
        <v>257.79399999999998</v>
      </c>
      <c r="J91">
        <v>275.42</v>
      </c>
      <c r="K91">
        <v>272.11500000000001</v>
      </c>
    </row>
    <row r="92" spans="1:11" x14ac:dyDescent="0.25">
      <c r="A92" t="s">
        <v>47</v>
      </c>
      <c r="B92" t="s">
        <v>40</v>
      </c>
      <c r="C92" t="s">
        <v>40</v>
      </c>
      <c r="D92" t="s">
        <v>40</v>
      </c>
      <c r="E92" t="s">
        <v>43</v>
      </c>
      <c r="F92">
        <v>14.585000000000001</v>
      </c>
      <c r="G92">
        <v>12.456</v>
      </c>
      <c r="H92">
        <v>11.922000000000001</v>
      </c>
      <c r="I92">
        <v>14.061999999999999</v>
      </c>
      <c r="J92">
        <v>14.281000000000001</v>
      </c>
      <c r="K92">
        <v>13.686999999999999</v>
      </c>
    </row>
    <row r="93" spans="1:11" x14ac:dyDescent="0.25">
      <c r="A93" t="s">
        <v>48</v>
      </c>
      <c r="B93" t="s">
        <v>40</v>
      </c>
      <c r="C93" t="s">
        <v>40</v>
      </c>
      <c r="D93" t="s">
        <v>40</v>
      </c>
      <c r="E93" t="s">
        <v>43</v>
      </c>
      <c r="F93">
        <v>10.406000000000001</v>
      </c>
      <c r="G93">
        <v>9.9489999999999998</v>
      </c>
      <c r="H93">
        <v>10.451000000000001</v>
      </c>
      <c r="I93">
        <v>11.303000000000001</v>
      </c>
      <c r="J93">
        <v>12.648999999999999</v>
      </c>
      <c r="K93">
        <v>12.577</v>
      </c>
    </row>
    <row r="94" spans="1:11" x14ac:dyDescent="0.25">
      <c r="A94" t="s">
        <v>51</v>
      </c>
      <c r="B94" t="s">
        <v>40</v>
      </c>
      <c r="C94" t="s">
        <v>40</v>
      </c>
      <c r="D94" t="s">
        <v>40</v>
      </c>
      <c r="E94" t="s">
        <v>43</v>
      </c>
      <c r="F94">
        <v>7.165</v>
      </c>
      <c r="G94">
        <v>7.1550000000000002</v>
      </c>
      <c r="H94">
        <v>8.0879999999999992</v>
      </c>
      <c r="I94">
        <v>8.359</v>
      </c>
      <c r="J94">
        <v>9.4410000000000007</v>
      </c>
      <c r="K94">
        <v>9.9480000000000004</v>
      </c>
    </row>
    <row r="95" spans="1:11" x14ac:dyDescent="0.25">
      <c r="A95" t="s">
        <v>103</v>
      </c>
      <c r="B95" t="s">
        <v>40</v>
      </c>
      <c r="C95" t="s">
        <v>40</v>
      </c>
      <c r="D95" t="s">
        <v>40</v>
      </c>
      <c r="E95" t="s">
        <v>43</v>
      </c>
      <c r="F95">
        <v>8.9760000000000009</v>
      </c>
      <c r="G95">
        <v>7.6769999999999996</v>
      </c>
      <c r="H95">
        <v>7.8049999999999997</v>
      </c>
      <c r="I95">
        <v>8.0039999999999996</v>
      </c>
      <c r="J95">
        <v>8.548</v>
      </c>
      <c r="K95">
        <v>8.9350000000000005</v>
      </c>
    </row>
    <row r="96" spans="1:11" x14ac:dyDescent="0.25">
      <c r="A96" t="s">
        <v>68</v>
      </c>
      <c r="B96" t="s">
        <v>40</v>
      </c>
      <c r="C96" t="s">
        <v>40</v>
      </c>
      <c r="D96" t="s">
        <v>40</v>
      </c>
      <c r="E96" t="s">
        <v>43</v>
      </c>
      <c r="F96">
        <v>10.89</v>
      </c>
      <c r="G96">
        <v>9.5410000000000004</v>
      </c>
      <c r="H96">
        <v>7.5229999999999997</v>
      </c>
      <c r="I96">
        <v>8.0510000000000002</v>
      </c>
      <c r="J96">
        <v>8.266</v>
      </c>
      <c r="K96">
        <v>8.2870000000000008</v>
      </c>
    </row>
    <row r="97" spans="1:11" x14ac:dyDescent="0.25">
      <c r="A97" t="s">
        <v>50</v>
      </c>
      <c r="B97" t="s">
        <v>40</v>
      </c>
      <c r="C97" t="s">
        <v>40</v>
      </c>
      <c r="D97" t="s">
        <v>40</v>
      </c>
      <c r="E97" t="s">
        <v>43</v>
      </c>
      <c r="F97" t="s">
        <v>40</v>
      </c>
      <c r="G97" t="s">
        <v>40</v>
      </c>
      <c r="H97" t="s">
        <v>40</v>
      </c>
      <c r="I97">
        <v>6.5220000000000002</v>
      </c>
      <c r="J97">
        <v>7.7130000000000001</v>
      </c>
      <c r="K97">
        <v>7.3639999999999999</v>
      </c>
    </row>
    <row r="98" spans="1:11" x14ac:dyDescent="0.25">
      <c r="A98" t="s">
        <v>53</v>
      </c>
      <c r="B98" t="s">
        <v>40</v>
      </c>
      <c r="C98" t="s">
        <v>40</v>
      </c>
      <c r="D98" t="s">
        <v>40</v>
      </c>
      <c r="E98" t="s">
        <v>43</v>
      </c>
      <c r="F98" t="s">
        <v>40</v>
      </c>
      <c r="G98" t="s">
        <v>40</v>
      </c>
      <c r="H98" t="s">
        <v>40</v>
      </c>
      <c r="I98">
        <v>5.1479999999999997</v>
      </c>
      <c r="J98">
        <v>5.907</v>
      </c>
      <c r="K98">
        <v>6.7839999999999998</v>
      </c>
    </row>
    <row r="99" spans="1:11" x14ac:dyDescent="0.25">
      <c r="A99" t="s">
        <v>104</v>
      </c>
      <c r="B99" t="s">
        <v>40</v>
      </c>
      <c r="C99" t="s">
        <v>40</v>
      </c>
      <c r="D99" t="s">
        <v>40</v>
      </c>
      <c r="E99" t="s">
        <v>43</v>
      </c>
      <c r="F99" t="s">
        <v>40</v>
      </c>
      <c r="G99" t="s">
        <v>40</v>
      </c>
      <c r="H99" t="s">
        <v>40</v>
      </c>
      <c r="I99">
        <v>4.2830000000000004</v>
      </c>
      <c r="J99">
        <v>4.625</v>
      </c>
      <c r="K99">
        <v>4.915</v>
      </c>
    </row>
    <row r="100" spans="1:11" x14ac:dyDescent="0.25">
      <c r="A100" t="s">
        <v>105</v>
      </c>
      <c r="B100" t="s">
        <v>40</v>
      </c>
      <c r="C100" t="s">
        <v>40</v>
      </c>
      <c r="D100" t="s">
        <v>40</v>
      </c>
      <c r="E100" t="s">
        <v>43</v>
      </c>
      <c r="F100" t="s">
        <v>40</v>
      </c>
      <c r="G100" t="s">
        <v>40</v>
      </c>
      <c r="H100" t="s">
        <v>40</v>
      </c>
      <c r="I100">
        <v>4.2140000000000004</v>
      </c>
      <c r="J100">
        <v>4.5830000000000002</v>
      </c>
      <c r="K100">
        <v>4.5949999999999998</v>
      </c>
    </row>
    <row r="101" spans="1:11" x14ac:dyDescent="0.25">
      <c r="A101" t="s">
        <v>98</v>
      </c>
      <c r="B101" t="s">
        <v>40</v>
      </c>
      <c r="C101" t="s">
        <v>40</v>
      </c>
      <c r="D101" t="s">
        <v>40</v>
      </c>
      <c r="E101" t="s">
        <v>43</v>
      </c>
      <c r="F101" t="s">
        <v>40</v>
      </c>
      <c r="G101" t="s">
        <v>40</v>
      </c>
      <c r="H101" t="s">
        <v>40</v>
      </c>
      <c r="I101">
        <v>3.4289999999999998</v>
      </c>
      <c r="J101">
        <v>4.1689999999999996</v>
      </c>
      <c r="K101">
        <v>4.5679999999999996</v>
      </c>
    </row>
    <row r="102" spans="1:11" x14ac:dyDescent="0.25">
      <c r="A102" t="s">
        <v>57</v>
      </c>
      <c r="B102" t="s">
        <v>40</v>
      </c>
      <c r="C102" t="s">
        <v>40</v>
      </c>
      <c r="D102" t="s">
        <v>40</v>
      </c>
      <c r="E102" t="s">
        <v>43</v>
      </c>
      <c r="F102">
        <v>231.005</v>
      </c>
      <c r="G102">
        <v>204.81100000000001</v>
      </c>
      <c r="H102">
        <v>204.52500000000001</v>
      </c>
      <c r="I102">
        <v>184.41900000000001</v>
      </c>
      <c r="J102">
        <v>195.238</v>
      </c>
      <c r="K102">
        <v>190.45500000000001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1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7" width="9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ReferenceData!$C$120</f>
        <v>2019</v>
      </c>
      <c r="G2" s="1" t="str">
        <f>ReferenceData!$D$120</f>
        <v>2018</v>
      </c>
      <c r="H2" s="1" t="str">
        <f>ReferenceData!$E$120</f>
        <v>2017</v>
      </c>
      <c r="I2" s="1" t="str">
        <f>ReferenceData!$F$120</f>
        <v>2016</v>
      </c>
      <c r="J2" s="1" t="str">
        <f>ReferenceData!$G$120</f>
        <v>2015</v>
      </c>
      <c r="K2" s="1" t="str">
        <f>ReferenceData!$H$120</f>
        <v>2014</v>
      </c>
      <c r="L2" t="str">
        <f>$C$120</f>
        <v>2019</v>
      </c>
      <c r="M2" t="str">
        <f>$D$120</f>
        <v>2018</v>
      </c>
      <c r="N2" t="str">
        <f>$E$120</f>
        <v>2017</v>
      </c>
      <c r="O2" t="str">
        <f>$F$120</f>
        <v>2016</v>
      </c>
      <c r="P2" t="str">
        <f>$G$120</f>
        <v>2015</v>
      </c>
      <c r="Q2" t="str">
        <f>$H$120</f>
        <v>2014</v>
      </c>
    </row>
    <row r="3" spans="1:17" x14ac:dyDescent="0.25">
      <c r="A3" t="str">
        <f>"***** Source: IDC *****"</f>
        <v>***** Source: IDC *****</v>
      </c>
      <c r="B3" t="str">
        <f>""</f>
        <v/>
      </c>
      <c r="E3" t="str">
        <f>"Heading"</f>
        <v>Heading</v>
      </c>
      <c r="L3" t="str">
        <f>""</f>
        <v/>
      </c>
      <c r="M3" t="str">
        <f>""</f>
        <v/>
      </c>
      <c r="N3" t="str">
        <f>""</f>
        <v/>
      </c>
      <c r="O3" t="str">
        <f>""</f>
        <v/>
      </c>
      <c r="P3" t="str">
        <f>""</f>
        <v/>
      </c>
      <c r="Q3" t="str">
        <f>""</f>
        <v/>
      </c>
    </row>
    <row r="4" spans="1:17" x14ac:dyDescent="0.25">
      <c r="A4" t="str">
        <f>"Denominated in billions of US$"</f>
        <v>Denominated in billions of US$</v>
      </c>
      <c r="B4" t="str">
        <f>""</f>
        <v/>
      </c>
      <c r="E4" t="str">
        <f>"Heading"</f>
        <v>Heading</v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""</f>
        <v/>
      </c>
      <c r="B5" t="str">
        <f>""</f>
        <v/>
      </c>
      <c r="E5" t="str">
        <f>"Static"</f>
        <v>Static</v>
      </c>
      <c r="F5" t="str">
        <f t="shared" ref="F5:K6" ca="1" si="0">HLOOKUP(INDIRECT(ADDRESS(2,COLUMN())),OFFSET($L$2,0,0,ROW()-1,6),ROW()-1,FALSE)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>""</f>
        <v/>
      </c>
      <c r="M5" t="str">
        <f>""</f>
        <v/>
      </c>
      <c r="N5" t="str">
        <f>""</f>
        <v/>
      </c>
      <c r="O5" t="str">
        <f>""</f>
        <v/>
      </c>
      <c r="P5" t="str">
        <f>""</f>
        <v/>
      </c>
      <c r="Q5" t="str">
        <f>""</f>
        <v/>
      </c>
    </row>
    <row r="6" spans="1:17" x14ac:dyDescent="0.25">
      <c r="A6" t="str">
        <f>"Worldwide Services"</f>
        <v>Worldwide Services</v>
      </c>
      <c r="B6" t="str">
        <f>""</f>
        <v/>
      </c>
      <c r="E6" t="str">
        <f>"Static"</f>
        <v>Static</v>
      </c>
      <c r="F6" t="str">
        <f t="shared" ca="1" si="0"/>
        <v/>
      </c>
      <c r="G6" t="str">
        <f t="shared" ca="1" si="0"/>
        <v/>
      </c>
      <c r="H6" t="str">
        <f t="shared" ca="1" si="0"/>
        <v/>
      </c>
      <c r="I6" t="str">
        <f t="shared" ca="1" si="0"/>
        <v/>
      </c>
      <c r="J6" t="str">
        <f t="shared" ca="1" si="0"/>
        <v/>
      </c>
      <c r="K6" t="str">
        <f t="shared" ca="1" si="0"/>
        <v/>
      </c>
      <c r="L6" t="str">
        <f>""</f>
        <v/>
      </c>
      <c r="M6" t="str">
        <f>""</f>
        <v/>
      </c>
      <c r="N6" t="str">
        <f>""</f>
        <v/>
      </c>
      <c r="O6" t="str">
        <f>""</f>
        <v/>
      </c>
      <c r="P6" t="str">
        <f>""</f>
        <v/>
      </c>
      <c r="Q6" t="str">
        <f>""</f>
        <v/>
      </c>
    </row>
    <row r="7" spans="1:17" x14ac:dyDescent="0.25">
      <c r="A7" t="str">
        <f>"APAC (ex. Japan)"</f>
        <v>APAC (ex. Japan)</v>
      </c>
      <c r="B7" t="str">
        <f>""</f>
        <v/>
      </c>
      <c r="E7" t="str">
        <f>"Sum"</f>
        <v>Sum</v>
      </c>
      <c r="F7">
        <f ca="1">IF(ISERROR(IF(SUM($F$8:$F$18) = 0, "", SUM($F$8:$F$18))), "", (IF(SUM($F$8:$F$18) = 0, "", SUM($F$8:$F$18))))</f>
        <v>116.62899999999999</v>
      </c>
      <c r="G7">
        <f ca="1">IF(ISERROR(IF(SUM($G$8:$G$18) = 0, "", SUM($G$8:$G$18))), "", (IF(SUM($G$8:$G$18) = 0, "", SUM($G$8:$G$18))))</f>
        <v>113.90599999999999</v>
      </c>
      <c r="H7">
        <f ca="1">IF(ISERROR(IF(SUM($H$8:$H$18) = 0, "", SUM($H$8:$H$18))), "", (IF(SUM($H$8:$H$18) = 0, "", SUM($H$8:$H$18))))</f>
        <v>107.139</v>
      </c>
      <c r="I7">
        <f ca="1">IF(ISERROR(IF(SUM($I$8:$I$18) = 0, "", SUM($I$8:$I$18))), "", (IF(SUM($I$8:$I$18) = 0, "", SUM($I$8:$I$18))))</f>
        <v>99.664000000000001</v>
      </c>
      <c r="J7">
        <f ca="1">IF(ISERROR(IF(SUM($J$8:$J$18) = 0, "", SUM($J$8:$J$18))), "", (IF(SUM($J$8:$J$18) = 0, "", SUM($J$8:$J$18))))</f>
        <v>96.576999999999998</v>
      </c>
      <c r="K7">
        <f ca="1">IF(ISERROR(IF(SUM($K$8:$K$18) = 0, "", SUM($K$8:$K$18))), "", (IF(SUM($K$8:$K$18) = 0, "", SUM($K$8:$K$18))))</f>
        <v>98.361000000000004</v>
      </c>
      <c r="L7">
        <f>116.629</f>
        <v>116.629</v>
      </c>
      <c r="M7">
        <f>113.906</f>
        <v>113.90600000000001</v>
      </c>
      <c r="N7">
        <f>107.139</f>
        <v>107.139</v>
      </c>
      <c r="O7">
        <f>99.664</f>
        <v>99.664000000000001</v>
      </c>
      <c r="P7">
        <f>96.577</f>
        <v>96.576999999999998</v>
      </c>
      <c r="Q7">
        <f>98.361</f>
        <v>98.361000000000004</v>
      </c>
    </row>
    <row r="8" spans="1:17" x14ac:dyDescent="0.25">
      <c r="A8" t="str">
        <f>"    IBM"</f>
        <v xml:space="preserve">    IBM</v>
      </c>
      <c r="B8" t="str">
        <f>""</f>
        <v/>
      </c>
      <c r="E8" t="str">
        <f t="shared" ref="E8:E18" si="1">"Static"</f>
        <v>Static</v>
      </c>
      <c r="F8">
        <f t="shared" ref="F8:K18" ca="1" si="2">HLOOKUP(INDIRECT(ADDRESS(2,COLUMN())),OFFSET($L$2,0,0,ROW()-1,6),ROW()-1,FALSE)</f>
        <v>6.2089999999999996</v>
      </c>
      <c r="G8">
        <f t="shared" ca="1" si="2"/>
        <v>6.32</v>
      </c>
      <c r="H8">
        <f t="shared" ca="1" si="2"/>
        <v>6.2080000000000002</v>
      </c>
      <c r="I8">
        <f t="shared" ca="1" si="2"/>
        <v>6.0510000000000002</v>
      </c>
      <c r="J8">
        <f t="shared" ca="1" si="2"/>
        <v>6.1660000000000004</v>
      </c>
      <c r="K8">
        <f t="shared" ca="1" si="2"/>
        <v>6.9909999999999997</v>
      </c>
      <c r="L8">
        <f>6.209</f>
        <v>6.2089999999999996</v>
      </c>
      <c r="M8">
        <f>6.32</f>
        <v>6.32</v>
      </c>
      <c r="N8">
        <f>6.208</f>
        <v>6.2080000000000002</v>
      </c>
      <c r="O8">
        <f>6.051</f>
        <v>6.0510000000000002</v>
      </c>
      <c r="P8">
        <f>6.166</f>
        <v>6.1660000000000004</v>
      </c>
      <c r="Q8">
        <f>6.991</f>
        <v>6.9909999999999997</v>
      </c>
    </row>
    <row r="9" spans="1:17" x14ac:dyDescent="0.25">
      <c r="A9" t="str">
        <f>"    Accenture"</f>
        <v xml:space="preserve">    Accenture</v>
      </c>
      <c r="B9" t="str">
        <f>""</f>
        <v/>
      </c>
      <c r="E9" t="str">
        <f t="shared" si="1"/>
        <v>Static</v>
      </c>
      <c r="F9">
        <f t="shared" ca="1" si="2"/>
        <v>3.375</v>
      </c>
      <c r="G9">
        <f t="shared" ca="1" si="2"/>
        <v>3.2839999999999998</v>
      </c>
      <c r="H9">
        <f t="shared" ca="1" si="2"/>
        <v>3.0819999999999999</v>
      </c>
      <c r="I9">
        <f t="shared" ca="1" si="2"/>
        <v>2.9159999999999999</v>
      </c>
      <c r="J9">
        <f t="shared" ca="1" si="2"/>
        <v>2.597</v>
      </c>
      <c r="K9">
        <f t="shared" ca="1" si="2"/>
        <v>2.7490000000000001</v>
      </c>
      <c r="L9">
        <f>3.375</f>
        <v>3.375</v>
      </c>
      <c r="M9">
        <f>3.284</f>
        <v>3.2839999999999998</v>
      </c>
      <c r="N9">
        <f>3.082</f>
        <v>3.0819999999999999</v>
      </c>
      <c r="O9">
        <f>2.916</f>
        <v>2.9159999999999999</v>
      </c>
      <c r="P9">
        <f>2.597</f>
        <v>2.597</v>
      </c>
      <c r="Q9">
        <f>2.749</f>
        <v>2.7490000000000001</v>
      </c>
    </row>
    <row r="10" spans="1:17" x14ac:dyDescent="0.25">
      <c r="A10" t="str">
        <f>"    Samsung SDS"</f>
        <v xml:space="preserve">    Samsung SDS</v>
      </c>
      <c r="B10" t="str">
        <f>""</f>
        <v/>
      </c>
      <c r="E10" t="str">
        <f t="shared" si="1"/>
        <v>Static</v>
      </c>
      <c r="F10">
        <f t="shared" ca="1" si="2"/>
        <v>3.2330000000000001</v>
      </c>
      <c r="G10">
        <f t="shared" ca="1" si="2"/>
        <v>3.226</v>
      </c>
      <c r="H10">
        <f t="shared" ca="1" si="2"/>
        <v>2.879</v>
      </c>
      <c r="I10">
        <f t="shared" ca="1" si="2"/>
        <v>2.5089999999999999</v>
      </c>
      <c r="J10">
        <f t="shared" ca="1" si="2"/>
        <v>2.6139999999999999</v>
      </c>
      <c r="K10">
        <f t="shared" ca="1" si="2"/>
        <v>2.7669999999999999</v>
      </c>
      <c r="L10">
        <f>3.233</f>
        <v>3.2330000000000001</v>
      </c>
      <c r="M10">
        <f>3.226</f>
        <v>3.226</v>
      </c>
      <c r="N10">
        <f>2.879</f>
        <v>2.879</v>
      </c>
      <c r="O10">
        <f>2.509</f>
        <v>2.5089999999999999</v>
      </c>
      <c r="P10">
        <f>2.614</f>
        <v>2.6139999999999999</v>
      </c>
      <c r="Q10">
        <f>2.767</f>
        <v>2.7669999999999999</v>
      </c>
    </row>
    <row r="11" spans="1:17" x14ac:dyDescent="0.25">
      <c r="A11" t="str">
        <f>"    DXC"</f>
        <v xml:space="preserve">    DXC</v>
      </c>
      <c r="B11" t="str">
        <f>""</f>
        <v/>
      </c>
      <c r="E11" t="str">
        <f t="shared" si="1"/>
        <v>Static</v>
      </c>
      <c r="F11">
        <f t="shared" ca="1" si="2"/>
        <v>2.605</v>
      </c>
      <c r="G11">
        <f t="shared" ca="1" si="2"/>
        <v>2.8780000000000001</v>
      </c>
      <c r="H11">
        <f t="shared" ca="1" si="2"/>
        <v>2.5070000000000001</v>
      </c>
      <c r="I11">
        <f t="shared" ca="1" si="2"/>
        <v>1.2689999999999999</v>
      </c>
      <c r="J11">
        <f t="shared" ca="1" si="2"/>
        <v>3.738</v>
      </c>
      <c r="K11">
        <f t="shared" ca="1" si="2"/>
        <v>4.1050000000000004</v>
      </c>
      <c r="L11">
        <f>2.605</f>
        <v>2.605</v>
      </c>
      <c r="M11">
        <f>2.878</f>
        <v>2.8780000000000001</v>
      </c>
      <c r="N11">
        <f>2.507</f>
        <v>2.5070000000000001</v>
      </c>
      <c r="O11">
        <f>1.269</f>
        <v>1.2689999999999999</v>
      </c>
      <c r="P11">
        <f>3.738</f>
        <v>3.738</v>
      </c>
      <c r="Q11">
        <f>4.105</f>
        <v>4.1050000000000004</v>
      </c>
    </row>
    <row r="12" spans="1:17" x14ac:dyDescent="0.25">
      <c r="A12" t="str">
        <f>"    Deloitte"</f>
        <v xml:space="preserve">    Deloitte</v>
      </c>
      <c r="B12" t="str">
        <f>""</f>
        <v/>
      </c>
      <c r="E12" t="str">
        <f t="shared" si="1"/>
        <v>Static</v>
      </c>
      <c r="F12">
        <f t="shared" ca="1" si="2"/>
        <v>2.427</v>
      </c>
      <c r="G12">
        <f t="shared" ca="1" si="2"/>
        <v>2.2589999999999999</v>
      </c>
      <c r="H12">
        <f t="shared" ca="1" si="2"/>
        <v>2.044</v>
      </c>
      <c r="I12">
        <f t="shared" ca="1" si="2"/>
        <v>1.863</v>
      </c>
      <c r="J12">
        <f t="shared" ca="1" si="2"/>
        <v>1.704</v>
      </c>
      <c r="K12">
        <f t="shared" ca="1" si="2"/>
        <v>1.71</v>
      </c>
      <c r="L12">
        <f>2.427</f>
        <v>2.427</v>
      </c>
      <c r="M12">
        <f>2.259</f>
        <v>2.2589999999999999</v>
      </c>
      <c r="N12">
        <f>2.044</f>
        <v>2.044</v>
      </c>
      <c r="O12">
        <f>1.863</f>
        <v>1.863</v>
      </c>
      <c r="P12">
        <f>1.704</f>
        <v>1.704</v>
      </c>
      <c r="Q12">
        <f>1.71</f>
        <v>1.71</v>
      </c>
    </row>
    <row r="13" spans="1:17" x14ac:dyDescent="0.25">
      <c r="A13" t="str">
        <f>"    Tata Consultancy Services"</f>
        <v xml:space="preserve">    Tata Consultancy Services</v>
      </c>
      <c r="B13" t="str">
        <f>""</f>
        <v/>
      </c>
      <c r="E13" t="str">
        <f t="shared" si="1"/>
        <v>Static</v>
      </c>
      <c r="F13">
        <f t="shared" ca="1" si="2"/>
        <v>2.0459999999999998</v>
      </c>
      <c r="G13">
        <f t="shared" ca="1" si="2"/>
        <v>1.988</v>
      </c>
      <c r="H13">
        <f t="shared" ca="1" si="2"/>
        <v>1.8979999999999999</v>
      </c>
      <c r="I13" t="str">
        <f t="shared" ca="1" si="2"/>
        <v/>
      </c>
      <c r="J13" t="str">
        <f t="shared" ca="1" si="2"/>
        <v/>
      </c>
      <c r="K13" t="str">
        <f t="shared" ca="1" si="2"/>
        <v/>
      </c>
      <c r="L13">
        <f>2.046</f>
        <v>2.0459999999999998</v>
      </c>
      <c r="M13">
        <f>1.988</f>
        <v>1.988</v>
      </c>
      <c r="N13">
        <f>1.898</f>
        <v>1.8979999999999999</v>
      </c>
      <c r="O13" t="str">
        <f>""</f>
        <v/>
      </c>
      <c r="P13" t="str">
        <f>""</f>
        <v/>
      </c>
      <c r="Q13" t="str">
        <f>""</f>
        <v/>
      </c>
    </row>
    <row r="14" spans="1:17" x14ac:dyDescent="0.25">
      <c r="A14" t="str">
        <f>"    PwC"</f>
        <v xml:space="preserve">    PwC</v>
      </c>
      <c r="B14" t="str">
        <f>""</f>
        <v/>
      </c>
      <c r="E14" t="str">
        <f t="shared" si="1"/>
        <v>Static</v>
      </c>
      <c r="F14">
        <f t="shared" ca="1" si="2"/>
        <v>1.744</v>
      </c>
      <c r="G14">
        <f t="shared" ca="1" si="2"/>
        <v>1.5840000000000001</v>
      </c>
      <c r="H14">
        <f t="shared" ca="1" si="2"/>
        <v>1.3819999999999999</v>
      </c>
      <c r="I14" t="str">
        <f t="shared" ca="1" si="2"/>
        <v/>
      </c>
      <c r="J14" t="str">
        <f t="shared" ca="1" si="2"/>
        <v/>
      </c>
      <c r="K14" t="str">
        <f t="shared" ca="1" si="2"/>
        <v/>
      </c>
      <c r="L14">
        <f>1.744</f>
        <v>1.744</v>
      </c>
      <c r="M14">
        <f>1.584</f>
        <v>1.5840000000000001</v>
      </c>
      <c r="N14">
        <f>1.382</f>
        <v>1.3819999999999999</v>
      </c>
      <c r="O14" t="str">
        <f>""</f>
        <v/>
      </c>
      <c r="P14" t="str">
        <f>""</f>
        <v/>
      </c>
      <c r="Q14" t="str">
        <f>""</f>
        <v/>
      </c>
    </row>
    <row r="15" spans="1:17" x14ac:dyDescent="0.25">
      <c r="A15" t="str">
        <f>"    LG CNS"</f>
        <v xml:space="preserve">    LG CNS</v>
      </c>
      <c r="B15" t="str">
        <f>""</f>
        <v/>
      </c>
      <c r="E15" t="str">
        <f t="shared" si="1"/>
        <v>Static</v>
      </c>
      <c r="F15">
        <f t="shared" ca="1" si="2"/>
        <v>1.641</v>
      </c>
      <c r="G15">
        <f t="shared" ca="1" si="2"/>
        <v>1.655</v>
      </c>
      <c r="H15">
        <f t="shared" ca="1" si="2"/>
        <v>1.5580000000000001</v>
      </c>
      <c r="I15" t="str">
        <f t="shared" ca="1" si="2"/>
        <v/>
      </c>
      <c r="J15" t="str">
        <f t="shared" ca="1" si="2"/>
        <v/>
      </c>
      <c r="K15" t="str">
        <f t="shared" ca="1" si="2"/>
        <v/>
      </c>
      <c r="L15">
        <f>1.641</f>
        <v>1.641</v>
      </c>
      <c r="M15">
        <f>1.655</f>
        <v>1.655</v>
      </c>
      <c r="N15">
        <f>1.558</f>
        <v>1.5580000000000001</v>
      </c>
      <c r="O15" t="str">
        <f>""</f>
        <v/>
      </c>
      <c r="P15" t="str">
        <f>""</f>
        <v/>
      </c>
      <c r="Q15" t="str">
        <f>""</f>
        <v/>
      </c>
    </row>
    <row r="16" spans="1:17" x14ac:dyDescent="0.25">
      <c r="A16" t="str">
        <f>"    NCS"</f>
        <v xml:space="preserve">    NCS</v>
      </c>
      <c r="B16" t="str">
        <f>""</f>
        <v/>
      </c>
      <c r="E16" t="str">
        <f t="shared" si="1"/>
        <v>Static</v>
      </c>
      <c r="F16">
        <f t="shared" ca="1" si="2"/>
        <v>1.4079999999999999</v>
      </c>
      <c r="G16">
        <f t="shared" ca="1" si="2"/>
        <v>1.345</v>
      </c>
      <c r="H16">
        <f t="shared" ca="1" si="2"/>
        <v>1.236</v>
      </c>
      <c r="I16" t="str">
        <f t="shared" ca="1" si="2"/>
        <v/>
      </c>
      <c r="J16" t="str">
        <f t="shared" ca="1" si="2"/>
        <v/>
      </c>
      <c r="K16" t="str">
        <f t="shared" ca="1" si="2"/>
        <v/>
      </c>
      <c r="L16">
        <f>1.408</f>
        <v>1.4079999999999999</v>
      </c>
      <c r="M16">
        <f>1.345</f>
        <v>1.345</v>
      </c>
      <c r="N16">
        <f>1.236</f>
        <v>1.236</v>
      </c>
      <c r="O16" t="str">
        <f>""</f>
        <v/>
      </c>
      <c r="P16" t="str">
        <f>""</f>
        <v/>
      </c>
      <c r="Q16" t="str">
        <f>""</f>
        <v/>
      </c>
    </row>
    <row r="17" spans="1:17" x14ac:dyDescent="0.25">
      <c r="A17" t="str">
        <f>"    Cisco"</f>
        <v xml:space="preserve">    Cisco</v>
      </c>
      <c r="B17" t="str">
        <f>""</f>
        <v/>
      </c>
      <c r="E17" t="str">
        <f t="shared" si="1"/>
        <v>Static</v>
      </c>
      <c r="F17">
        <f t="shared" ca="1" si="2"/>
        <v>1.3049999999999999</v>
      </c>
      <c r="G17">
        <f t="shared" ca="1" si="2"/>
        <v>1.2789999999999999</v>
      </c>
      <c r="H17">
        <f t="shared" ca="1" si="2"/>
        <v>1.2350000000000001</v>
      </c>
      <c r="I17" t="str">
        <f t="shared" ca="1" si="2"/>
        <v/>
      </c>
      <c r="J17" t="str">
        <f t="shared" ca="1" si="2"/>
        <v/>
      </c>
      <c r="K17" t="str">
        <f t="shared" ca="1" si="2"/>
        <v/>
      </c>
      <c r="L17">
        <f>1.305</f>
        <v>1.3049999999999999</v>
      </c>
      <c r="M17">
        <f>1.279</f>
        <v>1.2789999999999999</v>
      </c>
      <c r="N17">
        <f>1.235</f>
        <v>1.2350000000000001</v>
      </c>
      <c r="O17" t="str">
        <f>""</f>
        <v/>
      </c>
      <c r="P17" t="str">
        <f>""</f>
        <v/>
      </c>
      <c r="Q17" t="str">
        <f>""</f>
        <v/>
      </c>
    </row>
    <row r="18" spans="1:17" x14ac:dyDescent="0.25">
      <c r="A18" t="str">
        <f>"    Other"</f>
        <v xml:space="preserve">    Other</v>
      </c>
      <c r="B18" t="str">
        <f>""</f>
        <v/>
      </c>
      <c r="E18" t="str">
        <f t="shared" si="1"/>
        <v>Static</v>
      </c>
      <c r="F18">
        <f t="shared" ca="1" si="2"/>
        <v>90.635999999999996</v>
      </c>
      <c r="G18">
        <f t="shared" ca="1" si="2"/>
        <v>88.087999999999994</v>
      </c>
      <c r="H18">
        <f t="shared" ca="1" si="2"/>
        <v>83.11</v>
      </c>
      <c r="I18">
        <f t="shared" ca="1" si="2"/>
        <v>85.055999999999997</v>
      </c>
      <c r="J18">
        <f t="shared" ca="1" si="2"/>
        <v>79.757999999999996</v>
      </c>
      <c r="K18">
        <f t="shared" ca="1" si="2"/>
        <v>80.039000000000001</v>
      </c>
      <c r="L18">
        <f>90.636</f>
        <v>90.635999999999996</v>
      </c>
      <c r="M18">
        <f>88.088</f>
        <v>88.087999999999994</v>
      </c>
      <c r="N18">
        <f>83.11</f>
        <v>83.11</v>
      </c>
      <c r="O18">
        <f>85.056</f>
        <v>85.055999999999997</v>
      </c>
      <c r="P18">
        <f>79.758</f>
        <v>79.757999999999996</v>
      </c>
      <c r="Q18">
        <f>80.039</f>
        <v>80.039000000000001</v>
      </c>
    </row>
    <row r="19" spans="1:17" x14ac:dyDescent="0.25">
      <c r="A19" t="str">
        <f>"Canada"</f>
        <v>Canada</v>
      </c>
      <c r="B19" t="str">
        <f>""</f>
        <v/>
      </c>
      <c r="E19" t="str">
        <f>"Sum"</f>
        <v>Sum</v>
      </c>
      <c r="F19">
        <f ca="1">IF(ISERROR(IF(SUM($F$20:$F$30) = 0, "", SUM($F$20:$F$30))), "", (IF(SUM($F$20:$F$30) = 0, "", SUM($F$20:$F$30))))</f>
        <v>26.356999999999999</v>
      </c>
      <c r="G19">
        <f ca="1">IF(ISERROR(IF(SUM($G$20:$G$30) = 0, "", SUM($G$20:$G$30))), "", (IF(SUM($G$20:$G$30) = 0, "", SUM($G$20:$G$30))))</f>
        <v>26.427999999999997</v>
      </c>
      <c r="H19">
        <f ca="1">IF(ISERROR(IF(SUM($H$20:$H$30) = 0, "", SUM($H$20:$H$30))), "", (IF(SUM($H$20:$H$30) = 0, "", SUM($H$20:$H$30))))</f>
        <v>25.913999999999998</v>
      </c>
      <c r="I19">
        <f ca="1">IF(ISERROR(IF(SUM($I$20:$I$30) = 0, "", SUM($I$20:$I$30))), "", (IF(SUM($I$20:$I$30) = 0, "", SUM($I$20:$I$30))))</f>
        <v>24.977</v>
      </c>
      <c r="J19">
        <f ca="1">IF(ISERROR(IF(SUM($J$20:$J$30) = 0, "", SUM($J$20:$J$30))), "", (IF(SUM($J$20:$J$30) = 0, "", SUM($J$20:$J$30))))</f>
        <v>24.465</v>
      </c>
      <c r="K19">
        <f ca="1">IF(ISERROR(IF(SUM($K$20:$K$30) = 0, "", SUM($K$20:$K$30))), "", (IF(SUM($K$20:$K$30) = 0, "", SUM($K$20:$K$30))))</f>
        <v>28.043999999999997</v>
      </c>
      <c r="L19">
        <f>26.357</f>
        <v>26.356999999999999</v>
      </c>
      <c r="M19">
        <f>26.428</f>
        <v>26.428000000000001</v>
      </c>
      <c r="N19">
        <f>25.914</f>
        <v>25.914000000000001</v>
      </c>
      <c r="O19">
        <f>24.977</f>
        <v>24.977</v>
      </c>
      <c r="P19">
        <f>24.465</f>
        <v>24.465</v>
      </c>
      <c r="Q19">
        <f>28.044</f>
        <v>28.044</v>
      </c>
    </row>
    <row r="20" spans="1:17" x14ac:dyDescent="0.25">
      <c r="A20" t="str">
        <f>"    IBM"</f>
        <v xml:space="preserve">    IBM</v>
      </c>
      <c r="B20" t="str">
        <f>""</f>
        <v/>
      </c>
      <c r="E20" t="str">
        <f t="shared" ref="E20:E30" si="3">"Static"</f>
        <v>Static</v>
      </c>
      <c r="F20">
        <f t="shared" ref="F20:K30" ca="1" si="4">HLOOKUP(INDIRECT(ADDRESS(2,COLUMN())),OFFSET($L$2,0,0,ROW()-1,6),ROW()-1,FALSE)</f>
        <v>2.5499999999999998</v>
      </c>
      <c r="G20">
        <f t="shared" ca="1" si="4"/>
        <v>2.3860000000000001</v>
      </c>
      <c r="H20">
        <f t="shared" ca="1" si="4"/>
        <v>2.3109999999999999</v>
      </c>
      <c r="I20">
        <f t="shared" ca="1" si="4"/>
        <v>2.2200000000000002</v>
      </c>
      <c r="J20">
        <f t="shared" ca="1" si="4"/>
        <v>2.3199999999999998</v>
      </c>
      <c r="K20">
        <f t="shared" ca="1" si="4"/>
        <v>3.0019999999999998</v>
      </c>
      <c r="L20">
        <f>2.55</f>
        <v>2.5499999999999998</v>
      </c>
      <c r="M20">
        <f>2.386</f>
        <v>2.3860000000000001</v>
      </c>
      <c r="N20">
        <f>2.311</f>
        <v>2.3109999999999999</v>
      </c>
      <c r="O20">
        <f>2.22</f>
        <v>2.2200000000000002</v>
      </c>
      <c r="P20">
        <f>2.32</f>
        <v>2.3199999999999998</v>
      </c>
      <c r="Q20">
        <f>3.002</f>
        <v>3.0019999999999998</v>
      </c>
    </row>
    <row r="21" spans="1:17" x14ac:dyDescent="0.25">
      <c r="A21" t="str">
        <f>"    CGI/Logica"</f>
        <v xml:space="preserve">    CGI/Logica</v>
      </c>
      <c r="B21" t="str">
        <f>""</f>
        <v/>
      </c>
      <c r="E21" t="str">
        <f t="shared" si="3"/>
        <v>Static</v>
      </c>
      <c r="F21">
        <f t="shared" ca="1" si="4"/>
        <v>1.3440000000000001</v>
      </c>
      <c r="G21">
        <f t="shared" ca="1" si="4"/>
        <v>1.36</v>
      </c>
      <c r="H21">
        <f t="shared" ca="1" si="4"/>
        <v>1.3069999999999999</v>
      </c>
      <c r="I21">
        <f t="shared" ca="1" si="4"/>
        <v>1.1160000000000001</v>
      </c>
      <c r="J21">
        <f t="shared" ca="1" si="4"/>
        <v>1.163</v>
      </c>
      <c r="K21">
        <f t="shared" ca="1" si="4"/>
        <v>1.38</v>
      </c>
      <c r="L21">
        <f>1.344</f>
        <v>1.3440000000000001</v>
      </c>
      <c r="M21">
        <f>1.36</f>
        <v>1.36</v>
      </c>
      <c r="N21">
        <f>1.307</f>
        <v>1.3069999999999999</v>
      </c>
      <c r="O21">
        <f>1.116</f>
        <v>1.1160000000000001</v>
      </c>
      <c r="P21">
        <f>1.163</f>
        <v>1.163</v>
      </c>
      <c r="Q21">
        <f>1.38</f>
        <v>1.38</v>
      </c>
    </row>
    <row r="22" spans="1:17" x14ac:dyDescent="0.25">
      <c r="A22" t="str">
        <f>"    Deloitte"</f>
        <v xml:space="preserve">    Deloitte</v>
      </c>
      <c r="B22" t="str">
        <f>""</f>
        <v/>
      </c>
      <c r="E22" t="str">
        <f t="shared" si="3"/>
        <v>Static</v>
      </c>
      <c r="F22">
        <f t="shared" ca="1" si="4"/>
        <v>1.2789999999999999</v>
      </c>
      <c r="G22">
        <f t="shared" ca="1" si="4"/>
        <v>1.232</v>
      </c>
      <c r="H22">
        <f t="shared" ca="1" si="4"/>
        <v>1.1279999999999999</v>
      </c>
      <c r="I22">
        <f t="shared" ca="1" si="4"/>
        <v>1.0329999999999999</v>
      </c>
      <c r="J22">
        <f t="shared" ca="1" si="4"/>
        <v>0.96399999999999997</v>
      </c>
      <c r="K22">
        <f t="shared" ca="1" si="4"/>
        <v>0.98899999999999999</v>
      </c>
      <c r="L22">
        <f>1.279</f>
        <v>1.2789999999999999</v>
      </c>
      <c r="M22">
        <f>1.232</f>
        <v>1.232</v>
      </c>
      <c r="N22">
        <f>1.128</f>
        <v>1.1279999999999999</v>
      </c>
      <c r="O22">
        <f>1.033</f>
        <v>1.0329999999999999</v>
      </c>
      <c r="P22">
        <f>0.964</f>
        <v>0.96399999999999997</v>
      </c>
      <c r="Q22">
        <f>0.989</f>
        <v>0.98899999999999999</v>
      </c>
    </row>
    <row r="23" spans="1:17" x14ac:dyDescent="0.25">
      <c r="A23" t="str">
        <f>"    Bell Canada"</f>
        <v xml:space="preserve">    Bell Canada</v>
      </c>
      <c r="B23" t="str">
        <f>""</f>
        <v/>
      </c>
      <c r="E23" t="str">
        <f t="shared" si="3"/>
        <v>Static</v>
      </c>
      <c r="F23">
        <f t="shared" ca="1" si="4"/>
        <v>1.0009999999999999</v>
      </c>
      <c r="G23">
        <f t="shared" ca="1" si="4"/>
        <v>0.98699999999999999</v>
      </c>
      <c r="H23">
        <f t="shared" ca="1" si="4"/>
        <v>0.99199999999999999</v>
      </c>
      <c r="I23">
        <f t="shared" ca="1" si="4"/>
        <v>0.98099999999999998</v>
      </c>
      <c r="J23">
        <f t="shared" ca="1" si="4"/>
        <v>0.83799999999999997</v>
      </c>
      <c r="K23">
        <f t="shared" ca="1" si="4"/>
        <v>0.88800000000000001</v>
      </c>
      <c r="L23">
        <f>1.001</f>
        <v>1.0009999999999999</v>
      </c>
      <c r="M23">
        <f>0.987</f>
        <v>0.98699999999999999</v>
      </c>
      <c r="N23">
        <f>0.992</f>
        <v>0.99199999999999999</v>
      </c>
      <c r="O23">
        <f>0.981</f>
        <v>0.98099999999999998</v>
      </c>
      <c r="P23">
        <f>0.838</f>
        <v>0.83799999999999997</v>
      </c>
      <c r="Q23">
        <f>0.888</f>
        <v>0.88800000000000001</v>
      </c>
    </row>
    <row r="24" spans="1:17" x14ac:dyDescent="0.25">
      <c r="A24" t="str">
        <f>"    Accenture"</f>
        <v xml:space="preserve">    Accenture</v>
      </c>
      <c r="B24" t="str">
        <f>""</f>
        <v/>
      </c>
      <c r="E24" t="str">
        <f t="shared" si="3"/>
        <v>Static</v>
      </c>
      <c r="F24">
        <f t="shared" ca="1" si="4"/>
        <v>0.878</v>
      </c>
      <c r="G24">
        <f t="shared" ca="1" si="4"/>
        <v>0.83399999999999996</v>
      </c>
      <c r="H24">
        <f t="shared" ca="1" si="4"/>
        <v>0.77100000000000002</v>
      </c>
      <c r="I24">
        <f t="shared" ca="1" si="4"/>
        <v>0.72899999999999998</v>
      </c>
      <c r="J24">
        <f t="shared" ca="1" si="4"/>
        <v>0.97799999999999998</v>
      </c>
      <c r="K24">
        <f t="shared" ca="1" si="4"/>
        <v>0.94599999999999995</v>
      </c>
      <c r="L24">
        <f>0.878</f>
        <v>0.878</v>
      </c>
      <c r="M24">
        <f>0.834</f>
        <v>0.83399999999999996</v>
      </c>
      <c r="N24">
        <f>0.771</f>
        <v>0.77100000000000002</v>
      </c>
      <c r="O24">
        <f>0.729</f>
        <v>0.72899999999999998</v>
      </c>
      <c r="P24">
        <f>0.978</f>
        <v>0.97799999999999998</v>
      </c>
      <c r="Q24">
        <f>0.946</f>
        <v>0.94599999999999995</v>
      </c>
    </row>
    <row r="25" spans="1:17" x14ac:dyDescent="0.25">
      <c r="A25" t="str">
        <f>"    Tata Consultancy Services"</f>
        <v xml:space="preserve">    Tata Consultancy Services</v>
      </c>
      <c r="B25" t="str">
        <f>""</f>
        <v/>
      </c>
      <c r="E25" t="str">
        <f t="shared" si="3"/>
        <v>Static</v>
      </c>
      <c r="F25">
        <f t="shared" ca="1" si="4"/>
        <v>0.78800000000000003</v>
      </c>
      <c r="G25">
        <f t="shared" ca="1" si="4"/>
        <v>0.77600000000000002</v>
      </c>
      <c r="H25">
        <f t="shared" ca="1" si="4"/>
        <v>0.67200000000000004</v>
      </c>
      <c r="I25" t="str">
        <f t="shared" ca="1" si="4"/>
        <v/>
      </c>
      <c r="J25" t="str">
        <f t="shared" ca="1" si="4"/>
        <v/>
      </c>
      <c r="K25" t="str">
        <f t="shared" ca="1" si="4"/>
        <v/>
      </c>
      <c r="L25">
        <f>0.788</f>
        <v>0.78800000000000003</v>
      </c>
      <c r="M25">
        <f>0.776</f>
        <v>0.77600000000000002</v>
      </c>
      <c r="N25">
        <f>0.672</f>
        <v>0.67200000000000004</v>
      </c>
      <c r="O25" t="str">
        <f>""</f>
        <v/>
      </c>
      <c r="P25" t="str">
        <f>""</f>
        <v/>
      </c>
      <c r="Q25" t="str">
        <f>""</f>
        <v/>
      </c>
    </row>
    <row r="26" spans="1:17" x14ac:dyDescent="0.25">
      <c r="A26" t="str">
        <f>"    Telus"</f>
        <v xml:space="preserve">    Telus</v>
      </c>
      <c r="B26" t="str">
        <f>""</f>
        <v/>
      </c>
      <c r="E26" t="str">
        <f t="shared" si="3"/>
        <v>Static</v>
      </c>
      <c r="F26">
        <f t="shared" ca="1" si="4"/>
        <v>0.73099999999999998</v>
      </c>
      <c r="G26">
        <f t="shared" ca="1" si="4"/>
        <v>0.71699999999999997</v>
      </c>
      <c r="H26">
        <f t="shared" ca="1" si="4"/>
        <v>0.68500000000000005</v>
      </c>
      <c r="I26" t="str">
        <f t="shared" ca="1" si="4"/>
        <v/>
      </c>
      <c r="J26" t="str">
        <f t="shared" ca="1" si="4"/>
        <v/>
      </c>
      <c r="K26" t="str">
        <f t="shared" ca="1" si="4"/>
        <v/>
      </c>
      <c r="L26">
        <f>0.731</f>
        <v>0.73099999999999998</v>
      </c>
      <c r="M26">
        <f>0.717</f>
        <v>0.71699999999999997</v>
      </c>
      <c r="N26">
        <f>0.685</f>
        <v>0.68500000000000005</v>
      </c>
      <c r="O26" t="str">
        <f>""</f>
        <v/>
      </c>
      <c r="P26" t="str">
        <f>""</f>
        <v/>
      </c>
      <c r="Q26" t="str">
        <f>""</f>
        <v/>
      </c>
    </row>
    <row r="27" spans="1:17" x14ac:dyDescent="0.25">
      <c r="A27" t="str">
        <f>"    PwC"</f>
        <v xml:space="preserve">    PwC</v>
      </c>
      <c r="B27" t="str">
        <f>""</f>
        <v/>
      </c>
      <c r="E27" t="str">
        <f t="shared" si="3"/>
        <v>Static</v>
      </c>
      <c r="F27">
        <f t="shared" ca="1" si="4"/>
        <v>0.64</v>
      </c>
      <c r="G27">
        <f t="shared" ca="1" si="4"/>
        <v>0.61899999999999999</v>
      </c>
      <c r="H27">
        <f t="shared" ca="1" si="4"/>
        <v>0.60699999999999998</v>
      </c>
      <c r="I27" t="str">
        <f t="shared" ca="1" si="4"/>
        <v/>
      </c>
      <c r="J27" t="str">
        <f t="shared" ca="1" si="4"/>
        <v/>
      </c>
      <c r="K27" t="str">
        <f t="shared" ca="1" si="4"/>
        <v/>
      </c>
      <c r="L27">
        <f>0.64</f>
        <v>0.64</v>
      </c>
      <c r="M27">
        <f>0.619</f>
        <v>0.61899999999999999</v>
      </c>
      <c r="N27">
        <f>0.607</f>
        <v>0.60699999999999998</v>
      </c>
      <c r="O27" t="str">
        <f>""</f>
        <v/>
      </c>
      <c r="P27" t="str">
        <f>""</f>
        <v/>
      </c>
      <c r="Q27" t="str">
        <f>""</f>
        <v/>
      </c>
    </row>
    <row r="28" spans="1:17" x14ac:dyDescent="0.25">
      <c r="A28" t="str">
        <f>"    DXC"</f>
        <v xml:space="preserve">    DXC</v>
      </c>
      <c r="B28" t="str">
        <f>""</f>
        <v/>
      </c>
      <c r="E28" t="str">
        <f t="shared" si="3"/>
        <v>Static</v>
      </c>
      <c r="F28">
        <f t="shared" ca="1" si="4"/>
        <v>0.54700000000000004</v>
      </c>
      <c r="G28">
        <f t="shared" ca="1" si="4"/>
        <v>0.59499999999999997</v>
      </c>
      <c r="H28">
        <f t="shared" ca="1" si="4"/>
        <v>0.50800000000000001</v>
      </c>
      <c r="I28" t="str">
        <f t="shared" ca="1" si="4"/>
        <v/>
      </c>
      <c r="J28" t="str">
        <f t="shared" ca="1" si="4"/>
        <v/>
      </c>
      <c r="K28" t="str">
        <f t="shared" ca="1" si="4"/>
        <v/>
      </c>
      <c r="L28">
        <f>0.547</f>
        <v>0.54700000000000004</v>
      </c>
      <c r="M28">
        <f>0.595</f>
        <v>0.59499999999999997</v>
      </c>
      <c r="N28">
        <f>0.508</f>
        <v>0.50800000000000001</v>
      </c>
      <c r="O28" t="str">
        <f>""</f>
        <v/>
      </c>
      <c r="P28" t="str">
        <f>""</f>
        <v/>
      </c>
      <c r="Q28" t="str">
        <f>""</f>
        <v/>
      </c>
    </row>
    <row r="29" spans="1:17" x14ac:dyDescent="0.25">
      <c r="A29" t="str">
        <f>"    Capgemini"</f>
        <v xml:space="preserve">    Capgemini</v>
      </c>
      <c r="B29" t="str">
        <f>""</f>
        <v/>
      </c>
      <c r="E29" t="str">
        <f t="shared" si="3"/>
        <v>Static</v>
      </c>
      <c r="F29">
        <f t="shared" ca="1" si="4"/>
        <v>0.54600000000000004</v>
      </c>
      <c r="G29">
        <f t="shared" ca="1" si="4"/>
        <v>0.53300000000000003</v>
      </c>
      <c r="H29">
        <f t="shared" ca="1" si="4"/>
        <v>0.48599999999999999</v>
      </c>
      <c r="I29" t="str">
        <f t="shared" ca="1" si="4"/>
        <v/>
      </c>
      <c r="J29" t="str">
        <f t="shared" ca="1" si="4"/>
        <v/>
      </c>
      <c r="K29" t="str">
        <f t="shared" ca="1" si="4"/>
        <v/>
      </c>
      <c r="L29">
        <f>0.546</f>
        <v>0.54600000000000004</v>
      </c>
      <c r="M29">
        <f>0.533</f>
        <v>0.53300000000000003</v>
      </c>
      <c r="N29">
        <f>0.486</f>
        <v>0.48599999999999999</v>
      </c>
      <c r="O29" t="str">
        <f>""</f>
        <v/>
      </c>
      <c r="P29" t="str">
        <f>""</f>
        <v/>
      </c>
      <c r="Q29" t="str">
        <f>""</f>
        <v/>
      </c>
    </row>
    <row r="30" spans="1:17" x14ac:dyDescent="0.25">
      <c r="A30" t="str">
        <f>"    Other"</f>
        <v xml:space="preserve">    Other</v>
      </c>
      <c r="B30" t="str">
        <f>""</f>
        <v/>
      </c>
      <c r="E30" t="str">
        <f t="shared" si="3"/>
        <v>Static</v>
      </c>
      <c r="F30">
        <f t="shared" ca="1" si="4"/>
        <v>16.053000000000001</v>
      </c>
      <c r="G30">
        <f t="shared" ca="1" si="4"/>
        <v>16.388999999999999</v>
      </c>
      <c r="H30">
        <f t="shared" ca="1" si="4"/>
        <v>16.446999999999999</v>
      </c>
      <c r="I30">
        <f t="shared" ca="1" si="4"/>
        <v>18.898</v>
      </c>
      <c r="J30">
        <f t="shared" ca="1" si="4"/>
        <v>18.202000000000002</v>
      </c>
      <c r="K30">
        <f t="shared" ca="1" si="4"/>
        <v>20.838999999999999</v>
      </c>
      <c r="L30">
        <f>16.053</f>
        <v>16.053000000000001</v>
      </c>
      <c r="M30">
        <f>16.389</f>
        <v>16.388999999999999</v>
      </c>
      <c r="N30">
        <f>16.447</f>
        <v>16.446999999999999</v>
      </c>
      <c r="O30">
        <f>18.898</f>
        <v>18.898</v>
      </c>
      <c r="P30">
        <f>18.202</f>
        <v>18.202000000000002</v>
      </c>
      <c r="Q30">
        <f>20.839</f>
        <v>20.838999999999999</v>
      </c>
    </row>
    <row r="31" spans="1:17" x14ac:dyDescent="0.25">
      <c r="A31" t="str">
        <f>"Central &amp; Eastern Europe"</f>
        <v>Central &amp; Eastern Europe</v>
      </c>
      <c r="B31" t="str">
        <f>""</f>
        <v/>
      </c>
      <c r="E31" t="str">
        <f>"Sum"</f>
        <v>Sum</v>
      </c>
      <c r="F31">
        <f ca="1">IF(ISERROR(IF(SUM($F$32:$F$42) = 0, "", SUM($F$32:$F$42))), "", (IF(SUM($F$32:$F$42) = 0, "", SUM($F$32:$F$42))))</f>
        <v>21.419</v>
      </c>
      <c r="G31">
        <f ca="1">IF(ISERROR(IF(SUM($G$32:$G$42) = 0, "", SUM($G$32:$G$42))), "", (IF(SUM($G$32:$G$42) = 0, "", SUM($G$32:$G$42))))</f>
        <v>20.482000000000003</v>
      </c>
      <c r="H31">
        <f ca="1">IF(ISERROR(IF(SUM($H$32:$H$42) = 0, "", SUM($H$32:$H$42))), "", (IF(SUM($H$32:$H$42) = 0, "", SUM($H$32:$H$42))))</f>
        <v>18.891999999999999</v>
      </c>
      <c r="I31">
        <f ca="1">IF(ISERROR(IF(SUM($I$32:$I$42) = 0, "", SUM($I$32:$I$42))), "", (IF(SUM($I$32:$I$42) = 0, "", SUM($I$32:$I$42))))</f>
        <v>16.425000000000001</v>
      </c>
      <c r="J31">
        <f ca="1">IF(ISERROR(IF(SUM($J$32:$J$42) = 0, "", SUM($J$32:$J$42))), "", (IF(SUM($J$32:$J$42) = 0, "", SUM($J$32:$J$42))))</f>
        <v>16.279</v>
      </c>
      <c r="K31">
        <f ca="1">IF(ISERROR(IF(SUM($K$32:$K$42) = 0, "", SUM($K$32:$K$42))), "", (IF(SUM($K$32:$K$42) = 0, "", SUM($K$32:$K$42))))</f>
        <v>20.405999999999999</v>
      </c>
      <c r="L31">
        <f>21.419</f>
        <v>21.419</v>
      </c>
      <c r="M31">
        <f>20.482</f>
        <v>20.481999999999999</v>
      </c>
      <c r="N31">
        <f>18.892</f>
        <v>18.891999999999999</v>
      </c>
      <c r="O31">
        <f>16.425</f>
        <v>16.425000000000001</v>
      </c>
      <c r="P31">
        <f>16.279</f>
        <v>16.279</v>
      </c>
      <c r="Q31">
        <f>20.406</f>
        <v>20.405999999999999</v>
      </c>
    </row>
    <row r="32" spans="1:17" x14ac:dyDescent="0.25">
      <c r="A32" t="str">
        <f>"    LANIT"</f>
        <v xml:space="preserve">    LANIT</v>
      </c>
      <c r="B32" t="str">
        <f>""</f>
        <v/>
      </c>
      <c r="E32" t="str">
        <f t="shared" ref="E32:E42" si="5">"Static"</f>
        <v>Static</v>
      </c>
      <c r="F32">
        <f t="shared" ref="F32:K42" ca="1" si="6">HLOOKUP(INDIRECT(ADDRESS(2,COLUMN())),OFFSET($L$2,0,0,ROW()-1,6),ROW()-1,FALSE)</f>
        <v>0.65900000000000003</v>
      </c>
      <c r="G32">
        <f t="shared" ca="1" si="6"/>
        <v>0.65900000000000003</v>
      </c>
      <c r="H32">
        <f t="shared" ca="1" si="6"/>
        <v>0.59099999999999997</v>
      </c>
      <c r="I32">
        <f t="shared" ca="1" si="6"/>
        <v>0.39700000000000002</v>
      </c>
      <c r="J32">
        <f t="shared" ca="1" si="6"/>
        <v>0.39100000000000001</v>
      </c>
      <c r="K32">
        <f t="shared" ca="1" si="6"/>
        <v>0.63</v>
      </c>
      <c r="L32">
        <f>0.659</f>
        <v>0.65900000000000003</v>
      </c>
      <c r="M32">
        <f>0.659</f>
        <v>0.65900000000000003</v>
      </c>
      <c r="N32">
        <f>0.591</f>
        <v>0.59099999999999997</v>
      </c>
      <c r="O32">
        <f>0.397</f>
        <v>0.39700000000000002</v>
      </c>
      <c r="P32">
        <f>0.391</f>
        <v>0.39100000000000001</v>
      </c>
      <c r="Q32">
        <f>0.63</f>
        <v>0.63</v>
      </c>
    </row>
    <row r="33" spans="1:17" x14ac:dyDescent="0.25">
      <c r="A33" t="str">
        <f>"    Asseco CEMA"</f>
        <v xml:space="preserve">    Asseco CEMA</v>
      </c>
      <c r="B33" t="str">
        <f>""</f>
        <v/>
      </c>
      <c r="E33" t="str">
        <f t="shared" si="5"/>
        <v>Static</v>
      </c>
      <c r="F33">
        <f t="shared" ca="1" si="6"/>
        <v>0.52800000000000002</v>
      </c>
      <c r="G33">
        <f t="shared" ca="1" si="6"/>
        <v>0.51300000000000001</v>
      </c>
      <c r="H33">
        <f t="shared" ca="1" si="6"/>
        <v>0.502</v>
      </c>
      <c r="I33">
        <f t="shared" ca="1" si="6"/>
        <v>0.50900000000000001</v>
      </c>
      <c r="J33">
        <f t="shared" ca="1" si="6"/>
        <v>0.498</v>
      </c>
      <c r="K33">
        <f t="shared" ca="1" si="6"/>
        <v>0.53200000000000003</v>
      </c>
      <c r="L33">
        <f>0.528</f>
        <v>0.52800000000000002</v>
      </c>
      <c r="M33">
        <f>0.513</f>
        <v>0.51300000000000001</v>
      </c>
      <c r="N33">
        <f>0.502</f>
        <v>0.502</v>
      </c>
      <c r="O33">
        <f>0.509</f>
        <v>0.50900000000000001</v>
      </c>
      <c r="P33">
        <f>0.498</f>
        <v>0.498</v>
      </c>
      <c r="Q33">
        <f>0.532</f>
        <v>0.53200000000000003</v>
      </c>
    </row>
    <row r="34" spans="1:17" x14ac:dyDescent="0.25">
      <c r="A34" t="str">
        <f>"    Deutsche Telekom (T-Systems)"</f>
        <v xml:space="preserve">    Deutsche Telekom (T-Systems)</v>
      </c>
      <c r="B34" t="str">
        <f>""</f>
        <v/>
      </c>
      <c r="E34" t="str">
        <f t="shared" si="5"/>
        <v>Static</v>
      </c>
      <c r="F34">
        <f t="shared" ca="1" si="6"/>
        <v>0.48899999999999999</v>
      </c>
      <c r="G34">
        <f t="shared" ca="1" si="6"/>
        <v>0.47799999999999998</v>
      </c>
      <c r="H34">
        <f t="shared" ca="1" si="6"/>
        <v>0.44400000000000001</v>
      </c>
      <c r="I34">
        <f t="shared" ca="1" si="6"/>
        <v>0.4</v>
      </c>
      <c r="J34">
        <f t="shared" ca="1" si="6"/>
        <v>0.68700000000000006</v>
      </c>
      <c r="K34">
        <f t="shared" ca="1" si="6"/>
        <v>0.80900000000000005</v>
      </c>
      <c r="L34">
        <f>0.489</f>
        <v>0.48899999999999999</v>
      </c>
      <c r="M34">
        <f>0.478</f>
        <v>0.47799999999999998</v>
      </c>
      <c r="N34">
        <f>0.444</f>
        <v>0.44400000000000001</v>
      </c>
      <c r="O34">
        <f>0.4</f>
        <v>0.4</v>
      </c>
      <c r="P34">
        <f>0.687</f>
        <v>0.68700000000000006</v>
      </c>
      <c r="Q34">
        <f>0.809</f>
        <v>0.80900000000000005</v>
      </c>
    </row>
    <row r="35" spans="1:17" x14ac:dyDescent="0.25">
      <c r="A35" t="str">
        <f>"    IBM"</f>
        <v xml:space="preserve">    IBM</v>
      </c>
      <c r="B35" t="str">
        <f>""</f>
        <v/>
      </c>
      <c r="E35" t="str">
        <f t="shared" si="5"/>
        <v>Static</v>
      </c>
      <c r="F35">
        <f t="shared" ca="1" si="6"/>
        <v>0.44900000000000001</v>
      </c>
      <c r="G35">
        <f t="shared" ca="1" si="6"/>
        <v>0.46</v>
      </c>
      <c r="H35">
        <f t="shared" ca="1" si="6"/>
        <v>0.495</v>
      </c>
      <c r="I35">
        <f t="shared" ca="1" si="6"/>
        <v>0.498</v>
      </c>
      <c r="J35">
        <f t="shared" ca="1" si="6"/>
        <v>0.54600000000000004</v>
      </c>
      <c r="K35">
        <f t="shared" ca="1" si="6"/>
        <v>0.65700000000000003</v>
      </c>
      <c r="L35">
        <f>0.449</f>
        <v>0.44900000000000001</v>
      </c>
      <c r="M35">
        <f>0.46</f>
        <v>0.46</v>
      </c>
      <c r="N35">
        <f>0.495</f>
        <v>0.495</v>
      </c>
      <c r="O35">
        <f>0.498</f>
        <v>0.498</v>
      </c>
      <c r="P35">
        <f>0.546</f>
        <v>0.54600000000000004</v>
      </c>
      <c r="Q35">
        <f>0.657</f>
        <v>0.65700000000000003</v>
      </c>
    </row>
    <row r="36" spans="1:17" x14ac:dyDescent="0.25">
      <c r="A36" t="str">
        <f>"    S&amp;T Group"</f>
        <v xml:space="preserve">    S&amp;T Group</v>
      </c>
      <c r="B36" t="str">
        <f>""</f>
        <v/>
      </c>
      <c r="E36" t="str">
        <f t="shared" si="5"/>
        <v>Static</v>
      </c>
      <c r="F36">
        <f t="shared" ca="1" si="6"/>
        <v>0.40600000000000003</v>
      </c>
      <c r="G36">
        <f t="shared" ca="1" si="6"/>
        <v>0.35899999999999999</v>
      </c>
      <c r="H36">
        <f t="shared" ca="1" si="6"/>
        <v>0.30099999999999999</v>
      </c>
      <c r="I36" t="str">
        <f t="shared" ca="1" si="6"/>
        <v/>
      </c>
      <c r="J36" t="str">
        <f t="shared" ca="1" si="6"/>
        <v/>
      </c>
      <c r="K36" t="str">
        <f t="shared" ca="1" si="6"/>
        <v/>
      </c>
      <c r="L36">
        <f>0.406</f>
        <v>0.40600000000000003</v>
      </c>
      <c r="M36">
        <f>0.359</f>
        <v>0.35899999999999999</v>
      </c>
      <c r="N36">
        <f>0.301</f>
        <v>0.30099999999999999</v>
      </c>
      <c r="O36" t="str">
        <f>""</f>
        <v/>
      </c>
      <c r="P36" t="str">
        <f>""</f>
        <v/>
      </c>
      <c r="Q36" t="str">
        <f>""</f>
        <v/>
      </c>
    </row>
    <row r="37" spans="1:17" x14ac:dyDescent="0.25">
      <c r="A37" t="str">
        <f>"    ATOS"</f>
        <v xml:space="preserve">    ATOS</v>
      </c>
      <c r="B37" t="str">
        <f>""</f>
        <v/>
      </c>
      <c r="E37" t="str">
        <f t="shared" si="5"/>
        <v>Static</v>
      </c>
      <c r="F37">
        <f t="shared" ca="1" si="6"/>
        <v>0.36199999999999999</v>
      </c>
      <c r="G37">
        <f t="shared" ca="1" si="6"/>
        <v>0.34399999999999997</v>
      </c>
      <c r="H37">
        <f t="shared" ca="1" si="6"/>
        <v>0.33900000000000002</v>
      </c>
      <c r="I37" t="str">
        <f t="shared" ca="1" si="6"/>
        <v/>
      </c>
      <c r="J37" t="str">
        <f t="shared" ca="1" si="6"/>
        <v/>
      </c>
      <c r="K37" t="str">
        <f t="shared" ca="1" si="6"/>
        <v/>
      </c>
      <c r="L37">
        <f>0.362</f>
        <v>0.36199999999999999</v>
      </c>
      <c r="M37">
        <f>0.344</f>
        <v>0.34399999999999997</v>
      </c>
      <c r="N37">
        <f>0.339</f>
        <v>0.33900000000000002</v>
      </c>
      <c r="O37" t="str">
        <f>""</f>
        <v/>
      </c>
      <c r="P37" t="str">
        <f>""</f>
        <v/>
      </c>
      <c r="Q37" t="str">
        <f>""</f>
        <v/>
      </c>
    </row>
    <row r="38" spans="1:17" x14ac:dyDescent="0.25">
      <c r="A38" t="str">
        <f>"    Deloitte"</f>
        <v xml:space="preserve">    Deloitte</v>
      </c>
      <c r="B38" t="str">
        <f>""</f>
        <v/>
      </c>
      <c r="E38" t="str">
        <f t="shared" si="5"/>
        <v>Static</v>
      </c>
      <c r="F38">
        <f t="shared" ca="1" si="6"/>
        <v>0.30599999999999999</v>
      </c>
      <c r="G38">
        <f t="shared" ca="1" si="6"/>
        <v>0.28699999999999998</v>
      </c>
      <c r="H38">
        <f t="shared" ca="1" si="6"/>
        <v>0.26300000000000001</v>
      </c>
      <c r="I38" t="str">
        <f t="shared" ca="1" si="6"/>
        <v/>
      </c>
      <c r="J38" t="str">
        <f t="shared" ca="1" si="6"/>
        <v/>
      </c>
      <c r="K38" t="str">
        <f t="shared" ca="1" si="6"/>
        <v/>
      </c>
      <c r="L38">
        <f>0.306</f>
        <v>0.30599999999999999</v>
      </c>
      <c r="M38">
        <f>0.287</f>
        <v>0.28699999999999998</v>
      </c>
      <c r="N38">
        <f>0.263</f>
        <v>0.26300000000000001</v>
      </c>
      <c r="O38" t="str">
        <f>""</f>
        <v/>
      </c>
      <c r="P38" t="str">
        <f>""</f>
        <v/>
      </c>
      <c r="Q38" t="str">
        <f>""</f>
        <v/>
      </c>
    </row>
    <row r="39" spans="1:17" x14ac:dyDescent="0.25">
      <c r="A39" t="str">
        <f>"    PwC"</f>
        <v xml:space="preserve">    PwC</v>
      </c>
      <c r="B39" t="str">
        <f>""</f>
        <v/>
      </c>
      <c r="E39" t="str">
        <f t="shared" si="5"/>
        <v>Static</v>
      </c>
      <c r="F39">
        <f t="shared" ca="1" si="6"/>
        <v>0.29499999999999998</v>
      </c>
      <c r="G39">
        <f t="shared" ca="1" si="6"/>
        <v>0.25700000000000001</v>
      </c>
      <c r="H39">
        <f t="shared" ca="1" si="6"/>
        <v>0.23</v>
      </c>
      <c r="I39" t="str">
        <f t="shared" ca="1" si="6"/>
        <v/>
      </c>
      <c r="J39" t="str">
        <f t="shared" ca="1" si="6"/>
        <v/>
      </c>
      <c r="K39" t="str">
        <f t="shared" ca="1" si="6"/>
        <v/>
      </c>
      <c r="L39">
        <f>0.295</f>
        <v>0.29499999999999998</v>
      </c>
      <c r="M39">
        <f>0.257</f>
        <v>0.25700000000000001</v>
      </c>
      <c r="N39">
        <f>0.23</f>
        <v>0.23</v>
      </c>
      <c r="O39" t="str">
        <f>""</f>
        <v/>
      </c>
      <c r="P39" t="str">
        <f>""</f>
        <v/>
      </c>
      <c r="Q39" t="str">
        <f>""</f>
        <v/>
      </c>
    </row>
    <row r="40" spans="1:17" x14ac:dyDescent="0.25">
      <c r="A40" t="str">
        <f>"    CROC"</f>
        <v xml:space="preserve">    CROC</v>
      </c>
      <c r="B40" t="str">
        <f>""</f>
        <v/>
      </c>
      <c r="E40" t="str">
        <f t="shared" si="5"/>
        <v>Static</v>
      </c>
      <c r="F40">
        <f t="shared" ca="1" si="6"/>
        <v>0.28199999999999997</v>
      </c>
      <c r="G40">
        <f t="shared" ca="1" si="6"/>
        <v>0.27300000000000002</v>
      </c>
      <c r="H40">
        <f t="shared" ca="1" si="6"/>
        <v>0.24</v>
      </c>
      <c r="I40" t="str">
        <f t="shared" ca="1" si="6"/>
        <v/>
      </c>
      <c r="J40" t="str">
        <f t="shared" ca="1" si="6"/>
        <v/>
      </c>
      <c r="K40" t="str">
        <f t="shared" ca="1" si="6"/>
        <v/>
      </c>
      <c r="L40">
        <f>0.282</f>
        <v>0.28199999999999997</v>
      </c>
      <c r="M40">
        <f>0.273</f>
        <v>0.27300000000000002</v>
      </c>
      <c r="N40">
        <f>0.24</f>
        <v>0.24</v>
      </c>
      <c r="O40" t="str">
        <f>""</f>
        <v/>
      </c>
      <c r="P40" t="str">
        <f>""</f>
        <v/>
      </c>
      <c r="Q40" t="str">
        <f>""</f>
        <v/>
      </c>
    </row>
    <row r="41" spans="1:17" x14ac:dyDescent="0.25">
      <c r="A41" t="str">
        <f>"    Hewlett Packard Enterprise"</f>
        <v xml:space="preserve">    Hewlett Packard Enterprise</v>
      </c>
      <c r="B41" t="str">
        <f>""</f>
        <v/>
      </c>
      <c r="E41" t="str">
        <f t="shared" si="5"/>
        <v>Static</v>
      </c>
      <c r="F41">
        <f t="shared" ca="1" si="6"/>
        <v>0.27700000000000002</v>
      </c>
      <c r="G41">
        <f t="shared" ca="1" si="6"/>
        <v>0.28100000000000003</v>
      </c>
      <c r="H41">
        <f t="shared" ca="1" si="6"/>
        <v>0.379</v>
      </c>
      <c r="I41" t="str">
        <f t="shared" ca="1" si="6"/>
        <v/>
      </c>
      <c r="J41" t="str">
        <f t="shared" ca="1" si="6"/>
        <v/>
      </c>
      <c r="K41" t="str">
        <f t="shared" ca="1" si="6"/>
        <v/>
      </c>
      <c r="L41">
        <f>0.277</f>
        <v>0.27700000000000002</v>
      </c>
      <c r="M41">
        <f>0.281</f>
        <v>0.28100000000000003</v>
      </c>
      <c r="N41">
        <f>0.379</f>
        <v>0.379</v>
      </c>
      <c r="O41" t="str">
        <f>""</f>
        <v/>
      </c>
      <c r="P41" t="str">
        <f>""</f>
        <v/>
      </c>
      <c r="Q41" t="str">
        <f>""</f>
        <v/>
      </c>
    </row>
    <row r="42" spans="1:17" x14ac:dyDescent="0.25">
      <c r="A42" t="str">
        <f>"    Other"</f>
        <v xml:space="preserve">    Other</v>
      </c>
      <c r="B42" t="str">
        <f>""</f>
        <v/>
      </c>
      <c r="E42" t="str">
        <f t="shared" si="5"/>
        <v>Static</v>
      </c>
      <c r="F42">
        <f t="shared" ca="1" si="6"/>
        <v>17.366</v>
      </c>
      <c r="G42">
        <f t="shared" ca="1" si="6"/>
        <v>16.571000000000002</v>
      </c>
      <c r="H42">
        <f t="shared" ca="1" si="6"/>
        <v>15.108000000000001</v>
      </c>
      <c r="I42">
        <f t="shared" ca="1" si="6"/>
        <v>14.621</v>
      </c>
      <c r="J42">
        <f t="shared" ca="1" si="6"/>
        <v>14.157</v>
      </c>
      <c r="K42">
        <f t="shared" ca="1" si="6"/>
        <v>17.777999999999999</v>
      </c>
      <c r="L42">
        <f>17.366</f>
        <v>17.366</v>
      </c>
      <c r="M42">
        <f>16.571</f>
        <v>16.571000000000002</v>
      </c>
      <c r="N42">
        <f>15.108</f>
        <v>15.108000000000001</v>
      </c>
      <c r="O42">
        <f>14.621</f>
        <v>14.621</v>
      </c>
      <c r="P42">
        <f>14.157</f>
        <v>14.157</v>
      </c>
      <c r="Q42">
        <f>17.778</f>
        <v>17.777999999999999</v>
      </c>
    </row>
    <row r="43" spans="1:17" x14ac:dyDescent="0.25">
      <c r="A43" t="str">
        <f>"Japan"</f>
        <v>Japan</v>
      </c>
      <c r="B43" t="str">
        <f>""</f>
        <v/>
      </c>
      <c r="E43" t="str">
        <f>"Sum"</f>
        <v>Sum</v>
      </c>
      <c r="F43">
        <f ca="1">IF(ISERROR(IF(SUM($F$44:$F$54) = 0, "", SUM($F$44:$F$54))), "", (IF(SUM($F$44:$F$54) = 0, "", SUM($F$44:$F$54))))</f>
        <v>65.37</v>
      </c>
      <c r="G43">
        <f ca="1">IF(ISERROR(IF(SUM($G$44:$G$54) = 0, "", SUM($G$44:$G$54))), "", (IF(SUM($G$44:$G$54) = 0, "", SUM($G$44:$G$54))))</f>
        <v>62.199999999999989</v>
      </c>
      <c r="H43">
        <f ca="1">IF(ISERROR(IF(SUM($H$44:$H$54) = 0, "", SUM($H$44:$H$54))), "", (IF(SUM($H$44:$H$54) = 0, "", SUM($H$44:$H$54))))</f>
        <v>59.491999999999997</v>
      </c>
      <c r="I43">
        <f ca="1">IF(ISERROR(IF(SUM($I$44:$I$54) = 0, "", SUM($I$44:$I$54))), "", (IF(SUM($I$44:$I$54) = 0, "", SUM($I$44:$I$54))))</f>
        <v>59.960999999999999</v>
      </c>
      <c r="J43">
        <f ca="1">IF(ISERROR(IF(SUM($J$44:$J$54) = 0, "", SUM($J$44:$J$54))), "", (IF(SUM($J$44:$J$54) = 0, "", SUM($J$44:$J$54))))</f>
        <v>52.75</v>
      </c>
      <c r="K43">
        <f ca="1">IF(ISERROR(IF(SUM($K$44:$K$54) = 0, "", SUM($K$44:$K$54))), "", (IF(SUM($K$44:$K$54) = 0, "", SUM($K$44:$K$54))))</f>
        <v>58.347999999999999</v>
      </c>
      <c r="L43">
        <f>65.37</f>
        <v>65.37</v>
      </c>
      <c r="M43">
        <f>62.2</f>
        <v>62.2</v>
      </c>
      <c r="N43">
        <f>59.492</f>
        <v>59.491999999999997</v>
      </c>
      <c r="O43">
        <f>59.961</f>
        <v>59.960999999999999</v>
      </c>
      <c r="P43">
        <f>52.75</f>
        <v>52.75</v>
      </c>
      <c r="Q43">
        <f>58.348</f>
        <v>58.347999999999999</v>
      </c>
    </row>
    <row r="44" spans="1:17" x14ac:dyDescent="0.25">
      <c r="A44" t="str">
        <f>"    Fujitsu"</f>
        <v xml:space="preserve">    Fujitsu</v>
      </c>
      <c r="B44" t="str">
        <f>""</f>
        <v/>
      </c>
      <c r="E44" t="str">
        <f t="shared" ref="E44:E54" si="7">"Static"</f>
        <v>Static</v>
      </c>
      <c r="F44">
        <f t="shared" ref="F44:K54" ca="1" si="8">HLOOKUP(INDIRECT(ADDRESS(2,COLUMN())),OFFSET($L$2,0,0,ROW()-1,6),ROW()-1,FALSE)</f>
        <v>11.680999999999999</v>
      </c>
      <c r="G44">
        <f t="shared" ca="1" si="8"/>
        <v>11.069000000000001</v>
      </c>
      <c r="H44">
        <f t="shared" ca="1" si="8"/>
        <v>10.829000000000001</v>
      </c>
      <c r="I44">
        <f t="shared" ca="1" si="8"/>
        <v>11.08</v>
      </c>
      <c r="J44">
        <f t="shared" ca="1" si="8"/>
        <v>9.7579999999999991</v>
      </c>
      <c r="K44">
        <f t="shared" ca="1" si="8"/>
        <v>10.794</v>
      </c>
      <c r="L44">
        <f>11.681</f>
        <v>11.680999999999999</v>
      </c>
      <c r="M44">
        <f>11.069</f>
        <v>11.069000000000001</v>
      </c>
      <c r="N44">
        <f>10.829</f>
        <v>10.829000000000001</v>
      </c>
      <c r="O44">
        <f>11.08</f>
        <v>11.08</v>
      </c>
      <c r="P44">
        <f>9.758</f>
        <v>9.7579999999999991</v>
      </c>
      <c r="Q44">
        <f>10.794</f>
        <v>10.794</v>
      </c>
    </row>
    <row r="45" spans="1:17" x14ac:dyDescent="0.25">
      <c r="A45" t="str">
        <f>"    NTT DATA"</f>
        <v xml:space="preserve">    NTT DATA</v>
      </c>
      <c r="B45" t="str">
        <f>""</f>
        <v/>
      </c>
      <c r="E45" t="str">
        <f t="shared" si="7"/>
        <v>Static</v>
      </c>
      <c r="F45">
        <f t="shared" ca="1" si="8"/>
        <v>8.8019999999999996</v>
      </c>
      <c r="G45">
        <f t="shared" ca="1" si="8"/>
        <v>8.1820000000000004</v>
      </c>
      <c r="H45">
        <f t="shared" ca="1" si="8"/>
        <v>7.8570000000000002</v>
      </c>
      <c r="I45">
        <f t="shared" ca="1" si="8"/>
        <v>7.8440000000000003</v>
      </c>
      <c r="J45">
        <f t="shared" ca="1" si="8"/>
        <v>6.95</v>
      </c>
      <c r="K45">
        <f t="shared" ca="1" si="8"/>
        <v>7.6420000000000003</v>
      </c>
      <c r="L45">
        <f>8.802</f>
        <v>8.8019999999999996</v>
      </c>
      <c r="M45">
        <f>8.182</f>
        <v>8.1820000000000004</v>
      </c>
      <c r="N45">
        <f>7.857</f>
        <v>7.8570000000000002</v>
      </c>
      <c r="O45">
        <f>7.844</f>
        <v>7.8440000000000003</v>
      </c>
      <c r="P45">
        <f>6.95</f>
        <v>6.95</v>
      </c>
      <c r="Q45">
        <f>7.642</f>
        <v>7.6420000000000003</v>
      </c>
    </row>
    <row r="46" spans="1:17" x14ac:dyDescent="0.25">
      <c r="A46" t="str">
        <f>"    Hitachi"</f>
        <v xml:space="preserve">    Hitachi</v>
      </c>
      <c r="B46" t="str">
        <f>""</f>
        <v/>
      </c>
      <c r="E46" t="str">
        <f t="shared" si="7"/>
        <v>Static</v>
      </c>
      <c r="F46">
        <f t="shared" ca="1" si="8"/>
        <v>8.7110000000000003</v>
      </c>
      <c r="G46">
        <f t="shared" ca="1" si="8"/>
        <v>8.2889999999999997</v>
      </c>
      <c r="H46">
        <f t="shared" ca="1" si="8"/>
        <v>7.7720000000000002</v>
      </c>
      <c r="I46">
        <f t="shared" ca="1" si="8"/>
        <v>7.976</v>
      </c>
      <c r="J46">
        <f t="shared" ca="1" si="8"/>
        <v>7.21</v>
      </c>
      <c r="K46">
        <f t="shared" ca="1" si="8"/>
        <v>8.0250000000000004</v>
      </c>
      <c r="L46">
        <f>8.711</f>
        <v>8.7110000000000003</v>
      </c>
      <c r="M46">
        <f>8.289</f>
        <v>8.2889999999999997</v>
      </c>
      <c r="N46">
        <f>7.772</f>
        <v>7.7720000000000002</v>
      </c>
      <c r="O46">
        <f>7.976</f>
        <v>7.976</v>
      </c>
      <c r="P46">
        <f>7.21</f>
        <v>7.21</v>
      </c>
      <c r="Q46">
        <f>8.025</f>
        <v>8.0250000000000004</v>
      </c>
    </row>
    <row r="47" spans="1:17" x14ac:dyDescent="0.25">
      <c r="A47" t="str">
        <f>"    NEC"</f>
        <v xml:space="preserve">    NEC</v>
      </c>
      <c r="B47" t="str">
        <f>""</f>
        <v/>
      </c>
      <c r="E47" t="str">
        <f t="shared" si="7"/>
        <v>Static</v>
      </c>
      <c r="F47">
        <f t="shared" ca="1" si="8"/>
        <v>8.4220000000000006</v>
      </c>
      <c r="G47">
        <f t="shared" ca="1" si="8"/>
        <v>8.0399999999999991</v>
      </c>
      <c r="H47">
        <f t="shared" ca="1" si="8"/>
        <v>7.806</v>
      </c>
      <c r="I47">
        <f t="shared" ca="1" si="8"/>
        <v>8.3019999999999996</v>
      </c>
      <c r="J47">
        <f t="shared" ca="1" si="8"/>
        <v>7.4539999999999997</v>
      </c>
      <c r="K47">
        <f t="shared" ca="1" si="8"/>
        <v>8.4269999999999996</v>
      </c>
      <c r="L47">
        <f>8.422</f>
        <v>8.4220000000000006</v>
      </c>
      <c r="M47">
        <f>8.04</f>
        <v>8.0399999999999991</v>
      </c>
      <c r="N47">
        <f>7.806</f>
        <v>7.806</v>
      </c>
      <c r="O47">
        <f>8.302</f>
        <v>8.3019999999999996</v>
      </c>
      <c r="P47">
        <f>7.454</f>
        <v>7.4539999999999997</v>
      </c>
      <c r="Q47">
        <f>8.427</f>
        <v>8.4269999999999996</v>
      </c>
    </row>
    <row r="48" spans="1:17" x14ac:dyDescent="0.25">
      <c r="A48" t="str">
        <f>"    IBM"</f>
        <v xml:space="preserve">    IBM</v>
      </c>
      <c r="B48" t="str">
        <f>""</f>
        <v/>
      </c>
      <c r="E48" t="str">
        <f t="shared" si="7"/>
        <v>Static</v>
      </c>
      <c r="F48">
        <f t="shared" ca="1" si="8"/>
        <v>6.6550000000000002</v>
      </c>
      <c r="G48">
        <f t="shared" ca="1" si="8"/>
        <v>6.5910000000000002</v>
      </c>
      <c r="H48">
        <f t="shared" ca="1" si="8"/>
        <v>6.391</v>
      </c>
      <c r="I48">
        <f t="shared" ca="1" si="8"/>
        <v>6.44</v>
      </c>
      <c r="J48">
        <f t="shared" ca="1" si="8"/>
        <v>5.7969999999999997</v>
      </c>
      <c r="K48">
        <f t="shared" ca="1" si="8"/>
        <v>6.3659999999999997</v>
      </c>
      <c r="L48">
        <f>6.655</f>
        <v>6.6550000000000002</v>
      </c>
      <c r="M48">
        <f>6.591</f>
        <v>6.5910000000000002</v>
      </c>
      <c r="N48">
        <f>6.391</f>
        <v>6.391</v>
      </c>
      <c r="O48">
        <f>6.44</f>
        <v>6.44</v>
      </c>
      <c r="P48">
        <f>5.797</f>
        <v>5.7969999999999997</v>
      </c>
      <c r="Q48">
        <f>6.366</f>
        <v>6.3659999999999997</v>
      </c>
    </row>
    <row r="49" spans="1:17" x14ac:dyDescent="0.25">
      <c r="A49" t="str">
        <f>"    TIS"</f>
        <v xml:space="preserve">    TIS</v>
      </c>
      <c r="B49" t="str">
        <f>""</f>
        <v/>
      </c>
      <c r="E49" t="str">
        <f t="shared" si="7"/>
        <v>Static</v>
      </c>
      <c r="F49">
        <f t="shared" ca="1" si="8"/>
        <v>3.1190000000000002</v>
      </c>
      <c r="G49">
        <f t="shared" ca="1" si="8"/>
        <v>2.9569999999999999</v>
      </c>
      <c r="H49">
        <f t="shared" ca="1" si="8"/>
        <v>2.802</v>
      </c>
      <c r="I49" t="str">
        <f t="shared" ca="1" si="8"/>
        <v/>
      </c>
      <c r="J49" t="str">
        <f t="shared" ca="1" si="8"/>
        <v/>
      </c>
      <c r="K49" t="str">
        <f t="shared" ca="1" si="8"/>
        <v/>
      </c>
      <c r="L49">
        <f>3.119</f>
        <v>3.1190000000000002</v>
      </c>
      <c r="M49">
        <f>2.957</f>
        <v>2.9569999999999999</v>
      </c>
      <c r="N49">
        <f>2.802</f>
        <v>2.802</v>
      </c>
      <c r="O49" t="str">
        <f>""</f>
        <v/>
      </c>
      <c r="P49" t="str">
        <f>""</f>
        <v/>
      </c>
      <c r="Q49" t="str">
        <f>""</f>
        <v/>
      </c>
    </row>
    <row r="50" spans="1:17" x14ac:dyDescent="0.25">
      <c r="A50" t="str">
        <f>"    NRI"</f>
        <v xml:space="preserve">    NRI</v>
      </c>
      <c r="B50" t="str">
        <f>""</f>
        <v/>
      </c>
      <c r="E50" t="str">
        <f t="shared" si="7"/>
        <v>Static</v>
      </c>
      <c r="F50">
        <f t="shared" ca="1" si="8"/>
        <v>3.0419999999999998</v>
      </c>
      <c r="G50">
        <f t="shared" ca="1" si="8"/>
        <v>2.7330000000000001</v>
      </c>
      <c r="H50">
        <f t="shared" ca="1" si="8"/>
        <v>2.4710000000000001</v>
      </c>
      <c r="I50" t="str">
        <f t="shared" ca="1" si="8"/>
        <v/>
      </c>
      <c r="J50" t="str">
        <f t="shared" ca="1" si="8"/>
        <v/>
      </c>
      <c r="K50" t="str">
        <f t="shared" ca="1" si="8"/>
        <v/>
      </c>
      <c r="L50">
        <f>3.042</f>
        <v>3.0419999999999998</v>
      </c>
      <c r="M50">
        <f>2.733</f>
        <v>2.7330000000000001</v>
      </c>
      <c r="N50">
        <f>2.471</f>
        <v>2.4710000000000001</v>
      </c>
      <c r="O50" t="str">
        <f>""</f>
        <v/>
      </c>
      <c r="P50" t="str">
        <f>""</f>
        <v/>
      </c>
      <c r="Q50" t="str">
        <f>""</f>
        <v/>
      </c>
    </row>
    <row r="51" spans="1:17" x14ac:dyDescent="0.25">
      <c r="A51" t="str">
        <f>"    Accenture"</f>
        <v xml:space="preserve">    Accenture</v>
      </c>
      <c r="B51" t="str">
        <f>""</f>
        <v/>
      </c>
      <c r="E51" t="str">
        <f t="shared" si="7"/>
        <v>Static</v>
      </c>
      <c r="F51">
        <f t="shared" ca="1" si="8"/>
        <v>2.7210000000000001</v>
      </c>
      <c r="G51">
        <f t="shared" ca="1" si="8"/>
        <v>2.2080000000000002</v>
      </c>
      <c r="H51">
        <f t="shared" ca="1" si="8"/>
        <v>1.78</v>
      </c>
      <c r="I51" t="str">
        <f t="shared" ca="1" si="8"/>
        <v/>
      </c>
      <c r="J51" t="str">
        <f t="shared" ca="1" si="8"/>
        <v/>
      </c>
      <c r="K51" t="str">
        <f t="shared" ca="1" si="8"/>
        <v/>
      </c>
      <c r="L51">
        <f>2.721</f>
        <v>2.7210000000000001</v>
      </c>
      <c r="M51">
        <f>2.208</f>
        <v>2.2080000000000002</v>
      </c>
      <c r="N51">
        <f>1.78</f>
        <v>1.78</v>
      </c>
      <c r="O51" t="str">
        <f>""</f>
        <v/>
      </c>
      <c r="P51" t="str">
        <f>""</f>
        <v/>
      </c>
      <c r="Q51" t="str">
        <f>""</f>
        <v/>
      </c>
    </row>
    <row r="52" spans="1:17" x14ac:dyDescent="0.25">
      <c r="A52" t="str">
        <f>"    SCSK"</f>
        <v xml:space="preserve">    SCSK</v>
      </c>
      <c r="B52" t="str">
        <f>""</f>
        <v/>
      </c>
      <c r="E52" t="str">
        <f t="shared" si="7"/>
        <v>Static</v>
      </c>
      <c r="F52">
        <f t="shared" ca="1" si="8"/>
        <v>2.242</v>
      </c>
      <c r="G52">
        <f t="shared" ca="1" si="8"/>
        <v>2.0699999999999998</v>
      </c>
      <c r="H52">
        <f t="shared" ca="1" si="8"/>
        <v>1.964</v>
      </c>
      <c r="I52" t="str">
        <f t="shared" ca="1" si="8"/>
        <v/>
      </c>
      <c r="J52" t="str">
        <f t="shared" ca="1" si="8"/>
        <v/>
      </c>
      <c r="K52" t="str">
        <f t="shared" ca="1" si="8"/>
        <v/>
      </c>
      <c r="L52">
        <f>2.242</f>
        <v>2.242</v>
      </c>
      <c r="M52">
        <f>2.07</f>
        <v>2.0699999999999998</v>
      </c>
      <c r="N52">
        <f>1.964</f>
        <v>1.964</v>
      </c>
      <c r="O52" t="str">
        <f>""</f>
        <v/>
      </c>
      <c r="P52" t="str">
        <f>""</f>
        <v/>
      </c>
      <c r="Q52" t="str">
        <f>""</f>
        <v/>
      </c>
    </row>
    <row r="53" spans="1:17" x14ac:dyDescent="0.25">
      <c r="A53" t="str">
        <f>"    CTC"</f>
        <v xml:space="preserve">    CTC</v>
      </c>
      <c r="B53" t="str">
        <f>""</f>
        <v/>
      </c>
      <c r="E53" t="str">
        <f t="shared" si="7"/>
        <v>Static</v>
      </c>
      <c r="F53">
        <f t="shared" ca="1" si="8"/>
        <v>2.1019999999999999</v>
      </c>
      <c r="G53">
        <f t="shared" ca="1" si="8"/>
        <v>1.974</v>
      </c>
      <c r="H53">
        <f t="shared" ca="1" si="8"/>
        <v>1.9330000000000001</v>
      </c>
      <c r="I53" t="str">
        <f t="shared" ca="1" si="8"/>
        <v/>
      </c>
      <c r="J53" t="str">
        <f t="shared" ca="1" si="8"/>
        <v/>
      </c>
      <c r="K53" t="str">
        <f t="shared" ca="1" si="8"/>
        <v/>
      </c>
      <c r="L53">
        <f>2.102</f>
        <v>2.1019999999999999</v>
      </c>
      <c r="M53">
        <f>1.974</f>
        <v>1.974</v>
      </c>
      <c r="N53">
        <f>1.933</f>
        <v>1.9330000000000001</v>
      </c>
      <c r="O53" t="str">
        <f>""</f>
        <v/>
      </c>
      <c r="P53" t="str">
        <f>""</f>
        <v/>
      </c>
      <c r="Q53" t="str">
        <f>""</f>
        <v/>
      </c>
    </row>
    <row r="54" spans="1:17" x14ac:dyDescent="0.25">
      <c r="A54" t="str">
        <f>"    Other"</f>
        <v xml:space="preserve">    Other</v>
      </c>
      <c r="B54" t="str">
        <f>""</f>
        <v/>
      </c>
      <c r="E54" t="str">
        <f t="shared" si="7"/>
        <v>Static</v>
      </c>
      <c r="F54">
        <f t="shared" ca="1" si="8"/>
        <v>7.8730000000000002</v>
      </c>
      <c r="G54">
        <f t="shared" ca="1" si="8"/>
        <v>8.0869999999999997</v>
      </c>
      <c r="H54">
        <f t="shared" ca="1" si="8"/>
        <v>7.8869999999999996</v>
      </c>
      <c r="I54">
        <f t="shared" ca="1" si="8"/>
        <v>18.318999999999999</v>
      </c>
      <c r="J54">
        <f t="shared" ca="1" si="8"/>
        <v>15.581</v>
      </c>
      <c r="K54">
        <f t="shared" ca="1" si="8"/>
        <v>17.094000000000001</v>
      </c>
      <c r="L54">
        <f>7.873</f>
        <v>7.8730000000000002</v>
      </c>
      <c r="M54">
        <f>8.087</f>
        <v>8.0869999999999997</v>
      </c>
      <c r="N54">
        <f>7.887</f>
        <v>7.8869999999999996</v>
      </c>
      <c r="O54">
        <f>18.319</f>
        <v>18.318999999999999</v>
      </c>
      <c r="P54">
        <f>15.581</f>
        <v>15.581</v>
      </c>
      <c r="Q54">
        <f>17.094</f>
        <v>17.094000000000001</v>
      </c>
    </row>
    <row r="55" spans="1:17" x14ac:dyDescent="0.25">
      <c r="A55" t="str">
        <f>"Latin America"</f>
        <v>Latin America</v>
      </c>
      <c r="B55" t="str">
        <f>""</f>
        <v/>
      </c>
      <c r="E55" t="str">
        <f>"Sum"</f>
        <v>Sum</v>
      </c>
      <c r="F55">
        <f ca="1">IF(ISERROR(IF(SUM($F$56:$F$66) = 0, "", SUM($F$56:$F$66))), "", (IF(SUM($F$56:$F$66) = 0, "", SUM($F$56:$F$66))))</f>
        <v>41.024000000000001</v>
      </c>
      <c r="G55">
        <f ca="1">IF(ISERROR(IF(SUM($G$56:$G$66) = 0, "", SUM($G$56:$G$66))), "", (IF(SUM($G$56:$G$66) = 0, "", SUM($G$56:$G$66))))</f>
        <v>41.276999999999994</v>
      </c>
      <c r="H55">
        <f ca="1">IF(ISERROR(IF(SUM($H$56:$H$66) = 0, "", SUM($H$56:$H$66))), "", (IF(SUM($H$56:$H$66) = 0, "", SUM($H$56:$H$66))))</f>
        <v>42.051000000000002</v>
      </c>
      <c r="I55">
        <f ca="1">IF(ISERROR(IF(SUM($I$56:$I$66) = 0, "", SUM($I$56:$I$66))), "", (IF(SUM($I$56:$I$66) = 0, "", SUM($I$56:$I$66))))</f>
        <v>38.766999999999996</v>
      </c>
      <c r="J55">
        <f ca="1">IF(ISERROR(IF(SUM($J$56:$J$66) = 0, "", SUM($J$56:$J$66))), "", (IF(SUM($J$56:$J$66) = 0, "", SUM($J$56:$J$66))))</f>
        <v>39.526000000000003</v>
      </c>
      <c r="K55">
        <f ca="1">IF(ISERROR(IF(SUM($K$56:$K$66) = 0, "", SUM($K$56:$K$66))), "", (IF(SUM($K$56:$K$66) = 0, "", SUM($K$56:$K$66))))</f>
        <v>45.045999999999999</v>
      </c>
      <c r="L55">
        <f>41.024</f>
        <v>41.024000000000001</v>
      </c>
      <c r="M55">
        <f>41.277</f>
        <v>41.277000000000001</v>
      </c>
      <c r="N55">
        <f>42.051</f>
        <v>42.051000000000002</v>
      </c>
      <c r="O55">
        <f>38.767</f>
        <v>38.767000000000003</v>
      </c>
      <c r="P55">
        <f>39.526</f>
        <v>39.526000000000003</v>
      </c>
      <c r="Q55">
        <f>45.046</f>
        <v>45.045999999999999</v>
      </c>
    </row>
    <row r="56" spans="1:17" x14ac:dyDescent="0.25">
      <c r="A56" t="str">
        <f>"    IBM"</f>
        <v xml:space="preserve">    IBM</v>
      </c>
      <c r="B56" t="str">
        <f>""</f>
        <v/>
      </c>
      <c r="E56" t="str">
        <f t="shared" ref="E56:E66" si="9">"Static"</f>
        <v>Static</v>
      </c>
      <c r="F56">
        <f t="shared" ref="F56:K66" ca="1" si="10">HLOOKUP(INDIRECT(ADDRESS(2,COLUMN())),OFFSET($L$2,0,0,ROW()-1,6),ROW()-1,FALSE)</f>
        <v>2.734</v>
      </c>
      <c r="G56">
        <f t="shared" ca="1" si="10"/>
        <v>2.718</v>
      </c>
      <c r="H56">
        <f t="shared" ca="1" si="10"/>
        <v>2.68</v>
      </c>
      <c r="I56">
        <f t="shared" ca="1" si="10"/>
        <v>2.6949999999999998</v>
      </c>
      <c r="J56">
        <f t="shared" ca="1" si="10"/>
        <v>2.7309999999999999</v>
      </c>
      <c r="K56">
        <f t="shared" ca="1" si="10"/>
        <v>3.1560000000000001</v>
      </c>
      <c r="L56">
        <f>2.734</f>
        <v>2.734</v>
      </c>
      <c r="M56">
        <f>2.718</f>
        <v>2.718</v>
      </c>
      <c r="N56">
        <f>2.68</f>
        <v>2.68</v>
      </c>
      <c r="O56">
        <f>2.695</f>
        <v>2.6949999999999998</v>
      </c>
      <c r="P56">
        <f>2.731</f>
        <v>2.7309999999999999</v>
      </c>
      <c r="Q56">
        <f>3.156</f>
        <v>3.1560000000000001</v>
      </c>
    </row>
    <row r="57" spans="1:17" x14ac:dyDescent="0.25">
      <c r="A57" t="str">
        <f>"    Accenture"</f>
        <v xml:space="preserve">    Accenture</v>
      </c>
      <c r="B57" t="str">
        <f>""</f>
        <v/>
      </c>
      <c r="E57" t="str">
        <f t="shared" si="9"/>
        <v>Static</v>
      </c>
      <c r="F57">
        <f t="shared" ca="1" si="10"/>
        <v>1.468</v>
      </c>
      <c r="G57">
        <f t="shared" ca="1" si="10"/>
        <v>1.4970000000000001</v>
      </c>
      <c r="H57">
        <f t="shared" ca="1" si="10"/>
        <v>1.5580000000000001</v>
      </c>
      <c r="I57">
        <f t="shared" ca="1" si="10"/>
        <v>1.4710000000000001</v>
      </c>
      <c r="J57">
        <f t="shared" ca="1" si="10"/>
        <v>1.462</v>
      </c>
      <c r="K57">
        <f t="shared" ca="1" si="10"/>
        <v>1.7529999999999999</v>
      </c>
      <c r="L57">
        <f>1.468</f>
        <v>1.468</v>
      </c>
      <c r="M57">
        <f>1.497</f>
        <v>1.4970000000000001</v>
      </c>
      <c r="N57">
        <f>1.558</f>
        <v>1.5580000000000001</v>
      </c>
      <c r="O57">
        <f>1.471</f>
        <v>1.4710000000000001</v>
      </c>
      <c r="P57">
        <f>1.462</f>
        <v>1.462</v>
      </c>
      <c r="Q57">
        <f>1.753</f>
        <v>1.7529999999999999</v>
      </c>
    </row>
    <row r="58" spans="1:17" x14ac:dyDescent="0.25">
      <c r="A58" t="str">
        <f>"    Indra"</f>
        <v xml:space="preserve">    Indra</v>
      </c>
      <c r="B58" t="str">
        <f>""</f>
        <v/>
      </c>
      <c r="E58" t="str">
        <f t="shared" si="9"/>
        <v>Static</v>
      </c>
      <c r="F58">
        <f t="shared" ca="1" si="10"/>
        <v>0.88300000000000001</v>
      </c>
      <c r="G58">
        <f t="shared" ca="1" si="10"/>
        <v>0.86199999999999999</v>
      </c>
      <c r="H58">
        <f t="shared" ca="1" si="10"/>
        <v>0.877</v>
      </c>
      <c r="I58">
        <f t="shared" ca="1" si="10"/>
        <v>0.82599999999999996</v>
      </c>
      <c r="J58">
        <f t="shared" ca="1" si="10"/>
        <v>0.92</v>
      </c>
      <c r="K58">
        <f t="shared" ca="1" si="10"/>
        <v>1.0169999999999999</v>
      </c>
      <c r="L58">
        <f>0.883</f>
        <v>0.88300000000000001</v>
      </c>
      <c r="M58">
        <f>0.862</f>
        <v>0.86199999999999999</v>
      </c>
      <c r="N58">
        <f>0.877</f>
        <v>0.877</v>
      </c>
      <c r="O58">
        <f>0.826</f>
        <v>0.82599999999999996</v>
      </c>
      <c r="P58">
        <f>0.92</f>
        <v>0.92</v>
      </c>
      <c r="Q58">
        <f>1.017</f>
        <v>1.0169999999999999</v>
      </c>
    </row>
    <row r="59" spans="1:17" x14ac:dyDescent="0.25">
      <c r="A59" t="str">
        <f>"    DXC"</f>
        <v xml:space="preserve">    DXC</v>
      </c>
      <c r="B59" t="str">
        <f>""</f>
        <v/>
      </c>
      <c r="E59" t="str">
        <f t="shared" si="9"/>
        <v>Static</v>
      </c>
      <c r="F59">
        <f t="shared" ca="1" si="10"/>
        <v>0.78100000000000003</v>
      </c>
      <c r="G59">
        <f t="shared" ca="1" si="10"/>
        <v>0.81499999999999995</v>
      </c>
      <c r="H59">
        <f t="shared" ca="1" si="10"/>
        <v>0.70699999999999996</v>
      </c>
      <c r="I59">
        <f t="shared" ca="1" si="10"/>
        <v>7.5999999999999998E-2</v>
      </c>
      <c r="J59">
        <f t="shared" ca="1" si="10"/>
        <v>1.4450000000000001</v>
      </c>
      <c r="K59">
        <f t="shared" ca="1" si="10"/>
        <v>1.593</v>
      </c>
      <c r="L59">
        <f>0.781</f>
        <v>0.78100000000000003</v>
      </c>
      <c r="M59">
        <f>0.815</f>
        <v>0.81499999999999995</v>
      </c>
      <c r="N59">
        <f>0.707</f>
        <v>0.70699999999999996</v>
      </c>
      <c r="O59">
        <f>0.076</f>
        <v>7.5999999999999998E-2</v>
      </c>
      <c r="P59">
        <f>1.445</f>
        <v>1.4450000000000001</v>
      </c>
      <c r="Q59">
        <f>1.593</f>
        <v>1.593</v>
      </c>
    </row>
    <row r="60" spans="1:17" x14ac:dyDescent="0.25">
      <c r="A60" t="str">
        <f>"    Sonda"</f>
        <v xml:space="preserve">    Sonda</v>
      </c>
      <c r="B60" t="str">
        <f>""</f>
        <v/>
      </c>
      <c r="E60" t="str">
        <f t="shared" si="9"/>
        <v>Static</v>
      </c>
      <c r="F60">
        <f t="shared" ca="1" si="10"/>
        <v>0.66100000000000003</v>
      </c>
      <c r="G60">
        <f t="shared" ca="1" si="10"/>
        <v>0.66400000000000003</v>
      </c>
      <c r="H60">
        <f t="shared" ca="1" si="10"/>
        <v>0.88900000000000001</v>
      </c>
      <c r="I60" t="str">
        <f t="shared" ca="1" si="10"/>
        <v/>
      </c>
      <c r="J60" t="str">
        <f t="shared" ca="1" si="10"/>
        <v/>
      </c>
      <c r="K60" t="str">
        <f t="shared" ca="1" si="10"/>
        <v/>
      </c>
      <c r="L60">
        <f>0.661</f>
        <v>0.66100000000000003</v>
      </c>
      <c r="M60">
        <f>0.664</f>
        <v>0.66400000000000003</v>
      </c>
      <c r="N60">
        <f>0.889</f>
        <v>0.88900000000000001</v>
      </c>
      <c r="O60" t="str">
        <f>""</f>
        <v/>
      </c>
      <c r="P60" t="str">
        <f>""</f>
        <v/>
      </c>
      <c r="Q60" t="str">
        <f>""</f>
        <v/>
      </c>
    </row>
    <row r="61" spans="1:17" x14ac:dyDescent="0.25">
      <c r="A61" t="str">
        <f>"    Tivit"</f>
        <v xml:space="preserve">    Tivit</v>
      </c>
      <c r="B61" t="str">
        <f>""</f>
        <v/>
      </c>
      <c r="E61" t="str">
        <f t="shared" si="9"/>
        <v>Static</v>
      </c>
      <c r="F61">
        <f t="shared" ca="1" si="10"/>
        <v>0.54600000000000004</v>
      </c>
      <c r="G61">
        <f t="shared" ca="1" si="10"/>
        <v>0.54100000000000004</v>
      </c>
      <c r="H61">
        <f t="shared" ca="1" si="10"/>
        <v>0.55800000000000005</v>
      </c>
      <c r="I61" t="str">
        <f t="shared" ca="1" si="10"/>
        <v/>
      </c>
      <c r="J61" t="str">
        <f t="shared" ca="1" si="10"/>
        <v/>
      </c>
      <c r="K61" t="str">
        <f t="shared" ca="1" si="10"/>
        <v/>
      </c>
      <c r="L61">
        <f>0.546</f>
        <v>0.54600000000000004</v>
      </c>
      <c r="M61">
        <f>0.541</f>
        <v>0.54100000000000004</v>
      </c>
      <c r="N61">
        <f>0.558</f>
        <v>0.55800000000000005</v>
      </c>
      <c r="O61" t="str">
        <f>""</f>
        <v/>
      </c>
      <c r="P61" t="str">
        <f>""</f>
        <v/>
      </c>
      <c r="Q61" t="str">
        <f>""</f>
        <v/>
      </c>
    </row>
    <row r="62" spans="1:17" x14ac:dyDescent="0.25">
      <c r="A62" t="str">
        <f>"    Capgemini"</f>
        <v xml:space="preserve">    Capgemini</v>
      </c>
      <c r="B62" t="str">
        <f>""</f>
        <v/>
      </c>
      <c r="E62" t="str">
        <f t="shared" si="9"/>
        <v>Static</v>
      </c>
      <c r="F62">
        <f t="shared" ca="1" si="10"/>
        <v>0.53300000000000003</v>
      </c>
      <c r="G62">
        <f t="shared" ca="1" si="10"/>
        <v>0.52</v>
      </c>
      <c r="H62">
        <f t="shared" ca="1" si="10"/>
        <v>0.54400000000000004</v>
      </c>
      <c r="I62" t="str">
        <f t="shared" ca="1" si="10"/>
        <v/>
      </c>
      <c r="J62" t="str">
        <f t="shared" ca="1" si="10"/>
        <v/>
      </c>
      <c r="K62" t="str">
        <f t="shared" ca="1" si="10"/>
        <v/>
      </c>
      <c r="L62">
        <f>0.533</f>
        <v>0.53300000000000003</v>
      </c>
      <c r="M62">
        <f>0.52</f>
        <v>0.52</v>
      </c>
      <c r="N62">
        <f>0.544</f>
        <v>0.54400000000000004</v>
      </c>
      <c r="O62" t="str">
        <f>""</f>
        <v/>
      </c>
      <c r="P62" t="str">
        <f>""</f>
        <v/>
      </c>
      <c r="Q62" t="str">
        <f>""</f>
        <v/>
      </c>
    </row>
    <row r="63" spans="1:17" x14ac:dyDescent="0.25">
      <c r="A63" t="str">
        <f>"    Oracle"</f>
        <v xml:space="preserve">    Oracle</v>
      </c>
      <c r="B63" t="str">
        <f>""</f>
        <v/>
      </c>
      <c r="E63" t="str">
        <f t="shared" si="9"/>
        <v>Static</v>
      </c>
      <c r="F63">
        <f t="shared" ca="1" si="10"/>
        <v>0.498</v>
      </c>
      <c r="G63">
        <f t="shared" ca="1" si="10"/>
        <v>0.52400000000000002</v>
      </c>
      <c r="H63">
        <f t="shared" ca="1" si="10"/>
        <v>0.54500000000000004</v>
      </c>
      <c r="I63" t="str">
        <f t="shared" ca="1" si="10"/>
        <v/>
      </c>
      <c r="J63" t="str">
        <f t="shared" ca="1" si="10"/>
        <v/>
      </c>
      <c r="K63" t="str">
        <f t="shared" ca="1" si="10"/>
        <v/>
      </c>
      <c r="L63">
        <f>0.498</f>
        <v>0.498</v>
      </c>
      <c r="M63">
        <f>0.524</f>
        <v>0.52400000000000002</v>
      </c>
      <c r="N63">
        <f>0.545</f>
        <v>0.54500000000000004</v>
      </c>
      <c r="O63" t="str">
        <f>""</f>
        <v/>
      </c>
      <c r="P63" t="str">
        <f>""</f>
        <v/>
      </c>
      <c r="Q63" t="str">
        <f>""</f>
        <v/>
      </c>
    </row>
    <row r="64" spans="1:17" x14ac:dyDescent="0.25">
      <c r="A64" t="str">
        <f>"    Grupo Kio"</f>
        <v xml:space="preserve">    Grupo Kio</v>
      </c>
      <c r="B64" t="str">
        <f>""</f>
        <v/>
      </c>
      <c r="E64" t="str">
        <f t="shared" si="9"/>
        <v>Static</v>
      </c>
      <c r="F64">
        <f t="shared" ca="1" si="10"/>
        <v>0.46300000000000002</v>
      </c>
      <c r="G64">
        <f t="shared" ca="1" si="10"/>
        <v>0.47899999999999998</v>
      </c>
      <c r="H64">
        <f t="shared" ca="1" si="10"/>
        <v>0.47199999999999998</v>
      </c>
      <c r="I64" t="str">
        <f t="shared" ca="1" si="10"/>
        <v/>
      </c>
      <c r="J64" t="str">
        <f t="shared" ca="1" si="10"/>
        <v/>
      </c>
      <c r="K64" t="str">
        <f t="shared" ca="1" si="10"/>
        <v/>
      </c>
      <c r="L64">
        <f>0.463</f>
        <v>0.46300000000000002</v>
      </c>
      <c r="M64">
        <f>0.479</f>
        <v>0.47899999999999998</v>
      </c>
      <c r="N64">
        <f>0.472</f>
        <v>0.47199999999999998</v>
      </c>
      <c r="O64" t="str">
        <f>""</f>
        <v/>
      </c>
      <c r="P64" t="str">
        <f>""</f>
        <v/>
      </c>
      <c r="Q64" t="str">
        <f>""</f>
        <v/>
      </c>
    </row>
    <row r="65" spans="1:17" x14ac:dyDescent="0.25">
      <c r="A65" t="str">
        <f>"    Telmex"</f>
        <v xml:space="preserve">    Telmex</v>
      </c>
      <c r="B65" t="str">
        <f>""</f>
        <v/>
      </c>
      <c r="E65" t="str">
        <f t="shared" si="9"/>
        <v>Static</v>
      </c>
      <c r="F65">
        <f t="shared" ca="1" si="10"/>
        <v>0.45900000000000002</v>
      </c>
      <c r="G65">
        <f t="shared" ca="1" si="10"/>
        <v>0.443</v>
      </c>
      <c r="H65">
        <f t="shared" ca="1" si="10"/>
        <v>0.42299999999999999</v>
      </c>
      <c r="I65" t="str">
        <f t="shared" ca="1" si="10"/>
        <v/>
      </c>
      <c r="J65" t="str">
        <f t="shared" ca="1" si="10"/>
        <v/>
      </c>
      <c r="K65" t="str">
        <f t="shared" ca="1" si="10"/>
        <v/>
      </c>
      <c r="L65">
        <f>0.459</f>
        <v>0.45900000000000002</v>
      </c>
      <c r="M65">
        <f>0.443</f>
        <v>0.443</v>
      </c>
      <c r="N65">
        <f>0.423</f>
        <v>0.42299999999999999</v>
      </c>
      <c r="O65" t="str">
        <f>""</f>
        <v/>
      </c>
      <c r="P65" t="str">
        <f>""</f>
        <v/>
      </c>
      <c r="Q65" t="str">
        <f>""</f>
        <v/>
      </c>
    </row>
    <row r="66" spans="1:17" x14ac:dyDescent="0.25">
      <c r="A66" t="str">
        <f>"    Other"</f>
        <v xml:space="preserve">    Other</v>
      </c>
      <c r="B66" t="str">
        <f>""</f>
        <v/>
      </c>
      <c r="E66" t="str">
        <f t="shared" si="9"/>
        <v>Static</v>
      </c>
      <c r="F66">
        <f t="shared" ca="1" si="10"/>
        <v>31.998000000000001</v>
      </c>
      <c r="G66">
        <f t="shared" ca="1" si="10"/>
        <v>32.213999999999999</v>
      </c>
      <c r="H66">
        <f t="shared" ca="1" si="10"/>
        <v>32.798000000000002</v>
      </c>
      <c r="I66">
        <f t="shared" ca="1" si="10"/>
        <v>33.698999999999998</v>
      </c>
      <c r="J66">
        <f t="shared" ca="1" si="10"/>
        <v>32.968000000000004</v>
      </c>
      <c r="K66">
        <f t="shared" ca="1" si="10"/>
        <v>37.527000000000001</v>
      </c>
      <c r="L66">
        <f>31.998</f>
        <v>31.998000000000001</v>
      </c>
      <c r="M66">
        <f>32.214</f>
        <v>32.213999999999999</v>
      </c>
      <c r="N66">
        <f>32.798</f>
        <v>32.798000000000002</v>
      </c>
      <c r="O66">
        <f>33.699</f>
        <v>33.698999999999998</v>
      </c>
      <c r="P66">
        <f>32.968</f>
        <v>32.968000000000004</v>
      </c>
      <c r="Q66">
        <f>37.527</f>
        <v>37.527000000000001</v>
      </c>
    </row>
    <row r="67" spans="1:17" x14ac:dyDescent="0.25">
      <c r="A67" t="str">
        <f>"Middle East &amp; Africa"</f>
        <v>Middle East &amp; Africa</v>
      </c>
      <c r="B67" t="str">
        <f>""</f>
        <v/>
      </c>
      <c r="E67" t="str">
        <f>"Sum"</f>
        <v>Sum</v>
      </c>
      <c r="F67">
        <f ca="1">IF(ISERROR(IF(SUM($F$68:$F$78) = 0, "", SUM($F$68:$F$78))), "", (IF(SUM($F$68:$F$78) = 0, "", SUM($F$68:$F$78))))</f>
        <v>28.016000000000002</v>
      </c>
      <c r="G67">
        <f ca="1">IF(ISERROR(IF(SUM($G$68:$G$78) = 0, "", SUM($G$68:$G$78))), "", (IF(SUM($G$68:$G$78) = 0, "", SUM($G$68:$G$78))))</f>
        <v>27.116</v>
      </c>
      <c r="H67">
        <f ca="1">IF(ISERROR(IF(SUM($H$68:$H$78) = 0, "", SUM($H$68:$H$78))), "", (IF(SUM($H$68:$H$78) = 0, "", SUM($H$68:$H$78))))</f>
        <v>26.693000000000001</v>
      </c>
      <c r="I67">
        <f ca="1">IF(ISERROR(IF(SUM($I$68:$I$78) = 0, "", SUM($I$68:$I$78))), "", (IF(SUM($I$68:$I$78) = 0, "", SUM($I$68:$I$78))))</f>
        <v>24.49</v>
      </c>
      <c r="J67">
        <f ca="1">IF(ISERROR(IF(SUM($J$68:$J$78) = 0, "", SUM($J$68:$J$78))), "", (IF(SUM($J$68:$J$78) = 0, "", SUM($J$68:$J$78))))</f>
        <v>23.036999999999999</v>
      </c>
      <c r="K67">
        <f ca="1">IF(ISERROR(IF(SUM($K$68:$K$78) = 0, "", SUM($K$68:$K$78))), "", (IF(SUM($K$68:$K$78) = 0, "", SUM($K$68:$K$78))))</f>
        <v>22.152000000000001</v>
      </c>
      <c r="L67">
        <f>28.016</f>
        <v>28.015999999999998</v>
      </c>
      <c r="M67">
        <f>27.116</f>
        <v>27.116</v>
      </c>
      <c r="N67">
        <f>26.693</f>
        <v>26.693000000000001</v>
      </c>
      <c r="O67">
        <f>24.49</f>
        <v>24.49</v>
      </c>
      <c r="P67">
        <f>23.037</f>
        <v>23.036999999999999</v>
      </c>
      <c r="Q67">
        <f>22.152</f>
        <v>22.152000000000001</v>
      </c>
    </row>
    <row r="68" spans="1:17" x14ac:dyDescent="0.25">
      <c r="A68" t="str">
        <f>"    Telkom Business Connexion"</f>
        <v xml:space="preserve">    Telkom Business Connexion</v>
      </c>
      <c r="B68" t="str">
        <f>""</f>
        <v/>
      </c>
      <c r="E68" t="str">
        <f t="shared" ref="E68:E78" si="11">"Static"</f>
        <v>Static</v>
      </c>
      <c r="F68">
        <f t="shared" ref="F68:K78" ca="1" si="12">HLOOKUP(INDIRECT(ADDRESS(2,COLUMN())),OFFSET($L$2,0,0,ROW()-1,6),ROW()-1,FALSE)</f>
        <v>1.012</v>
      </c>
      <c r="G68">
        <f t="shared" ca="1" si="12"/>
        <v>1.0549999999999999</v>
      </c>
      <c r="H68">
        <f t="shared" ca="1" si="12"/>
        <v>1.069</v>
      </c>
      <c r="I68">
        <f t="shared" ca="1" si="12"/>
        <v>1.0660000000000001</v>
      </c>
      <c r="J68">
        <f t="shared" ca="1" si="12"/>
        <v>0.60399999999999998</v>
      </c>
      <c r="K68">
        <f t="shared" ca="1" si="12"/>
        <v>0.59399999999999997</v>
      </c>
      <c r="L68">
        <f>1.012</f>
        <v>1.012</v>
      </c>
      <c r="M68">
        <f>1.055</f>
        <v>1.0549999999999999</v>
      </c>
      <c r="N68">
        <f>1.069</f>
        <v>1.069</v>
      </c>
      <c r="O68">
        <f>1.066</f>
        <v>1.0660000000000001</v>
      </c>
      <c r="P68">
        <f>0.604</f>
        <v>0.60399999999999998</v>
      </c>
      <c r="Q68">
        <f>0.594</f>
        <v>0.59399999999999997</v>
      </c>
    </row>
    <row r="69" spans="1:17" x14ac:dyDescent="0.25">
      <c r="A69" t="str">
        <f>"    IBM"</f>
        <v xml:space="preserve">    IBM</v>
      </c>
      <c r="B69" t="str">
        <f>""</f>
        <v/>
      </c>
      <c r="E69" t="str">
        <f t="shared" si="11"/>
        <v>Static</v>
      </c>
      <c r="F69">
        <f t="shared" ca="1" si="12"/>
        <v>0.83799999999999997</v>
      </c>
      <c r="G69">
        <f t="shared" ca="1" si="12"/>
        <v>0.83299999999999996</v>
      </c>
      <c r="H69">
        <f t="shared" ca="1" si="12"/>
        <v>0.82799999999999996</v>
      </c>
      <c r="I69">
        <f t="shared" ca="1" si="12"/>
        <v>0.79500000000000004</v>
      </c>
      <c r="J69">
        <f t="shared" ca="1" si="12"/>
        <v>0.873</v>
      </c>
      <c r="K69">
        <f t="shared" ca="1" si="12"/>
        <v>0.85199999999999998</v>
      </c>
      <c r="L69">
        <f>0.838</f>
        <v>0.83799999999999997</v>
      </c>
      <c r="M69">
        <f>0.833</f>
        <v>0.83299999999999996</v>
      </c>
      <c r="N69">
        <f>0.828</f>
        <v>0.82799999999999996</v>
      </c>
      <c r="O69">
        <f>0.795</f>
        <v>0.79500000000000004</v>
      </c>
      <c r="P69">
        <f>0.873</f>
        <v>0.873</v>
      </c>
      <c r="Q69">
        <f>0.852</f>
        <v>0.85199999999999998</v>
      </c>
    </row>
    <row r="70" spans="1:17" x14ac:dyDescent="0.25">
      <c r="A70" t="str">
        <f>"    Dimension Data"</f>
        <v xml:space="preserve">    Dimension Data</v>
      </c>
      <c r="B70" t="str">
        <f>""</f>
        <v/>
      </c>
      <c r="E70" t="str">
        <f t="shared" si="11"/>
        <v>Static</v>
      </c>
      <c r="F70">
        <f t="shared" ca="1" si="12"/>
        <v>0.77700000000000002</v>
      </c>
      <c r="G70">
        <f t="shared" ca="1" si="12"/>
        <v>0.77</v>
      </c>
      <c r="H70">
        <f t="shared" ca="1" si="12"/>
        <v>0.81799999999999995</v>
      </c>
      <c r="I70">
        <f t="shared" ca="1" si="12"/>
        <v>0.84</v>
      </c>
      <c r="J70">
        <f t="shared" ca="1" si="12"/>
        <v>0.91600000000000004</v>
      </c>
      <c r="K70">
        <f t="shared" ca="1" si="12"/>
        <v>0.90300000000000002</v>
      </c>
      <c r="L70">
        <f>0.777</f>
        <v>0.77700000000000002</v>
      </c>
      <c r="M70">
        <f>0.77</f>
        <v>0.77</v>
      </c>
      <c r="N70">
        <f>0.818</f>
        <v>0.81799999999999995</v>
      </c>
      <c r="O70">
        <f>0.84</f>
        <v>0.84</v>
      </c>
      <c r="P70">
        <f>0.916</f>
        <v>0.91600000000000004</v>
      </c>
      <c r="Q70">
        <f>0.903</f>
        <v>0.90300000000000002</v>
      </c>
    </row>
    <row r="71" spans="1:17" x14ac:dyDescent="0.25">
      <c r="A71" t="str">
        <f>"    Matrix CEMA"</f>
        <v xml:space="preserve">    Matrix CEMA</v>
      </c>
      <c r="B71" t="str">
        <f>""</f>
        <v/>
      </c>
      <c r="E71" t="str">
        <f t="shared" si="11"/>
        <v>Static</v>
      </c>
      <c r="F71">
        <f t="shared" ca="1" si="12"/>
        <v>0.7</v>
      </c>
      <c r="G71">
        <f t="shared" ca="1" si="12"/>
        <v>0.65700000000000003</v>
      </c>
      <c r="H71">
        <f t="shared" ca="1" si="12"/>
        <v>0.58899999999999997</v>
      </c>
      <c r="I71" t="str">
        <f t="shared" ca="1" si="12"/>
        <v/>
      </c>
      <c r="J71" t="str">
        <f t="shared" ca="1" si="12"/>
        <v/>
      </c>
      <c r="K71" t="str">
        <f t="shared" ca="1" si="12"/>
        <v/>
      </c>
      <c r="L71">
        <f>0.7</f>
        <v>0.7</v>
      </c>
      <c r="M71">
        <f>0.657</f>
        <v>0.65700000000000003</v>
      </c>
      <c r="N71">
        <f>0.589</f>
        <v>0.58899999999999997</v>
      </c>
      <c r="O71" t="str">
        <f>""</f>
        <v/>
      </c>
      <c r="P71" t="str">
        <f>""</f>
        <v/>
      </c>
      <c r="Q71" t="str">
        <f>""</f>
        <v/>
      </c>
    </row>
    <row r="72" spans="1:17" x14ac:dyDescent="0.25">
      <c r="A72" t="str">
        <f>"    EOH"</f>
        <v xml:space="preserve">    EOH</v>
      </c>
      <c r="B72" t="str">
        <f>""</f>
        <v/>
      </c>
      <c r="E72" t="str">
        <f t="shared" si="11"/>
        <v>Static</v>
      </c>
      <c r="F72">
        <f t="shared" ca="1" si="12"/>
        <v>0.7</v>
      </c>
      <c r="G72">
        <f t="shared" ca="1" si="12"/>
        <v>0.72699999999999998</v>
      </c>
      <c r="H72">
        <f t="shared" ca="1" si="12"/>
        <v>0.67200000000000004</v>
      </c>
      <c r="I72">
        <f t="shared" ca="1" si="12"/>
        <v>0.56799999999999995</v>
      </c>
      <c r="J72">
        <f t="shared" ca="1" si="12"/>
        <v>0.55100000000000005</v>
      </c>
      <c r="K72">
        <f t="shared" ca="1" si="12"/>
        <v>0.54400000000000004</v>
      </c>
      <c r="L72">
        <f>0.7</f>
        <v>0.7</v>
      </c>
      <c r="M72">
        <f>0.727</f>
        <v>0.72699999999999998</v>
      </c>
      <c r="N72">
        <f>0.672</f>
        <v>0.67200000000000004</v>
      </c>
      <c r="O72">
        <f>0.568</f>
        <v>0.56799999999999995</v>
      </c>
      <c r="P72">
        <f>0.551</f>
        <v>0.55100000000000005</v>
      </c>
      <c r="Q72">
        <f>0.544</f>
        <v>0.54400000000000004</v>
      </c>
    </row>
    <row r="73" spans="1:17" x14ac:dyDescent="0.25">
      <c r="A73" t="str">
        <f>"    Accenture"</f>
        <v xml:space="preserve">    Accenture</v>
      </c>
      <c r="B73" t="str">
        <f>""</f>
        <v/>
      </c>
      <c r="E73" t="str">
        <f t="shared" si="11"/>
        <v>Static</v>
      </c>
      <c r="F73">
        <f t="shared" ca="1" si="12"/>
        <v>0.65300000000000002</v>
      </c>
      <c r="G73">
        <f t="shared" ca="1" si="12"/>
        <v>0.65200000000000002</v>
      </c>
      <c r="H73">
        <f t="shared" ca="1" si="12"/>
        <v>0.59099999999999997</v>
      </c>
      <c r="I73">
        <f t="shared" ca="1" si="12"/>
        <v>0.55000000000000004</v>
      </c>
      <c r="J73">
        <f t="shared" ca="1" si="12"/>
        <v>0.60799999999999998</v>
      </c>
      <c r="K73">
        <f t="shared" ca="1" si="12"/>
        <v>0.621</v>
      </c>
      <c r="L73">
        <f>0.653</f>
        <v>0.65300000000000002</v>
      </c>
      <c r="M73">
        <f>0.652</f>
        <v>0.65200000000000002</v>
      </c>
      <c r="N73">
        <f>0.591</f>
        <v>0.59099999999999997</v>
      </c>
      <c r="O73">
        <f>0.55</f>
        <v>0.55000000000000004</v>
      </c>
      <c r="P73">
        <f>0.608</f>
        <v>0.60799999999999998</v>
      </c>
      <c r="Q73">
        <f>0.621</f>
        <v>0.621</v>
      </c>
    </row>
    <row r="74" spans="1:17" x14ac:dyDescent="0.25">
      <c r="A74" t="str">
        <f>"    MDS UAE"</f>
        <v xml:space="preserve">    MDS UAE</v>
      </c>
      <c r="B74" t="str">
        <f>""</f>
        <v/>
      </c>
      <c r="E74" t="str">
        <f t="shared" si="11"/>
        <v>Static</v>
      </c>
      <c r="F74">
        <f t="shared" ca="1" si="12"/>
        <v>0.64200000000000002</v>
      </c>
      <c r="G74">
        <f t="shared" ca="1" si="12"/>
        <v>0.6</v>
      </c>
      <c r="H74">
        <f t="shared" ca="1" si="12"/>
        <v>0.54600000000000004</v>
      </c>
      <c r="I74" t="str">
        <f t="shared" ca="1" si="12"/>
        <v/>
      </c>
      <c r="J74" t="str">
        <f t="shared" ca="1" si="12"/>
        <v/>
      </c>
      <c r="K74" t="str">
        <f t="shared" ca="1" si="12"/>
        <v/>
      </c>
      <c r="L74">
        <f>0.642</f>
        <v>0.64200000000000002</v>
      </c>
      <c r="M74">
        <f>0.6</f>
        <v>0.6</v>
      </c>
      <c r="N74">
        <f>0.546</f>
        <v>0.54600000000000004</v>
      </c>
      <c r="O74" t="str">
        <f>""</f>
        <v/>
      </c>
      <c r="P74" t="str">
        <f>""</f>
        <v/>
      </c>
      <c r="Q74" t="str">
        <f>""</f>
        <v/>
      </c>
    </row>
    <row r="75" spans="1:17" x14ac:dyDescent="0.25">
      <c r="A75" t="str">
        <f>"    DXC"</f>
        <v xml:space="preserve">    DXC</v>
      </c>
      <c r="B75" t="str">
        <f>""</f>
        <v/>
      </c>
      <c r="E75" t="str">
        <f t="shared" si="11"/>
        <v>Static</v>
      </c>
      <c r="F75">
        <f t="shared" ca="1" si="12"/>
        <v>0.48199999999999998</v>
      </c>
      <c r="G75">
        <f t="shared" ca="1" si="12"/>
        <v>0.47699999999999998</v>
      </c>
      <c r="H75">
        <f t="shared" ca="1" si="12"/>
        <v>0.36799999999999999</v>
      </c>
      <c r="I75" t="str">
        <f t="shared" ca="1" si="12"/>
        <v/>
      </c>
      <c r="J75" t="str">
        <f t="shared" ca="1" si="12"/>
        <v/>
      </c>
      <c r="K75" t="str">
        <f t="shared" ca="1" si="12"/>
        <v/>
      </c>
      <c r="L75">
        <f>0.482</f>
        <v>0.48199999999999998</v>
      </c>
      <c r="M75">
        <f>0.477</f>
        <v>0.47699999999999998</v>
      </c>
      <c r="N75">
        <f>0.368</f>
        <v>0.36799999999999999</v>
      </c>
      <c r="O75" t="str">
        <f>""</f>
        <v/>
      </c>
      <c r="P75" t="str">
        <f>""</f>
        <v/>
      </c>
      <c r="Q75" t="str">
        <f>""</f>
        <v/>
      </c>
    </row>
    <row r="76" spans="1:17" x14ac:dyDescent="0.25">
      <c r="A76" t="str">
        <f>"    Wipro"</f>
        <v xml:space="preserve">    Wipro</v>
      </c>
      <c r="B76" t="str">
        <f>""</f>
        <v/>
      </c>
      <c r="E76" t="str">
        <f t="shared" si="11"/>
        <v>Static</v>
      </c>
      <c r="F76">
        <f t="shared" ca="1" si="12"/>
        <v>0.45600000000000002</v>
      </c>
      <c r="G76">
        <f t="shared" ca="1" si="12"/>
        <v>0.44</v>
      </c>
      <c r="H76">
        <f t="shared" ca="1" si="12"/>
        <v>0.45900000000000002</v>
      </c>
      <c r="I76" t="str">
        <f t="shared" ca="1" si="12"/>
        <v/>
      </c>
      <c r="J76" t="str">
        <f t="shared" ca="1" si="12"/>
        <v/>
      </c>
      <c r="K76" t="str">
        <f t="shared" ca="1" si="12"/>
        <v/>
      </c>
      <c r="L76">
        <f>0.456</f>
        <v>0.45600000000000002</v>
      </c>
      <c r="M76">
        <f>0.44</f>
        <v>0.44</v>
      </c>
      <c r="N76">
        <f>0.459</f>
        <v>0.45900000000000002</v>
      </c>
      <c r="O76" t="str">
        <f>""</f>
        <v/>
      </c>
      <c r="P76" t="str">
        <f>""</f>
        <v/>
      </c>
      <c r="Q76" t="str">
        <f>""</f>
        <v/>
      </c>
    </row>
    <row r="77" spans="1:17" x14ac:dyDescent="0.25">
      <c r="A77" t="str">
        <f>"    Altron TMT"</f>
        <v xml:space="preserve">    Altron TMT</v>
      </c>
      <c r="B77" t="str">
        <f>""</f>
        <v/>
      </c>
      <c r="E77" t="str">
        <f t="shared" si="11"/>
        <v>Static</v>
      </c>
      <c r="F77">
        <f t="shared" ca="1" si="12"/>
        <v>0.40100000000000002</v>
      </c>
      <c r="G77">
        <f t="shared" ca="1" si="12"/>
        <v>0.377</v>
      </c>
      <c r="H77">
        <f t="shared" ca="1" si="12"/>
        <v>0.372</v>
      </c>
      <c r="I77" t="str">
        <f t="shared" ca="1" si="12"/>
        <v/>
      </c>
      <c r="J77" t="str">
        <f t="shared" ca="1" si="12"/>
        <v/>
      </c>
      <c r="K77" t="str">
        <f t="shared" ca="1" si="12"/>
        <v/>
      </c>
      <c r="L77">
        <f>0.401</f>
        <v>0.40100000000000002</v>
      </c>
      <c r="M77">
        <f>0.377</f>
        <v>0.377</v>
      </c>
      <c r="N77">
        <f>0.372</f>
        <v>0.372</v>
      </c>
      <c r="O77" t="str">
        <f>""</f>
        <v/>
      </c>
      <c r="P77" t="str">
        <f>""</f>
        <v/>
      </c>
      <c r="Q77" t="str">
        <f>""</f>
        <v/>
      </c>
    </row>
    <row r="78" spans="1:17" x14ac:dyDescent="0.25">
      <c r="A78" t="str">
        <f>"    Other"</f>
        <v xml:space="preserve">    Other</v>
      </c>
      <c r="B78" t="str">
        <f>""</f>
        <v/>
      </c>
      <c r="E78" t="str">
        <f t="shared" si="11"/>
        <v>Static</v>
      </c>
      <c r="F78">
        <f t="shared" ca="1" si="12"/>
        <v>21.355</v>
      </c>
      <c r="G78">
        <f t="shared" ca="1" si="12"/>
        <v>20.527999999999999</v>
      </c>
      <c r="H78">
        <f t="shared" ca="1" si="12"/>
        <v>20.381</v>
      </c>
      <c r="I78">
        <f t="shared" ca="1" si="12"/>
        <v>20.670999999999999</v>
      </c>
      <c r="J78">
        <f t="shared" ca="1" si="12"/>
        <v>19.484999999999999</v>
      </c>
      <c r="K78">
        <f t="shared" ca="1" si="12"/>
        <v>18.638000000000002</v>
      </c>
      <c r="L78">
        <f>21.355</f>
        <v>21.355</v>
      </c>
      <c r="M78">
        <f>20.528</f>
        <v>20.527999999999999</v>
      </c>
      <c r="N78">
        <f>20.381</f>
        <v>20.381</v>
      </c>
      <c r="O78">
        <f>20.671</f>
        <v>20.670999999999999</v>
      </c>
      <c r="P78">
        <f>19.485</f>
        <v>19.484999999999999</v>
      </c>
      <c r="Q78">
        <f>18.638</f>
        <v>18.638000000000002</v>
      </c>
    </row>
    <row r="79" spans="1:17" x14ac:dyDescent="0.25">
      <c r="A79" t="str">
        <f>"USA"</f>
        <v>USA</v>
      </c>
      <c r="B79" t="str">
        <f>""</f>
        <v/>
      </c>
      <c r="E79" t="str">
        <f>"Sum"</f>
        <v>Sum</v>
      </c>
      <c r="F79">
        <f ca="1">IF(ISERROR(IF(SUM($F$80:$F$90) = 0, "", SUM($F$80:$F$90))), "", (IF(SUM($F$80:$F$90) = 0, "", SUM($F$80:$F$90))))</f>
        <v>485.57499999999999</v>
      </c>
      <c r="G79">
        <f ca="1">IF(ISERROR(IF(SUM($G$80:$G$90) = 0, "", SUM($G$80:$G$90))), "", (IF(SUM($G$80:$G$90) = 0, "", SUM($G$80:$G$90))))</f>
        <v>461.31599999999997</v>
      </c>
      <c r="H79">
        <f ca="1">IF(ISERROR(IF(SUM($H$80:$H$90) = 0, "", SUM($H$80:$H$90))), "", (IF(SUM($H$80:$H$90) = 0, "", SUM($H$80:$H$90))))</f>
        <v>440.803</v>
      </c>
      <c r="I79">
        <f ca="1">IF(ISERROR(IF(SUM($I$80:$I$90) = 0, "", SUM($I$80:$I$90))), "", (IF(SUM($I$80:$I$90) = 0, "", SUM($I$80:$I$90))))</f>
        <v>421.42199999999997</v>
      </c>
      <c r="J79">
        <f ca="1">IF(ISERROR(IF(SUM($J$80:$J$90) = 0, "", SUM($J$80:$J$90))), "", (IF(SUM($J$80:$J$90) = 0, "", SUM($J$80:$J$90))))</f>
        <v>395.13700000000006</v>
      </c>
      <c r="K79">
        <f ca="1">IF(ISERROR(IF(SUM($K$80:$K$90) = 0, "", SUM($K$80:$K$90))), "", (IF(SUM($K$80:$K$90) = 0, "", SUM($K$80:$K$90))))</f>
        <v>380.69099999999997</v>
      </c>
      <c r="L79">
        <f>485.575</f>
        <v>485.57499999999999</v>
      </c>
      <c r="M79">
        <f>461.316</f>
        <v>461.31599999999997</v>
      </c>
      <c r="N79">
        <f>440.803</f>
        <v>440.803</v>
      </c>
      <c r="O79">
        <f>421.422</f>
        <v>421.42200000000003</v>
      </c>
      <c r="P79">
        <f>395.137</f>
        <v>395.137</v>
      </c>
      <c r="Q79">
        <f>380.691</f>
        <v>380.69099999999997</v>
      </c>
    </row>
    <row r="80" spans="1:17" x14ac:dyDescent="0.25">
      <c r="A80" t="str">
        <f>"    Deloitte"</f>
        <v xml:space="preserve">    Deloitte</v>
      </c>
      <c r="B80" t="str">
        <f>""</f>
        <v/>
      </c>
      <c r="E80" t="str">
        <f t="shared" ref="E80:E90" si="13">"Static"</f>
        <v>Static</v>
      </c>
      <c r="F80">
        <f t="shared" ref="F80:K90" ca="1" si="14">HLOOKUP(INDIRECT(ADDRESS(2,COLUMN())),OFFSET($L$2,0,0,ROW()-1,6),ROW()-1,FALSE)</f>
        <v>17.978000000000002</v>
      </c>
      <c r="G80">
        <f t="shared" ca="1" si="14"/>
        <v>16.303999999999998</v>
      </c>
      <c r="H80">
        <f t="shared" ca="1" si="14"/>
        <v>14.72</v>
      </c>
      <c r="I80">
        <f t="shared" ca="1" si="14"/>
        <v>13.643000000000001</v>
      </c>
      <c r="J80">
        <f t="shared" ca="1" si="14"/>
        <v>11.874000000000001</v>
      </c>
      <c r="K80">
        <f t="shared" ca="1" si="14"/>
        <v>10.041</v>
      </c>
      <c r="L80">
        <f>17.978</f>
        <v>17.978000000000002</v>
      </c>
      <c r="M80">
        <f>16.304</f>
        <v>16.303999999999998</v>
      </c>
      <c r="N80">
        <f>14.72</f>
        <v>14.72</v>
      </c>
      <c r="O80">
        <f>13.643</f>
        <v>13.643000000000001</v>
      </c>
      <c r="P80">
        <f>11.874</f>
        <v>11.874000000000001</v>
      </c>
      <c r="Q80">
        <f>10.041</f>
        <v>10.041</v>
      </c>
    </row>
    <row r="81" spans="1:17" x14ac:dyDescent="0.25">
      <c r="A81" t="str">
        <f>"    Accenture"</f>
        <v xml:space="preserve">    Accenture</v>
      </c>
      <c r="B81" t="str">
        <f>""</f>
        <v/>
      </c>
      <c r="E81" t="str">
        <f t="shared" si="13"/>
        <v>Static</v>
      </c>
      <c r="F81">
        <f t="shared" ca="1" si="14"/>
        <v>17.856000000000002</v>
      </c>
      <c r="G81">
        <f t="shared" ca="1" si="14"/>
        <v>16.117999999999999</v>
      </c>
      <c r="H81">
        <f t="shared" ca="1" si="14"/>
        <v>14.733000000000001</v>
      </c>
      <c r="I81">
        <f t="shared" ca="1" si="14"/>
        <v>14.045</v>
      </c>
      <c r="J81">
        <f t="shared" ca="1" si="14"/>
        <v>12.791</v>
      </c>
      <c r="K81">
        <f t="shared" ca="1" si="14"/>
        <v>11.265000000000001</v>
      </c>
      <c r="L81">
        <f>17.856</f>
        <v>17.856000000000002</v>
      </c>
      <c r="M81">
        <f>16.118</f>
        <v>16.117999999999999</v>
      </c>
      <c r="N81">
        <f>14.733</f>
        <v>14.733000000000001</v>
      </c>
      <c r="O81">
        <f>14.045</f>
        <v>14.045</v>
      </c>
      <c r="P81">
        <f>12.791</f>
        <v>12.791</v>
      </c>
      <c r="Q81">
        <f>11.265</f>
        <v>11.265000000000001</v>
      </c>
    </row>
    <row r="82" spans="1:17" x14ac:dyDescent="0.25">
      <c r="A82" t="str">
        <f>"    IBM"</f>
        <v xml:space="preserve">    IBM</v>
      </c>
      <c r="B82" t="str">
        <f>""</f>
        <v/>
      </c>
      <c r="E82" t="str">
        <f t="shared" si="13"/>
        <v>Static</v>
      </c>
      <c r="F82">
        <f t="shared" ca="1" si="14"/>
        <v>15.196999999999999</v>
      </c>
      <c r="G82">
        <f t="shared" ca="1" si="14"/>
        <v>15.406000000000001</v>
      </c>
      <c r="H82">
        <f t="shared" ca="1" si="14"/>
        <v>16.024999999999999</v>
      </c>
      <c r="I82">
        <f t="shared" ca="1" si="14"/>
        <v>19.172000000000001</v>
      </c>
      <c r="J82">
        <f t="shared" ca="1" si="14"/>
        <v>19.442</v>
      </c>
      <c r="K82">
        <f t="shared" ca="1" si="14"/>
        <v>20.428999999999998</v>
      </c>
      <c r="L82">
        <f>15.197</f>
        <v>15.196999999999999</v>
      </c>
      <c r="M82">
        <f>15.406</f>
        <v>15.406000000000001</v>
      </c>
      <c r="N82">
        <f>16.025</f>
        <v>16.024999999999999</v>
      </c>
      <c r="O82">
        <f>19.172</f>
        <v>19.172000000000001</v>
      </c>
      <c r="P82">
        <f>19.442</f>
        <v>19.442</v>
      </c>
      <c r="Q82">
        <f>20.429</f>
        <v>20.428999999999998</v>
      </c>
    </row>
    <row r="83" spans="1:17" x14ac:dyDescent="0.25">
      <c r="A83" t="str">
        <f>"    Cognizant"</f>
        <v xml:space="preserve">    Cognizant</v>
      </c>
      <c r="B83" t="str">
        <f>""</f>
        <v/>
      </c>
      <c r="E83" t="str">
        <f t="shared" si="13"/>
        <v>Static</v>
      </c>
      <c r="F83">
        <f t="shared" ca="1" si="14"/>
        <v>11.105</v>
      </c>
      <c r="G83">
        <f t="shared" ca="1" si="14"/>
        <v>10.667</v>
      </c>
      <c r="H83">
        <f t="shared" ca="1" si="14"/>
        <v>9.9550000000000001</v>
      </c>
      <c r="I83">
        <f t="shared" ca="1" si="14"/>
        <v>9.1690000000000005</v>
      </c>
      <c r="J83">
        <f t="shared" ca="1" si="14"/>
        <v>10.596</v>
      </c>
      <c r="K83">
        <f t="shared" ca="1" si="14"/>
        <v>11.746</v>
      </c>
      <c r="L83">
        <f>11.105</f>
        <v>11.105</v>
      </c>
      <c r="M83">
        <f>10.667</f>
        <v>10.667</v>
      </c>
      <c r="N83">
        <f>9.955</f>
        <v>9.9550000000000001</v>
      </c>
      <c r="O83">
        <f>9.169</f>
        <v>9.1690000000000005</v>
      </c>
      <c r="P83">
        <f>10.596</f>
        <v>10.596</v>
      </c>
      <c r="Q83">
        <f>11.746</f>
        <v>11.746</v>
      </c>
    </row>
    <row r="84" spans="1:17" x14ac:dyDescent="0.25">
      <c r="A84" t="str">
        <f>"    ADP"</f>
        <v xml:space="preserve">    ADP</v>
      </c>
      <c r="B84" t="str">
        <f>""</f>
        <v/>
      </c>
      <c r="E84" t="str">
        <f t="shared" si="13"/>
        <v>Static</v>
      </c>
      <c r="F84">
        <f t="shared" ca="1" si="14"/>
        <v>9.9499999999999993</v>
      </c>
      <c r="G84">
        <f t="shared" ca="1" si="14"/>
        <v>9.1579999999999995</v>
      </c>
      <c r="H84">
        <f t="shared" ca="1" si="14"/>
        <v>8.9030000000000005</v>
      </c>
      <c r="I84" t="str">
        <f t="shared" ca="1" si="14"/>
        <v/>
      </c>
      <c r="J84" t="str">
        <f t="shared" ca="1" si="14"/>
        <v/>
      </c>
      <c r="K84" t="str">
        <f t="shared" ca="1" si="14"/>
        <v/>
      </c>
      <c r="L84">
        <f>9.95</f>
        <v>9.9499999999999993</v>
      </c>
      <c r="M84">
        <f>9.158</f>
        <v>9.1579999999999995</v>
      </c>
      <c r="N84">
        <f>8.903</f>
        <v>8.9030000000000005</v>
      </c>
      <c r="O84" t="str">
        <f>""</f>
        <v/>
      </c>
      <c r="P84" t="str">
        <f>""</f>
        <v/>
      </c>
      <c r="Q84" t="str">
        <f>""</f>
        <v/>
      </c>
    </row>
    <row r="85" spans="1:17" x14ac:dyDescent="0.25">
      <c r="A85" t="str">
        <f>"    Tata Consultancy Group"</f>
        <v xml:space="preserve">    Tata Consultancy Group</v>
      </c>
      <c r="B85" t="str">
        <f>""</f>
        <v/>
      </c>
      <c r="E85" t="str">
        <f t="shared" si="13"/>
        <v>Static</v>
      </c>
      <c r="F85">
        <f t="shared" ca="1" si="14"/>
        <v>8.9510000000000005</v>
      </c>
      <c r="G85">
        <f t="shared" ca="1" si="14"/>
        <v>8.4049999999999994</v>
      </c>
      <c r="H85">
        <f t="shared" ca="1" si="14"/>
        <v>7.5860000000000003</v>
      </c>
      <c r="I85" t="str">
        <f t="shared" ca="1" si="14"/>
        <v/>
      </c>
      <c r="J85" t="str">
        <f t="shared" ca="1" si="14"/>
        <v/>
      </c>
      <c r="K85" t="str">
        <f t="shared" ca="1" si="14"/>
        <v/>
      </c>
      <c r="L85">
        <f>8.951</f>
        <v>8.9510000000000005</v>
      </c>
      <c r="M85">
        <f>8.405</f>
        <v>8.4049999999999994</v>
      </c>
      <c r="N85">
        <f>7.586</f>
        <v>7.5860000000000003</v>
      </c>
      <c r="O85" t="str">
        <f>""</f>
        <v/>
      </c>
      <c r="P85" t="str">
        <f>""</f>
        <v/>
      </c>
      <c r="Q85" t="str">
        <f>""</f>
        <v/>
      </c>
    </row>
    <row r="86" spans="1:17" x14ac:dyDescent="0.25">
      <c r="A86" t="str">
        <f>"    General Dynamics"</f>
        <v xml:space="preserve">    General Dynamics</v>
      </c>
      <c r="B86" t="str">
        <f>""</f>
        <v/>
      </c>
      <c r="E86" t="str">
        <f t="shared" si="13"/>
        <v>Static</v>
      </c>
      <c r="F86">
        <f t="shared" ca="1" si="14"/>
        <v>8.9109999999999996</v>
      </c>
      <c r="G86">
        <f t="shared" ca="1" si="14"/>
        <v>8.7219999999999995</v>
      </c>
      <c r="H86">
        <f t="shared" ca="1" si="14"/>
        <v>4.8780000000000001</v>
      </c>
      <c r="I86" t="str">
        <f t="shared" ca="1" si="14"/>
        <v/>
      </c>
      <c r="J86" t="str">
        <f t="shared" ca="1" si="14"/>
        <v/>
      </c>
      <c r="K86" t="str">
        <f t="shared" ca="1" si="14"/>
        <v/>
      </c>
      <c r="L86">
        <f>8.911</f>
        <v>8.9109999999999996</v>
      </c>
      <c r="M86">
        <f>8.722</f>
        <v>8.7219999999999995</v>
      </c>
      <c r="N86">
        <f>4.878</f>
        <v>4.8780000000000001</v>
      </c>
      <c r="O86" t="str">
        <f>""</f>
        <v/>
      </c>
      <c r="P86" t="str">
        <f>""</f>
        <v/>
      </c>
      <c r="Q86" t="str">
        <f>""</f>
        <v/>
      </c>
    </row>
    <row r="87" spans="1:17" x14ac:dyDescent="0.25">
      <c r="A87" t="str">
        <f>"    Leidos"</f>
        <v xml:space="preserve">    Leidos</v>
      </c>
      <c r="B87" t="str">
        <f>""</f>
        <v/>
      </c>
      <c r="E87" t="str">
        <f t="shared" si="13"/>
        <v>Static</v>
      </c>
      <c r="F87">
        <f t="shared" ca="1" si="14"/>
        <v>8.2919999999999998</v>
      </c>
      <c r="G87">
        <f t="shared" ca="1" si="14"/>
        <v>7.4669999999999996</v>
      </c>
      <c r="H87">
        <f t="shared" ca="1" si="14"/>
        <v>7.4210000000000003</v>
      </c>
      <c r="I87" t="str">
        <f t="shared" ca="1" si="14"/>
        <v/>
      </c>
      <c r="J87" t="str">
        <f t="shared" ca="1" si="14"/>
        <v/>
      </c>
      <c r="K87" t="str">
        <f t="shared" ca="1" si="14"/>
        <v/>
      </c>
      <c r="L87">
        <f>8.292</f>
        <v>8.2919999999999998</v>
      </c>
      <c r="M87">
        <f>7.467</f>
        <v>7.4669999999999996</v>
      </c>
      <c r="N87">
        <f>7.421</f>
        <v>7.4210000000000003</v>
      </c>
      <c r="O87" t="str">
        <f>""</f>
        <v/>
      </c>
      <c r="P87" t="str">
        <f>""</f>
        <v/>
      </c>
      <c r="Q87" t="str">
        <f>""</f>
        <v/>
      </c>
    </row>
    <row r="88" spans="1:17" x14ac:dyDescent="0.25">
      <c r="A88" t="str">
        <f>"    Cisco"</f>
        <v xml:space="preserve">    Cisco</v>
      </c>
      <c r="B88" t="str">
        <f>""</f>
        <v/>
      </c>
      <c r="E88" t="str">
        <f t="shared" si="13"/>
        <v>Static</v>
      </c>
      <c r="F88">
        <f t="shared" ca="1" si="14"/>
        <v>7.6390000000000002</v>
      </c>
      <c r="G88">
        <f t="shared" ca="1" si="14"/>
        <v>7.52</v>
      </c>
      <c r="H88">
        <f t="shared" ca="1" si="14"/>
        <v>7.282</v>
      </c>
      <c r="I88" t="str">
        <f t="shared" ca="1" si="14"/>
        <v/>
      </c>
      <c r="J88" t="str">
        <f t="shared" ca="1" si="14"/>
        <v/>
      </c>
      <c r="K88" t="str">
        <f t="shared" ca="1" si="14"/>
        <v/>
      </c>
      <c r="L88">
        <f>7.639</f>
        <v>7.6390000000000002</v>
      </c>
      <c r="M88">
        <f>7.52</f>
        <v>7.52</v>
      </c>
      <c r="N88">
        <f>7.282</f>
        <v>7.282</v>
      </c>
      <c r="O88" t="str">
        <f>""</f>
        <v/>
      </c>
      <c r="P88" t="str">
        <f>""</f>
        <v/>
      </c>
      <c r="Q88" t="str">
        <f>""</f>
        <v/>
      </c>
    </row>
    <row r="89" spans="1:17" x14ac:dyDescent="0.25">
      <c r="A89" t="str">
        <f>"    Dell"</f>
        <v xml:space="preserve">    Dell</v>
      </c>
      <c r="B89" t="str">
        <f>""</f>
        <v/>
      </c>
      <c r="E89" t="str">
        <f t="shared" si="13"/>
        <v>Static</v>
      </c>
      <c r="F89">
        <f t="shared" ca="1" si="14"/>
        <v>7.258</v>
      </c>
      <c r="G89">
        <f t="shared" ca="1" si="14"/>
        <v>6.4630000000000001</v>
      </c>
      <c r="H89">
        <f t="shared" ca="1" si="14"/>
        <v>6.45</v>
      </c>
      <c r="I89" t="str">
        <f t="shared" ca="1" si="14"/>
        <v/>
      </c>
      <c r="J89" t="str">
        <f t="shared" ca="1" si="14"/>
        <v/>
      </c>
      <c r="K89" t="str">
        <f t="shared" ca="1" si="14"/>
        <v/>
      </c>
      <c r="L89">
        <f>7.258</f>
        <v>7.258</v>
      </c>
      <c r="M89">
        <f>6.463</f>
        <v>6.4630000000000001</v>
      </c>
      <c r="N89">
        <f>6.45</f>
        <v>6.45</v>
      </c>
      <c r="O89" t="str">
        <f>""</f>
        <v/>
      </c>
      <c r="P89" t="str">
        <f>""</f>
        <v/>
      </c>
      <c r="Q89" t="str">
        <f>""</f>
        <v/>
      </c>
    </row>
    <row r="90" spans="1:17" x14ac:dyDescent="0.25">
      <c r="A90" t="str">
        <f>"    Other"</f>
        <v xml:space="preserve">    Other</v>
      </c>
      <c r="B90" t="str">
        <f>""</f>
        <v/>
      </c>
      <c r="E90" t="str">
        <f t="shared" si="13"/>
        <v>Static</v>
      </c>
      <c r="F90">
        <f t="shared" ca="1" si="14"/>
        <v>372.43799999999999</v>
      </c>
      <c r="G90">
        <f t="shared" ca="1" si="14"/>
        <v>355.08600000000001</v>
      </c>
      <c r="H90">
        <f t="shared" ca="1" si="14"/>
        <v>342.85</v>
      </c>
      <c r="I90">
        <f t="shared" ca="1" si="14"/>
        <v>365.39299999999997</v>
      </c>
      <c r="J90">
        <f t="shared" ca="1" si="14"/>
        <v>340.43400000000003</v>
      </c>
      <c r="K90">
        <f t="shared" ca="1" si="14"/>
        <v>327.20999999999998</v>
      </c>
      <c r="L90">
        <f>372.438</f>
        <v>372.43799999999999</v>
      </c>
      <c r="M90">
        <f>355.086</f>
        <v>355.08600000000001</v>
      </c>
      <c r="N90">
        <f>342.85</f>
        <v>342.85</v>
      </c>
      <c r="O90">
        <f>365.393</f>
        <v>365.39299999999997</v>
      </c>
      <c r="P90">
        <f>340.434</f>
        <v>340.43400000000003</v>
      </c>
      <c r="Q90">
        <f>327.21</f>
        <v>327.20999999999998</v>
      </c>
    </row>
    <row r="91" spans="1:17" x14ac:dyDescent="0.25">
      <c r="A91" t="str">
        <f>"Western Europe"</f>
        <v>Western Europe</v>
      </c>
      <c r="B91" t="str">
        <f>""</f>
        <v/>
      </c>
      <c r="E91" t="str">
        <f>"Sum"</f>
        <v>Sum</v>
      </c>
      <c r="F91">
        <f ca="1">IF(ISERROR(IF(SUM($F$92:$F$102) = 0, "", SUM($F$92:$F$102))), "", (IF(SUM($F$92:$F$102) = 0, "", SUM($F$92:$F$102))))</f>
        <v>272.11500000000001</v>
      </c>
      <c r="G91">
        <f ca="1">IF(ISERROR(IF(SUM($G$92:$G$102) = 0, "", SUM($G$92:$G$102))), "", (IF(SUM($G$92:$G$102) = 0, "", SUM($G$92:$G$102))))</f>
        <v>275.42</v>
      </c>
      <c r="H91">
        <f ca="1">IF(ISERROR(IF(SUM($H$92:$H$102) = 0, "", SUM($H$92:$H$102))), "", (IF(SUM($H$92:$H$102) = 0, "", SUM($H$92:$H$102))))</f>
        <v>257.79399999999998</v>
      </c>
      <c r="I91">
        <f ca="1">IF(ISERROR(IF(SUM($I$92:$I$102) = 0, "", SUM($I$92:$I$102))), "", (IF(SUM($I$92:$I$102) = 0, "", SUM($I$92:$I$102))))</f>
        <v>250.31400000000002</v>
      </c>
      <c r="J91">
        <f ca="1">IF(ISERROR(IF(SUM($J$92:$J$102) = 0, "", SUM($J$92:$J$102))), "", (IF(SUM($J$92:$J$102) = 0, "", SUM($J$92:$J$102))))</f>
        <v>251.589</v>
      </c>
      <c r="K91">
        <f ca="1">IF(ISERROR(IF(SUM($K$92:$K$102) = 0, "", SUM($K$92:$K$102))), "", (IF(SUM($K$92:$K$102) = 0, "", SUM($K$92:$K$102))))</f>
        <v>283.02699999999999</v>
      </c>
      <c r="L91">
        <f>272.115</f>
        <v>272.11500000000001</v>
      </c>
      <c r="M91">
        <f>275.42</f>
        <v>275.42</v>
      </c>
      <c r="N91">
        <f>257.794</f>
        <v>257.79399999999998</v>
      </c>
      <c r="O91">
        <f>250.314</f>
        <v>250.31399999999999</v>
      </c>
      <c r="P91">
        <f>251.589</f>
        <v>251.589</v>
      </c>
      <c r="Q91">
        <f>283.027</f>
        <v>283.02699999999999</v>
      </c>
    </row>
    <row r="92" spans="1:17" x14ac:dyDescent="0.25">
      <c r="A92" t="str">
        <f>"    IBM"</f>
        <v xml:space="preserve">    IBM</v>
      </c>
      <c r="B92" t="str">
        <f>""</f>
        <v/>
      </c>
      <c r="E92" t="str">
        <f t="shared" ref="E92:E102" si="15">"Static"</f>
        <v>Static</v>
      </c>
      <c r="F92">
        <f t="shared" ref="F92:K102" ca="1" si="16">HLOOKUP(INDIRECT(ADDRESS(2,COLUMN())),OFFSET($L$2,0,0,ROW()-1,6),ROW()-1,FALSE)</f>
        <v>13.686999999999999</v>
      </c>
      <c r="G92">
        <f t="shared" ca="1" si="16"/>
        <v>14.281000000000001</v>
      </c>
      <c r="H92">
        <f t="shared" ca="1" si="16"/>
        <v>14.061999999999999</v>
      </c>
      <c r="I92">
        <f t="shared" ca="1" si="16"/>
        <v>11.922000000000001</v>
      </c>
      <c r="J92">
        <f t="shared" ca="1" si="16"/>
        <v>12.456</v>
      </c>
      <c r="K92">
        <f t="shared" ca="1" si="16"/>
        <v>14.585000000000001</v>
      </c>
      <c r="L92">
        <f>13.687</f>
        <v>13.686999999999999</v>
      </c>
      <c r="M92">
        <f>14.281</f>
        <v>14.281000000000001</v>
      </c>
      <c r="N92">
        <f>14.062</f>
        <v>14.061999999999999</v>
      </c>
      <c r="O92">
        <f>11.922</f>
        <v>11.922000000000001</v>
      </c>
      <c r="P92">
        <f>12.456</f>
        <v>12.456</v>
      </c>
      <c r="Q92">
        <f>14.585</f>
        <v>14.585000000000001</v>
      </c>
    </row>
    <row r="93" spans="1:17" x14ac:dyDescent="0.25">
      <c r="A93" t="str">
        <f>"    Accenture"</f>
        <v xml:space="preserve">    Accenture</v>
      </c>
      <c r="B93" t="str">
        <f>""</f>
        <v/>
      </c>
      <c r="E93" t="str">
        <f t="shared" si="15"/>
        <v>Static</v>
      </c>
      <c r="F93">
        <f t="shared" ca="1" si="16"/>
        <v>12.577</v>
      </c>
      <c r="G93">
        <f t="shared" ca="1" si="16"/>
        <v>12.648999999999999</v>
      </c>
      <c r="H93">
        <f t="shared" ca="1" si="16"/>
        <v>11.303000000000001</v>
      </c>
      <c r="I93">
        <f t="shared" ca="1" si="16"/>
        <v>10.451000000000001</v>
      </c>
      <c r="J93">
        <f t="shared" ca="1" si="16"/>
        <v>9.9489999999999998</v>
      </c>
      <c r="K93">
        <f t="shared" ca="1" si="16"/>
        <v>10.406000000000001</v>
      </c>
      <c r="L93">
        <f>12.577</f>
        <v>12.577</v>
      </c>
      <c r="M93">
        <f>12.649</f>
        <v>12.648999999999999</v>
      </c>
      <c r="N93">
        <f>11.303</f>
        <v>11.303000000000001</v>
      </c>
      <c r="O93">
        <f>10.451</f>
        <v>10.451000000000001</v>
      </c>
      <c r="P93">
        <f>9.949</f>
        <v>9.9489999999999998</v>
      </c>
      <c r="Q93">
        <f>10.406</f>
        <v>10.406000000000001</v>
      </c>
    </row>
    <row r="94" spans="1:17" x14ac:dyDescent="0.25">
      <c r="A94" t="str">
        <f>"    Deloitte"</f>
        <v xml:space="preserve">    Deloitte</v>
      </c>
      <c r="B94" t="str">
        <f>""</f>
        <v/>
      </c>
      <c r="E94" t="str">
        <f t="shared" si="15"/>
        <v>Static</v>
      </c>
      <c r="F94">
        <f t="shared" ca="1" si="16"/>
        <v>9.9480000000000004</v>
      </c>
      <c r="G94">
        <f t="shared" ca="1" si="16"/>
        <v>9.4410000000000007</v>
      </c>
      <c r="H94">
        <f t="shared" ca="1" si="16"/>
        <v>8.359</v>
      </c>
      <c r="I94">
        <f t="shared" ca="1" si="16"/>
        <v>8.0879999999999992</v>
      </c>
      <c r="J94">
        <f t="shared" ca="1" si="16"/>
        <v>7.1550000000000002</v>
      </c>
      <c r="K94">
        <f t="shared" ca="1" si="16"/>
        <v>7.165</v>
      </c>
      <c r="L94">
        <f>9.948</f>
        <v>9.9480000000000004</v>
      </c>
      <c r="M94">
        <f>9.441</f>
        <v>9.4410000000000007</v>
      </c>
      <c r="N94">
        <f>8.359</f>
        <v>8.359</v>
      </c>
      <c r="O94">
        <f>8.088</f>
        <v>8.0879999999999992</v>
      </c>
      <c r="P94">
        <f>7.155</f>
        <v>7.1550000000000002</v>
      </c>
      <c r="Q94">
        <f>7.165</f>
        <v>7.165</v>
      </c>
    </row>
    <row r="95" spans="1:17" x14ac:dyDescent="0.25">
      <c r="A95" t="str">
        <f>"    Capgemini/CPM Braxis"</f>
        <v xml:space="preserve">    Capgemini/CPM Braxis</v>
      </c>
      <c r="B95" t="str">
        <f>""</f>
        <v/>
      </c>
      <c r="E95" t="str">
        <f t="shared" si="15"/>
        <v>Static</v>
      </c>
      <c r="F95">
        <f t="shared" ca="1" si="16"/>
        <v>8.9350000000000005</v>
      </c>
      <c r="G95">
        <f t="shared" ca="1" si="16"/>
        <v>8.548</v>
      </c>
      <c r="H95">
        <f t="shared" ca="1" si="16"/>
        <v>8.0039999999999996</v>
      </c>
      <c r="I95">
        <f t="shared" ca="1" si="16"/>
        <v>7.8049999999999997</v>
      </c>
      <c r="J95">
        <f t="shared" ca="1" si="16"/>
        <v>7.6769999999999996</v>
      </c>
      <c r="K95">
        <f t="shared" ca="1" si="16"/>
        <v>8.9760000000000009</v>
      </c>
      <c r="L95">
        <f>8.935</f>
        <v>8.9350000000000005</v>
      </c>
      <c r="M95">
        <f>8.548</f>
        <v>8.548</v>
      </c>
      <c r="N95">
        <f>8.004</f>
        <v>8.0039999999999996</v>
      </c>
      <c r="O95">
        <f>7.805</f>
        <v>7.8049999999999997</v>
      </c>
      <c r="P95">
        <f>7.677</f>
        <v>7.6769999999999996</v>
      </c>
      <c r="Q95">
        <f>8.976</f>
        <v>8.9760000000000009</v>
      </c>
    </row>
    <row r="96" spans="1:17" x14ac:dyDescent="0.25">
      <c r="A96" t="str">
        <f>"    ATOS"</f>
        <v xml:space="preserve">    ATOS</v>
      </c>
      <c r="B96" t="str">
        <f>""</f>
        <v/>
      </c>
      <c r="E96" t="str">
        <f t="shared" si="15"/>
        <v>Static</v>
      </c>
      <c r="F96">
        <f t="shared" ca="1" si="16"/>
        <v>8.2870000000000008</v>
      </c>
      <c r="G96">
        <f t="shared" ca="1" si="16"/>
        <v>8.266</v>
      </c>
      <c r="H96">
        <f t="shared" ca="1" si="16"/>
        <v>8.0510000000000002</v>
      </c>
      <c r="I96">
        <f t="shared" ca="1" si="16"/>
        <v>7.5229999999999997</v>
      </c>
      <c r="J96">
        <f t="shared" ca="1" si="16"/>
        <v>9.5410000000000004</v>
      </c>
      <c r="K96">
        <f t="shared" ca="1" si="16"/>
        <v>10.89</v>
      </c>
      <c r="L96">
        <f>8.287</f>
        <v>8.2870000000000008</v>
      </c>
      <c r="M96">
        <f>8.266</f>
        <v>8.266</v>
      </c>
      <c r="N96">
        <f>8.051</f>
        <v>8.0510000000000002</v>
      </c>
      <c r="O96">
        <f>7.523</f>
        <v>7.5229999999999997</v>
      </c>
      <c r="P96">
        <f>9.541</f>
        <v>9.5410000000000004</v>
      </c>
      <c r="Q96">
        <f>10.89</f>
        <v>10.89</v>
      </c>
    </row>
    <row r="97" spans="1:17" x14ac:dyDescent="0.25">
      <c r="A97" t="str">
        <f>"    DXC"</f>
        <v xml:space="preserve">    DXC</v>
      </c>
      <c r="B97" t="str">
        <f>""</f>
        <v/>
      </c>
      <c r="E97" t="str">
        <f t="shared" si="15"/>
        <v>Static</v>
      </c>
      <c r="F97">
        <f t="shared" ca="1" si="16"/>
        <v>7.3639999999999999</v>
      </c>
      <c r="G97">
        <f t="shared" ca="1" si="16"/>
        <v>7.7130000000000001</v>
      </c>
      <c r="H97">
        <f t="shared" ca="1" si="16"/>
        <v>6.5220000000000002</v>
      </c>
      <c r="I97" t="str">
        <f t="shared" ca="1" si="16"/>
        <v/>
      </c>
      <c r="J97" t="str">
        <f t="shared" ca="1" si="16"/>
        <v/>
      </c>
      <c r="K97" t="str">
        <f t="shared" ca="1" si="16"/>
        <v/>
      </c>
      <c r="L97">
        <f>7.364</f>
        <v>7.3639999999999999</v>
      </c>
      <c r="M97">
        <f>7.713</f>
        <v>7.7130000000000001</v>
      </c>
      <c r="N97">
        <f>6.522</f>
        <v>6.5220000000000002</v>
      </c>
      <c r="O97" t="str">
        <f>""</f>
        <v/>
      </c>
      <c r="P97" t="str">
        <f>""</f>
        <v/>
      </c>
      <c r="Q97" t="str">
        <f>""</f>
        <v/>
      </c>
    </row>
    <row r="98" spans="1:17" x14ac:dyDescent="0.25">
      <c r="A98" t="str">
        <f>"    PwC"</f>
        <v xml:space="preserve">    PwC</v>
      </c>
      <c r="B98" t="str">
        <f>""</f>
        <v/>
      </c>
      <c r="E98" t="str">
        <f t="shared" si="15"/>
        <v>Static</v>
      </c>
      <c r="F98">
        <f t="shared" ca="1" si="16"/>
        <v>6.7839999999999998</v>
      </c>
      <c r="G98">
        <f t="shared" ca="1" si="16"/>
        <v>5.907</v>
      </c>
      <c r="H98">
        <f t="shared" ca="1" si="16"/>
        <v>5.1479999999999997</v>
      </c>
      <c r="I98" t="str">
        <f t="shared" ca="1" si="16"/>
        <v/>
      </c>
      <c r="J98" t="str">
        <f t="shared" ca="1" si="16"/>
        <v/>
      </c>
      <c r="K98" t="str">
        <f t="shared" ca="1" si="16"/>
        <v/>
      </c>
      <c r="L98">
        <f>6.784</f>
        <v>6.7839999999999998</v>
      </c>
      <c r="M98">
        <f>5.907</f>
        <v>5.907</v>
      </c>
      <c r="N98">
        <f>5.148</f>
        <v>5.1479999999999997</v>
      </c>
      <c r="O98" t="str">
        <f>""</f>
        <v/>
      </c>
      <c r="P98" t="str">
        <f>""</f>
        <v/>
      </c>
      <c r="Q98" t="str">
        <f>""</f>
        <v/>
      </c>
    </row>
    <row r="99" spans="1:17" x14ac:dyDescent="0.25">
      <c r="A99" t="str">
        <f>"    CGI"</f>
        <v xml:space="preserve">    CGI</v>
      </c>
      <c r="B99" t="str">
        <f>""</f>
        <v/>
      </c>
      <c r="E99" t="str">
        <f t="shared" si="15"/>
        <v>Static</v>
      </c>
      <c r="F99">
        <f t="shared" ca="1" si="16"/>
        <v>4.915</v>
      </c>
      <c r="G99">
        <f t="shared" ca="1" si="16"/>
        <v>4.625</v>
      </c>
      <c r="H99">
        <f t="shared" ca="1" si="16"/>
        <v>4.2830000000000004</v>
      </c>
      <c r="I99" t="str">
        <f t="shared" ca="1" si="16"/>
        <v/>
      </c>
      <c r="J99" t="str">
        <f t="shared" ca="1" si="16"/>
        <v/>
      </c>
      <c r="K99" t="str">
        <f t="shared" ca="1" si="16"/>
        <v/>
      </c>
      <c r="L99">
        <f>4.915</f>
        <v>4.915</v>
      </c>
      <c r="M99">
        <f>4.625</f>
        <v>4.625</v>
      </c>
      <c r="N99">
        <f>4.283</f>
        <v>4.2830000000000004</v>
      </c>
      <c r="O99" t="str">
        <f>""</f>
        <v/>
      </c>
      <c r="P99" t="str">
        <f>""</f>
        <v/>
      </c>
      <c r="Q99" t="str">
        <f>""</f>
        <v/>
      </c>
    </row>
    <row r="100" spans="1:17" x14ac:dyDescent="0.25">
      <c r="A100" t="str">
        <f>"    Ernst &amp; Young"</f>
        <v xml:space="preserve">    Ernst &amp; Young</v>
      </c>
      <c r="B100" t="str">
        <f>""</f>
        <v/>
      </c>
      <c r="E100" t="str">
        <f t="shared" si="15"/>
        <v>Static</v>
      </c>
      <c r="F100">
        <f t="shared" ca="1" si="16"/>
        <v>4.5949999999999998</v>
      </c>
      <c r="G100">
        <f t="shared" ca="1" si="16"/>
        <v>4.5830000000000002</v>
      </c>
      <c r="H100">
        <f t="shared" ca="1" si="16"/>
        <v>4.2140000000000004</v>
      </c>
      <c r="I100" t="str">
        <f t="shared" ca="1" si="16"/>
        <v/>
      </c>
      <c r="J100" t="str">
        <f t="shared" ca="1" si="16"/>
        <v/>
      </c>
      <c r="K100" t="str">
        <f t="shared" ca="1" si="16"/>
        <v/>
      </c>
      <c r="L100">
        <f>4.595</f>
        <v>4.5949999999999998</v>
      </c>
      <c r="M100">
        <f>4.583</f>
        <v>4.5830000000000002</v>
      </c>
      <c r="N100">
        <f>4.214</f>
        <v>4.2140000000000004</v>
      </c>
      <c r="O100" t="str">
        <f>""</f>
        <v/>
      </c>
      <c r="P100" t="str">
        <f>""</f>
        <v/>
      </c>
      <c r="Q100" t="str">
        <f>""</f>
        <v/>
      </c>
    </row>
    <row r="101" spans="1:17" x14ac:dyDescent="0.25">
      <c r="A101" t="str">
        <f>"    Tata Consultancy Group"</f>
        <v xml:space="preserve">    Tata Consultancy Group</v>
      </c>
      <c r="B101" t="str">
        <f>""</f>
        <v/>
      </c>
      <c r="E101" t="str">
        <f t="shared" si="15"/>
        <v>Static</v>
      </c>
      <c r="F101">
        <f t="shared" ca="1" si="16"/>
        <v>4.5679999999999996</v>
      </c>
      <c r="G101">
        <f t="shared" ca="1" si="16"/>
        <v>4.1689999999999996</v>
      </c>
      <c r="H101">
        <f t="shared" ca="1" si="16"/>
        <v>3.4289999999999998</v>
      </c>
      <c r="I101" t="str">
        <f t="shared" ca="1" si="16"/>
        <v/>
      </c>
      <c r="J101" t="str">
        <f t="shared" ca="1" si="16"/>
        <v/>
      </c>
      <c r="K101" t="str">
        <f t="shared" ca="1" si="16"/>
        <v/>
      </c>
      <c r="L101">
        <f>4.568</f>
        <v>4.5679999999999996</v>
      </c>
      <c r="M101">
        <f>4.169</f>
        <v>4.1689999999999996</v>
      </c>
      <c r="N101">
        <f>3.429</f>
        <v>3.4289999999999998</v>
      </c>
      <c r="O101" t="str">
        <f>""</f>
        <v/>
      </c>
      <c r="P101" t="str">
        <f>""</f>
        <v/>
      </c>
      <c r="Q101" t="str">
        <f>""</f>
        <v/>
      </c>
    </row>
    <row r="102" spans="1:17" x14ac:dyDescent="0.25">
      <c r="A102" t="str">
        <f>"    Other"</f>
        <v xml:space="preserve">    Other</v>
      </c>
      <c r="B102" t="str">
        <f>""</f>
        <v/>
      </c>
      <c r="E102" t="str">
        <f t="shared" si="15"/>
        <v>Static</v>
      </c>
      <c r="F102">
        <f t="shared" ca="1" si="16"/>
        <v>190.45500000000001</v>
      </c>
      <c r="G102">
        <f t="shared" ca="1" si="16"/>
        <v>195.238</v>
      </c>
      <c r="H102">
        <f t="shared" ca="1" si="16"/>
        <v>184.41900000000001</v>
      </c>
      <c r="I102">
        <f t="shared" ca="1" si="16"/>
        <v>204.52500000000001</v>
      </c>
      <c r="J102">
        <f t="shared" ca="1" si="16"/>
        <v>204.81100000000001</v>
      </c>
      <c r="K102">
        <f t="shared" ca="1" si="16"/>
        <v>231.005</v>
      </c>
      <c r="L102">
        <f>190.455</f>
        <v>190.45500000000001</v>
      </c>
      <c r="M102">
        <f>195.238</f>
        <v>195.238</v>
      </c>
      <c r="N102">
        <f>184.419</f>
        <v>184.41900000000001</v>
      </c>
      <c r="O102">
        <f>204.525</f>
        <v>204.52500000000001</v>
      </c>
      <c r="P102">
        <f>204.811</f>
        <v>204.81100000000001</v>
      </c>
      <c r="Q102">
        <f>231.005</f>
        <v>231.005</v>
      </c>
    </row>
    <row r="103" spans="1:17" x14ac:dyDescent="0.25">
      <c r="L103" t="str">
        <f>""</f>
        <v/>
      </c>
      <c r="M103" t="str">
        <f>""</f>
        <v/>
      </c>
      <c r="N103" t="str">
        <f>""</f>
        <v/>
      </c>
      <c r="O103" t="str">
        <f>""</f>
        <v/>
      </c>
      <c r="P103" t="str">
        <f>""</f>
        <v/>
      </c>
      <c r="Q103" t="str">
        <f>""</f>
        <v/>
      </c>
    </row>
    <row r="104" spans="1:17" x14ac:dyDescent="0.25">
      <c r="L104" t="str">
        <f>""</f>
        <v/>
      </c>
      <c r="M104" t="str">
        <f>""</f>
        <v/>
      </c>
      <c r="N104" t="str">
        <f>""</f>
        <v/>
      </c>
      <c r="O104" t="str">
        <f>""</f>
        <v/>
      </c>
      <c r="P104" t="str">
        <f>""</f>
        <v/>
      </c>
      <c r="Q104" t="str">
        <f>""</f>
        <v/>
      </c>
    </row>
    <row r="105" spans="1:17" x14ac:dyDescent="0.25">
      <c r="L105" t="str">
        <f>""</f>
        <v/>
      </c>
      <c r="M105" t="str">
        <f>""</f>
        <v/>
      </c>
      <c r="N105" t="str">
        <f>""</f>
        <v/>
      </c>
      <c r="O105" t="str">
        <f>""</f>
        <v/>
      </c>
      <c r="P105" t="str">
        <f>""</f>
        <v/>
      </c>
      <c r="Q105" t="str">
        <f>""</f>
        <v/>
      </c>
    </row>
    <row r="106" spans="1:17" x14ac:dyDescent="0.25">
      <c r="L106" t="str">
        <f>""</f>
        <v/>
      </c>
      <c r="M106" t="str">
        <f>""</f>
        <v/>
      </c>
      <c r="N106" t="str">
        <f>""</f>
        <v/>
      </c>
      <c r="O106" t="str">
        <f>""</f>
        <v/>
      </c>
      <c r="P106" t="str">
        <f>""</f>
        <v/>
      </c>
      <c r="Q106" t="str">
        <f>""</f>
        <v/>
      </c>
    </row>
    <row r="107" spans="1:17" x14ac:dyDescent="0.25">
      <c r="L107" t="str">
        <f>""</f>
        <v/>
      </c>
      <c r="M107" t="str">
        <f>""</f>
        <v/>
      </c>
      <c r="N107" t="str">
        <f>""</f>
        <v/>
      </c>
      <c r="O107" t="str">
        <f>""</f>
        <v/>
      </c>
      <c r="P107" t="str">
        <f>""</f>
        <v/>
      </c>
      <c r="Q107" t="str">
        <f>""</f>
        <v/>
      </c>
    </row>
    <row r="108" spans="1:17" x14ac:dyDescent="0.25">
      <c r="L108" t="str">
        <f>""</f>
        <v/>
      </c>
      <c r="M108" t="str">
        <f>""</f>
        <v/>
      </c>
      <c r="N108" t="str">
        <f>""</f>
        <v/>
      </c>
      <c r="O108" t="str">
        <f>""</f>
        <v/>
      </c>
      <c r="P108" t="str">
        <f>""</f>
        <v/>
      </c>
      <c r="Q108" t="str">
        <f>""</f>
        <v/>
      </c>
    </row>
    <row r="109" spans="1:17" x14ac:dyDescent="0.25">
      <c r="L109" t="str">
        <f>""</f>
        <v/>
      </c>
      <c r="M109" t="str">
        <f>""</f>
        <v/>
      </c>
      <c r="N109" t="str">
        <f>""</f>
        <v/>
      </c>
      <c r="O109" t="str">
        <f>""</f>
        <v/>
      </c>
      <c r="P109" t="str">
        <f>""</f>
        <v/>
      </c>
      <c r="Q109" t="str">
        <f>""</f>
        <v/>
      </c>
    </row>
    <row r="110" spans="1:17" x14ac:dyDescent="0.25">
      <c r="A110" t="str">
        <f t="shared" ref="A110:K110" si="17">"~~~~~~~~~~"</f>
        <v>~~~~~~~~~~</v>
      </c>
      <c r="B110" t="str">
        <f t="shared" si="17"/>
        <v>~~~~~~~~~~</v>
      </c>
      <c r="C110" t="str">
        <f t="shared" si="17"/>
        <v>~~~~~~~~~~</v>
      </c>
      <c r="D110" t="str">
        <f t="shared" si="17"/>
        <v>~~~~~~~~~~</v>
      </c>
      <c r="E110" t="str">
        <f t="shared" si="17"/>
        <v>~~~~~~~~~~</v>
      </c>
      <c r="F110" t="str">
        <f t="shared" si="17"/>
        <v>~~~~~~~~~~</v>
      </c>
      <c r="G110" t="str">
        <f t="shared" si="17"/>
        <v>~~~~~~~~~~</v>
      </c>
      <c r="H110" t="str">
        <f t="shared" si="17"/>
        <v>~~~~~~~~~~</v>
      </c>
      <c r="I110" t="str">
        <f t="shared" si="17"/>
        <v>~~~~~~~~~~</v>
      </c>
      <c r="J110" t="str">
        <f t="shared" si="17"/>
        <v>~~~~~~~~~~</v>
      </c>
      <c r="K110" t="str">
        <f t="shared" si="17"/>
        <v>~~~~~~~~~~</v>
      </c>
      <c r="L110" t="str">
        <f>""</f>
        <v/>
      </c>
      <c r="M110" t="str">
        <f>""</f>
        <v/>
      </c>
      <c r="N110" t="str">
        <f>""</f>
        <v/>
      </c>
      <c r="O110" t="str">
        <f>""</f>
        <v/>
      </c>
      <c r="P110" t="str">
        <f>""</f>
        <v/>
      </c>
      <c r="Q110" t="str">
        <f>""</f>
        <v/>
      </c>
    </row>
    <row r="111" spans="1:17" x14ac:dyDescent="0.25">
      <c r="A111" t="str">
        <f>"All rows below have been added for reference by formula rows above."</f>
        <v>All rows below have been added for reference by formula rows above.</v>
      </c>
      <c r="L111" t="str">
        <f>""</f>
        <v/>
      </c>
      <c r="M111" t="str">
        <f>""</f>
        <v/>
      </c>
      <c r="N111" t="str">
        <f>""</f>
        <v/>
      </c>
      <c r="O111" t="str">
        <f>""</f>
        <v/>
      </c>
      <c r="P111" t="str">
        <f>""</f>
        <v/>
      </c>
      <c r="Q111" t="str">
        <f>""</f>
        <v/>
      </c>
    </row>
    <row r="112" spans="1:17" x14ac:dyDescent="0.25">
      <c r="A112">
        <f>RTD("bloomberg.ccyreader", "", "#track", "DBG", "BIHITX", "1.0","RepeatHit")</f>
        <v>0</v>
      </c>
      <c r="L112" t="str">
        <f>""</f>
        <v/>
      </c>
      <c r="M112" t="str">
        <f>""</f>
        <v/>
      </c>
      <c r="N112" t="str">
        <f>""</f>
        <v/>
      </c>
      <c r="O112" t="str">
        <f>""</f>
        <v/>
      </c>
      <c r="P112" t="str">
        <f>""</f>
        <v/>
      </c>
      <c r="Q112" t="str">
        <f>""</f>
        <v/>
      </c>
    </row>
    <row r="113" spans="1:17" x14ac:dyDescent="0.25">
      <c r="A113" t="str">
        <f>"Currency"</f>
        <v>Currency</v>
      </c>
      <c r="B113" t="str">
        <f>"USD"</f>
        <v>USD</v>
      </c>
      <c r="L113" t="str">
        <f>""</f>
        <v/>
      </c>
      <c r="M113" t="str">
        <f>""</f>
        <v/>
      </c>
      <c r="N113" t="str">
        <f>""</f>
        <v/>
      </c>
      <c r="O113" t="str">
        <f>""</f>
        <v/>
      </c>
      <c r="P113" t="str">
        <f>""</f>
        <v/>
      </c>
      <c r="Q113" t="str">
        <f>""</f>
        <v/>
      </c>
    </row>
    <row r="114" spans="1:17" x14ac:dyDescent="0.25">
      <c r="A114" t="str">
        <f>"Periodicity"</f>
        <v>Periodicity</v>
      </c>
      <c r="B114" t="str">
        <f>"CY"</f>
        <v>CY</v>
      </c>
      <c r="C114" t="str">
        <f>"AY"</f>
        <v>AY</v>
      </c>
      <c r="L114" t="str">
        <f>""</f>
        <v/>
      </c>
      <c r="M114" t="str">
        <f>""</f>
        <v/>
      </c>
      <c r="N114" t="str">
        <f>""</f>
        <v/>
      </c>
      <c r="O114" t="str">
        <f>""</f>
        <v/>
      </c>
      <c r="P114" t="str">
        <f>""</f>
        <v/>
      </c>
      <c r="Q114" t="str">
        <f>""</f>
        <v/>
      </c>
    </row>
    <row r="115" spans="1:17" x14ac:dyDescent="0.25">
      <c r="A115" t="str">
        <f>"Number of Periods"</f>
        <v>Number of Periods</v>
      </c>
      <c r="B115">
        <f>6</f>
        <v>6</v>
      </c>
      <c r="L115" t="str">
        <f>""</f>
        <v/>
      </c>
      <c r="M115" t="str">
        <f>""</f>
        <v/>
      </c>
      <c r="N115" t="str">
        <f>""</f>
        <v/>
      </c>
      <c r="O115" t="str">
        <f>""</f>
        <v/>
      </c>
      <c r="P115" t="str">
        <f>""</f>
        <v/>
      </c>
      <c r="Q115" t="str">
        <f>""</f>
        <v/>
      </c>
    </row>
    <row r="116" spans="1:17" x14ac:dyDescent="0.25">
      <c r="A116" t="str">
        <f>"Start Date"</f>
        <v>Start Date</v>
      </c>
      <c r="B116" t="str">
        <f>CONCATENATE("-",$B$115,$B$114)</f>
        <v>-6CY</v>
      </c>
      <c r="C116" t="str">
        <f>CONCATENATE("-",$B$115,$C$114)</f>
        <v>-6AY</v>
      </c>
      <c r="L116" t="str">
        <f>""</f>
        <v/>
      </c>
      <c r="M116" t="str">
        <f>""</f>
        <v/>
      </c>
      <c r="N116" t="str">
        <f>""</f>
        <v/>
      </c>
      <c r="O116" t="str">
        <f>""</f>
        <v/>
      </c>
      <c r="P116" t="str">
        <f>""</f>
        <v/>
      </c>
      <c r="Q116" t="str">
        <f>""</f>
        <v/>
      </c>
    </row>
    <row r="117" spans="1:17" x14ac:dyDescent="0.25">
      <c r="A117" t="str">
        <f>"End Date"</f>
        <v>End Date</v>
      </c>
      <c r="B117">
        <f ca="1">TODAY()</f>
        <v>43998</v>
      </c>
      <c r="L117" t="str">
        <f>""</f>
        <v/>
      </c>
      <c r="M117" t="str">
        <f>""</f>
        <v/>
      </c>
      <c r="N117" t="str">
        <f>""</f>
        <v/>
      </c>
      <c r="O117" t="str">
        <f>""</f>
        <v/>
      </c>
      <c r="P117" t="str">
        <f>""</f>
        <v/>
      </c>
      <c r="Q117" t="str">
        <f>""</f>
        <v/>
      </c>
    </row>
    <row r="118" spans="1:17" x14ac:dyDescent="0.25">
      <c r="A118" t="str">
        <f>"HeaderStatus"</f>
        <v>HeaderStatus</v>
      </c>
      <c r="B118">
        <f>$B$120*$B$120</f>
        <v>4</v>
      </c>
      <c r="L118" t="str">
        <f>""</f>
        <v/>
      </c>
      <c r="M118" t="str">
        <f>""</f>
        <v/>
      </c>
      <c r="N118" t="str">
        <f>""</f>
        <v/>
      </c>
      <c r="O118" t="str">
        <f>""</f>
        <v/>
      </c>
      <c r="P118" t="str">
        <f>""</f>
        <v/>
      </c>
      <c r="Q118" t="str">
        <f>""</f>
        <v/>
      </c>
    </row>
    <row r="119" spans="1:17" x14ac:dyDescent="0.25">
      <c r="L119" t="str">
        <f>""</f>
        <v/>
      </c>
      <c r="M119" t="str">
        <f>""</f>
        <v/>
      </c>
      <c r="N119" t="str">
        <f>""</f>
        <v/>
      </c>
      <c r="O119" t="str">
        <f>""</f>
        <v/>
      </c>
      <c r="P119" t="str">
        <f>""</f>
        <v/>
      </c>
      <c r="Q119" t="str">
        <f>""</f>
        <v/>
      </c>
    </row>
    <row r="120" spans="1:17" x14ac:dyDescent="0.25">
      <c r="A120" t="str">
        <f>"Snapshot header"</f>
        <v>Snapshot header</v>
      </c>
      <c r="B120">
        <f>2</f>
        <v>2</v>
      </c>
      <c r="C120" t="str">
        <f>"2019"</f>
        <v>2019</v>
      </c>
      <c r="D120" t="str">
        <f>"2018"</f>
        <v>2018</v>
      </c>
      <c r="E120" t="str">
        <f>"2017"</f>
        <v>2017</v>
      </c>
      <c r="F120" t="str">
        <f>"2016"</f>
        <v>2016</v>
      </c>
      <c r="G120" t="str">
        <f>"2015"</f>
        <v>2015</v>
      </c>
      <c r="H120" t="str">
        <f>"2014"</f>
        <v>2014</v>
      </c>
      <c r="L120" t="str">
        <f>""</f>
        <v/>
      </c>
      <c r="M120" t="str">
        <f>""</f>
        <v/>
      </c>
      <c r="N120" t="str">
        <f>""</f>
        <v/>
      </c>
      <c r="O120" t="str">
        <f>""</f>
        <v/>
      </c>
      <c r="P120" t="str">
        <f>""</f>
        <v/>
      </c>
      <c r="Q120" t="str">
        <f>""</f>
        <v/>
      </c>
    </row>
    <row r="121" spans="1:17" x14ac:dyDescent="0.25">
      <c r="A121" t="str">
        <f>"No error found"</f>
        <v>No error found</v>
      </c>
      <c r="B121" t="str">
        <f>""</f>
        <v/>
      </c>
      <c r="C121" t="str">
        <f>""</f>
        <v/>
      </c>
      <c r="D121" t="str">
        <f>""</f>
        <v/>
      </c>
      <c r="E121" t="str">
        <f>""</f>
        <v/>
      </c>
      <c r="L121" t="str">
        <f>""</f>
        <v/>
      </c>
      <c r="M121" t="str">
        <f>""</f>
        <v/>
      </c>
      <c r="N121" t="str">
        <f>""</f>
        <v/>
      </c>
      <c r="O121" t="str">
        <f>""</f>
        <v/>
      </c>
      <c r="P121" t="str">
        <f>""</f>
        <v/>
      </c>
      <c r="Q121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293C-D349-40F2-8A78-B6E4AD6946DD}">
  <dimension ref="A2:Q121"/>
  <sheetViews>
    <sheetView workbookViewId="0">
      <selection sqref="A1:XFD1048576"/>
    </sheetView>
  </sheetViews>
  <sheetFormatPr defaultRowHeight="15" x14ac:dyDescent="0.25"/>
  <sheetData>
    <row r="2" spans="1:1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38</v>
      </c>
      <c r="G2" t="s">
        <v>37</v>
      </c>
      <c r="H2" t="s">
        <v>36</v>
      </c>
      <c r="I2" t="s">
        <v>35</v>
      </c>
      <c r="J2" t="s">
        <v>34</v>
      </c>
      <c r="K2" t="s">
        <v>33</v>
      </c>
      <c r="L2" t="s">
        <v>38</v>
      </c>
      <c r="M2" t="s">
        <v>37</v>
      </c>
      <c r="N2" t="s">
        <v>36</v>
      </c>
      <c r="O2" t="s">
        <v>35</v>
      </c>
      <c r="P2" t="s">
        <v>34</v>
      </c>
      <c r="Q2" t="s">
        <v>33</v>
      </c>
    </row>
    <row r="3" spans="1:17" x14ac:dyDescent="0.25">
      <c r="A3" t="s">
        <v>39</v>
      </c>
      <c r="B3" t="s">
        <v>40</v>
      </c>
      <c r="E3" t="s">
        <v>41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</row>
    <row r="4" spans="1:17" x14ac:dyDescent="0.25">
      <c r="A4" t="s">
        <v>42</v>
      </c>
      <c r="B4" t="s">
        <v>40</v>
      </c>
      <c r="E4" t="s">
        <v>41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</row>
    <row r="5" spans="1:17" x14ac:dyDescent="0.25">
      <c r="A5" t="s">
        <v>40</v>
      </c>
      <c r="B5" t="s">
        <v>40</v>
      </c>
      <c r="E5" t="s">
        <v>43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</row>
    <row r="6" spans="1:17" x14ac:dyDescent="0.25">
      <c r="A6" t="s">
        <v>44</v>
      </c>
      <c r="B6" t="s">
        <v>40</v>
      </c>
      <c r="E6" t="s">
        <v>43</v>
      </c>
      <c r="F6" t="s">
        <v>40</v>
      </c>
      <c r="G6" t="s">
        <v>40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</row>
    <row r="7" spans="1:17" x14ac:dyDescent="0.25">
      <c r="A7" t="s">
        <v>45</v>
      </c>
      <c r="B7" t="s">
        <v>40</v>
      </c>
      <c r="E7" t="s">
        <v>46</v>
      </c>
      <c r="F7">
        <v>116.62899999999999</v>
      </c>
      <c r="G7">
        <v>113.90599999999999</v>
      </c>
      <c r="H7">
        <v>107.139</v>
      </c>
      <c r="I7">
        <v>99.664000000000001</v>
      </c>
      <c r="J7">
        <v>96.576999999999998</v>
      </c>
      <c r="K7">
        <v>98.361000000000004</v>
      </c>
      <c r="L7">
        <v>116.629</v>
      </c>
      <c r="M7">
        <v>113.90600000000001</v>
      </c>
      <c r="N7">
        <v>107.139</v>
      </c>
      <c r="O7">
        <v>99.664000000000001</v>
      </c>
      <c r="P7">
        <v>96.576999999999998</v>
      </c>
      <c r="Q7">
        <v>98.361000000000004</v>
      </c>
    </row>
    <row r="8" spans="1:17" x14ac:dyDescent="0.25">
      <c r="A8" t="s">
        <v>47</v>
      </c>
      <c r="B8" t="s">
        <v>40</v>
      </c>
      <c r="E8" t="s">
        <v>43</v>
      </c>
      <c r="F8">
        <v>6.2089999999999996</v>
      </c>
      <c r="G8">
        <v>6.32</v>
      </c>
      <c r="H8">
        <v>6.2080000000000002</v>
      </c>
      <c r="I8">
        <v>6.0510000000000002</v>
      </c>
      <c r="J8">
        <v>6.1660000000000004</v>
      </c>
      <c r="K8">
        <v>6.9909999999999997</v>
      </c>
      <c r="L8">
        <v>6.2089999999999996</v>
      </c>
      <c r="M8">
        <v>6.32</v>
      </c>
      <c r="N8">
        <v>6.2080000000000002</v>
      </c>
      <c r="O8">
        <v>6.0510000000000002</v>
      </c>
      <c r="P8">
        <v>6.1660000000000004</v>
      </c>
      <c r="Q8">
        <v>6.9909999999999997</v>
      </c>
    </row>
    <row r="9" spans="1:17" x14ac:dyDescent="0.25">
      <c r="A9" t="s">
        <v>48</v>
      </c>
      <c r="B9" t="s">
        <v>40</v>
      </c>
      <c r="E9" t="s">
        <v>43</v>
      </c>
      <c r="F9">
        <v>3.375</v>
      </c>
      <c r="G9">
        <v>3.2839999999999998</v>
      </c>
      <c r="H9">
        <v>3.0819999999999999</v>
      </c>
      <c r="I9">
        <v>2.9159999999999999</v>
      </c>
      <c r="J9">
        <v>2.597</v>
      </c>
      <c r="K9">
        <v>2.7490000000000001</v>
      </c>
      <c r="L9">
        <v>3.375</v>
      </c>
      <c r="M9">
        <v>3.2839999999999998</v>
      </c>
      <c r="N9">
        <v>3.0819999999999999</v>
      </c>
      <c r="O9">
        <v>2.9159999999999999</v>
      </c>
      <c r="P9">
        <v>2.597</v>
      </c>
      <c r="Q9">
        <v>2.7490000000000001</v>
      </c>
    </row>
    <row r="10" spans="1:17" x14ac:dyDescent="0.25">
      <c r="A10" t="s">
        <v>49</v>
      </c>
      <c r="B10" t="s">
        <v>40</v>
      </c>
      <c r="E10" t="s">
        <v>43</v>
      </c>
      <c r="F10">
        <v>3.2330000000000001</v>
      </c>
      <c r="G10">
        <v>3.226</v>
      </c>
      <c r="H10">
        <v>2.879</v>
      </c>
      <c r="I10">
        <v>2.5089999999999999</v>
      </c>
      <c r="J10">
        <v>2.6139999999999999</v>
      </c>
      <c r="K10">
        <v>2.7669999999999999</v>
      </c>
      <c r="L10">
        <v>3.2330000000000001</v>
      </c>
      <c r="M10">
        <v>3.226</v>
      </c>
      <c r="N10">
        <v>2.879</v>
      </c>
      <c r="O10">
        <v>2.5089999999999999</v>
      </c>
      <c r="P10">
        <v>2.6139999999999999</v>
      </c>
      <c r="Q10">
        <v>2.7669999999999999</v>
      </c>
    </row>
    <row r="11" spans="1:17" x14ac:dyDescent="0.25">
      <c r="A11" t="s">
        <v>50</v>
      </c>
      <c r="B11" t="s">
        <v>40</v>
      </c>
      <c r="E11" t="s">
        <v>43</v>
      </c>
      <c r="F11">
        <v>2.605</v>
      </c>
      <c r="G11">
        <v>2.8780000000000001</v>
      </c>
      <c r="H11">
        <v>2.5070000000000001</v>
      </c>
      <c r="I11">
        <v>1.2689999999999999</v>
      </c>
      <c r="J11">
        <v>3.738</v>
      </c>
      <c r="K11">
        <v>4.1050000000000004</v>
      </c>
      <c r="L11">
        <v>2.605</v>
      </c>
      <c r="M11">
        <v>2.8780000000000001</v>
      </c>
      <c r="N11">
        <v>2.5070000000000001</v>
      </c>
      <c r="O11">
        <v>1.2689999999999999</v>
      </c>
      <c r="P11">
        <v>3.738</v>
      </c>
      <c r="Q11">
        <v>4.1050000000000004</v>
      </c>
    </row>
    <row r="12" spans="1:17" x14ac:dyDescent="0.25">
      <c r="A12" t="s">
        <v>51</v>
      </c>
      <c r="B12" t="s">
        <v>40</v>
      </c>
      <c r="E12" t="s">
        <v>43</v>
      </c>
      <c r="F12">
        <v>2.427</v>
      </c>
      <c r="G12">
        <v>2.2589999999999999</v>
      </c>
      <c r="H12">
        <v>2.044</v>
      </c>
      <c r="I12">
        <v>1.863</v>
      </c>
      <c r="J12">
        <v>1.704</v>
      </c>
      <c r="K12">
        <v>1.71</v>
      </c>
      <c r="L12">
        <v>2.427</v>
      </c>
      <c r="M12">
        <v>2.2589999999999999</v>
      </c>
      <c r="N12">
        <v>2.044</v>
      </c>
      <c r="O12">
        <v>1.863</v>
      </c>
      <c r="P12">
        <v>1.704</v>
      </c>
      <c r="Q12">
        <v>1.71</v>
      </c>
    </row>
    <row r="13" spans="1:17" x14ac:dyDescent="0.25">
      <c r="A13" t="s">
        <v>52</v>
      </c>
      <c r="B13" t="s">
        <v>40</v>
      </c>
      <c r="E13" t="s">
        <v>43</v>
      </c>
      <c r="F13">
        <v>2.0459999999999998</v>
      </c>
      <c r="G13">
        <v>1.988</v>
      </c>
      <c r="H13">
        <v>1.8979999999999999</v>
      </c>
      <c r="I13" t="s">
        <v>40</v>
      </c>
      <c r="J13" t="s">
        <v>40</v>
      </c>
      <c r="K13" t="s">
        <v>40</v>
      </c>
      <c r="L13">
        <v>2.0459999999999998</v>
      </c>
      <c r="M13">
        <v>1.988</v>
      </c>
      <c r="N13">
        <v>1.8979999999999999</v>
      </c>
      <c r="O13" t="s">
        <v>40</v>
      </c>
      <c r="P13" t="s">
        <v>40</v>
      </c>
      <c r="Q13" t="s">
        <v>40</v>
      </c>
    </row>
    <row r="14" spans="1:17" x14ac:dyDescent="0.25">
      <c r="A14" t="s">
        <v>53</v>
      </c>
      <c r="B14" t="s">
        <v>40</v>
      </c>
      <c r="E14" t="s">
        <v>43</v>
      </c>
      <c r="F14">
        <v>1.744</v>
      </c>
      <c r="G14">
        <v>1.5840000000000001</v>
      </c>
      <c r="H14">
        <v>1.3819999999999999</v>
      </c>
      <c r="I14" t="s">
        <v>40</v>
      </c>
      <c r="J14" t="s">
        <v>40</v>
      </c>
      <c r="K14" t="s">
        <v>40</v>
      </c>
      <c r="L14">
        <v>1.744</v>
      </c>
      <c r="M14">
        <v>1.5840000000000001</v>
      </c>
      <c r="N14">
        <v>1.3819999999999999</v>
      </c>
      <c r="O14" t="s">
        <v>40</v>
      </c>
      <c r="P14" t="s">
        <v>40</v>
      </c>
      <c r="Q14" t="s">
        <v>40</v>
      </c>
    </row>
    <row r="15" spans="1:17" x14ac:dyDescent="0.25">
      <c r="A15" t="s">
        <v>54</v>
      </c>
      <c r="B15" t="s">
        <v>40</v>
      </c>
      <c r="E15" t="s">
        <v>43</v>
      </c>
      <c r="F15">
        <v>1.641</v>
      </c>
      <c r="G15">
        <v>1.655</v>
      </c>
      <c r="H15">
        <v>1.5580000000000001</v>
      </c>
      <c r="I15" t="s">
        <v>40</v>
      </c>
      <c r="J15" t="s">
        <v>40</v>
      </c>
      <c r="K15" t="s">
        <v>40</v>
      </c>
      <c r="L15">
        <v>1.641</v>
      </c>
      <c r="M15">
        <v>1.655</v>
      </c>
      <c r="N15">
        <v>1.5580000000000001</v>
      </c>
      <c r="O15" t="s">
        <v>40</v>
      </c>
      <c r="P15" t="s">
        <v>40</v>
      </c>
      <c r="Q15" t="s">
        <v>40</v>
      </c>
    </row>
    <row r="16" spans="1:17" x14ac:dyDescent="0.25">
      <c r="A16" t="s">
        <v>55</v>
      </c>
      <c r="B16" t="s">
        <v>40</v>
      </c>
      <c r="E16" t="s">
        <v>43</v>
      </c>
      <c r="F16">
        <v>1.4079999999999999</v>
      </c>
      <c r="G16">
        <v>1.345</v>
      </c>
      <c r="H16">
        <v>1.236</v>
      </c>
      <c r="I16" t="s">
        <v>40</v>
      </c>
      <c r="J16" t="s">
        <v>40</v>
      </c>
      <c r="K16" t="s">
        <v>40</v>
      </c>
      <c r="L16">
        <v>1.4079999999999999</v>
      </c>
      <c r="M16">
        <v>1.345</v>
      </c>
      <c r="N16">
        <v>1.236</v>
      </c>
      <c r="O16" t="s">
        <v>40</v>
      </c>
      <c r="P16" t="s">
        <v>40</v>
      </c>
      <c r="Q16" t="s">
        <v>40</v>
      </c>
    </row>
    <row r="17" spans="1:17" x14ac:dyDescent="0.25">
      <c r="A17" t="s">
        <v>56</v>
      </c>
      <c r="B17" t="s">
        <v>40</v>
      </c>
      <c r="E17" t="s">
        <v>43</v>
      </c>
      <c r="F17">
        <v>1.3049999999999999</v>
      </c>
      <c r="G17">
        <v>1.2789999999999999</v>
      </c>
      <c r="H17">
        <v>1.2350000000000001</v>
      </c>
      <c r="I17" t="s">
        <v>40</v>
      </c>
      <c r="J17" t="s">
        <v>40</v>
      </c>
      <c r="K17" t="s">
        <v>40</v>
      </c>
      <c r="L17">
        <v>1.3049999999999999</v>
      </c>
      <c r="M17">
        <v>1.2789999999999999</v>
      </c>
      <c r="N17">
        <v>1.2350000000000001</v>
      </c>
      <c r="O17" t="s">
        <v>40</v>
      </c>
      <c r="P17" t="s">
        <v>40</v>
      </c>
      <c r="Q17" t="s">
        <v>40</v>
      </c>
    </row>
    <row r="18" spans="1:17" x14ac:dyDescent="0.25">
      <c r="A18" t="s">
        <v>57</v>
      </c>
      <c r="B18" t="s">
        <v>40</v>
      </c>
      <c r="E18" t="s">
        <v>43</v>
      </c>
      <c r="F18">
        <v>90.635999999999996</v>
      </c>
      <c r="G18">
        <v>88.087999999999994</v>
      </c>
      <c r="H18">
        <v>83.11</v>
      </c>
      <c r="I18">
        <v>85.055999999999997</v>
      </c>
      <c r="J18">
        <v>79.757999999999996</v>
      </c>
      <c r="K18">
        <v>80.039000000000001</v>
      </c>
      <c r="L18">
        <v>90.635999999999996</v>
      </c>
      <c r="M18">
        <v>88.087999999999994</v>
      </c>
      <c r="N18">
        <v>83.11</v>
      </c>
      <c r="O18">
        <v>85.055999999999997</v>
      </c>
      <c r="P18">
        <v>79.757999999999996</v>
      </c>
      <c r="Q18">
        <v>80.039000000000001</v>
      </c>
    </row>
    <row r="19" spans="1:17" x14ac:dyDescent="0.25">
      <c r="A19" t="s">
        <v>58</v>
      </c>
      <c r="B19" t="s">
        <v>40</v>
      </c>
      <c r="E19" t="s">
        <v>46</v>
      </c>
      <c r="F19">
        <v>26.356999999999999</v>
      </c>
      <c r="G19">
        <v>26.427999999999997</v>
      </c>
      <c r="H19">
        <v>25.913999999999998</v>
      </c>
      <c r="I19">
        <v>24.977</v>
      </c>
      <c r="J19">
        <v>24.465</v>
      </c>
      <c r="K19">
        <v>28.043999999999997</v>
      </c>
      <c r="L19">
        <v>26.356999999999999</v>
      </c>
      <c r="M19">
        <v>26.428000000000001</v>
      </c>
      <c r="N19">
        <v>25.914000000000001</v>
      </c>
      <c r="O19">
        <v>24.977</v>
      </c>
      <c r="P19">
        <v>24.465</v>
      </c>
      <c r="Q19">
        <v>28.044</v>
      </c>
    </row>
    <row r="20" spans="1:17" x14ac:dyDescent="0.25">
      <c r="A20" t="s">
        <v>47</v>
      </c>
      <c r="B20" t="s">
        <v>40</v>
      </c>
      <c r="E20" t="s">
        <v>43</v>
      </c>
      <c r="F20">
        <v>2.5499999999999998</v>
      </c>
      <c r="G20">
        <v>2.3860000000000001</v>
      </c>
      <c r="H20">
        <v>2.3109999999999999</v>
      </c>
      <c r="I20">
        <v>2.2200000000000002</v>
      </c>
      <c r="J20">
        <v>2.3199999999999998</v>
      </c>
      <c r="K20">
        <v>3.0019999999999998</v>
      </c>
      <c r="L20">
        <v>2.5499999999999998</v>
      </c>
      <c r="M20">
        <v>2.3860000000000001</v>
      </c>
      <c r="N20">
        <v>2.3109999999999999</v>
      </c>
      <c r="O20">
        <v>2.2200000000000002</v>
      </c>
      <c r="P20">
        <v>2.3199999999999998</v>
      </c>
      <c r="Q20">
        <v>3.0019999999999998</v>
      </c>
    </row>
    <row r="21" spans="1:17" x14ac:dyDescent="0.25">
      <c r="A21" t="s">
        <v>59</v>
      </c>
      <c r="B21" t="s">
        <v>40</v>
      </c>
      <c r="E21" t="s">
        <v>43</v>
      </c>
      <c r="F21">
        <v>1.3440000000000001</v>
      </c>
      <c r="G21">
        <v>1.36</v>
      </c>
      <c r="H21">
        <v>1.3069999999999999</v>
      </c>
      <c r="I21">
        <v>1.1160000000000001</v>
      </c>
      <c r="J21">
        <v>1.163</v>
      </c>
      <c r="K21">
        <v>1.38</v>
      </c>
      <c r="L21">
        <v>1.3440000000000001</v>
      </c>
      <c r="M21">
        <v>1.36</v>
      </c>
      <c r="N21">
        <v>1.3069999999999999</v>
      </c>
      <c r="O21">
        <v>1.1160000000000001</v>
      </c>
      <c r="P21">
        <v>1.163</v>
      </c>
      <c r="Q21">
        <v>1.38</v>
      </c>
    </row>
    <row r="22" spans="1:17" x14ac:dyDescent="0.25">
      <c r="A22" t="s">
        <v>51</v>
      </c>
      <c r="B22" t="s">
        <v>40</v>
      </c>
      <c r="E22" t="s">
        <v>43</v>
      </c>
      <c r="F22">
        <v>1.2789999999999999</v>
      </c>
      <c r="G22">
        <v>1.232</v>
      </c>
      <c r="H22">
        <v>1.1279999999999999</v>
      </c>
      <c r="I22">
        <v>1.0329999999999999</v>
      </c>
      <c r="J22">
        <v>0.96399999999999997</v>
      </c>
      <c r="K22">
        <v>0.98899999999999999</v>
      </c>
      <c r="L22">
        <v>1.2789999999999999</v>
      </c>
      <c r="M22">
        <v>1.232</v>
      </c>
      <c r="N22">
        <v>1.1279999999999999</v>
      </c>
      <c r="O22">
        <v>1.0329999999999999</v>
      </c>
      <c r="P22">
        <v>0.96399999999999997</v>
      </c>
      <c r="Q22">
        <v>0.98899999999999999</v>
      </c>
    </row>
    <row r="23" spans="1:17" x14ac:dyDescent="0.25">
      <c r="A23" t="s">
        <v>60</v>
      </c>
      <c r="B23" t="s">
        <v>40</v>
      </c>
      <c r="E23" t="s">
        <v>43</v>
      </c>
      <c r="F23">
        <v>1.0009999999999999</v>
      </c>
      <c r="G23">
        <v>0.98699999999999999</v>
      </c>
      <c r="H23">
        <v>0.99199999999999999</v>
      </c>
      <c r="I23">
        <v>0.98099999999999998</v>
      </c>
      <c r="J23">
        <v>0.83799999999999997</v>
      </c>
      <c r="K23">
        <v>0.88800000000000001</v>
      </c>
      <c r="L23">
        <v>1.0009999999999999</v>
      </c>
      <c r="M23">
        <v>0.98699999999999999</v>
      </c>
      <c r="N23">
        <v>0.99199999999999999</v>
      </c>
      <c r="O23">
        <v>0.98099999999999998</v>
      </c>
      <c r="P23">
        <v>0.83799999999999997</v>
      </c>
      <c r="Q23">
        <v>0.88800000000000001</v>
      </c>
    </row>
    <row r="24" spans="1:17" x14ac:dyDescent="0.25">
      <c r="A24" t="s">
        <v>48</v>
      </c>
      <c r="B24" t="s">
        <v>40</v>
      </c>
      <c r="E24" t="s">
        <v>43</v>
      </c>
      <c r="F24">
        <v>0.878</v>
      </c>
      <c r="G24">
        <v>0.83399999999999996</v>
      </c>
      <c r="H24">
        <v>0.77100000000000002</v>
      </c>
      <c r="I24">
        <v>0.72899999999999998</v>
      </c>
      <c r="J24">
        <v>0.97799999999999998</v>
      </c>
      <c r="K24">
        <v>0.94599999999999995</v>
      </c>
      <c r="L24">
        <v>0.878</v>
      </c>
      <c r="M24">
        <v>0.83399999999999996</v>
      </c>
      <c r="N24">
        <v>0.77100000000000002</v>
      </c>
      <c r="O24">
        <v>0.72899999999999998</v>
      </c>
      <c r="P24">
        <v>0.97799999999999998</v>
      </c>
      <c r="Q24">
        <v>0.94599999999999995</v>
      </c>
    </row>
    <row r="25" spans="1:17" x14ac:dyDescent="0.25">
      <c r="A25" t="s">
        <v>52</v>
      </c>
      <c r="B25" t="s">
        <v>40</v>
      </c>
      <c r="E25" t="s">
        <v>43</v>
      </c>
      <c r="F25">
        <v>0.78800000000000003</v>
      </c>
      <c r="G25">
        <v>0.77600000000000002</v>
      </c>
      <c r="H25">
        <v>0.67200000000000004</v>
      </c>
      <c r="I25" t="s">
        <v>40</v>
      </c>
      <c r="J25" t="s">
        <v>40</v>
      </c>
      <c r="K25" t="s">
        <v>40</v>
      </c>
      <c r="L25">
        <v>0.78800000000000003</v>
      </c>
      <c r="M25">
        <v>0.77600000000000002</v>
      </c>
      <c r="N25">
        <v>0.67200000000000004</v>
      </c>
      <c r="O25" t="s">
        <v>40</v>
      </c>
      <c r="P25" t="s">
        <v>40</v>
      </c>
      <c r="Q25" t="s">
        <v>40</v>
      </c>
    </row>
    <row r="26" spans="1:17" x14ac:dyDescent="0.25">
      <c r="A26" t="s">
        <v>61</v>
      </c>
      <c r="B26" t="s">
        <v>40</v>
      </c>
      <c r="E26" t="s">
        <v>43</v>
      </c>
      <c r="F26">
        <v>0.73099999999999998</v>
      </c>
      <c r="G26">
        <v>0.71699999999999997</v>
      </c>
      <c r="H26">
        <v>0.68500000000000005</v>
      </c>
      <c r="I26" t="s">
        <v>40</v>
      </c>
      <c r="J26" t="s">
        <v>40</v>
      </c>
      <c r="K26" t="s">
        <v>40</v>
      </c>
      <c r="L26">
        <v>0.73099999999999998</v>
      </c>
      <c r="M26">
        <v>0.71699999999999997</v>
      </c>
      <c r="N26">
        <v>0.68500000000000005</v>
      </c>
      <c r="O26" t="s">
        <v>40</v>
      </c>
      <c r="P26" t="s">
        <v>40</v>
      </c>
      <c r="Q26" t="s">
        <v>40</v>
      </c>
    </row>
    <row r="27" spans="1:17" x14ac:dyDescent="0.25">
      <c r="A27" t="s">
        <v>53</v>
      </c>
      <c r="B27" t="s">
        <v>40</v>
      </c>
      <c r="E27" t="s">
        <v>43</v>
      </c>
      <c r="F27">
        <v>0.64</v>
      </c>
      <c r="G27">
        <v>0.61899999999999999</v>
      </c>
      <c r="H27">
        <v>0.60699999999999998</v>
      </c>
      <c r="I27" t="s">
        <v>40</v>
      </c>
      <c r="J27" t="s">
        <v>40</v>
      </c>
      <c r="K27" t="s">
        <v>40</v>
      </c>
      <c r="L27">
        <v>0.64</v>
      </c>
      <c r="M27">
        <v>0.61899999999999999</v>
      </c>
      <c r="N27">
        <v>0.60699999999999998</v>
      </c>
      <c r="O27" t="s">
        <v>40</v>
      </c>
      <c r="P27" t="s">
        <v>40</v>
      </c>
      <c r="Q27" t="s">
        <v>40</v>
      </c>
    </row>
    <row r="28" spans="1:17" x14ac:dyDescent="0.25">
      <c r="A28" t="s">
        <v>50</v>
      </c>
      <c r="B28" t="s">
        <v>40</v>
      </c>
      <c r="E28" t="s">
        <v>43</v>
      </c>
      <c r="F28">
        <v>0.54700000000000004</v>
      </c>
      <c r="G28">
        <v>0.59499999999999997</v>
      </c>
      <c r="H28">
        <v>0.50800000000000001</v>
      </c>
      <c r="I28" t="s">
        <v>40</v>
      </c>
      <c r="J28" t="s">
        <v>40</v>
      </c>
      <c r="K28" t="s">
        <v>40</v>
      </c>
      <c r="L28">
        <v>0.54700000000000004</v>
      </c>
      <c r="M28">
        <v>0.59499999999999997</v>
      </c>
      <c r="N28">
        <v>0.50800000000000001</v>
      </c>
      <c r="O28" t="s">
        <v>40</v>
      </c>
      <c r="P28" t="s">
        <v>40</v>
      </c>
      <c r="Q28" t="s">
        <v>40</v>
      </c>
    </row>
    <row r="29" spans="1:17" x14ac:dyDescent="0.25">
      <c r="A29" t="s">
        <v>62</v>
      </c>
      <c r="B29" t="s">
        <v>40</v>
      </c>
      <c r="E29" t="s">
        <v>43</v>
      </c>
      <c r="F29">
        <v>0.54600000000000004</v>
      </c>
      <c r="G29">
        <v>0.53300000000000003</v>
      </c>
      <c r="H29">
        <v>0.48599999999999999</v>
      </c>
      <c r="I29" t="s">
        <v>40</v>
      </c>
      <c r="J29" t="s">
        <v>40</v>
      </c>
      <c r="K29" t="s">
        <v>40</v>
      </c>
      <c r="L29">
        <v>0.54600000000000004</v>
      </c>
      <c r="M29">
        <v>0.53300000000000003</v>
      </c>
      <c r="N29">
        <v>0.48599999999999999</v>
      </c>
      <c r="O29" t="s">
        <v>40</v>
      </c>
      <c r="P29" t="s">
        <v>40</v>
      </c>
      <c r="Q29" t="s">
        <v>40</v>
      </c>
    </row>
    <row r="30" spans="1:17" x14ac:dyDescent="0.25">
      <c r="A30" t="s">
        <v>57</v>
      </c>
      <c r="B30" t="s">
        <v>40</v>
      </c>
      <c r="E30" t="s">
        <v>43</v>
      </c>
      <c r="F30">
        <v>16.053000000000001</v>
      </c>
      <c r="G30">
        <v>16.388999999999999</v>
      </c>
      <c r="H30">
        <v>16.446999999999999</v>
      </c>
      <c r="I30">
        <v>18.898</v>
      </c>
      <c r="J30">
        <v>18.202000000000002</v>
      </c>
      <c r="K30">
        <v>20.838999999999999</v>
      </c>
      <c r="L30">
        <v>16.053000000000001</v>
      </c>
      <c r="M30">
        <v>16.388999999999999</v>
      </c>
      <c r="N30">
        <v>16.446999999999999</v>
      </c>
      <c r="O30">
        <v>18.898</v>
      </c>
      <c r="P30">
        <v>18.202000000000002</v>
      </c>
      <c r="Q30">
        <v>20.838999999999999</v>
      </c>
    </row>
    <row r="31" spans="1:17" x14ac:dyDescent="0.25">
      <c r="A31" t="s">
        <v>63</v>
      </c>
      <c r="B31" t="s">
        <v>40</v>
      </c>
      <c r="E31" t="s">
        <v>46</v>
      </c>
      <c r="F31">
        <v>21.419</v>
      </c>
      <c r="G31">
        <v>20.482000000000003</v>
      </c>
      <c r="H31">
        <v>18.891999999999999</v>
      </c>
      <c r="I31">
        <v>16.425000000000001</v>
      </c>
      <c r="J31">
        <v>16.279</v>
      </c>
      <c r="K31">
        <v>20.405999999999999</v>
      </c>
      <c r="L31">
        <v>21.419</v>
      </c>
      <c r="M31">
        <v>20.481999999999999</v>
      </c>
      <c r="N31">
        <v>18.891999999999999</v>
      </c>
      <c r="O31">
        <v>16.425000000000001</v>
      </c>
      <c r="P31">
        <v>16.279</v>
      </c>
      <c r="Q31">
        <v>20.405999999999999</v>
      </c>
    </row>
    <row r="32" spans="1:17" x14ac:dyDescent="0.25">
      <c r="A32" t="s">
        <v>64</v>
      </c>
      <c r="B32" t="s">
        <v>40</v>
      </c>
      <c r="E32" t="s">
        <v>43</v>
      </c>
      <c r="F32">
        <v>0.65900000000000003</v>
      </c>
      <c r="G32">
        <v>0.65900000000000003</v>
      </c>
      <c r="H32">
        <v>0.59099999999999997</v>
      </c>
      <c r="I32">
        <v>0.39700000000000002</v>
      </c>
      <c r="J32">
        <v>0.39100000000000001</v>
      </c>
      <c r="K32">
        <v>0.63</v>
      </c>
      <c r="L32">
        <v>0.65900000000000003</v>
      </c>
      <c r="M32">
        <v>0.65900000000000003</v>
      </c>
      <c r="N32">
        <v>0.59099999999999997</v>
      </c>
      <c r="O32">
        <v>0.39700000000000002</v>
      </c>
      <c r="P32">
        <v>0.39100000000000001</v>
      </c>
      <c r="Q32">
        <v>0.63</v>
      </c>
    </row>
    <row r="33" spans="1:17" x14ac:dyDescent="0.25">
      <c r="A33" t="s">
        <v>65</v>
      </c>
      <c r="B33" t="s">
        <v>40</v>
      </c>
      <c r="E33" t="s">
        <v>43</v>
      </c>
      <c r="F33">
        <v>0.52800000000000002</v>
      </c>
      <c r="G33">
        <v>0.51300000000000001</v>
      </c>
      <c r="H33">
        <v>0.502</v>
      </c>
      <c r="I33">
        <v>0.50900000000000001</v>
      </c>
      <c r="J33">
        <v>0.498</v>
      </c>
      <c r="K33">
        <v>0.53200000000000003</v>
      </c>
      <c r="L33">
        <v>0.52800000000000002</v>
      </c>
      <c r="M33">
        <v>0.51300000000000001</v>
      </c>
      <c r="N33">
        <v>0.502</v>
      </c>
      <c r="O33">
        <v>0.50900000000000001</v>
      </c>
      <c r="P33">
        <v>0.498</v>
      </c>
      <c r="Q33">
        <v>0.53200000000000003</v>
      </c>
    </row>
    <row r="34" spans="1:17" x14ac:dyDescent="0.25">
      <c r="A34" t="s">
        <v>66</v>
      </c>
      <c r="B34" t="s">
        <v>40</v>
      </c>
      <c r="E34" t="s">
        <v>43</v>
      </c>
      <c r="F34">
        <v>0.48899999999999999</v>
      </c>
      <c r="G34">
        <v>0.47799999999999998</v>
      </c>
      <c r="H34">
        <v>0.44400000000000001</v>
      </c>
      <c r="I34">
        <v>0.4</v>
      </c>
      <c r="J34">
        <v>0.68700000000000006</v>
      </c>
      <c r="K34">
        <v>0.80900000000000005</v>
      </c>
      <c r="L34">
        <v>0.48899999999999999</v>
      </c>
      <c r="M34">
        <v>0.47799999999999998</v>
      </c>
      <c r="N34">
        <v>0.44400000000000001</v>
      </c>
      <c r="O34">
        <v>0.4</v>
      </c>
      <c r="P34">
        <v>0.68700000000000006</v>
      </c>
      <c r="Q34">
        <v>0.80900000000000005</v>
      </c>
    </row>
    <row r="35" spans="1:17" x14ac:dyDescent="0.25">
      <c r="A35" t="s">
        <v>47</v>
      </c>
      <c r="B35" t="s">
        <v>40</v>
      </c>
      <c r="E35" t="s">
        <v>43</v>
      </c>
      <c r="F35">
        <v>0.44900000000000001</v>
      </c>
      <c r="G35">
        <v>0.46</v>
      </c>
      <c r="H35">
        <v>0.495</v>
      </c>
      <c r="I35">
        <v>0.498</v>
      </c>
      <c r="J35">
        <v>0.54600000000000004</v>
      </c>
      <c r="K35">
        <v>0.65700000000000003</v>
      </c>
      <c r="L35">
        <v>0.44900000000000001</v>
      </c>
      <c r="M35">
        <v>0.46</v>
      </c>
      <c r="N35">
        <v>0.495</v>
      </c>
      <c r="O35">
        <v>0.498</v>
      </c>
      <c r="P35">
        <v>0.54600000000000004</v>
      </c>
      <c r="Q35">
        <v>0.65700000000000003</v>
      </c>
    </row>
    <row r="36" spans="1:17" x14ac:dyDescent="0.25">
      <c r="A36" t="s">
        <v>67</v>
      </c>
      <c r="B36" t="s">
        <v>40</v>
      </c>
      <c r="E36" t="s">
        <v>43</v>
      </c>
      <c r="F36">
        <v>0.40600000000000003</v>
      </c>
      <c r="G36">
        <v>0.35899999999999999</v>
      </c>
      <c r="H36">
        <v>0.30099999999999999</v>
      </c>
      <c r="I36" t="s">
        <v>40</v>
      </c>
      <c r="J36" t="s">
        <v>40</v>
      </c>
      <c r="K36" t="s">
        <v>40</v>
      </c>
      <c r="L36">
        <v>0.40600000000000003</v>
      </c>
      <c r="M36">
        <v>0.35899999999999999</v>
      </c>
      <c r="N36">
        <v>0.30099999999999999</v>
      </c>
      <c r="O36" t="s">
        <v>40</v>
      </c>
      <c r="P36" t="s">
        <v>40</v>
      </c>
      <c r="Q36" t="s">
        <v>40</v>
      </c>
    </row>
    <row r="37" spans="1:17" x14ac:dyDescent="0.25">
      <c r="A37" t="s">
        <v>68</v>
      </c>
      <c r="B37" t="s">
        <v>40</v>
      </c>
      <c r="E37" t="s">
        <v>43</v>
      </c>
      <c r="F37">
        <v>0.36199999999999999</v>
      </c>
      <c r="G37">
        <v>0.34399999999999997</v>
      </c>
      <c r="H37">
        <v>0.33900000000000002</v>
      </c>
      <c r="I37" t="s">
        <v>40</v>
      </c>
      <c r="J37" t="s">
        <v>40</v>
      </c>
      <c r="K37" t="s">
        <v>40</v>
      </c>
      <c r="L37">
        <v>0.36199999999999999</v>
      </c>
      <c r="M37">
        <v>0.34399999999999997</v>
      </c>
      <c r="N37">
        <v>0.33900000000000002</v>
      </c>
      <c r="O37" t="s">
        <v>40</v>
      </c>
      <c r="P37" t="s">
        <v>40</v>
      </c>
      <c r="Q37" t="s">
        <v>40</v>
      </c>
    </row>
    <row r="38" spans="1:17" x14ac:dyDescent="0.25">
      <c r="A38" t="s">
        <v>51</v>
      </c>
      <c r="B38" t="s">
        <v>40</v>
      </c>
      <c r="E38" t="s">
        <v>43</v>
      </c>
      <c r="F38">
        <v>0.30599999999999999</v>
      </c>
      <c r="G38">
        <v>0.28699999999999998</v>
      </c>
      <c r="H38">
        <v>0.26300000000000001</v>
      </c>
      <c r="I38" t="s">
        <v>40</v>
      </c>
      <c r="J38" t="s">
        <v>40</v>
      </c>
      <c r="K38" t="s">
        <v>40</v>
      </c>
      <c r="L38">
        <v>0.30599999999999999</v>
      </c>
      <c r="M38">
        <v>0.28699999999999998</v>
      </c>
      <c r="N38">
        <v>0.26300000000000001</v>
      </c>
      <c r="O38" t="s">
        <v>40</v>
      </c>
      <c r="P38" t="s">
        <v>40</v>
      </c>
      <c r="Q38" t="s">
        <v>40</v>
      </c>
    </row>
    <row r="39" spans="1:17" x14ac:dyDescent="0.25">
      <c r="A39" t="s">
        <v>53</v>
      </c>
      <c r="B39" t="s">
        <v>40</v>
      </c>
      <c r="E39" t="s">
        <v>43</v>
      </c>
      <c r="F39">
        <v>0.29499999999999998</v>
      </c>
      <c r="G39">
        <v>0.25700000000000001</v>
      </c>
      <c r="H39">
        <v>0.23</v>
      </c>
      <c r="I39" t="s">
        <v>40</v>
      </c>
      <c r="J39" t="s">
        <v>40</v>
      </c>
      <c r="K39" t="s">
        <v>40</v>
      </c>
      <c r="L39">
        <v>0.29499999999999998</v>
      </c>
      <c r="M39">
        <v>0.25700000000000001</v>
      </c>
      <c r="N39">
        <v>0.23</v>
      </c>
      <c r="O39" t="s">
        <v>40</v>
      </c>
      <c r="P39" t="s">
        <v>40</v>
      </c>
      <c r="Q39" t="s">
        <v>40</v>
      </c>
    </row>
    <row r="40" spans="1:17" x14ac:dyDescent="0.25">
      <c r="A40" t="s">
        <v>69</v>
      </c>
      <c r="B40" t="s">
        <v>40</v>
      </c>
      <c r="E40" t="s">
        <v>43</v>
      </c>
      <c r="F40">
        <v>0.28199999999999997</v>
      </c>
      <c r="G40">
        <v>0.27300000000000002</v>
      </c>
      <c r="H40">
        <v>0.24</v>
      </c>
      <c r="I40" t="s">
        <v>40</v>
      </c>
      <c r="J40" t="s">
        <v>40</v>
      </c>
      <c r="K40" t="s">
        <v>40</v>
      </c>
      <c r="L40">
        <v>0.28199999999999997</v>
      </c>
      <c r="M40">
        <v>0.27300000000000002</v>
      </c>
      <c r="N40">
        <v>0.24</v>
      </c>
      <c r="O40" t="s">
        <v>40</v>
      </c>
      <c r="P40" t="s">
        <v>40</v>
      </c>
      <c r="Q40" t="s">
        <v>40</v>
      </c>
    </row>
    <row r="41" spans="1:17" x14ac:dyDescent="0.25">
      <c r="A41" t="s">
        <v>70</v>
      </c>
      <c r="B41" t="s">
        <v>40</v>
      </c>
      <c r="E41" t="s">
        <v>43</v>
      </c>
      <c r="F41">
        <v>0.27700000000000002</v>
      </c>
      <c r="G41">
        <v>0.28100000000000003</v>
      </c>
      <c r="H41">
        <v>0.379</v>
      </c>
      <c r="I41" t="s">
        <v>40</v>
      </c>
      <c r="J41" t="s">
        <v>40</v>
      </c>
      <c r="K41" t="s">
        <v>40</v>
      </c>
      <c r="L41">
        <v>0.27700000000000002</v>
      </c>
      <c r="M41">
        <v>0.28100000000000003</v>
      </c>
      <c r="N41">
        <v>0.379</v>
      </c>
      <c r="O41" t="s">
        <v>40</v>
      </c>
      <c r="P41" t="s">
        <v>40</v>
      </c>
      <c r="Q41" t="s">
        <v>40</v>
      </c>
    </row>
    <row r="42" spans="1:17" x14ac:dyDescent="0.25">
      <c r="A42" t="s">
        <v>57</v>
      </c>
      <c r="B42" t="s">
        <v>40</v>
      </c>
      <c r="E42" t="s">
        <v>43</v>
      </c>
      <c r="F42">
        <v>17.366</v>
      </c>
      <c r="G42">
        <v>16.571000000000002</v>
      </c>
      <c r="H42">
        <v>15.108000000000001</v>
      </c>
      <c r="I42">
        <v>14.621</v>
      </c>
      <c r="J42">
        <v>14.157</v>
      </c>
      <c r="K42">
        <v>17.777999999999999</v>
      </c>
      <c r="L42">
        <v>17.366</v>
      </c>
      <c r="M42">
        <v>16.571000000000002</v>
      </c>
      <c r="N42">
        <v>15.108000000000001</v>
      </c>
      <c r="O42">
        <v>14.621</v>
      </c>
      <c r="P42">
        <v>14.157</v>
      </c>
      <c r="Q42">
        <v>17.777999999999999</v>
      </c>
    </row>
    <row r="43" spans="1:17" x14ac:dyDescent="0.25">
      <c r="A43" t="s">
        <v>71</v>
      </c>
      <c r="B43" t="s">
        <v>40</v>
      </c>
      <c r="E43" t="s">
        <v>46</v>
      </c>
      <c r="F43">
        <v>65.37</v>
      </c>
      <c r="G43">
        <v>62.199999999999989</v>
      </c>
      <c r="H43">
        <v>59.491999999999997</v>
      </c>
      <c r="I43">
        <v>59.960999999999999</v>
      </c>
      <c r="J43">
        <v>52.75</v>
      </c>
      <c r="K43">
        <v>58.347999999999999</v>
      </c>
      <c r="L43">
        <v>65.37</v>
      </c>
      <c r="M43">
        <v>62.2</v>
      </c>
      <c r="N43">
        <v>59.491999999999997</v>
      </c>
      <c r="O43">
        <v>59.960999999999999</v>
      </c>
      <c r="P43">
        <v>52.75</v>
      </c>
      <c r="Q43">
        <v>58.347999999999999</v>
      </c>
    </row>
    <row r="44" spans="1:17" x14ac:dyDescent="0.25">
      <c r="A44" t="s">
        <v>72</v>
      </c>
      <c r="B44" t="s">
        <v>40</v>
      </c>
      <c r="E44" t="s">
        <v>43</v>
      </c>
      <c r="F44">
        <v>11.680999999999999</v>
      </c>
      <c r="G44">
        <v>11.069000000000001</v>
      </c>
      <c r="H44">
        <v>10.829000000000001</v>
      </c>
      <c r="I44">
        <v>11.08</v>
      </c>
      <c r="J44">
        <v>9.7579999999999991</v>
      </c>
      <c r="K44">
        <v>10.794</v>
      </c>
      <c r="L44">
        <v>11.680999999999999</v>
      </c>
      <c r="M44">
        <v>11.069000000000001</v>
      </c>
      <c r="N44">
        <v>10.829000000000001</v>
      </c>
      <c r="O44">
        <v>11.08</v>
      </c>
      <c r="P44">
        <v>9.7579999999999991</v>
      </c>
      <c r="Q44">
        <v>10.794</v>
      </c>
    </row>
    <row r="45" spans="1:17" x14ac:dyDescent="0.25">
      <c r="A45" t="s">
        <v>73</v>
      </c>
      <c r="B45" t="s">
        <v>40</v>
      </c>
      <c r="E45" t="s">
        <v>43</v>
      </c>
      <c r="F45">
        <v>8.8019999999999996</v>
      </c>
      <c r="G45">
        <v>8.1820000000000004</v>
      </c>
      <c r="H45">
        <v>7.8570000000000002</v>
      </c>
      <c r="I45">
        <v>7.8440000000000003</v>
      </c>
      <c r="J45">
        <v>6.95</v>
      </c>
      <c r="K45">
        <v>7.6420000000000003</v>
      </c>
      <c r="L45">
        <v>8.8019999999999996</v>
      </c>
      <c r="M45">
        <v>8.1820000000000004</v>
      </c>
      <c r="N45">
        <v>7.8570000000000002</v>
      </c>
      <c r="O45">
        <v>7.8440000000000003</v>
      </c>
      <c r="P45">
        <v>6.95</v>
      </c>
      <c r="Q45">
        <v>7.6420000000000003</v>
      </c>
    </row>
    <row r="46" spans="1:17" x14ac:dyDescent="0.25">
      <c r="A46" t="s">
        <v>74</v>
      </c>
      <c r="B46" t="s">
        <v>40</v>
      </c>
      <c r="E46" t="s">
        <v>43</v>
      </c>
      <c r="F46">
        <v>8.7110000000000003</v>
      </c>
      <c r="G46">
        <v>8.2889999999999997</v>
      </c>
      <c r="H46">
        <v>7.7720000000000002</v>
      </c>
      <c r="I46">
        <v>7.976</v>
      </c>
      <c r="J46">
        <v>7.21</v>
      </c>
      <c r="K46">
        <v>8.0250000000000004</v>
      </c>
      <c r="L46">
        <v>8.7110000000000003</v>
      </c>
      <c r="M46">
        <v>8.2889999999999997</v>
      </c>
      <c r="N46">
        <v>7.7720000000000002</v>
      </c>
      <c r="O46">
        <v>7.976</v>
      </c>
      <c r="P46">
        <v>7.21</v>
      </c>
      <c r="Q46">
        <v>8.0250000000000004</v>
      </c>
    </row>
    <row r="47" spans="1:17" x14ac:dyDescent="0.25">
      <c r="A47" t="s">
        <v>75</v>
      </c>
      <c r="B47" t="s">
        <v>40</v>
      </c>
      <c r="E47" t="s">
        <v>43</v>
      </c>
      <c r="F47">
        <v>8.4220000000000006</v>
      </c>
      <c r="G47">
        <v>8.0399999999999991</v>
      </c>
      <c r="H47">
        <v>7.806</v>
      </c>
      <c r="I47">
        <v>8.3019999999999996</v>
      </c>
      <c r="J47">
        <v>7.4539999999999997</v>
      </c>
      <c r="K47">
        <v>8.4269999999999996</v>
      </c>
      <c r="L47">
        <v>8.4220000000000006</v>
      </c>
      <c r="M47">
        <v>8.0399999999999991</v>
      </c>
      <c r="N47">
        <v>7.806</v>
      </c>
      <c r="O47">
        <v>8.3019999999999996</v>
      </c>
      <c r="P47">
        <v>7.4539999999999997</v>
      </c>
      <c r="Q47">
        <v>8.4269999999999996</v>
      </c>
    </row>
    <row r="48" spans="1:17" x14ac:dyDescent="0.25">
      <c r="A48" t="s">
        <v>47</v>
      </c>
      <c r="B48" t="s">
        <v>40</v>
      </c>
      <c r="E48" t="s">
        <v>43</v>
      </c>
      <c r="F48">
        <v>6.6550000000000002</v>
      </c>
      <c r="G48">
        <v>6.5910000000000002</v>
      </c>
      <c r="H48">
        <v>6.391</v>
      </c>
      <c r="I48">
        <v>6.44</v>
      </c>
      <c r="J48">
        <v>5.7969999999999997</v>
      </c>
      <c r="K48">
        <v>6.3659999999999997</v>
      </c>
      <c r="L48">
        <v>6.6550000000000002</v>
      </c>
      <c r="M48">
        <v>6.5910000000000002</v>
      </c>
      <c r="N48">
        <v>6.391</v>
      </c>
      <c r="O48">
        <v>6.44</v>
      </c>
      <c r="P48">
        <v>5.7969999999999997</v>
      </c>
      <c r="Q48">
        <v>6.3659999999999997</v>
      </c>
    </row>
    <row r="49" spans="1:17" x14ac:dyDescent="0.25">
      <c r="A49" t="s">
        <v>76</v>
      </c>
      <c r="B49" t="s">
        <v>40</v>
      </c>
      <c r="E49" t="s">
        <v>43</v>
      </c>
      <c r="F49">
        <v>3.1190000000000002</v>
      </c>
      <c r="G49">
        <v>2.9569999999999999</v>
      </c>
      <c r="H49">
        <v>2.802</v>
      </c>
      <c r="I49" t="s">
        <v>40</v>
      </c>
      <c r="J49" t="s">
        <v>40</v>
      </c>
      <c r="K49" t="s">
        <v>40</v>
      </c>
      <c r="L49">
        <v>3.1190000000000002</v>
      </c>
      <c r="M49">
        <v>2.9569999999999999</v>
      </c>
      <c r="N49">
        <v>2.802</v>
      </c>
      <c r="O49" t="s">
        <v>40</v>
      </c>
      <c r="P49" t="s">
        <v>40</v>
      </c>
      <c r="Q49" t="s">
        <v>40</v>
      </c>
    </row>
    <row r="50" spans="1:17" x14ac:dyDescent="0.25">
      <c r="A50" t="s">
        <v>77</v>
      </c>
      <c r="B50" t="s">
        <v>40</v>
      </c>
      <c r="E50" t="s">
        <v>43</v>
      </c>
      <c r="F50">
        <v>3.0419999999999998</v>
      </c>
      <c r="G50">
        <v>2.7330000000000001</v>
      </c>
      <c r="H50">
        <v>2.4710000000000001</v>
      </c>
      <c r="I50" t="s">
        <v>40</v>
      </c>
      <c r="J50" t="s">
        <v>40</v>
      </c>
      <c r="K50" t="s">
        <v>40</v>
      </c>
      <c r="L50">
        <v>3.0419999999999998</v>
      </c>
      <c r="M50">
        <v>2.7330000000000001</v>
      </c>
      <c r="N50">
        <v>2.4710000000000001</v>
      </c>
      <c r="O50" t="s">
        <v>40</v>
      </c>
      <c r="P50" t="s">
        <v>40</v>
      </c>
      <c r="Q50" t="s">
        <v>40</v>
      </c>
    </row>
    <row r="51" spans="1:17" x14ac:dyDescent="0.25">
      <c r="A51" t="s">
        <v>48</v>
      </c>
      <c r="B51" t="s">
        <v>40</v>
      </c>
      <c r="E51" t="s">
        <v>43</v>
      </c>
      <c r="F51">
        <v>2.7210000000000001</v>
      </c>
      <c r="G51">
        <v>2.2080000000000002</v>
      </c>
      <c r="H51">
        <v>1.78</v>
      </c>
      <c r="I51" t="s">
        <v>40</v>
      </c>
      <c r="J51" t="s">
        <v>40</v>
      </c>
      <c r="K51" t="s">
        <v>40</v>
      </c>
      <c r="L51">
        <v>2.7210000000000001</v>
      </c>
      <c r="M51">
        <v>2.2080000000000002</v>
      </c>
      <c r="N51">
        <v>1.78</v>
      </c>
      <c r="O51" t="s">
        <v>40</v>
      </c>
      <c r="P51" t="s">
        <v>40</v>
      </c>
      <c r="Q51" t="s">
        <v>40</v>
      </c>
    </row>
    <row r="52" spans="1:17" x14ac:dyDescent="0.25">
      <c r="A52" t="s">
        <v>78</v>
      </c>
      <c r="B52" t="s">
        <v>40</v>
      </c>
      <c r="E52" t="s">
        <v>43</v>
      </c>
      <c r="F52">
        <v>2.242</v>
      </c>
      <c r="G52">
        <v>2.0699999999999998</v>
      </c>
      <c r="H52">
        <v>1.964</v>
      </c>
      <c r="I52" t="s">
        <v>40</v>
      </c>
      <c r="J52" t="s">
        <v>40</v>
      </c>
      <c r="K52" t="s">
        <v>40</v>
      </c>
      <c r="L52">
        <v>2.242</v>
      </c>
      <c r="M52">
        <v>2.0699999999999998</v>
      </c>
      <c r="N52">
        <v>1.964</v>
      </c>
      <c r="O52" t="s">
        <v>40</v>
      </c>
      <c r="P52" t="s">
        <v>40</v>
      </c>
      <c r="Q52" t="s">
        <v>40</v>
      </c>
    </row>
    <row r="53" spans="1:17" x14ac:dyDescent="0.25">
      <c r="A53" t="s">
        <v>79</v>
      </c>
      <c r="B53" t="s">
        <v>40</v>
      </c>
      <c r="E53" t="s">
        <v>43</v>
      </c>
      <c r="F53">
        <v>2.1019999999999999</v>
      </c>
      <c r="G53">
        <v>1.974</v>
      </c>
      <c r="H53">
        <v>1.9330000000000001</v>
      </c>
      <c r="I53" t="s">
        <v>40</v>
      </c>
      <c r="J53" t="s">
        <v>40</v>
      </c>
      <c r="K53" t="s">
        <v>40</v>
      </c>
      <c r="L53">
        <v>2.1019999999999999</v>
      </c>
      <c r="M53">
        <v>1.974</v>
      </c>
      <c r="N53">
        <v>1.9330000000000001</v>
      </c>
      <c r="O53" t="s">
        <v>40</v>
      </c>
      <c r="P53" t="s">
        <v>40</v>
      </c>
      <c r="Q53" t="s">
        <v>40</v>
      </c>
    </row>
    <row r="54" spans="1:17" x14ac:dyDescent="0.25">
      <c r="A54" t="s">
        <v>57</v>
      </c>
      <c r="B54" t="s">
        <v>40</v>
      </c>
      <c r="E54" t="s">
        <v>43</v>
      </c>
      <c r="F54">
        <v>7.8730000000000002</v>
      </c>
      <c r="G54">
        <v>8.0869999999999997</v>
      </c>
      <c r="H54">
        <v>7.8869999999999996</v>
      </c>
      <c r="I54">
        <v>18.318999999999999</v>
      </c>
      <c r="J54">
        <v>15.581</v>
      </c>
      <c r="K54">
        <v>17.094000000000001</v>
      </c>
      <c r="L54">
        <v>7.8730000000000002</v>
      </c>
      <c r="M54">
        <v>8.0869999999999997</v>
      </c>
      <c r="N54">
        <v>7.8869999999999996</v>
      </c>
      <c r="O54">
        <v>18.318999999999999</v>
      </c>
      <c r="P54">
        <v>15.581</v>
      </c>
      <c r="Q54">
        <v>17.094000000000001</v>
      </c>
    </row>
    <row r="55" spans="1:17" x14ac:dyDescent="0.25">
      <c r="A55" t="s">
        <v>80</v>
      </c>
      <c r="B55" t="s">
        <v>40</v>
      </c>
      <c r="E55" t="s">
        <v>46</v>
      </c>
      <c r="F55">
        <v>41.024000000000001</v>
      </c>
      <c r="G55">
        <v>41.276999999999994</v>
      </c>
      <c r="H55">
        <v>42.051000000000002</v>
      </c>
      <c r="I55">
        <v>38.766999999999996</v>
      </c>
      <c r="J55">
        <v>39.526000000000003</v>
      </c>
      <c r="K55">
        <v>45.045999999999999</v>
      </c>
      <c r="L55">
        <v>41.024000000000001</v>
      </c>
      <c r="M55">
        <v>41.277000000000001</v>
      </c>
      <c r="N55">
        <v>42.051000000000002</v>
      </c>
      <c r="O55">
        <v>38.767000000000003</v>
      </c>
      <c r="P55">
        <v>39.526000000000003</v>
      </c>
      <c r="Q55">
        <v>45.045999999999999</v>
      </c>
    </row>
    <row r="56" spans="1:17" x14ac:dyDescent="0.25">
      <c r="A56" t="s">
        <v>47</v>
      </c>
      <c r="B56" t="s">
        <v>40</v>
      </c>
      <c r="E56" t="s">
        <v>43</v>
      </c>
      <c r="F56">
        <v>2.734</v>
      </c>
      <c r="G56">
        <v>2.718</v>
      </c>
      <c r="H56">
        <v>2.68</v>
      </c>
      <c r="I56">
        <v>2.6949999999999998</v>
      </c>
      <c r="J56">
        <v>2.7309999999999999</v>
      </c>
      <c r="K56">
        <v>3.1560000000000001</v>
      </c>
      <c r="L56">
        <v>2.734</v>
      </c>
      <c r="M56">
        <v>2.718</v>
      </c>
      <c r="N56">
        <v>2.68</v>
      </c>
      <c r="O56">
        <v>2.6949999999999998</v>
      </c>
      <c r="P56">
        <v>2.7309999999999999</v>
      </c>
      <c r="Q56">
        <v>3.1560000000000001</v>
      </c>
    </row>
    <row r="57" spans="1:17" x14ac:dyDescent="0.25">
      <c r="A57" t="s">
        <v>48</v>
      </c>
      <c r="B57" t="s">
        <v>40</v>
      </c>
      <c r="E57" t="s">
        <v>43</v>
      </c>
      <c r="F57">
        <v>1.468</v>
      </c>
      <c r="G57">
        <v>1.4970000000000001</v>
      </c>
      <c r="H57">
        <v>1.5580000000000001</v>
      </c>
      <c r="I57">
        <v>1.4710000000000001</v>
      </c>
      <c r="J57">
        <v>1.462</v>
      </c>
      <c r="K57">
        <v>1.7529999999999999</v>
      </c>
      <c r="L57">
        <v>1.468</v>
      </c>
      <c r="M57">
        <v>1.4970000000000001</v>
      </c>
      <c r="N57">
        <v>1.5580000000000001</v>
      </c>
      <c r="O57">
        <v>1.4710000000000001</v>
      </c>
      <c r="P57">
        <v>1.462</v>
      </c>
      <c r="Q57">
        <v>1.7529999999999999</v>
      </c>
    </row>
    <row r="58" spans="1:17" x14ac:dyDescent="0.25">
      <c r="A58" t="s">
        <v>81</v>
      </c>
      <c r="B58" t="s">
        <v>40</v>
      </c>
      <c r="E58" t="s">
        <v>43</v>
      </c>
      <c r="F58">
        <v>0.88300000000000001</v>
      </c>
      <c r="G58">
        <v>0.86199999999999999</v>
      </c>
      <c r="H58">
        <v>0.877</v>
      </c>
      <c r="I58">
        <v>0.82599999999999996</v>
      </c>
      <c r="J58">
        <v>0.92</v>
      </c>
      <c r="K58">
        <v>1.0169999999999999</v>
      </c>
      <c r="L58">
        <v>0.88300000000000001</v>
      </c>
      <c r="M58">
        <v>0.86199999999999999</v>
      </c>
      <c r="N58">
        <v>0.877</v>
      </c>
      <c r="O58">
        <v>0.82599999999999996</v>
      </c>
      <c r="P58">
        <v>0.92</v>
      </c>
      <c r="Q58">
        <v>1.0169999999999999</v>
      </c>
    </row>
    <row r="59" spans="1:17" x14ac:dyDescent="0.25">
      <c r="A59" t="s">
        <v>50</v>
      </c>
      <c r="B59" t="s">
        <v>40</v>
      </c>
      <c r="E59" t="s">
        <v>43</v>
      </c>
      <c r="F59">
        <v>0.78100000000000003</v>
      </c>
      <c r="G59">
        <v>0.81499999999999995</v>
      </c>
      <c r="H59">
        <v>0.70699999999999996</v>
      </c>
      <c r="I59">
        <v>7.5999999999999998E-2</v>
      </c>
      <c r="J59">
        <v>1.4450000000000001</v>
      </c>
      <c r="K59">
        <v>1.593</v>
      </c>
      <c r="L59">
        <v>0.78100000000000003</v>
      </c>
      <c r="M59">
        <v>0.81499999999999995</v>
      </c>
      <c r="N59">
        <v>0.70699999999999996</v>
      </c>
      <c r="O59">
        <v>7.5999999999999998E-2</v>
      </c>
      <c r="P59">
        <v>1.4450000000000001</v>
      </c>
      <c r="Q59">
        <v>1.593</v>
      </c>
    </row>
    <row r="60" spans="1:17" x14ac:dyDescent="0.25">
      <c r="A60" t="s">
        <v>82</v>
      </c>
      <c r="B60" t="s">
        <v>40</v>
      </c>
      <c r="E60" t="s">
        <v>43</v>
      </c>
      <c r="F60">
        <v>0.66100000000000003</v>
      </c>
      <c r="G60">
        <v>0.66400000000000003</v>
      </c>
      <c r="H60">
        <v>0.88900000000000001</v>
      </c>
      <c r="I60" t="s">
        <v>40</v>
      </c>
      <c r="J60" t="s">
        <v>40</v>
      </c>
      <c r="K60" t="s">
        <v>40</v>
      </c>
      <c r="L60">
        <v>0.66100000000000003</v>
      </c>
      <c r="M60">
        <v>0.66400000000000003</v>
      </c>
      <c r="N60">
        <v>0.88900000000000001</v>
      </c>
      <c r="O60" t="s">
        <v>40</v>
      </c>
      <c r="P60" t="s">
        <v>40</v>
      </c>
      <c r="Q60" t="s">
        <v>40</v>
      </c>
    </row>
    <row r="61" spans="1:17" x14ac:dyDescent="0.25">
      <c r="A61" t="s">
        <v>83</v>
      </c>
      <c r="B61" t="s">
        <v>40</v>
      </c>
      <c r="E61" t="s">
        <v>43</v>
      </c>
      <c r="F61">
        <v>0.54600000000000004</v>
      </c>
      <c r="G61">
        <v>0.54100000000000004</v>
      </c>
      <c r="H61">
        <v>0.55800000000000005</v>
      </c>
      <c r="I61" t="s">
        <v>40</v>
      </c>
      <c r="J61" t="s">
        <v>40</v>
      </c>
      <c r="K61" t="s">
        <v>40</v>
      </c>
      <c r="L61">
        <v>0.54600000000000004</v>
      </c>
      <c r="M61">
        <v>0.54100000000000004</v>
      </c>
      <c r="N61">
        <v>0.55800000000000005</v>
      </c>
      <c r="O61" t="s">
        <v>40</v>
      </c>
      <c r="P61" t="s">
        <v>40</v>
      </c>
      <c r="Q61" t="s">
        <v>40</v>
      </c>
    </row>
    <row r="62" spans="1:17" x14ac:dyDescent="0.25">
      <c r="A62" t="s">
        <v>62</v>
      </c>
      <c r="B62" t="s">
        <v>40</v>
      </c>
      <c r="E62" t="s">
        <v>43</v>
      </c>
      <c r="F62">
        <v>0.53300000000000003</v>
      </c>
      <c r="G62">
        <v>0.52</v>
      </c>
      <c r="H62">
        <v>0.54400000000000004</v>
      </c>
      <c r="I62" t="s">
        <v>40</v>
      </c>
      <c r="J62" t="s">
        <v>40</v>
      </c>
      <c r="K62" t="s">
        <v>40</v>
      </c>
      <c r="L62">
        <v>0.53300000000000003</v>
      </c>
      <c r="M62">
        <v>0.52</v>
      </c>
      <c r="N62">
        <v>0.54400000000000004</v>
      </c>
      <c r="O62" t="s">
        <v>40</v>
      </c>
      <c r="P62" t="s">
        <v>40</v>
      </c>
      <c r="Q62" t="s">
        <v>40</v>
      </c>
    </row>
    <row r="63" spans="1:17" x14ac:dyDescent="0.25">
      <c r="A63" t="s">
        <v>84</v>
      </c>
      <c r="B63" t="s">
        <v>40</v>
      </c>
      <c r="E63" t="s">
        <v>43</v>
      </c>
      <c r="F63">
        <v>0.498</v>
      </c>
      <c r="G63">
        <v>0.52400000000000002</v>
      </c>
      <c r="H63">
        <v>0.54500000000000004</v>
      </c>
      <c r="I63" t="s">
        <v>40</v>
      </c>
      <c r="J63" t="s">
        <v>40</v>
      </c>
      <c r="K63" t="s">
        <v>40</v>
      </c>
      <c r="L63">
        <v>0.498</v>
      </c>
      <c r="M63">
        <v>0.52400000000000002</v>
      </c>
      <c r="N63">
        <v>0.54500000000000004</v>
      </c>
      <c r="O63" t="s">
        <v>40</v>
      </c>
      <c r="P63" t="s">
        <v>40</v>
      </c>
      <c r="Q63" t="s">
        <v>40</v>
      </c>
    </row>
    <row r="64" spans="1:17" x14ac:dyDescent="0.25">
      <c r="A64" t="s">
        <v>85</v>
      </c>
      <c r="B64" t="s">
        <v>40</v>
      </c>
      <c r="E64" t="s">
        <v>43</v>
      </c>
      <c r="F64">
        <v>0.46300000000000002</v>
      </c>
      <c r="G64">
        <v>0.47899999999999998</v>
      </c>
      <c r="H64">
        <v>0.47199999999999998</v>
      </c>
      <c r="I64" t="s">
        <v>40</v>
      </c>
      <c r="J64" t="s">
        <v>40</v>
      </c>
      <c r="K64" t="s">
        <v>40</v>
      </c>
      <c r="L64">
        <v>0.46300000000000002</v>
      </c>
      <c r="M64">
        <v>0.47899999999999998</v>
      </c>
      <c r="N64">
        <v>0.47199999999999998</v>
      </c>
      <c r="O64" t="s">
        <v>40</v>
      </c>
      <c r="P64" t="s">
        <v>40</v>
      </c>
      <c r="Q64" t="s">
        <v>40</v>
      </c>
    </row>
    <row r="65" spans="1:17" x14ac:dyDescent="0.25">
      <c r="A65" t="s">
        <v>86</v>
      </c>
      <c r="B65" t="s">
        <v>40</v>
      </c>
      <c r="E65" t="s">
        <v>43</v>
      </c>
      <c r="F65">
        <v>0.45900000000000002</v>
      </c>
      <c r="G65">
        <v>0.443</v>
      </c>
      <c r="H65">
        <v>0.42299999999999999</v>
      </c>
      <c r="I65" t="s">
        <v>40</v>
      </c>
      <c r="J65" t="s">
        <v>40</v>
      </c>
      <c r="K65" t="s">
        <v>40</v>
      </c>
      <c r="L65">
        <v>0.45900000000000002</v>
      </c>
      <c r="M65">
        <v>0.443</v>
      </c>
      <c r="N65">
        <v>0.42299999999999999</v>
      </c>
      <c r="O65" t="s">
        <v>40</v>
      </c>
      <c r="P65" t="s">
        <v>40</v>
      </c>
      <c r="Q65" t="s">
        <v>40</v>
      </c>
    </row>
    <row r="66" spans="1:17" x14ac:dyDescent="0.25">
      <c r="A66" t="s">
        <v>57</v>
      </c>
      <c r="B66" t="s">
        <v>40</v>
      </c>
      <c r="E66" t="s">
        <v>43</v>
      </c>
      <c r="F66">
        <v>31.998000000000001</v>
      </c>
      <c r="G66">
        <v>32.213999999999999</v>
      </c>
      <c r="H66">
        <v>32.798000000000002</v>
      </c>
      <c r="I66">
        <v>33.698999999999998</v>
      </c>
      <c r="J66">
        <v>32.968000000000004</v>
      </c>
      <c r="K66">
        <v>37.527000000000001</v>
      </c>
      <c r="L66">
        <v>31.998000000000001</v>
      </c>
      <c r="M66">
        <v>32.213999999999999</v>
      </c>
      <c r="N66">
        <v>32.798000000000002</v>
      </c>
      <c r="O66">
        <v>33.698999999999998</v>
      </c>
      <c r="P66">
        <v>32.968000000000004</v>
      </c>
      <c r="Q66">
        <v>37.527000000000001</v>
      </c>
    </row>
    <row r="67" spans="1:17" x14ac:dyDescent="0.25">
      <c r="A67" t="s">
        <v>87</v>
      </c>
      <c r="B67" t="s">
        <v>40</v>
      </c>
      <c r="E67" t="s">
        <v>46</v>
      </c>
      <c r="F67">
        <v>28.016000000000002</v>
      </c>
      <c r="G67">
        <v>27.116</v>
      </c>
      <c r="H67">
        <v>26.693000000000001</v>
      </c>
      <c r="I67">
        <v>24.49</v>
      </c>
      <c r="J67">
        <v>23.036999999999999</v>
      </c>
      <c r="K67">
        <v>22.152000000000001</v>
      </c>
      <c r="L67">
        <v>28.015999999999998</v>
      </c>
      <c r="M67">
        <v>27.116</v>
      </c>
      <c r="N67">
        <v>26.693000000000001</v>
      </c>
      <c r="O67">
        <v>24.49</v>
      </c>
      <c r="P67">
        <v>23.036999999999999</v>
      </c>
      <c r="Q67">
        <v>22.152000000000001</v>
      </c>
    </row>
    <row r="68" spans="1:17" x14ac:dyDescent="0.25">
      <c r="A68" t="s">
        <v>88</v>
      </c>
      <c r="B68" t="s">
        <v>40</v>
      </c>
      <c r="E68" t="s">
        <v>43</v>
      </c>
      <c r="F68">
        <v>1.012</v>
      </c>
      <c r="G68">
        <v>1.0549999999999999</v>
      </c>
      <c r="H68">
        <v>1.069</v>
      </c>
      <c r="I68">
        <v>1.0660000000000001</v>
      </c>
      <c r="J68">
        <v>0.60399999999999998</v>
      </c>
      <c r="K68">
        <v>0.59399999999999997</v>
      </c>
      <c r="L68">
        <v>1.012</v>
      </c>
      <c r="M68">
        <v>1.0549999999999999</v>
      </c>
      <c r="N68">
        <v>1.069</v>
      </c>
      <c r="O68">
        <v>1.0660000000000001</v>
      </c>
      <c r="P68">
        <v>0.60399999999999998</v>
      </c>
      <c r="Q68">
        <v>0.59399999999999997</v>
      </c>
    </row>
    <row r="69" spans="1:17" x14ac:dyDescent="0.25">
      <c r="A69" t="s">
        <v>47</v>
      </c>
      <c r="B69" t="s">
        <v>40</v>
      </c>
      <c r="E69" t="s">
        <v>43</v>
      </c>
      <c r="F69">
        <v>0.83799999999999997</v>
      </c>
      <c r="G69">
        <v>0.83299999999999996</v>
      </c>
      <c r="H69">
        <v>0.82799999999999996</v>
      </c>
      <c r="I69">
        <v>0.79500000000000004</v>
      </c>
      <c r="J69">
        <v>0.873</v>
      </c>
      <c r="K69">
        <v>0.85199999999999998</v>
      </c>
      <c r="L69">
        <v>0.83799999999999997</v>
      </c>
      <c r="M69">
        <v>0.83299999999999996</v>
      </c>
      <c r="N69">
        <v>0.82799999999999996</v>
      </c>
      <c r="O69">
        <v>0.79500000000000004</v>
      </c>
      <c r="P69">
        <v>0.873</v>
      </c>
      <c r="Q69">
        <v>0.85199999999999998</v>
      </c>
    </row>
    <row r="70" spans="1:17" x14ac:dyDescent="0.25">
      <c r="A70" t="s">
        <v>89</v>
      </c>
      <c r="B70" t="s">
        <v>40</v>
      </c>
      <c r="E70" t="s">
        <v>43</v>
      </c>
      <c r="F70">
        <v>0.77700000000000002</v>
      </c>
      <c r="G70">
        <v>0.77</v>
      </c>
      <c r="H70">
        <v>0.81799999999999995</v>
      </c>
      <c r="I70">
        <v>0.84</v>
      </c>
      <c r="J70">
        <v>0.91600000000000004</v>
      </c>
      <c r="K70">
        <v>0.90300000000000002</v>
      </c>
      <c r="L70">
        <v>0.77700000000000002</v>
      </c>
      <c r="M70">
        <v>0.77</v>
      </c>
      <c r="N70">
        <v>0.81799999999999995</v>
      </c>
      <c r="O70">
        <v>0.84</v>
      </c>
      <c r="P70">
        <v>0.91600000000000004</v>
      </c>
      <c r="Q70">
        <v>0.90300000000000002</v>
      </c>
    </row>
    <row r="71" spans="1:17" x14ac:dyDescent="0.25">
      <c r="A71" t="s">
        <v>90</v>
      </c>
      <c r="B71" t="s">
        <v>40</v>
      </c>
      <c r="E71" t="s">
        <v>43</v>
      </c>
      <c r="F71">
        <v>0.7</v>
      </c>
      <c r="G71">
        <v>0.65700000000000003</v>
      </c>
      <c r="H71">
        <v>0.58899999999999997</v>
      </c>
      <c r="I71" t="s">
        <v>40</v>
      </c>
      <c r="J71" t="s">
        <v>40</v>
      </c>
      <c r="K71" t="s">
        <v>40</v>
      </c>
      <c r="L71">
        <v>0.7</v>
      </c>
      <c r="M71">
        <v>0.65700000000000003</v>
      </c>
      <c r="N71">
        <v>0.58899999999999997</v>
      </c>
      <c r="O71" t="s">
        <v>40</v>
      </c>
      <c r="P71" t="s">
        <v>40</v>
      </c>
      <c r="Q71" t="s">
        <v>40</v>
      </c>
    </row>
    <row r="72" spans="1:17" x14ac:dyDescent="0.25">
      <c r="A72" t="s">
        <v>91</v>
      </c>
      <c r="B72" t="s">
        <v>40</v>
      </c>
      <c r="E72" t="s">
        <v>43</v>
      </c>
      <c r="F72">
        <v>0.7</v>
      </c>
      <c r="G72">
        <v>0.72699999999999998</v>
      </c>
      <c r="H72">
        <v>0.67200000000000004</v>
      </c>
      <c r="I72">
        <v>0.56799999999999995</v>
      </c>
      <c r="J72">
        <v>0.55100000000000005</v>
      </c>
      <c r="K72">
        <v>0.54400000000000004</v>
      </c>
      <c r="L72">
        <v>0.7</v>
      </c>
      <c r="M72">
        <v>0.72699999999999998</v>
      </c>
      <c r="N72">
        <v>0.67200000000000004</v>
      </c>
      <c r="O72">
        <v>0.56799999999999995</v>
      </c>
      <c r="P72">
        <v>0.55100000000000005</v>
      </c>
      <c r="Q72">
        <v>0.54400000000000004</v>
      </c>
    </row>
    <row r="73" spans="1:17" x14ac:dyDescent="0.25">
      <c r="A73" t="s">
        <v>48</v>
      </c>
      <c r="B73" t="s">
        <v>40</v>
      </c>
      <c r="E73" t="s">
        <v>43</v>
      </c>
      <c r="F73">
        <v>0.65300000000000002</v>
      </c>
      <c r="G73">
        <v>0.65200000000000002</v>
      </c>
      <c r="H73">
        <v>0.59099999999999997</v>
      </c>
      <c r="I73">
        <v>0.55000000000000004</v>
      </c>
      <c r="J73">
        <v>0.60799999999999998</v>
      </c>
      <c r="K73">
        <v>0.621</v>
      </c>
      <c r="L73">
        <v>0.65300000000000002</v>
      </c>
      <c r="M73">
        <v>0.65200000000000002</v>
      </c>
      <c r="N73">
        <v>0.59099999999999997</v>
      </c>
      <c r="O73">
        <v>0.55000000000000004</v>
      </c>
      <c r="P73">
        <v>0.60799999999999998</v>
      </c>
      <c r="Q73">
        <v>0.621</v>
      </c>
    </row>
    <row r="74" spans="1:17" x14ac:dyDescent="0.25">
      <c r="A74" t="s">
        <v>92</v>
      </c>
      <c r="B74" t="s">
        <v>40</v>
      </c>
      <c r="E74" t="s">
        <v>43</v>
      </c>
      <c r="F74">
        <v>0.64200000000000002</v>
      </c>
      <c r="G74">
        <v>0.6</v>
      </c>
      <c r="H74">
        <v>0.54600000000000004</v>
      </c>
      <c r="I74" t="s">
        <v>40</v>
      </c>
      <c r="J74" t="s">
        <v>40</v>
      </c>
      <c r="K74" t="s">
        <v>40</v>
      </c>
      <c r="L74">
        <v>0.64200000000000002</v>
      </c>
      <c r="M74">
        <v>0.6</v>
      </c>
      <c r="N74">
        <v>0.54600000000000004</v>
      </c>
      <c r="O74" t="s">
        <v>40</v>
      </c>
      <c r="P74" t="s">
        <v>40</v>
      </c>
      <c r="Q74" t="s">
        <v>40</v>
      </c>
    </row>
    <row r="75" spans="1:17" x14ac:dyDescent="0.25">
      <c r="A75" t="s">
        <v>50</v>
      </c>
      <c r="B75" t="s">
        <v>40</v>
      </c>
      <c r="E75" t="s">
        <v>43</v>
      </c>
      <c r="F75">
        <v>0.48199999999999998</v>
      </c>
      <c r="G75">
        <v>0.47699999999999998</v>
      </c>
      <c r="H75">
        <v>0.36799999999999999</v>
      </c>
      <c r="I75" t="s">
        <v>40</v>
      </c>
      <c r="J75" t="s">
        <v>40</v>
      </c>
      <c r="K75" t="s">
        <v>40</v>
      </c>
      <c r="L75">
        <v>0.48199999999999998</v>
      </c>
      <c r="M75">
        <v>0.47699999999999998</v>
      </c>
      <c r="N75">
        <v>0.36799999999999999</v>
      </c>
      <c r="O75" t="s">
        <v>40</v>
      </c>
      <c r="P75" t="s">
        <v>40</v>
      </c>
      <c r="Q75" t="s">
        <v>40</v>
      </c>
    </row>
    <row r="76" spans="1:17" x14ac:dyDescent="0.25">
      <c r="A76" t="s">
        <v>93</v>
      </c>
      <c r="B76" t="s">
        <v>40</v>
      </c>
      <c r="E76" t="s">
        <v>43</v>
      </c>
      <c r="F76">
        <v>0.45600000000000002</v>
      </c>
      <c r="G76">
        <v>0.44</v>
      </c>
      <c r="H76">
        <v>0.45900000000000002</v>
      </c>
      <c r="I76" t="s">
        <v>40</v>
      </c>
      <c r="J76" t="s">
        <v>40</v>
      </c>
      <c r="K76" t="s">
        <v>40</v>
      </c>
      <c r="L76">
        <v>0.45600000000000002</v>
      </c>
      <c r="M76">
        <v>0.44</v>
      </c>
      <c r="N76">
        <v>0.45900000000000002</v>
      </c>
      <c r="O76" t="s">
        <v>40</v>
      </c>
      <c r="P76" t="s">
        <v>40</v>
      </c>
      <c r="Q76" t="s">
        <v>40</v>
      </c>
    </row>
    <row r="77" spans="1:17" x14ac:dyDescent="0.25">
      <c r="A77" t="s">
        <v>94</v>
      </c>
      <c r="B77" t="s">
        <v>40</v>
      </c>
      <c r="E77" t="s">
        <v>43</v>
      </c>
      <c r="F77">
        <v>0.40100000000000002</v>
      </c>
      <c r="G77">
        <v>0.377</v>
      </c>
      <c r="H77">
        <v>0.372</v>
      </c>
      <c r="I77" t="s">
        <v>40</v>
      </c>
      <c r="J77" t="s">
        <v>40</v>
      </c>
      <c r="K77" t="s">
        <v>40</v>
      </c>
      <c r="L77">
        <v>0.40100000000000002</v>
      </c>
      <c r="M77">
        <v>0.377</v>
      </c>
      <c r="N77">
        <v>0.372</v>
      </c>
      <c r="O77" t="s">
        <v>40</v>
      </c>
      <c r="P77" t="s">
        <v>40</v>
      </c>
      <c r="Q77" t="s">
        <v>40</v>
      </c>
    </row>
    <row r="78" spans="1:17" x14ac:dyDescent="0.25">
      <c r="A78" t="s">
        <v>57</v>
      </c>
      <c r="B78" t="s">
        <v>40</v>
      </c>
      <c r="E78" t="s">
        <v>43</v>
      </c>
      <c r="F78">
        <v>21.355</v>
      </c>
      <c r="G78">
        <v>20.527999999999999</v>
      </c>
      <c r="H78">
        <v>20.381</v>
      </c>
      <c r="I78">
        <v>20.670999999999999</v>
      </c>
      <c r="J78">
        <v>19.484999999999999</v>
      </c>
      <c r="K78">
        <v>18.638000000000002</v>
      </c>
      <c r="L78">
        <v>21.355</v>
      </c>
      <c r="M78">
        <v>20.527999999999999</v>
      </c>
      <c r="N78">
        <v>20.381</v>
      </c>
      <c r="O78">
        <v>20.670999999999999</v>
      </c>
      <c r="P78">
        <v>19.484999999999999</v>
      </c>
      <c r="Q78">
        <v>18.638000000000002</v>
      </c>
    </row>
    <row r="79" spans="1:17" x14ac:dyDescent="0.25">
      <c r="A79" t="s">
        <v>95</v>
      </c>
      <c r="B79" t="s">
        <v>40</v>
      </c>
      <c r="E79" t="s">
        <v>46</v>
      </c>
      <c r="F79">
        <v>485.57499999999999</v>
      </c>
      <c r="G79">
        <v>461.31599999999997</v>
      </c>
      <c r="H79">
        <v>440.803</v>
      </c>
      <c r="I79">
        <v>421.42199999999997</v>
      </c>
      <c r="J79">
        <v>395.13700000000006</v>
      </c>
      <c r="K79">
        <v>380.69099999999997</v>
      </c>
      <c r="L79">
        <v>485.57499999999999</v>
      </c>
      <c r="M79">
        <v>461.31599999999997</v>
      </c>
      <c r="N79">
        <v>440.803</v>
      </c>
      <c r="O79">
        <v>421.42200000000003</v>
      </c>
      <c r="P79">
        <v>395.137</v>
      </c>
      <c r="Q79">
        <v>380.69099999999997</v>
      </c>
    </row>
    <row r="80" spans="1:17" x14ac:dyDescent="0.25">
      <c r="A80" t="s">
        <v>51</v>
      </c>
      <c r="B80" t="s">
        <v>40</v>
      </c>
      <c r="E80" t="s">
        <v>43</v>
      </c>
      <c r="F80">
        <v>17.978000000000002</v>
      </c>
      <c r="G80">
        <v>16.303999999999998</v>
      </c>
      <c r="H80">
        <v>14.72</v>
      </c>
      <c r="I80">
        <v>13.643000000000001</v>
      </c>
      <c r="J80">
        <v>11.874000000000001</v>
      </c>
      <c r="K80">
        <v>10.041</v>
      </c>
      <c r="L80">
        <v>17.978000000000002</v>
      </c>
      <c r="M80">
        <v>16.303999999999998</v>
      </c>
      <c r="N80">
        <v>14.72</v>
      </c>
      <c r="O80">
        <v>13.643000000000001</v>
      </c>
      <c r="P80">
        <v>11.874000000000001</v>
      </c>
      <c r="Q80">
        <v>10.041</v>
      </c>
    </row>
    <row r="81" spans="1:17" x14ac:dyDescent="0.25">
      <c r="A81" t="s">
        <v>48</v>
      </c>
      <c r="B81" t="s">
        <v>40</v>
      </c>
      <c r="E81" t="s">
        <v>43</v>
      </c>
      <c r="F81">
        <v>17.856000000000002</v>
      </c>
      <c r="G81">
        <v>16.117999999999999</v>
      </c>
      <c r="H81">
        <v>14.733000000000001</v>
      </c>
      <c r="I81">
        <v>14.045</v>
      </c>
      <c r="J81">
        <v>12.791</v>
      </c>
      <c r="K81">
        <v>11.265000000000001</v>
      </c>
      <c r="L81">
        <v>17.856000000000002</v>
      </c>
      <c r="M81">
        <v>16.117999999999999</v>
      </c>
      <c r="N81">
        <v>14.733000000000001</v>
      </c>
      <c r="O81">
        <v>14.045</v>
      </c>
      <c r="P81">
        <v>12.791</v>
      </c>
      <c r="Q81">
        <v>11.265000000000001</v>
      </c>
    </row>
    <row r="82" spans="1:17" x14ac:dyDescent="0.25">
      <c r="A82" t="s">
        <v>47</v>
      </c>
      <c r="B82" t="s">
        <v>40</v>
      </c>
      <c r="E82" t="s">
        <v>43</v>
      </c>
      <c r="F82">
        <v>15.196999999999999</v>
      </c>
      <c r="G82">
        <v>15.406000000000001</v>
      </c>
      <c r="H82">
        <v>16.024999999999999</v>
      </c>
      <c r="I82">
        <v>19.172000000000001</v>
      </c>
      <c r="J82">
        <v>19.442</v>
      </c>
      <c r="K82">
        <v>20.428999999999998</v>
      </c>
      <c r="L82">
        <v>15.196999999999999</v>
      </c>
      <c r="M82">
        <v>15.406000000000001</v>
      </c>
      <c r="N82">
        <v>16.024999999999999</v>
      </c>
      <c r="O82">
        <v>19.172000000000001</v>
      </c>
      <c r="P82">
        <v>19.442</v>
      </c>
      <c r="Q82">
        <v>20.428999999999998</v>
      </c>
    </row>
    <row r="83" spans="1:17" x14ac:dyDescent="0.25">
      <c r="A83" t="s">
        <v>96</v>
      </c>
      <c r="B83" t="s">
        <v>40</v>
      </c>
      <c r="E83" t="s">
        <v>43</v>
      </c>
      <c r="F83">
        <v>11.105</v>
      </c>
      <c r="G83">
        <v>10.667</v>
      </c>
      <c r="H83">
        <v>9.9550000000000001</v>
      </c>
      <c r="I83">
        <v>9.1690000000000005</v>
      </c>
      <c r="J83">
        <v>10.596</v>
      </c>
      <c r="K83">
        <v>11.746</v>
      </c>
      <c r="L83">
        <v>11.105</v>
      </c>
      <c r="M83">
        <v>10.667</v>
      </c>
      <c r="N83">
        <v>9.9550000000000001</v>
      </c>
      <c r="O83">
        <v>9.1690000000000005</v>
      </c>
      <c r="P83">
        <v>10.596</v>
      </c>
      <c r="Q83">
        <v>11.746</v>
      </c>
    </row>
    <row r="84" spans="1:17" x14ac:dyDescent="0.25">
      <c r="A84" t="s">
        <v>97</v>
      </c>
      <c r="B84" t="s">
        <v>40</v>
      </c>
      <c r="E84" t="s">
        <v>43</v>
      </c>
      <c r="F84">
        <v>9.9499999999999993</v>
      </c>
      <c r="G84">
        <v>9.1579999999999995</v>
      </c>
      <c r="H84">
        <v>8.9030000000000005</v>
      </c>
      <c r="I84" t="s">
        <v>40</v>
      </c>
      <c r="J84" t="s">
        <v>40</v>
      </c>
      <c r="K84" t="s">
        <v>40</v>
      </c>
      <c r="L84">
        <v>9.9499999999999993</v>
      </c>
      <c r="M84">
        <v>9.1579999999999995</v>
      </c>
      <c r="N84">
        <v>8.9030000000000005</v>
      </c>
      <c r="O84" t="s">
        <v>40</v>
      </c>
      <c r="P84" t="s">
        <v>40</v>
      </c>
      <c r="Q84" t="s">
        <v>40</v>
      </c>
    </row>
    <row r="85" spans="1:17" x14ac:dyDescent="0.25">
      <c r="A85" t="s">
        <v>98</v>
      </c>
      <c r="B85" t="s">
        <v>40</v>
      </c>
      <c r="E85" t="s">
        <v>43</v>
      </c>
      <c r="F85">
        <v>8.9510000000000005</v>
      </c>
      <c r="G85">
        <v>8.4049999999999994</v>
      </c>
      <c r="H85">
        <v>7.5860000000000003</v>
      </c>
      <c r="I85" t="s">
        <v>40</v>
      </c>
      <c r="J85" t="s">
        <v>40</v>
      </c>
      <c r="K85" t="s">
        <v>40</v>
      </c>
      <c r="L85">
        <v>8.9510000000000005</v>
      </c>
      <c r="M85">
        <v>8.4049999999999994</v>
      </c>
      <c r="N85">
        <v>7.5860000000000003</v>
      </c>
      <c r="O85" t="s">
        <v>40</v>
      </c>
      <c r="P85" t="s">
        <v>40</v>
      </c>
      <c r="Q85" t="s">
        <v>40</v>
      </c>
    </row>
    <row r="86" spans="1:17" x14ac:dyDescent="0.25">
      <c r="A86" t="s">
        <v>99</v>
      </c>
      <c r="B86" t="s">
        <v>40</v>
      </c>
      <c r="E86" t="s">
        <v>43</v>
      </c>
      <c r="F86">
        <v>8.9109999999999996</v>
      </c>
      <c r="G86">
        <v>8.7219999999999995</v>
      </c>
      <c r="H86">
        <v>4.8780000000000001</v>
      </c>
      <c r="I86" t="s">
        <v>40</v>
      </c>
      <c r="J86" t="s">
        <v>40</v>
      </c>
      <c r="K86" t="s">
        <v>40</v>
      </c>
      <c r="L86">
        <v>8.9109999999999996</v>
      </c>
      <c r="M86">
        <v>8.7219999999999995</v>
      </c>
      <c r="N86">
        <v>4.8780000000000001</v>
      </c>
      <c r="O86" t="s">
        <v>40</v>
      </c>
      <c r="P86" t="s">
        <v>40</v>
      </c>
      <c r="Q86" t="s">
        <v>40</v>
      </c>
    </row>
    <row r="87" spans="1:17" x14ac:dyDescent="0.25">
      <c r="A87" t="s">
        <v>100</v>
      </c>
      <c r="B87" t="s">
        <v>40</v>
      </c>
      <c r="E87" t="s">
        <v>43</v>
      </c>
      <c r="F87">
        <v>8.2919999999999998</v>
      </c>
      <c r="G87">
        <v>7.4669999999999996</v>
      </c>
      <c r="H87">
        <v>7.4210000000000003</v>
      </c>
      <c r="I87" t="s">
        <v>40</v>
      </c>
      <c r="J87" t="s">
        <v>40</v>
      </c>
      <c r="K87" t="s">
        <v>40</v>
      </c>
      <c r="L87">
        <v>8.2919999999999998</v>
      </c>
      <c r="M87">
        <v>7.4669999999999996</v>
      </c>
      <c r="N87">
        <v>7.4210000000000003</v>
      </c>
      <c r="O87" t="s">
        <v>40</v>
      </c>
      <c r="P87" t="s">
        <v>40</v>
      </c>
      <c r="Q87" t="s">
        <v>40</v>
      </c>
    </row>
    <row r="88" spans="1:17" x14ac:dyDescent="0.25">
      <c r="A88" t="s">
        <v>56</v>
      </c>
      <c r="B88" t="s">
        <v>40</v>
      </c>
      <c r="E88" t="s">
        <v>43</v>
      </c>
      <c r="F88">
        <v>7.6390000000000002</v>
      </c>
      <c r="G88">
        <v>7.52</v>
      </c>
      <c r="H88">
        <v>7.282</v>
      </c>
      <c r="I88" t="s">
        <v>40</v>
      </c>
      <c r="J88" t="s">
        <v>40</v>
      </c>
      <c r="K88" t="s">
        <v>40</v>
      </c>
      <c r="L88">
        <v>7.6390000000000002</v>
      </c>
      <c r="M88">
        <v>7.52</v>
      </c>
      <c r="N88">
        <v>7.282</v>
      </c>
      <c r="O88" t="s">
        <v>40</v>
      </c>
      <c r="P88" t="s">
        <v>40</v>
      </c>
      <c r="Q88" t="s">
        <v>40</v>
      </c>
    </row>
    <row r="89" spans="1:17" x14ac:dyDescent="0.25">
      <c r="A89" t="s">
        <v>101</v>
      </c>
      <c r="B89" t="s">
        <v>40</v>
      </c>
      <c r="E89" t="s">
        <v>43</v>
      </c>
      <c r="F89">
        <v>7.258</v>
      </c>
      <c r="G89">
        <v>6.4630000000000001</v>
      </c>
      <c r="H89">
        <v>6.45</v>
      </c>
      <c r="I89" t="s">
        <v>40</v>
      </c>
      <c r="J89" t="s">
        <v>40</v>
      </c>
      <c r="K89" t="s">
        <v>40</v>
      </c>
      <c r="L89">
        <v>7.258</v>
      </c>
      <c r="M89">
        <v>6.4630000000000001</v>
      </c>
      <c r="N89">
        <v>6.45</v>
      </c>
      <c r="O89" t="s">
        <v>40</v>
      </c>
      <c r="P89" t="s">
        <v>40</v>
      </c>
      <c r="Q89" t="s">
        <v>40</v>
      </c>
    </row>
    <row r="90" spans="1:17" x14ac:dyDescent="0.25">
      <c r="A90" t="s">
        <v>57</v>
      </c>
      <c r="B90" t="s">
        <v>40</v>
      </c>
      <c r="E90" t="s">
        <v>43</v>
      </c>
      <c r="F90">
        <v>372.43799999999999</v>
      </c>
      <c r="G90">
        <v>355.08600000000001</v>
      </c>
      <c r="H90">
        <v>342.85</v>
      </c>
      <c r="I90">
        <v>365.39299999999997</v>
      </c>
      <c r="J90">
        <v>340.43400000000003</v>
      </c>
      <c r="K90">
        <v>327.20999999999998</v>
      </c>
      <c r="L90">
        <v>372.43799999999999</v>
      </c>
      <c r="M90">
        <v>355.08600000000001</v>
      </c>
      <c r="N90">
        <v>342.85</v>
      </c>
      <c r="O90">
        <v>365.39299999999997</v>
      </c>
      <c r="P90">
        <v>340.43400000000003</v>
      </c>
      <c r="Q90">
        <v>327.20999999999998</v>
      </c>
    </row>
    <row r="91" spans="1:17" x14ac:dyDescent="0.25">
      <c r="A91" t="s">
        <v>102</v>
      </c>
      <c r="B91" t="s">
        <v>40</v>
      </c>
      <c r="E91" t="s">
        <v>46</v>
      </c>
      <c r="F91">
        <v>272.11500000000001</v>
      </c>
      <c r="G91">
        <v>275.42</v>
      </c>
      <c r="H91">
        <v>257.79399999999998</v>
      </c>
      <c r="I91">
        <v>250.31400000000002</v>
      </c>
      <c r="J91">
        <v>251.589</v>
      </c>
      <c r="K91">
        <v>283.02699999999999</v>
      </c>
      <c r="L91">
        <v>272.11500000000001</v>
      </c>
      <c r="M91">
        <v>275.42</v>
      </c>
      <c r="N91">
        <v>257.79399999999998</v>
      </c>
      <c r="O91">
        <v>250.31399999999999</v>
      </c>
      <c r="P91">
        <v>251.589</v>
      </c>
      <c r="Q91">
        <v>283.02699999999999</v>
      </c>
    </row>
    <row r="92" spans="1:17" x14ac:dyDescent="0.25">
      <c r="A92" t="s">
        <v>47</v>
      </c>
      <c r="B92" t="s">
        <v>40</v>
      </c>
      <c r="E92" t="s">
        <v>43</v>
      </c>
      <c r="F92">
        <v>13.686999999999999</v>
      </c>
      <c r="G92">
        <v>14.281000000000001</v>
      </c>
      <c r="H92">
        <v>14.061999999999999</v>
      </c>
      <c r="I92">
        <v>11.922000000000001</v>
      </c>
      <c r="J92">
        <v>12.456</v>
      </c>
      <c r="K92">
        <v>14.585000000000001</v>
      </c>
      <c r="L92">
        <v>13.686999999999999</v>
      </c>
      <c r="M92">
        <v>14.281000000000001</v>
      </c>
      <c r="N92">
        <v>14.061999999999999</v>
      </c>
      <c r="O92">
        <v>11.922000000000001</v>
      </c>
      <c r="P92">
        <v>12.456</v>
      </c>
      <c r="Q92">
        <v>14.585000000000001</v>
      </c>
    </row>
    <row r="93" spans="1:17" x14ac:dyDescent="0.25">
      <c r="A93" t="s">
        <v>48</v>
      </c>
      <c r="B93" t="s">
        <v>40</v>
      </c>
      <c r="E93" t="s">
        <v>43</v>
      </c>
      <c r="F93">
        <v>12.577</v>
      </c>
      <c r="G93">
        <v>12.648999999999999</v>
      </c>
      <c r="H93">
        <v>11.303000000000001</v>
      </c>
      <c r="I93">
        <v>10.451000000000001</v>
      </c>
      <c r="J93">
        <v>9.9489999999999998</v>
      </c>
      <c r="K93">
        <v>10.406000000000001</v>
      </c>
      <c r="L93">
        <v>12.577</v>
      </c>
      <c r="M93">
        <v>12.648999999999999</v>
      </c>
      <c r="N93">
        <v>11.303000000000001</v>
      </c>
      <c r="O93">
        <v>10.451000000000001</v>
      </c>
      <c r="P93">
        <v>9.9489999999999998</v>
      </c>
      <c r="Q93">
        <v>10.406000000000001</v>
      </c>
    </row>
    <row r="94" spans="1:17" x14ac:dyDescent="0.25">
      <c r="A94" t="s">
        <v>51</v>
      </c>
      <c r="B94" t="s">
        <v>40</v>
      </c>
      <c r="E94" t="s">
        <v>43</v>
      </c>
      <c r="F94">
        <v>9.9480000000000004</v>
      </c>
      <c r="G94">
        <v>9.4410000000000007</v>
      </c>
      <c r="H94">
        <v>8.359</v>
      </c>
      <c r="I94">
        <v>8.0879999999999992</v>
      </c>
      <c r="J94">
        <v>7.1550000000000002</v>
      </c>
      <c r="K94">
        <v>7.165</v>
      </c>
      <c r="L94">
        <v>9.9480000000000004</v>
      </c>
      <c r="M94">
        <v>9.4410000000000007</v>
      </c>
      <c r="N94">
        <v>8.359</v>
      </c>
      <c r="O94">
        <v>8.0879999999999992</v>
      </c>
      <c r="P94">
        <v>7.1550000000000002</v>
      </c>
      <c r="Q94">
        <v>7.165</v>
      </c>
    </row>
    <row r="95" spans="1:17" x14ac:dyDescent="0.25">
      <c r="A95" t="s">
        <v>103</v>
      </c>
      <c r="B95" t="s">
        <v>40</v>
      </c>
      <c r="E95" t="s">
        <v>43</v>
      </c>
      <c r="F95">
        <v>8.9350000000000005</v>
      </c>
      <c r="G95">
        <v>8.548</v>
      </c>
      <c r="H95">
        <v>8.0039999999999996</v>
      </c>
      <c r="I95">
        <v>7.8049999999999997</v>
      </c>
      <c r="J95">
        <v>7.6769999999999996</v>
      </c>
      <c r="K95">
        <v>8.9760000000000009</v>
      </c>
      <c r="L95">
        <v>8.9350000000000005</v>
      </c>
      <c r="M95">
        <v>8.548</v>
      </c>
      <c r="N95">
        <v>8.0039999999999996</v>
      </c>
      <c r="O95">
        <v>7.8049999999999997</v>
      </c>
      <c r="P95">
        <v>7.6769999999999996</v>
      </c>
      <c r="Q95">
        <v>8.9760000000000009</v>
      </c>
    </row>
    <row r="96" spans="1:17" x14ac:dyDescent="0.25">
      <c r="A96" t="s">
        <v>68</v>
      </c>
      <c r="B96" t="s">
        <v>40</v>
      </c>
      <c r="E96" t="s">
        <v>43</v>
      </c>
      <c r="F96">
        <v>8.2870000000000008</v>
      </c>
      <c r="G96">
        <v>8.266</v>
      </c>
      <c r="H96">
        <v>8.0510000000000002</v>
      </c>
      <c r="I96">
        <v>7.5229999999999997</v>
      </c>
      <c r="J96">
        <v>9.5410000000000004</v>
      </c>
      <c r="K96">
        <v>10.89</v>
      </c>
      <c r="L96">
        <v>8.2870000000000008</v>
      </c>
      <c r="M96">
        <v>8.266</v>
      </c>
      <c r="N96">
        <v>8.0510000000000002</v>
      </c>
      <c r="O96">
        <v>7.5229999999999997</v>
      </c>
      <c r="P96">
        <v>9.5410000000000004</v>
      </c>
      <c r="Q96">
        <v>10.89</v>
      </c>
    </row>
    <row r="97" spans="1:17" x14ac:dyDescent="0.25">
      <c r="A97" t="s">
        <v>50</v>
      </c>
      <c r="B97" t="s">
        <v>40</v>
      </c>
      <c r="E97" t="s">
        <v>43</v>
      </c>
      <c r="F97">
        <v>7.3639999999999999</v>
      </c>
      <c r="G97">
        <v>7.7130000000000001</v>
      </c>
      <c r="H97">
        <v>6.5220000000000002</v>
      </c>
      <c r="I97" t="s">
        <v>40</v>
      </c>
      <c r="J97" t="s">
        <v>40</v>
      </c>
      <c r="K97" t="s">
        <v>40</v>
      </c>
      <c r="L97">
        <v>7.3639999999999999</v>
      </c>
      <c r="M97">
        <v>7.7130000000000001</v>
      </c>
      <c r="N97">
        <v>6.5220000000000002</v>
      </c>
      <c r="O97" t="s">
        <v>40</v>
      </c>
      <c r="P97" t="s">
        <v>40</v>
      </c>
      <c r="Q97" t="s">
        <v>40</v>
      </c>
    </row>
    <row r="98" spans="1:17" x14ac:dyDescent="0.25">
      <c r="A98" t="s">
        <v>53</v>
      </c>
      <c r="B98" t="s">
        <v>40</v>
      </c>
      <c r="E98" t="s">
        <v>43</v>
      </c>
      <c r="F98">
        <v>6.7839999999999998</v>
      </c>
      <c r="G98">
        <v>5.907</v>
      </c>
      <c r="H98">
        <v>5.1479999999999997</v>
      </c>
      <c r="I98" t="s">
        <v>40</v>
      </c>
      <c r="J98" t="s">
        <v>40</v>
      </c>
      <c r="K98" t="s">
        <v>40</v>
      </c>
      <c r="L98">
        <v>6.7839999999999998</v>
      </c>
      <c r="M98">
        <v>5.907</v>
      </c>
      <c r="N98">
        <v>5.1479999999999997</v>
      </c>
      <c r="O98" t="s">
        <v>40</v>
      </c>
      <c r="P98" t="s">
        <v>40</v>
      </c>
      <c r="Q98" t="s">
        <v>40</v>
      </c>
    </row>
    <row r="99" spans="1:17" x14ac:dyDescent="0.25">
      <c r="A99" t="s">
        <v>104</v>
      </c>
      <c r="B99" t="s">
        <v>40</v>
      </c>
      <c r="E99" t="s">
        <v>43</v>
      </c>
      <c r="F99">
        <v>4.915</v>
      </c>
      <c r="G99">
        <v>4.625</v>
      </c>
      <c r="H99">
        <v>4.2830000000000004</v>
      </c>
      <c r="I99" t="s">
        <v>40</v>
      </c>
      <c r="J99" t="s">
        <v>40</v>
      </c>
      <c r="K99" t="s">
        <v>40</v>
      </c>
      <c r="L99">
        <v>4.915</v>
      </c>
      <c r="M99">
        <v>4.625</v>
      </c>
      <c r="N99">
        <v>4.2830000000000004</v>
      </c>
      <c r="O99" t="s">
        <v>40</v>
      </c>
      <c r="P99" t="s">
        <v>40</v>
      </c>
      <c r="Q99" t="s">
        <v>40</v>
      </c>
    </row>
    <row r="100" spans="1:17" x14ac:dyDescent="0.25">
      <c r="A100" t="s">
        <v>105</v>
      </c>
      <c r="B100" t="s">
        <v>40</v>
      </c>
      <c r="E100" t="s">
        <v>43</v>
      </c>
      <c r="F100">
        <v>4.5949999999999998</v>
      </c>
      <c r="G100">
        <v>4.5830000000000002</v>
      </c>
      <c r="H100">
        <v>4.2140000000000004</v>
      </c>
      <c r="I100" t="s">
        <v>40</v>
      </c>
      <c r="J100" t="s">
        <v>40</v>
      </c>
      <c r="K100" t="s">
        <v>40</v>
      </c>
      <c r="L100">
        <v>4.5949999999999998</v>
      </c>
      <c r="M100">
        <v>4.5830000000000002</v>
      </c>
      <c r="N100">
        <v>4.2140000000000004</v>
      </c>
      <c r="O100" t="s">
        <v>40</v>
      </c>
      <c r="P100" t="s">
        <v>40</v>
      </c>
      <c r="Q100" t="s">
        <v>40</v>
      </c>
    </row>
    <row r="101" spans="1:17" x14ac:dyDescent="0.25">
      <c r="A101" t="s">
        <v>98</v>
      </c>
      <c r="B101" t="s">
        <v>40</v>
      </c>
      <c r="E101" t="s">
        <v>43</v>
      </c>
      <c r="F101">
        <v>4.5679999999999996</v>
      </c>
      <c r="G101">
        <v>4.1689999999999996</v>
      </c>
      <c r="H101">
        <v>3.4289999999999998</v>
      </c>
      <c r="I101" t="s">
        <v>40</v>
      </c>
      <c r="J101" t="s">
        <v>40</v>
      </c>
      <c r="K101" t="s">
        <v>40</v>
      </c>
      <c r="L101">
        <v>4.5679999999999996</v>
      </c>
      <c r="M101">
        <v>4.1689999999999996</v>
      </c>
      <c r="N101">
        <v>3.4289999999999998</v>
      </c>
      <c r="O101" t="s">
        <v>40</v>
      </c>
      <c r="P101" t="s">
        <v>40</v>
      </c>
      <c r="Q101" t="s">
        <v>40</v>
      </c>
    </row>
    <row r="102" spans="1:17" x14ac:dyDescent="0.25">
      <c r="A102" t="s">
        <v>57</v>
      </c>
      <c r="B102" t="s">
        <v>40</v>
      </c>
      <c r="E102" t="s">
        <v>43</v>
      </c>
      <c r="F102">
        <v>190.45500000000001</v>
      </c>
      <c r="G102">
        <v>195.238</v>
      </c>
      <c r="H102">
        <v>184.41900000000001</v>
      </c>
      <c r="I102">
        <v>204.52500000000001</v>
      </c>
      <c r="J102">
        <v>204.81100000000001</v>
      </c>
      <c r="K102">
        <v>231.005</v>
      </c>
      <c r="L102">
        <v>190.45500000000001</v>
      </c>
      <c r="M102">
        <v>195.238</v>
      </c>
      <c r="N102">
        <v>184.41900000000001</v>
      </c>
      <c r="O102">
        <v>204.52500000000001</v>
      </c>
      <c r="P102">
        <v>204.81100000000001</v>
      </c>
      <c r="Q102">
        <v>231.005</v>
      </c>
    </row>
    <row r="103" spans="1:17" x14ac:dyDescent="0.25">
      <c r="L103" t="s">
        <v>40</v>
      </c>
      <c r="M103" t="s">
        <v>40</v>
      </c>
      <c r="N103" t="s">
        <v>40</v>
      </c>
      <c r="O103" t="s">
        <v>40</v>
      </c>
      <c r="P103" t="s">
        <v>40</v>
      </c>
      <c r="Q103" t="s">
        <v>40</v>
      </c>
    </row>
    <row r="104" spans="1:17" x14ac:dyDescent="0.25">
      <c r="L104" t="s">
        <v>40</v>
      </c>
      <c r="M104" t="s">
        <v>40</v>
      </c>
      <c r="N104" t="s">
        <v>40</v>
      </c>
      <c r="O104" t="s">
        <v>40</v>
      </c>
      <c r="P104" t="s">
        <v>40</v>
      </c>
      <c r="Q104" t="s">
        <v>40</v>
      </c>
    </row>
    <row r="105" spans="1:17" x14ac:dyDescent="0.25">
      <c r="L105" t="s">
        <v>40</v>
      </c>
      <c r="M105" t="s">
        <v>40</v>
      </c>
      <c r="N105" t="s">
        <v>40</v>
      </c>
      <c r="O105" t="s">
        <v>40</v>
      </c>
      <c r="P105" t="s">
        <v>40</v>
      </c>
      <c r="Q105" t="s">
        <v>40</v>
      </c>
    </row>
    <row r="106" spans="1:17" x14ac:dyDescent="0.25">
      <c r="L106" t="s">
        <v>40</v>
      </c>
      <c r="M106" t="s">
        <v>40</v>
      </c>
      <c r="N106" t="s">
        <v>40</v>
      </c>
      <c r="O106" t="s">
        <v>40</v>
      </c>
      <c r="P106" t="s">
        <v>40</v>
      </c>
      <c r="Q106" t="s">
        <v>40</v>
      </c>
    </row>
    <row r="107" spans="1:17" x14ac:dyDescent="0.25">
      <c r="L107" t="s">
        <v>40</v>
      </c>
      <c r="M107" t="s">
        <v>40</v>
      </c>
      <c r="N107" t="s">
        <v>40</v>
      </c>
      <c r="O107" t="s">
        <v>40</v>
      </c>
      <c r="P107" t="s">
        <v>40</v>
      </c>
      <c r="Q107" t="s">
        <v>40</v>
      </c>
    </row>
    <row r="108" spans="1:17" x14ac:dyDescent="0.25">
      <c r="L108" t="s">
        <v>40</v>
      </c>
      <c r="M108" t="s">
        <v>40</v>
      </c>
      <c r="N108" t="s">
        <v>40</v>
      </c>
      <c r="O108" t="s">
        <v>40</v>
      </c>
      <c r="P108" t="s">
        <v>40</v>
      </c>
      <c r="Q108" t="s">
        <v>40</v>
      </c>
    </row>
    <row r="109" spans="1:17" x14ac:dyDescent="0.25">
      <c r="L109" t="s">
        <v>40</v>
      </c>
      <c r="M109" t="s">
        <v>40</v>
      </c>
      <c r="N109" t="s">
        <v>40</v>
      </c>
      <c r="O109" t="s">
        <v>40</v>
      </c>
      <c r="P109" t="s">
        <v>40</v>
      </c>
      <c r="Q109" t="s">
        <v>40</v>
      </c>
    </row>
    <row r="110" spans="1:17" x14ac:dyDescent="0.25">
      <c r="A110" t="s">
        <v>106</v>
      </c>
      <c r="B110" t="s">
        <v>106</v>
      </c>
      <c r="C110" t="s">
        <v>106</v>
      </c>
      <c r="D110" t="s">
        <v>106</v>
      </c>
      <c r="E110" t="s">
        <v>106</v>
      </c>
      <c r="F110" t="s">
        <v>106</v>
      </c>
      <c r="G110" t="s">
        <v>106</v>
      </c>
      <c r="H110" t="s">
        <v>106</v>
      </c>
      <c r="I110" t="s">
        <v>106</v>
      </c>
      <c r="J110" t="s">
        <v>106</v>
      </c>
      <c r="K110" t="s">
        <v>106</v>
      </c>
      <c r="L110" t="s">
        <v>40</v>
      </c>
      <c r="M110" t="s">
        <v>40</v>
      </c>
      <c r="N110" t="s">
        <v>40</v>
      </c>
      <c r="O110" t="s">
        <v>40</v>
      </c>
      <c r="P110" t="s">
        <v>40</v>
      </c>
      <c r="Q110" t="s">
        <v>40</v>
      </c>
    </row>
    <row r="111" spans="1:17" x14ac:dyDescent="0.25">
      <c r="A111" t="s">
        <v>107</v>
      </c>
      <c r="L111" t="s">
        <v>40</v>
      </c>
      <c r="M111" t="s">
        <v>40</v>
      </c>
      <c r="N111" t="s">
        <v>40</v>
      </c>
      <c r="O111" t="s">
        <v>40</v>
      </c>
      <c r="P111" t="s">
        <v>40</v>
      </c>
      <c r="Q111" t="s">
        <v>40</v>
      </c>
    </row>
    <row r="112" spans="1:17" x14ac:dyDescent="0.25">
      <c r="A112">
        <v>0</v>
      </c>
      <c r="L112" t="s">
        <v>40</v>
      </c>
      <c r="M112" t="s">
        <v>40</v>
      </c>
      <c r="N112" t="s">
        <v>40</v>
      </c>
      <c r="O112" t="s">
        <v>40</v>
      </c>
      <c r="P112" t="s">
        <v>40</v>
      </c>
      <c r="Q112" t="s">
        <v>40</v>
      </c>
    </row>
    <row r="113" spans="1:17" x14ac:dyDescent="0.25">
      <c r="A113" t="s">
        <v>108</v>
      </c>
      <c r="B113" t="s">
        <v>109</v>
      </c>
      <c r="L113" t="s">
        <v>40</v>
      </c>
      <c r="M113" t="s">
        <v>40</v>
      </c>
      <c r="N113" t="s">
        <v>40</v>
      </c>
      <c r="O113" t="s">
        <v>40</v>
      </c>
      <c r="P113" t="s">
        <v>40</v>
      </c>
      <c r="Q113" t="s">
        <v>40</v>
      </c>
    </row>
    <row r="114" spans="1:17" x14ac:dyDescent="0.25">
      <c r="A114" t="s">
        <v>110</v>
      </c>
      <c r="B114" t="s">
        <v>111</v>
      </c>
      <c r="C114" t="s">
        <v>112</v>
      </c>
      <c r="L114" t="s">
        <v>40</v>
      </c>
      <c r="M114" t="s">
        <v>40</v>
      </c>
      <c r="N114" t="s">
        <v>40</v>
      </c>
      <c r="O114" t="s">
        <v>40</v>
      </c>
      <c r="P114" t="s">
        <v>40</v>
      </c>
      <c r="Q114" t="s">
        <v>40</v>
      </c>
    </row>
    <row r="115" spans="1:17" x14ac:dyDescent="0.25">
      <c r="A115" t="s">
        <v>113</v>
      </c>
      <c r="B115">
        <v>6</v>
      </c>
      <c r="L115" t="s">
        <v>40</v>
      </c>
      <c r="M115" t="s">
        <v>40</v>
      </c>
      <c r="N115" t="s">
        <v>40</v>
      </c>
      <c r="O115" t="s">
        <v>40</v>
      </c>
      <c r="P115" t="s">
        <v>40</v>
      </c>
      <c r="Q115" t="s">
        <v>40</v>
      </c>
    </row>
    <row r="116" spans="1:17" x14ac:dyDescent="0.25">
      <c r="A116" t="s">
        <v>114</v>
      </c>
      <c r="B116" t="s">
        <v>115</v>
      </c>
      <c r="C116" t="s">
        <v>116</v>
      </c>
      <c r="L116" t="s">
        <v>40</v>
      </c>
      <c r="M116" t="s">
        <v>40</v>
      </c>
      <c r="N116" t="s">
        <v>40</v>
      </c>
      <c r="O116" t="s">
        <v>40</v>
      </c>
      <c r="P116" t="s">
        <v>40</v>
      </c>
      <c r="Q116" t="s">
        <v>40</v>
      </c>
    </row>
    <row r="117" spans="1:17" x14ac:dyDescent="0.25">
      <c r="A117" t="s">
        <v>117</v>
      </c>
      <c r="B117">
        <v>43998</v>
      </c>
      <c r="L117" t="s">
        <v>40</v>
      </c>
      <c r="M117" t="s">
        <v>40</v>
      </c>
      <c r="N117" t="s">
        <v>40</v>
      </c>
      <c r="O117" t="s">
        <v>40</v>
      </c>
      <c r="P117" t="s">
        <v>40</v>
      </c>
      <c r="Q117" t="s">
        <v>40</v>
      </c>
    </row>
    <row r="118" spans="1:17" x14ac:dyDescent="0.25">
      <c r="A118" t="s">
        <v>118</v>
      </c>
      <c r="B118">
        <v>4</v>
      </c>
      <c r="L118" t="s">
        <v>40</v>
      </c>
      <c r="M118" t="s">
        <v>40</v>
      </c>
      <c r="N118" t="s">
        <v>40</v>
      </c>
      <c r="O118" t="s">
        <v>40</v>
      </c>
      <c r="P118" t="s">
        <v>40</v>
      </c>
      <c r="Q118" t="s">
        <v>40</v>
      </c>
    </row>
    <row r="119" spans="1:17" x14ac:dyDescent="0.25">
      <c r="L119" t="s">
        <v>40</v>
      </c>
      <c r="M119" t="s">
        <v>40</v>
      </c>
      <c r="N119" t="s">
        <v>40</v>
      </c>
      <c r="O119" t="s">
        <v>40</v>
      </c>
      <c r="P119" t="s">
        <v>40</v>
      </c>
      <c r="Q119" t="s">
        <v>40</v>
      </c>
    </row>
    <row r="120" spans="1:17" x14ac:dyDescent="0.25">
      <c r="A120" t="s">
        <v>119</v>
      </c>
      <c r="B120">
        <v>2</v>
      </c>
      <c r="C120" t="s">
        <v>38</v>
      </c>
      <c r="D120" t="s">
        <v>37</v>
      </c>
      <c r="E120" t="s">
        <v>36</v>
      </c>
      <c r="F120" t="s">
        <v>35</v>
      </c>
      <c r="G120" t="s">
        <v>34</v>
      </c>
      <c r="H120" t="s">
        <v>33</v>
      </c>
      <c r="L120" t="s">
        <v>40</v>
      </c>
      <c r="M120" t="s">
        <v>40</v>
      </c>
      <c r="N120" t="s">
        <v>40</v>
      </c>
      <c r="O120" t="s">
        <v>40</v>
      </c>
      <c r="P120" t="s">
        <v>40</v>
      </c>
      <c r="Q120" t="s">
        <v>40</v>
      </c>
    </row>
    <row r="121" spans="1:17" x14ac:dyDescent="0.25">
      <c r="A121" t="s">
        <v>120</v>
      </c>
      <c r="B121" t="s">
        <v>40</v>
      </c>
      <c r="C121" t="s">
        <v>40</v>
      </c>
      <c r="D121" t="s">
        <v>40</v>
      </c>
      <c r="E121" t="s">
        <v>40</v>
      </c>
      <c r="L121" t="s">
        <v>40</v>
      </c>
      <c r="M121" t="s">
        <v>40</v>
      </c>
      <c r="N121" t="s">
        <v>40</v>
      </c>
      <c r="O121" t="s">
        <v>40</v>
      </c>
      <c r="P121" t="s">
        <v>40</v>
      </c>
      <c r="Q12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>
      <selection sqref="A1:XFD1048576"/>
    </sheetView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B67A-C6BF-4377-A4CE-C1D75C1D5101}">
  <dimension ref="A2:A33"/>
  <sheetViews>
    <sheetView tabSelected="1" workbookViewId="0">
      <selection activeCell="Q13" sqref="Q13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BIData</vt:lpstr>
      <vt:lpstr>BIData1</vt:lpstr>
      <vt:lpstr>ReferenceData</vt:lpstr>
      <vt:lpstr>ReferenceData1</vt:lpstr>
      <vt:lpstr>Help-Reference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F20180290</cp:lastModifiedBy>
  <dcterms:created xsi:type="dcterms:W3CDTF">2013-04-03T15:49:21Z</dcterms:created>
  <dcterms:modified xsi:type="dcterms:W3CDTF">2020-06-16T01:27:11Z</dcterms:modified>
</cp:coreProperties>
</file>