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_admin\blp\data\"/>
    </mc:Choice>
  </mc:AlternateContent>
  <xr:revisionPtr revIDLastSave="0" documentId="13_ncr:1_{A4B03F13-2742-46EC-BE62-9AB62F6B83D5}" xr6:coauthVersionLast="36" xr6:coauthVersionMax="36" xr10:uidLastSave="{00000000-0000-0000-0000-000000000000}"/>
  <bookViews>
    <workbookView xWindow="10395" yWindow="-105" windowWidth="14850" windowHeight="12735" activeTab="3" xr2:uid="{00000000-000D-0000-FFFF-FFFF00000000}"/>
  </bookViews>
  <sheets>
    <sheet name="BIData" sheetId="2" r:id="rId1"/>
    <sheet name="Sheet1" sheetId="5" r:id="rId2"/>
    <sheet name="ReferenceData" sheetId="3" r:id="rId3"/>
    <sheet name="Sheet2" sheetId="6" r:id="rId4"/>
    <sheet name="Help-Reference" sheetId="4" r:id="rId5"/>
  </sheets>
  <calcPr calcId="191029"/>
</workbook>
</file>

<file path=xl/calcChain.xml><?xml version="1.0" encoding="utf-8"?>
<calcChain xmlns="http://schemas.openxmlformats.org/spreadsheetml/2006/main">
  <c r="C166" i="3" l="1"/>
  <c r="C168" i="3"/>
  <c r="C164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E180" i="3"/>
  <c r="D180" i="3"/>
  <c r="C180" i="3"/>
  <c r="B180" i="3"/>
  <c r="A180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A179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A178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A177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A176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A175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A174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A173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A172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A171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A170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A169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A168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A167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A166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A165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A164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E162" i="3"/>
  <c r="D162" i="3"/>
  <c r="C162" i="3"/>
  <c r="B162" i="3"/>
  <c r="A162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E161" i="3"/>
  <c r="D161" i="3"/>
  <c r="C161" i="3"/>
  <c r="B161" i="3"/>
  <c r="A161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E160" i="3"/>
  <c r="D160" i="3"/>
  <c r="C160" i="3"/>
  <c r="A160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E159" i="3"/>
  <c r="D159" i="3"/>
  <c r="C159" i="3"/>
  <c r="B159" i="3"/>
  <c r="A159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A158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E157" i="3"/>
  <c r="D157" i="3"/>
  <c r="C157" i="3"/>
  <c r="B157" i="3"/>
  <c r="A157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E156" i="3"/>
  <c r="D156" i="3"/>
  <c r="C156" i="3"/>
  <c r="B156" i="3"/>
  <c r="A156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E155" i="3"/>
  <c r="D155" i="3"/>
  <c r="C155" i="3"/>
  <c r="B155" i="3"/>
  <c r="A155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E154" i="3"/>
  <c r="D154" i="3"/>
  <c r="C154" i="3"/>
  <c r="B154" i="3"/>
  <c r="A154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E153" i="3"/>
  <c r="D153" i="3"/>
  <c r="C153" i="3"/>
  <c r="B153" i="3"/>
  <c r="A153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E152" i="3"/>
  <c r="D152" i="3"/>
  <c r="C152" i="3"/>
  <c r="B152" i="3"/>
  <c r="A152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D149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C148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E104" i="3"/>
  <c r="D104" i="3"/>
  <c r="C104" i="3"/>
  <c r="B104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A102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B101" i="3"/>
  <c r="A101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B100" i="3"/>
  <c r="A100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B99" i="3"/>
  <c r="A99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C98" i="3"/>
  <c r="C100" i="3" s="1"/>
  <c r="B98" i="3"/>
  <c r="A98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B97" i="3"/>
  <c r="A97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A95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E86" i="3"/>
  <c r="B86" i="3"/>
  <c r="A86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E85" i="3"/>
  <c r="E151" i="3" s="1"/>
  <c r="D85" i="3"/>
  <c r="D151" i="3" s="1"/>
  <c r="C85" i="3"/>
  <c r="C151" i="3" s="1"/>
  <c r="B85" i="3"/>
  <c r="B151" i="3" s="1"/>
  <c r="A85" i="3"/>
  <c r="A151" i="3" s="1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E84" i="3"/>
  <c r="E150" i="3" s="1"/>
  <c r="D84" i="3"/>
  <c r="D150" i="3" s="1"/>
  <c r="C84" i="3"/>
  <c r="C150" i="3" s="1"/>
  <c r="B84" i="3"/>
  <c r="B150" i="3" s="1"/>
  <c r="A84" i="3"/>
  <c r="A150" i="3" s="1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E83" i="3"/>
  <c r="E149" i="3" s="1"/>
  <c r="D83" i="3"/>
  <c r="C83" i="3"/>
  <c r="C149" i="3" s="1"/>
  <c r="B83" i="3"/>
  <c r="B149" i="3" s="1"/>
  <c r="A83" i="3"/>
  <c r="A149" i="3" s="1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E82" i="3"/>
  <c r="E148" i="3" s="1"/>
  <c r="D82" i="3"/>
  <c r="D148" i="3" s="1"/>
  <c r="C82" i="3"/>
  <c r="B82" i="3"/>
  <c r="B148" i="3" s="1"/>
  <c r="A82" i="3"/>
  <c r="A148" i="3" s="1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E81" i="3"/>
  <c r="B81" i="3"/>
  <c r="A81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E80" i="3"/>
  <c r="B80" i="3"/>
  <c r="A80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E79" i="3"/>
  <c r="B79" i="3"/>
  <c r="A79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E78" i="3"/>
  <c r="B78" i="3"/>
  <c r="B78" i="2" s="1"/>
  <c r="A78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E77" i="3"/>
  <c r="B77" i="3"/>
  <c r="A77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E76" i="3"/>
  <c r="B76" i="3"/>
  <c r="A76" i="3"/>
  <c r="A76" i="2" s="1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E75" i="3"/>
  <c r="B75" i="3"/>
  <c r="A75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E74" i="3"/>
  <c r="E147" i="3" s="1"/>
  <c r="D74" i="3"/>
  <c r="D147" i="3" s="1"/>
  <c r="C74" i="3"/>
  <c r="C147" i="3" s="1"/>
  <c r="B74" i="3"/>
  <c r="B147" i="3" s="1"/>
  <c r="A74" i="3"/>
  <c r="A147" i="3" s="1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E73" i="3"/>
  <c r="E146" i="3" s="1"/>
  <c r="D73" i="3"/>
  <c r="D146" i="3" s="1"/>
  <c r="C73" i="3"/>
  <c r="C146" i="3" s="1"/>
  <c r="B73" i="3"/>
  <c r="B146" i="3" s="1"/>
  <c r="A73" i="3"/>
  <c r="A146" i="3" s="1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E72" i="3"/>
  <c r="B72" i="3"/>
  <c r="A72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E71" i="3"/>
  <c r="E145" i="3" s="1"/>
  <c r="D71" i="3"/>
  <c r="D145" i="3" s="1"/>
  <c r="C71" i="3"/>
  <c r="C145" i="3" s="1"/>
  <c r="B71" i="3"/>
  <c r="B145" i="3" s="1"/>
  <c r="A71" i="3"/>
  <c r="A145" i="3" s="1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E70" i="3"/>
  <c r="E144" i="3" s="1"/>
  <c r="D70" i="3"/>
  <c r="D144" i="3" s="1"/>
  <c r="C70" i="3"/>
  <c r="C144" i="3" s="1"/>
  <c r="B70" i="3"/>
  <c r="A70" i="3"/>
  <c r="A144" i="3" s="1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E69" i="3"/>
  <c r="B69" i="3"/>
  <c r="A69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E68" i="3"/>
  <c r="E143" i="3" s="1"/>
  <c r="D68" i="3"/>
  <c r="D143" i="3" s="1"/>
  <c r="C68" i="3"/>
  <c r="C143" i="3" s="1"/>
  <c r="B68" i="3"/>
  <c r="B143" i="3" s="1"/>
  <c r="A68" i="3"/>
  <c r="A143" i="3" s="1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E67" i="3"/>
  <c r="E142" i="3" s="1"/>
  <c r="D67" i="3"/>
  <c r="D142" i="3" s="1"/>
  <c r="C67" i="3"/>
  <c r="C142" i="3" s="1"/>
  <c r="B67" i="3"/>
  <c r="B142" i="3" s="1"/>
  <c r="A67" i="3"/>
  <c r="A142" i="3" s="1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E66" i="3"/>
  <c r="B66" i="3"/>
  <c r="A66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E65" i="3"/>
  <c r="E141" i="3" s="1"/>
  <c r="D65" i="3"/>
  <c r="D141" i="3" s="1"/>
  <c r="C65" i="3"/>
  <c r="C141" i="3" s="1"/>
  <c r="B65" i="3"/>
  <c r="B141" i="3" s="1"/>
  <c r="A65" i="3"/>
  <c r="A141" i="3" s="1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E64" i="3"/>
  <c r="E140" i="3" s="1"/>
  <c r="D64" i="3"/>
  <c r="D140" i="3" s="1"/>
  <c r="C64" i="3"/>
  <c r="C140" i="3" s="1"/>
  <c r="B64" i="3"/>
  <c r="B140" i="3" s="1"/>
  <c r="A64" i="3"/>
  <c r="A140" i="3" s="1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E63" i="3"/>
  <c r="B63" i="3"/>
  <c r="A63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E62" i="3"/>
  <c r="E139" i="3" s="1"/>
  <c r="D62" i="3"/>
  <c r="D139" i="3" s="1"/>
  <c r="C62" i="3"/>
  <c r="C139" i="3" s="1"/>
  <c r="B62" i="3"/>
  <c r="B139" i="3" s="1"/>
  <c r="A62" i="3"/>
  <c r="A139" i="3" s="1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E61" i="3"/>
  <c r="E138" i="3" s="1"/>
  <c r="D61" i="3"/>
  <c r="D138" i="3" s="1"/>
  <c r="C61" i="3"/>
  <c r="C138" i="3" s="1"/>
  <c r="B61" i="3"/>
  <c r="B138" i="3" s="1"/>
  <c r="A61" i="3"/>
  <c r="A138" i="3" s="1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E60" i="3"/>
  <c r="B60" i="3"/>
  <c r="A60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E59" i="3"/>
  <c r="E137" i="3" s="1"/>
  <c r="D59" i="3"/>
  <c r="D137" i="3" s="1"/>
  <c r="C59" i="3"/>
  <c r="C137" i="3" s="1"/>
  <c r="B59" i="3"/>
  <c r="B137" i="3" s="1"/>
  <c r="A59" i="3"/>
  <c r="A137" i="3" s="1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E58" i="3"/>
  <c r="E136" i="3" s="1"/>
  <c r="D58" i="3"/>
  <c r="D136" i="3" s="1"/>
  <c r="C58" i="3"/>
  <c r="C136" i="3" s="1"/>
  <c r="B58" i="3"/>
  <c r="B136" i="3" s="1"/>
  <c r="A58" i="3"/>
  <c r="A136" i="3" s="1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E57" i="3"/>
  <c r="B57" i="3"/>
  <c r="A57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E56" i="3"/>
  <c r="E135" i="3" s="1"/>
  <c r="D56" i="3"/>
  <c r="D135" i="3" s="1"/>
  <c r="C56" i="3"/>
  <c r="C135" i="3" s="1"/>
  <c r="B56" i="3"/>
  <c r="B135" i="3" s="1"/>
  <c r="A56" i="3"/>
  <c r="A135" i="3" s="1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E55" i="3"/>
  <c r="E134" i="3" s="1"/>
  <c r="D55" i="3"/>
  <c r="D134" i="3" s="1"/>
  <c r="C55" i="3"/>
  <c r="C134" i="3" s="1"/>
  <c r="B55" i="3"/>
  <c r="B134" i="3" s="1"/>
  <c r="A55" i="3"/>
  <c r="A134" i="3" s="1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E54" i="3"/>
  <c r="B54" i="3"/>
  <c r="A54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E53" i="3"/>
  <c r="E133" i="3" s="1"/>
  <c r="D53" i="3"/>
  <c r="D133" i="3" s="1"/>
  <c r="C53" i="3"/>
  <c r="C133" i="3" s="1"/>
  <c r="B53" i="3"/>
  <c r="B133" i="3" s="1"/>
  <c r="A53" i="3"/>
  <c r="A133" i="3" s="1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E52" i="3"/>
  <c r="E132" i="3" s="1"/>
  <c r="D52" i="3"/>
  <c r="D132" i="3" s="1"/>
  <c r="C52" i="3"/>
  <c r="C132" i="3" s="1"/>
  <c r="B52" i="3"/>
  <c r="B132" i="3" s="1"/>
  <c r="A52" i="3"/>
  <c r="A132" i="3" s="1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E51" i="3"/>
  <c r="B51" i="3"/>
  <c r="A51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E50" i="3"/>
  <c r="B50" i="3"/>
  <c r="A50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E49" i="3"/>
  <c r="B49" i="3"/>
  <c r="A49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E48" i="3"/>
  <c r="B48" i="3"/>
  <c r="A48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E47" i="3"/>
  <c r="D47" i="3"/>
  <c r="D131" i="3" s="1"/>
  <c r="C47" i="3"/>
  <c r="C131" i="3" s="1"/>
  <c r="B47" i="3"/>
  <c r="B131" i="3" s="1"/>
  <c r="A47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E46" i="3"/>
  <c r="E130" i="3" s="1"/>
  <c r="D46" i="3"/>
  <c r="D130" i="3" s="1"/>
  <c r="C46" i="3"/>
  <c r="C130" i="3" s="1"/>
  <c r="B46" i="3"/>
  <c r="B130" i="3" s="1"/>
  <c r="A46" i="3"/>
  <c r="A130" i="3" s="1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E45" i="3"/>
  <c r="E129" i="3" s="1"/>
  <c r="D45" i="3"/>
  <c r="D129" i="3" s="1"/>
  <c r="C45" i="3"/>
  <c r="C129" i="3" s="1"/>
  <c r="B45" i="3"/>
  <c r="B129" i="3" s="1"/>
  <c r="A45" i="3"/>
  <c r="A129" i="3" s="1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E44" i="3"/>
  <c r="B44" i="3"/>
  <c r="A44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E43" i="3"/>
  <c r="E128" i="3" s="1"/>
  <c r="D43" i="3"/>
  <c r="D128" i="3" s="1"/>
  <c r="C43" i="3"/>
  <c r="C128" i="3" s="1"/>
  <c r="B43" i="3"/>
  <c r="B128" i="3" s="1"/>
  <c r="A43" i="3"/>
  <c r="A128" i="3" s="1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E42" i="3"/>
  <c r="E127" i="3" s="1"/>
  <c r="D42" i="3"/>
  <c r="D127" i="3" s="1"/>
  <c r="C42" i="3"/>
  <c r="C127" i="3" s="1"/>
  <c r="B42" i="3"/>
  <c r="B127" i="3" s="1"/>
  <c r="A42" i="3"/>
  <c r="A127" i="3" s="1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E41" i="3"/>
  <c r="E126" i="3" s="1"/>
  <c r="D41" i="3"/>
  <c r="D126" i="3" s="1"/>
  <c r="C41" i="3"/>
  <c r="C126" i="3" s="1"/>
  <c r="B41" i="3"/>
  <c r="B126" i="3" s="1"/>
  <c r="A41" i="3"/>
  <c r="A126" i="3" s="1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E40" i="3"/>
  <c r="E125" i="3" s="1"/>
  <c r="D40" i="3"/>
  <c r="D125" i="3" s="1"/>
  <c r="C40" i="3"/>
  <c r="C125" i="3" s="1"/>
  <c r="B40" i="3"/>
  <c r="B125" i="3" s="1"/>
  <c r="A40" i="3"/>
  <c r="A125" i="3" s="1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E39" i="3"/>
  <c r="E124" i="3" s="1"/>
  <c r="D39" i="3"/>
  <c r="D124" i="3" s="1"/>
  <c r="C39" i="3"/>
  <c r="C124" i="3" s="1"/>
  <c r="B39" i="3"/>
  <c r="B124" i="3" s="1"/>
  <c r="A39" i="3"/>
  <c r="A124" i="3" s="1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E38" i="3"/>
  <c r="E123" i="3" s="1"/>
  <c r="D38" i="3"/>
  <c r="D123" i="3" s="1"/>
  <c r="C38" i="3"/>
  <c r="C123" i="3" s="1"/>
  <c r="B38" i="3"/>
  <c r="B123" i="3" s="1"/>
  <c r="A38" i="3"/>
  <c r="A123" i="3" s="1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E37" i="3"/>
  <c r="B37" i="3"/>
  <c r="A37" i="3"/>
  <c r="A37" i="2" s="1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E36" i="3"/>
  <c r="E122" i="3" s="1"/>
  <c r="D36" i="3"/>
  <c r="D122" i="3" s="1"/>
  <c r="C36" i="3"/>
  <c r="C122" i="3" s="1"/>
  <c r="B36" i="3"/>
  <c r="B122" i="3" s="1"/>
  <c r="A36" i="3"/>
  <c r="A122" i="3" s="1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E35" i="3"/>
  <c r="E121" i="3" s="1"/>
  <c r="D35" i="3"/>
  <c r="D121" i="3" s="1"/>
  <c r="C35" i="3"/>
  <c r="C121" i="3" s="1"/>
  <c r="B35" i="3"/>
  <c r="B121" i="3" s="1"/>
  <c r="A35" i="3"/>
  <c r="A121" i="3" s="1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E34" i="3"/>
  <c r="B34" i="3"/>
  <c r="A34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E33" i="3"/>
  <c r="B33" i="3"/>
  <c r="A33" i="3"/>
  <c r="A33" i="2" s="1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E32" i="3"/>
  <c r="E120" i="3" s="1"/>
  <c r="D32" i="3"/>
  <c r="D120" i="3" s="1"/>
  <c r="C32" i="3"/>
  <c r="C120" i="3" s="1"/>
  <c r="B32" i="3"/>
  <c r="B120" i="3" s="1"/>
  <c r="A32" i="3"/>
  <c r="A120" i="3" s="1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E31" i="3"/>
  <c r="E119" i="3" s="1"/>
  <c r="D31" i="3"/>
  <c r="D119" i="3" s="1"/>
  <c r="C31" i="3"/>
  <c r="C119" i="3" s="1"/>
  <c r="B31" i="3"/>
  <c r="B119" i="3" s="1"/>
  <c r="A31" i="3"/>
  <c r="A119" i="3" s="1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E30" i="3"/>
  <c r="E118" i="3" s="1"/>
  <c r="D30" i="3"/>
  <c r="D118" i="3" s="1"/>
  <c r="C30" i="3"/>
  <c r="C118" i="3" s="1"/>
  <c r="B30" i="3"/>
  <c r="B118" i="3" s="1"/>
  <c r="A30" i="3"/>
  <c r="A118" i="3" s="1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E29" i="3"/>
  <c r="E117" i="3" s="1"/>
  <c r="D29" i="3"/>
  <c r="D117" i="3" s="1"/>
  <c r="C29" i="3"/>
  <c r="C117" i="3" s="1"/>
  <c r="B29" i="3"/>
  <c r="B117" i="3" s="1"/>
  <c r="A29" i="3"/>
  <c r="A117" i="3" s="1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E28" i="3"/>
  <c r="B28" i="3"/>
  <c r="A28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E27" i="3"/>
  <c r="B27" i="3"/>
  <c r="A27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E26" i="3"/>
  <c r="E116" i="3" s="1"/>
  <c r="D26" i="3"/>
  <c r="D116" i="3" s="1"/>
  <c r="C26" i="3"/>
  <c r="C116" i="3" s="1"/>
  <c r="B26" i="3"/>
  <c r="B116" i="3" s="1"/>
  <c r="A26" i="3"/>
  <c r="A116" i="3" s="1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E25" i="3"/>
  <c r="B25" i="3"/>
  <c r="A25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E24" i="3"/>
  <c r="E115" i="3" s="1"/>
  <c r="D24" i="3"/>
  <c r="D115" i="3" s="1"/>
  <c r="C24" i="3"/>
  <c r="C115" i="3" s="1"/>
  <c r="B24" i="3"/>
  <c r="B115" i="3" s="1"/>
  <c r="A24" i="3"/>
  <c r="A115" i="3" s="1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E23" i="3"/>
  <c r="B23" i="3"/>
  <c r="A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E22" i="3"/>
  <c r="B22" i="3"/>
  <c r="A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E21" i="3"/>
  <c r="B21" i="3"/>
  <c r="A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E20" i="3"/>
  <c r="E114" i="3" s="1"/>
  <c r="D20" i="3"/>
  <c r="D114" i="3" s="1"/>
  <c r="C20" i="3"/>
  <c r="C114" i="3" s="1"/>
  <c r="B20" i="3"/>
  <c r="B114" i="3" s="1"/>
  <c r="A20" i="3"/>
  <c r="A114" i="3" s="1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E19" i="3"/>
  <c r="B19" i="3"/>
  <c r="A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E18" i="3"/>
  <c r="E113" i="3" s="1"/>
  <c r="D18" i="3"/>
  <c r="D113" i="3" s="1"/>
  <c r="C18" i="3"/>
  <c r="C113" i="3" s="1"/>
  <c r="B18" i="3"/>
  <c r="B113" i="3" s="1"/>
  <c r="A18" i="3"/>
  <c r="A113" i="3" s="1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E17" i="3"/>
  <c r="E112" i="3" s="1"/>
  <c r="D17" i="3"/>
  <c r="D112" i="3" s="1"/>
  <c r="C17" i="3"/>
  <c r="C112" i="3" s="1"/>
  <c r="B17" i="3"/>
  <c r="B112" i="3" s="1"/>
  <c r="A17" i="3"/>
  <c r="A112" i="3" s="1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E16" i="3"/>
  <c r="E111" i="3" s="1"/>
  <c r="D16" i="3"/>
  <c r="D111" i="3" s="1"/>
  <c r="C16" i="3"/>
  <c r="C111" i="3" s="1"/>
  <c r="B16" i="3"/>
  <c r="B111" i="3" s="1"/>
  <c r="A16" i="3"/>
  <c r="A111" i="3" s="1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E15" i="3"/>
  <c r="E110" i="3" s="1"/>
  <c r="D15" i="3"/>
  <c r="D110" i="3" s="1"/>
  <c r="C15" i="3"/>
  <c r="C110" i="3" s="1"/>
  <c r="B15" i="3"/>
  <c r="B110" i="3" s="1"/>
  <c r="A15" i="3"/>
  <c r="A110" i="3" s="1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E14" i="3"/>
  <c r="B14" i="3"/>
  <c r="A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E13" i="3"/>
  <c r="E109" i="3" s="1"/>
  <c r="D13" i="3"/>
  <c r="D109" i="3" s="1"/>
  <c r="C13" i="3"/>
  <c r="C109" i="3" s="1"/>
  <c r="B13" i="3"/>
  <c r="B109" i="3" s="1"/>
  <c r="A13" i="3"/>
  <c r="A109" i="3" s="1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E12" i="3"/>
  <c r="E108" i="3" s="1"/>
  <c r="D12" i="3"/>
  <c r="D108" i="3" s="1"/>
  <c r="C12" i="3"/>
  <c r="C108" i="3" s="1"/>
  <c r="B12" i="3"/>
  <c r="B108" i="3" s="1"/>
  <c r="A12" i="3"/>
  <c r="A108" i="3" s="1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E11" i="3"/>
  <c r="E107" i="3" s="1"/>
  <c r="D11" i="3"/>
  <c r="D107" i="3" s="1"/>
  <c r="C11" i="3"/>
  <c r="C107" i="3" s="1"/>
  <c r="B11" i="3"/>
  <c r="B107" i="3" s="1"/>
  <c r="A11" i="3"/>
  <c r="A107" i="3" s="1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E10" i="3"/>
  <c r="E106" i="3" s="1"/>
  <c r="D10" i="3"/>
  <c r="D106" i="3" s="1"/>
  <c r="C10" i="3"/>
  <c r="C106" i="3" s="1"/>
  <c r="B10" i="3"/>
  <c r="B106" i="3" s="1"/>
  <c r="A10" i="3"/>
  <c r="A106" i="3" s="1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E9" i="3"/>
  <c r="B9" i="3"/>
  <c r="A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E8" i="3"/>
  <c r="E105" i="3" s="1"/>
  <c r="D8" i="3"/>
  <c r="D105" i="3" s="1"/>
  <c r="C8" i="3"/>
  <c r="C105" i="3" s="1"/>
  <c r="B8" i="3"/>
  <c r="B105" i="3" s="1"/>
  <c r="A8" i="3"/>
  <c r="A105" i="3" s="1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E7" i="3"/>
  <c r="B7" i="3"/>
  <c r="A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E6" i="3"/>
  <c r="B6" i="3"/>
  <c r="A6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E5" i="3"/>
  <c r="B5" i="3"/>
  <c r="B5" i="2" s="1"/>
  <c r="A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E4" i="3"/>
  <c r="B4" i="3"/>
  <c r="A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E3" i="3"/>
  <c r="B3" i="3"/>
  <c r="A3" i="3"/>
  <c r="E2" i="3"/>
  <c r="D2" i="3"/>
  <c r="C2" i="3"/>
  <c r="B2" i="3"/>
  <c r="A2" i="3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E78" i="2"/>
  <c r="D78" i="2"/>
  <c r="C78" i="2"/>
  <c r="A78" i="2"/>
  <c r="E77" i="2"/>
  <c r="D77" i="2"/>
  <c r="C77" i="2"/>
  <c r="B77" i="2"/>
  <c r="A77" i="2"/>
  <c r="E76" i="2"/>
  <c r="D76" i="2"/>
  <c r="C76" i="2"/>
  <c r="B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E48" i="2"/>
  <c r="D48" i="2"/>
  <c r="C48" i="2"/>
  <c r="B48" i="2"/>
  <c r="A48" i="2"/>
  <c r="D47" i="2"/>
  <c r="C47" i="2"/>
  <c r="B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E6" i="2"/>
  <c r="D6" i="2"/>
  <c r="C6" i="2"/>
  <c r="B6" i="2"/>
  <c r="A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F144" i="3"/>
  <c r="F141" i="3"/>
  <c r="F108" i="3"/>
  <c r="F150" i="3"/>
  <c r="F113" i="3"/>
  <c r="F148" i="3"/>
  <c r="F134" i="3"/>
  <c r="F145" i="3"/>
  <c r="F140" i="3"/>
  <c r="F104" i="3"/>
  <c r="F149" i="3"/>
  <c r="F139" i="3"/>
  <c r="F138" i="3"/>
  <c r="F107" i="3"/>
  <c r="F122" i="3"/>
  <c r="F123" i="3"/>
  <c r="F136" i="3"/>
  <c r="F121" i="3"/>
  <c r="F137" i="3"/>
  <c r="F111" i="3"/>
  <c r="F120" i="3"/>
  <c r="F115" i="3"/>
  <c r="F129" i="3"/>
  <c r="F126" i="3"/>
  <c r="F142" i="3"/>
  <c r="F110" i="3"/>
  <c r="F131" i="3"/>
  <c r="F133" i="3"/>
  <c r="F132" i="3"/>
  <c r="F147" i="3"/>
  <c r="F151" i="3"/>
  <c r="F124" i="3"/>
  <c r="F116" i="3"/>
  <c r="F127" i="3"/>
  <c r="F135" i="3"/>
  <c r="C174" i="3"/>
  <c r="F118" i="3"/>
  <c r="F125" i="3"/>
  <c r="F128" i="3"/>
  <c r="F109" i="3"/>
  <c r="F114" i="3"/>
  <c r="F119" i="3"/>
  <c r="F143" i="3"/>
  <c r="F112" i="3"/>
  <c r="F146" i="3"/>
  <c r="F117" i="3"/>
  <c r="F130" i="3"/>
  <c r="F105" i="3"/>
  <c r="F106" i="3"/>
  <c r="C172" i="3"/>
  <c r="C176" i="3"/>
  <c r="A96" i="3"/>
  <c r="B160" i="3" l="1"/>
  <c r="B176" i="3"/>
  <c r="B166" i="3"/>
  <c r="B172" i="3"/>
  <c r="B168" i="3"/>
  <c r="B164" i="3"/>
  <c r="B174" i="3"/>
  <c r="B17" i="2"/>
  <c r="A131" i="3"/>
  <c r="A47" i="2"/>
  <c r="E131" i="3"/>
  <c r="E47" i="2"/>
  <c r="B144" i="3"/>
  <c r="B70" i="2"/>
  <c r="P178" i="3" l="1"/>
  <c r="P179" i="3" s="1"/>
  <c r="L178" i="3"/>
  <c r="L179" i="3" s="1"/>
  <c r="H178" i="3"/>
  <c r="H179" i="3" s="1"/>
  <c r="D178" i="3"/>
  <c r="D179" i="3" s="1"/>
  <c r="N178" i="3"/>
  <c r="N179" i="3" s="1"/>
  <c r="J178" i="3"/>
  <c r="J179" i="3" s="1"/>
  <c r="F178" i="3"/>
  <c r="F179" i="3" s="1"/>
  <c r="B178" i="3"/>
  <c r="B179" i="3" s="1"/>
  <c r="O178" i="3"/>
  <c r="O179" i="3" s="1"/>
  <c r="G178" i="3"/>
  <c r="G179" i="3" s="1"/>
  <c r="K178" i="3"/>
  <c r="K179" i="3" s="1"/>
  <c r="C178" i="3"/>
  <c r="C179" i="3" s="1"/>
  <c r="M178" i="3"/>
  <c r="M179" i="3" s="1"/>
  <c r="I178" i="3"/>
  <c r="I179" i="3" s="1"/>
  <c r="E178" i="3"/>
  <c r="E179" i="3" s="1"/>
  <c r="Q178" i="3"/>
  <c r="Q179" i="3" s="1"/>
  <c r="N170" i="3"/>
  <c r="N171" i="3" s="1"/>
  <c r="J170" i="3"/>
  <c r="J171" i="3" s="1"/>
  <c r="F170" i="3"/>
  <c r="F171" i="3" s="1"/>
  <c r="B170" i="3"/>
  <c r="B171" i="3" s="1"/>
  <c r="B102" i="3" s="1"/>
  <c r="P170" i="3"/>
  <c r="P171" i="3" s="1"/>
  <c r="L170" i="3"/>
  <c r="L171" i="3" s="1"/>
  <c r="H170" i="3"/>
  <c r="H171" i="3" s="1"/>
  <c r="D170" i="3"/>
  <c r="D171" i="3" s="1"/>
  <c r="M170" i="3"/>
  <c r="M171" i="3" s="1"/>
  <c r="E170" i="3"/>
  <c r="E171" i="3" s="1"/>
  <c r="Q170" i="3"/>
  <c r="Q171" i="3" s="1"/>
  <c r="I170" i="3"/>
  <c r="I171" i="3" s="1"/>
  <c r="C170" i="3"/>
  <c r="C171" i="3" s="1"/>
  <c r="O170" i="3"/>
  <c r="O171" i="3" s="1"/>
  <c r="K170" i="3"/>
  <c r="K171" i="3" s="1"/>
  <c r="G170" i="3"/>
  <c r="G171" i="3" s="1"/>
  <c r="F2" i="3" l="1"/>
  <c r="U2" i="3"/>
  <c r="P2" i="3"/>
  <c r="AE2" i="3"/>
  <c r="AH2" i="3"/>
  <c r="S2" i="3"/>
  <c r="Q2" i="3"/>
  <c r="AF2" i="3"/>
  <c r="H2" i="3"/>
  <c r="W2" i="3"/>
  <c r="M2" i="3"/>
  <c r="AB2" i="3"/>
  <c r="V2" i="3"/>
  <c r="G2" i="3"/>
  <c r="R2" i="3"/>
  <c r="AG2" i="3"/>
  <c r="AD2" i="3"/>
  <c r="O2" i="3"/>
  <c r="J2" i="3"/>
  <c r="Y2" i="3"/>
  <c r="L2" i="3"/>
  <c r="AA2" i="3"/>
  <c r="N2" i="3"/>
  <c r="AC2" i="3"/>
  <c r="T2" i="3"/>
  <c r="AI2" i="3"/>
  <c r="Z2" i="3"/>
  <c r="K2" i="3"/>
  <c r="I2" i="3"/>
  <c r="X2" i="3"/>
  <c r="F20" i="3"/>
  <c r="F43" i="3"/>
  <c r="F61" i="3"/>
  <c r="S14" i="3"/>
  <c r="S22" i="3"/>
  <c r="S63" i="3"/>
  <c r="S3" i="3"/>
  <c r="S6" i="3"/>
  <c r="S19" i="3"/>
  <c r="S21" i="3"/>
  <c r="S4" i="3"/>
  <c r="S33" i="3"/>
  <c r="S37" i="3"/>
  <c r="S54" i="3"/>
  <c r="S60" i="3"/>
  <c r="S9" i="3"/>
  <c r="S48" i="3"/>
  <c r="S34" i="3"/>
  <c r="S51" i="3"/>
  <c r="S23" i="3"/>
  <c r="S27" i="3"/>
  <c r="S76" i="3"/>
  <c r="S86" i="3"/>
  <c r="S28" i="3"/>
  <c r="S50" i="3"/>
  <c r="S66" i="3"/>
  <c r="S72" i="3"/>
  <c r="S75" i="3"/>
  <c r="S44" i="3"/>
  <c r="S57" i="3"/>
  <c r="S69" i="3"/>
  <c r="S77" i="3"/>
  <c r="S78" i="3"/>
  <c r="S80" i="3"/>
  <c r="S81" i="3"/>
  <c r="F31" i="3"/>
  <c r="F67" i="3"/>
  <c r="F62" i="3"/>
  <c r="M27" i="3"/>
  <c r="M4" i="3"/>
  <c r="M9" i="3"/>
  <c r="M19" i="3"/>
  <c r="M21" i="3"/>
  <c r="M44" i="3"/>
  <c r="M54" i="3"/>
  <c r="M14" i="3"/>
  <c r="M23" i="3"/>
  <c r="M3" i="3"/>
  <c r="M6" i="3"/>
  <c r="M77" i="3"/>
  <c r="M28" i="3"/>
  <c r="M78" i="3"/>
  <c r="M33" i="3"/>
  <c r="M37" i="3"/>
  <c r="M69" i="3"/>
  <c r="M22" i="3"/>
  <c r="M34" i="3"/>
  <c r="M50" i="3"/>
  <c r="M57" i="3"/>
  <c r="M60" i="3"/>
  <c r="M66" i="3"/>
  <c r="M48" i="3"/>
  <c r="M51" i="3"/>
  <c r="M63" i="3"/>
  <c r="M75" i="3"/>
  <c r="M80" i="3"/>
  <c r="M86" i="3"/>
  <c r="M72" i="3"/>
  <c r="M76" i="3"/>
  <c r="M81" i="3"/>
  <c r="F73" i="3"/>
  <c r="L19" i="3"/>
  <c r="L9" i="3"/>
  <c r="L21" i="3"/>
  <c r="L14" i="3"/>
  <c r="L3" i="3"/>
  <c r="L6" i="3"/>
  <c r="L51" i="3"/>
  <c r="L78" i="3"/>
  <c r="L4" i="3"/>
  <c r="L28" i="3"/>
  <c r="L75" i="3"/>
  <c r="L33" i="3"/>
  <c r="L37" i="3"/>
  <c r="L69" i="3"/>
  <c r="L22" i="3"/>
  <c r="L34" i="3"/>
  <c r="L50" i="3"/>
  <c r="L57" i="3"/>
  <c r="L66" i="3"/>
  <c r="L23" i="3"/>
  <c r="L27" i="3"/>
  <c r="L44" i="3"/>
  <c r="L48" i="3"/>
  <c r="L54" i="3"/>
  <c r="L63" i="3"/>
  <c r="L60" i="3"/>
  <c r="L72" i="3"/>
  <c r="L76" i="3"/>
  <c r="L81" i="3"/>
  <c r="L77" i="3"/>
  <c r="L80" i="3"/>
  <c r="L86" i="3"/>
  <c r="O85" i="3"/>
  <c r="N84" i="3"/>
  <c r="I83" i="3"/>
  <c r="H82" i="3"/>
  <c r="Q84" i="3"/>
  <c r="K83" i="3"/>
  <c r="L85" i="3"/>
  <c r="O83" i="3"/>
  <c r="I82" i="3"/>
  <c r="G74" i="3"/>
  <c r="R71" i="3"/>
  <c r="P85" i="3"/>
  <c r="I84" i="3"/>
  <c r="R82" i="3"/>
  <c r="N74" i="3"/>
  <c r="I73" i="3"/>
  <c r="T70" i="3"/>
  <c r="T68" i="3"/>
  <c r="S67" i="3"/>
  <c r="S65" i="3"/>
  <c r="R64" i="3"/>
  <c r="N62" i="3"/>
  <c r="I61" i="3"/>
  <c r="T58" i="3"/>
  <c r="T56" i="3"/>
  <c r="S55" i="3"/>
  <c r="S53" i="3"/>
  <c r="R52" i="3"/>
  <c r="N47" i="3"/>
  <c r="I46" i="3"/>
  <c r="H45" i="3"/>
  <c r="H43" i="3"/>
  <c r="G42" i="3"/>
  <c r="Q40" i="3"/>
  <c r="G83" i="3"/>
  <c r="P71" i="3"/>
  <c r="O68" i="3"/>
  <c r="I67" i="3"/>
  <c r="S64" i="3"/>
  <c r="O62" i="3"/>
  <c r="H61" i="3"/>
  <c r="S58" i="3"/>
  <c r="N56" i="3"/>
  <c r="H55" i="3"/>
  <c r="Q52" i="3"/>
  <c r="O47" i="3"/>
  <c r="H46" i="3"/>
  <c r="R43" i="3"/>
  <c r="L42" i="3"/>
  <c r="O40" i="3"/>
  <c r="L39" i="3"/>
  <c r="K38" i="3"/>
  <c r="K36" i="3"/>
  <c r="J35" i="3"/>
  <c r="G32" i="3"/>
  <c r="Q30" i="3"/>
  <c r="P29" i="3"/>
  <c r="M26" i="3"/>
  <c r="L25" i="3"/>
  <c r="I24" i="3"/>
  <c r="G20" i="3"/>
  <c r="G18" i="3"/>
  <c r="N85" i="3"/>
  <c r="L74" i="3"/>
  <c r="G71" i="3"/>
  <c r="N68" i="3"/>
  <c r="H67" i="3"/>
  <c r="Q64" i="3"/>
  <c r="M62" i="3"/>
  <c r="G61" i="3"/>
  <c r="R58" i="3"/>
  <c r="M56" i="3"/>
  <c r="Q53" i="3"/>
  <c r="S47" i="3"/>
  <c r="L46" i="3"/>
  <c r="Q43" i="3"/>
  <c r="T41" i="3"/>
  <c r="N40" i="3"/>
  <c r="K39" i="3"/>
  <c r="J38" i="3"/>
  <c r="Q35" i="3"/>
  <c r="N32" i="3"/>
  <c r="I31" i="3"/>
  <c r="H30" i="3"/>
  <c r="G29" i="3"/>
  <c r="H26" i="3"/>
  <c r="G25" i="3"/>
  <c r="H24" i="3"/>
  <c r="Q74" i="3"/>
  <c r="T71" i="3"/>
  <c r="G70" i="3"/>
  <c r="Q67" i="3"/>
  <c r="P64" i="3"/>
  <c r="G62" i="3"/>
  <c r="L59" i="3"/>
  <c r="Q56" i="3"/>
  <c r="P53" i="3"/>
  <c r="I52" i="3"/>
  <c r="P46" i="3"/>
  <c r="O43" i="3"/>
  <c r="I42" i="3"/>
  <c r="R40" i="3"/>
  <c r="N39" i="3"/>
  <c r="I38" i="3"/>
  <c r="T35" i="3"/>
  <c r="Q32" i="3"/>
  <c r="P31" i="3"/>
  <c r="O30" i="3"/>
  <c r="N29" i="3"/>
  <c r="K71" i="3"/>
  <c r="P62" i="3"/>
  <c r="I53" i="3"/>
  <c r="F8" i="3"/>
  <c r="F83" i="3"/>
  <c r="F38" i="3"/>
  <c r="P28" i="3"/>
  <c r="P9" i="3"/>
  <c r="P14" i="3"/>
  <c r="P3" i="3"/>
  <c r="P6" i="3"/>
  <c r="P4" i="3"/>
  <c r="P19" i="3"/>
  <c r="P21" i="3"/>
  <c r="P69" i="3"/>
  <c r="P33" i="3"/>
  <c r="P37" i="3"/>
  <c r="P50" i="3"/>
  <c r="P57" i="3"/>
  <c r="P66" i="3"/>
  <c r="P22" i="3"/>
  <c r="P34" i="3"/>
  <c r="P44" i="3"/>
  <c r="P48" i="3"/>
  <c r="P54" i="3"/>
  <c r="P63" i="3"/>
  <c r="P75" i="3"/>
  <c r="P78" i="3"/>
  <c r="P23" i="3"/>
  <c r="P27" i="3"/>
  <c r="P51" i="3"/>
  <c r="P81" i="3"/>
  <c r="P60" i="3"/>
  <c r="P72" i="3"/>
  <c r="P76" i="3"/>
  <c r="P77" i="3"/>
  <c r="P80" i="3"/>
  <c r="P86" i="3"/>
  <c r="Q4" i="3"/>
  <c r="Q19" i="3"/>
  <c r="Q21" i="3"/>
  <c r="Q23" i="3"/>
  <c r="Q9" i="3"/>
  <c r="Q14" i="3"/>
  <c r="Q27" i="3"/>
  <c r="Q3" i="3"/>
  <c r="Q6" i="3"/>
  <c r="Q28" i="3"/>
  <c r="Q69" i="3"/>
  <c r="Q33" i="3"/>
  <c r="Q37" i="3"/>
  <c r="Q50" i="3"/>
  <c r="Q57" i="3"/>
  <c r="Q60" i="3"/>
  <c r="Q66" i="3"/>
  <c r="Q77" i="3"/>
  <c r="Q22" i="3"/>
  <c r="Q34" i="3"/>
  <c r="Q44" i="3"/>
  <c r="Q54" i="3"/>
  <c r="Q78" i="3"/>
  <c r="Q80" i="3"/>
  <c r="Q48" i="3"/>
  <c r="Q51" i="3"/>
  <c r="Q63" i="3"/>
  <c r="Q75" i="3"/>
  <c r="Q81" i="3"/>
  <c r="Q72" i="3"/>
  <c r="Q76" i="3"/>
  <c r="Q86" i="3"/>
  <c r="F85" i="3"/>
  <c r="F32" i="3"/>
  <c r="F12" i="3"/>
  <c r="F74" i="3"/>
  <c r="O76" i="3"/>
  <c r="O14" i="3"/>
  <c r="O3" i="3"/>
  <c r="O6" i="3"/>
  <c r="O33" i="3"/>
  <c r="O37" i="3"/>
  <c r="O50" i="3"/>
  <c r="O66" i="3"/>
  <c r="O4" i="3"/>
  <c r="O19" i="3"/>
  <c r="O21" i="3"/>
  <c r="O22" i="3"/>
  <c r="O9" i="3"/>
  <c r="O34" i="3"/>
  <c r="O48" i="3"/>
  <c r="O54" i="3"/>
  <c r="O60" i="3"/>
  <c r="O63" i="3"/>
  <c r="O72" i="3"/>
  <c r="O75" i="3"/>
  <c r="O23" i="3"/>
  <c r="O27" i="3"/>
  <c r="O51" i="3"/>
  <c r="O28" i="3"/>
  <c r="O44" i="3"/>
  <c r="O57" i="3"/>
  <c r="O69" i="3"/>
  <c r="O77" i="3"/>
  <c r="O78" i="3"/>
  <c r="O86" i="3"/>
  <c r="O80" i="3"/>
  <c r="O81" i="3"/>
  <c r="K85" i="3"/>
  <c r="J84" i="3"/>
  <c r="T82" i="3"/>
  <c r="T85" i="3"/>
  <c r="L84" i="3"/>
  <c r="O82" i="3"/>
  <c r="P84" i="3"/>
  <c r="J83" i="3"/>
  <c r="S74" i="3"/>
  <c r="R73" i="3"/>
  <c r="N71" i="3"/>
  <c r="J85" i="3"/>
  <c r="S83" i="3"/>
  <c r="M82" i="3"/>
  <c r="J74" i="3"/>
  <c r="Q71" i="3"/>
  <c r="P70" i="3"/>
  <c r="P68" i="3"/>
  <c r="O67" i="3"/>
  <c r="O65" i="3"/>
  <c r="N64" i="3"/>
  <c r="J62" i="3"/>
  <c r="Q59" i="3"/>
  <c r="P58" i="3"/>
  <c r="P56" i="3"/>
  <c r="O55" i="3"/>
  <c r="O53" i="3"/>
  <c r="N52" i="3"/>
  <c r="J47" i="3"/>
  <c r="T45" i="3"/>
  <c r="T43" i="3"/>
  <c r="S42" i="3"/>
  <c r="R41" i="3"/>
  <c r="M40" i="3"/>
  <c r="M74" i="3"/>
  <c r="H71" i="3"/>
  <c r="J68" i="3"/>
  <c r="T65" i="3"/>
  <c r="M64" i="3"/>
  <c r="I62" i="3"/>
  <c r="T59" i="3"/>
  <c r="N58" i="3"/>
  <c r="I56" i="3"/>
  <c r="R53" i="3"/>
  <c r="L52" i="3"/>
  <c r="I47" i="3"/>
  <c r="R45" i="3"/>
  <c r="M43" i="3"/>
  <c r="P41" i="3"/>
  <c r="J40" i="3"/>
  <c r="H39" i="3"/>
  <c r="G38" i="3"/>
  <c r="G36" i="3"/>
  <c r="S32" i="3"/>
  <c r="R31" i="3"/>
  <c r="M30" i="3"/>
  <c r="L29" i="3"/>
  <c r="I26" i="3"/>
  <c r="H25" i="3"/>
  <c r="S20" i="3"/>
  <c r="S18" i="3"/>
  <c r="R17" i="3"/>
  <c r="H84" i="3"/>
  <c r="S73" i="3"/>
  <c r="N70" i="3"/>
  <c r="I68" i="3"/>
  <c r="R65" i="3"/>
  <c r="L64" i="3"/>
  <c r="H62" i="3"/>
  <c r="S59" i="3"/>
  <c r="M58" i="3"/>
  <c r="G56" i="3"/>
  <c r="L53" i="3"/>
  <c r="M47" i="3"/>
  <c r="G46" i="3"/>
  <c r="K43" i="3"/>
  <c r="O41" i="3"/>
  <c r="H40" i="3"/>
  <c r="G39" i="3"/>
  <c r="R36" i="3"/>
  <c r="M35" i="3"/>
  <c r="J32" i="3"/>
  <c r="T30" i="3"/>
  <c r="S29" i="3"/>
  <c r="T26" i="3"/>
  <c r="S25" i="3"/>
  <c r="T24" i="3"/>
  <c r="I85" i="3"/>
  <c r="I74" i="3"/>
  <c r="L71" i="3"/>
  <c r="R68" i="3"/>
  <c r="L67" i="3"/>
  <c r="K64" i="3"/>
  <c r="P61" i="3"/>
  <c r="G59" i="3"/>
  <c r="K56" i="3"/>
  <c r="J53" i="3"/>
  <c r="Q47" i="3"/>
  <c r="K46" i="3"/>
  <c r="J43" i="3"/>
  <c r="S41" i="3"/>
  <c r="L40" i="3"/>
  <c r="J39" i="3"/>
  <c r="Q36" i="3"/>
  <c r="P35" i="3"/>
  <c r="M32" i="3"/>
  <c r="L31" i="3"/>
  <c r="K30" i="3"/>
  <c r="J29" i="3"/>
  <c r="Q68" i="3"/>
  <c r="F17" i="3"/>
  <c r="F35" i="3"/>
  <c r="F84" i="3"/>
  <c r="F6" i="3"/>
  <c r="F3" i="3"/>
  <c r="F4" i="3"/>
  <c r="F22" i="3"/>
  <c r="F27" i="3"/>
  <c r="F34" i="3"/>
  <c r="F9" i="3"/>
  <c r="F14" i="3"/>
  <c r="F23" i="3"/>
  <c r="F72" i="3"/>
  <c r="F69" i="3"/>
  <c r="F77" i="3"/>
  <c r="F80" i="3"/>
  <c r="F28" i="3"/>
  <c r="F48" i="3"/>
  <c r="F57" i="3"/>
  <c r="F60" i="3"/>
  <c r="F63" i="3"/>
  <c r="F19" i="3"/>
  <c r="F21" i="3"/>
  <c r="F33" i="3"/>
  <c r="F37" i="3"/>
  <c r="F44" i="3"/>
  <c r="F51" i="3"/>
  <c r="F76" i="3"/>
  <c r="F50" i="3"/>
  <c r="F54" i="3"/>
  <c r="F66" i="3"/>
  <c r="F78" i="3"/>
  <c r="F81" i="3"/>
  <c r="F75" i="3"/>
  <c r="F86" i="3"/>
  <c r="F64" i="3"/>
  <c r="F29" i="3"/>
  <c r="F36" i="3"/>
  <c r="G14" i="3"/>
  <c r="G21" i="3"/>
  <c r="G19" i="3"/>
  <c r="G3" i="3"/>
  <c r="G6" i="3"/>
  <c r="G51" i="3"/>
  <c r="G4" i="3"/>
  <c r="G22" i="3"/>
  <c r="G9" i="3"/>
  <c r="G33" i="3"/>
  <c r="G37" i="3"/>
  <c r="G76" i="3"/>
  <c r="G34" i="3"/>
  <c r="G72" i="3"/>
  <c r="G75" i="3"/>
  <c r="G23" i="3"/>
  <c r="G27" i="3"/>
  <c r="G50" i="3"/>
  <c r="G66" i="3"/>
  <c r="G28" i="3"/>
  <c r="G48" i="3"/>
  <c r="G54" i="3"/>
  <c r="G60" i="3"/>
  <c r="G63" i="3"/>
  <c r="G44" i="3"/>
  <c r="G57" i="3"/>
  <c r="G69" i="3"/>
  <c r="G77" i="3"/>
  <c r="G80" i="3"/>
  <c r="G78" i="3"/>
  <c r="G86" i="3"/>
  <c r="G81" i="3"/>
  <c r="S85" i="3"/>
  <c r="R84" i="3"/>
  <c r="M83" i="3"/>
  <c r="L82" i="3"/>
  <c r="H85" i="3"/>
  <c r="P83" i="3"/>
  <c r="R85" i="3"/>
  <c r="T83" i="3"/>
  <c r="N82" i="3"/>
  <c r="K74" i="3"/>
  <c r="J73" i="3"/>
  <c r="Q70" i="3"/>
  <c r="O84" i="3"/>
  <c r="H83" i="3"/>
  <c r="R74" i="3"/>
  <c r="M73" i="3"/>
  <c r="I71" i="3"/>
  <c r="H70" i="3"/>
  <c r="H68" i="3"/>
  <c r="G67" i="3"/>
  <c r="G65" i="3"/>
  <c r="R62" i="3"/>
  <c r="M61" i="3"/>
  <c r="I59" i="3"/>
  <c r="H58" i="3"/>
  <c r="H56" i="3"/>
  <c r="G55" i="3"/>
  <c r="G53" i="3"/>
  <c r="R47" i="3"/>
  <c r="M46" i="3"/>
  <c r="L45" i="3"/>
  <c r="L43" i="3"/>
  <c r="K42" i="3"/>
  <c r="J41" i="3"/>
  <c r="M84" i="3"/>
  <c r="L73" i="3"/>
  <c r="J70" i="3"/>
  <c r="N67" i="3"/>
  <c r="I65" i="3"/>
  <c r="T62" i="3"/>
  <c r="N61" i="3"/>
  <c r="J59" i="3"/>
  <c r="S56" i="3"/>
  <c r="M55" i="3"/>
  <c r="H53" i="3"/>
  <c r="T47" i="3"/>
  <c r="N46" i="3"/>
  <c r="G45" i="3"/>
  <c r="Q42" i="3"/>
  <c r="T40" i="3"/>
  <c r="P39" i="3"/>
  <c r="O38" i="3"/>
  <c r="O36" i="3"/>
  <c r="N35" i="3"/>
  <c r="K32" i="3"/>
  <c r="J31" i="3"/>
  <c r="T29" i="3"/>
  <c r="Q26" i="3"/>
  <c r="P25" i="3"/>
  <c r="M24" i="3"/>
  <c r="K20" i="3"/>
  <c r="K18" i="3"/>
  <c r="J17" i="3"/>
  <c r="T74" i="3"/>
  <c r="O71" i="3"/>
  <c r="S68" i="3"/>
  <c r="M67" i="3"/>
  <c r="H65" i="3"/>
  <c r="S62" i="3"/>
  <c r="L61" i="3"/>
  <c r="H59" i="3"/>
  <c r="R56" i="3"/>
  <c r="L55" i="3"/>
  <c r="K52" i="3"/>
  <c r="R46" i="3"/>
  <c r="K45" i="3"/>
  <c r="J42" i="3"/>
  <c r="S40" i="3"/>
  <c r="O39" i="3"/>
  <c r="N38" i="3"/>
  <c r="J36" i="3"/>
  <c r="R32" i="3"/>
  <c r="M31" i="3"/>
  <c r="L30" i="3"/>
  <c r="K29" i="3"/>
  <c r="L26" i="3"/>
  <c r="K25" i="3"/>
  <c r="L24" i="3"/>
  <c r="K82" i="3"/>
  <c r="H73" i="3"/>
  <c r="M70" i="3"/>
  <c r="G68" i="3"/>
  <c r="L65" i="3"/>
  <c r="L62" i="3"/>
  <c r="R59" i="3"/>
  <c r="K58" i="3"/>
  <c r="J55" i="3"/>
  <c r="O52" i="3"/>
  <c r="G47" i="3"/>
  <c r="J45" i="3"/>
  <c r="N42" i="3"/>
  <c r="H41" i="3"/>
  <c r="R39" i="3"/>
  <c r="M38" i="3"/>
  <c r="I36" i="3"/>
  <c r="H35" i="3"/>
  <c r="T31" i="3"/>
  <c r="S30" i="3"/>
  <c r="R29" i="3"/>
  <c r="H74" i="3"/>
  <c r="T64" i="3"/>
  <c r="I55" i="3"/>
  <c r="I43" i="3"/>
  <c r="H38" i="3"/>
  <c r="O31" i="3"/>
  <c r="M25" i="3"/>
  <c r="L20" i="3"/>
  <c r="K17" i="3"/>
  <c r="H16" i="3"/>
  <c r="G15" i="3"/>
  <c r="G13" i="3"/>
  <c r="F68" i="3"/>
  <c r="F45" i="3"/>
  <c r="G85" i="3"/>
  <c r="G84" i="3"/>
  <c r="O74" i="3"/>
  <c r="N83" i="3"/>
  <c r="L70" i="3"/>
  <c r="J64" i="3"/>
  <c r="L56" i="3"/>
  <c r="Q46" i="3"/>
  <c r="N41" i="3"/>
  <c r="T67" i="3"/>
  <c r="O59" i="3"/>
  <c r="G52" i="3"/>
  <c r="K41" i="3"/>
  <c r="R35" i="3"/>
  <c r="H29" i="3"/>
  <c r="O18" i="3"/>
  <c r="I70" i="3"/>
  <c r="R61" i="3"/>
  <c r="P52" i="3"/>
  <c r="I41" i="3"/>
  <c r="I35" i="3"/>
  <c r="P26" i="3"/>
  <c r="P73" i="3"/>
  <c r="Q62" i="3"/>
  <c r="T52" i="3"/>
  <c r="M41" i="3"/>
  <c r="L35" i="3"/>
  <c r="L83" i="3"/>
  <c r="O46" i="3"/>
  <c r="I39" i="3"/>
  <c r="N30" i="3"/>
  <c r="G24" i="3"/>
  <c r="P17" i="3"/>
  <c r="S15" i="3"/>
  <c r="O13" i="3"/>
  <c r="J12" i="3"/>
  <c r="T10" i="3"/>
  <c r="T8" i="3"/>
  <c r="O73" i="3"/>
  <c r="K62" i="3"/>
  <c r="P47" i="3"/>
  <c r="T38" i="3"/>
  <c r="K31" i="3"/>
  <c r="K26" i="3"/>
  <c r="P20" i="3"/>
  <c r="T17" i="3"/>
  <c r="O16" i="3"/>
  <c r="N15" i="3"/>
  <c r="J13" i="3"/>
  <c r="T11" i="3"/>
  <c r="S10" i="3"/>
  <c r="S8" i="3"/>
  <c r="G73" i="3"/>
  <c r="T61" i="3"/>
  <c r="T53" i="3"/>
  <c r="S43" i="3"/>
  <c r="P38" i="3"/>
  <c r="G31" i="3"/>
  <c r="I25" i="3"/>
  <c r="N20" i="3"/>
  <c r="I18" i="3"/>
  <c r="R16" i="3"/>
  <c r="M15" i="3"/>
  <c r="I13" i="3"/>
  <c r="H12" i="3"/>
  <c r="G11" i="3"/>
  <c r="R8" i="3"/>
  <c r="H42" i="3"/>
  <c r="J24" i="3"/>
  <c r="P15" i="3"/>
  <c r="P40" i="3"/>
  <c r="M16" i="3"/>
  <c r="R11" i="3"/>
  <c r="T46" i="3"/>
  <c r="O12" i="3"/>
  <c r="N53" i="3"/>
  <c r="Q8" i="3"/>
  <c r="I16" i="3"/>
  <c r="N45" i="3"/>
  <c r="L17" i="3"/>
  <c r="T32" i="3"/>
  <c r="N11" i="3"/>
  <c r="J11" i="3"/>
  <c r="F52" i="3"/>
  <c r="F59" i="3"/>
  <c r="K22" i="3"/>
  <c r="K14" i="3"/>
  <c r="K33" i="3"/>
  <c r="K37" i="3"/>
  <c r="K3" i="3"/>
  <c r="K6" i="3"/>
  <c r="K4" i="3"/>
  <c r="K9" i="3"/>
  <c r="K19" i="3"/>
  <c r="K21" i="3"/>
  <c r="K34" i="3"/>
  <c r="K50" i="3"/>
  <c r="K66" i="3"/>
  <c r="K86" i="3"/>
  <c r="K23" i="3"/>
  <c r="K27" i="3"/>
  <c r="K48" i="3"/>
  <c r="K54" i="3"/>
  <c r="K60" i="3"/>
  <c r="K63" i="3"/>
  <c r="K76" i="3"/>
  <c r="K80" i="3"/>
  <c r="K28" i="3"/>
  <c r="K51" i="3"/>
  <c r="K72" i="3"/>
  <c r="K75" i="3"/>
  <c r="K44" i="3"/>
  <c r="K57" i="3"/>
  <c r="K69" i="3"/>
  <c r="K77" i="3"/>
  <c r="K78" i="3"/>
  <c r="K81" i="3"/>
  <c r="F13" i="3"/>
  <c r="F53" i="3"/>
  <c r="F11" i="3"/>
  <c r="F55" i="3"/>
  <c r="M85" i="3"/>
  <c r="S61" i="3"/>
  <c r="I30" i="3"/>
  <c r="G64" i="3"/>
  <c r="N36" i="3"/>
  <c r="R83" i="3"/>
  <c r="T42" i="3"/>
  <c r="O56" i="3"/>
  <c r="O24" i="3"/>
  <c r="I11" i="3"/>
  <c r="O64" i="3"/>
  <c r="L32" i="3"/>
  <c r="J18" i="3"/>
  <c r="N13" i="3"/>
  <c r="G10" i="3"/>
  <c r="T55" i="3"/>
  <c r="Q39" i="3"/>
  <c r="T20" i="3"/>
  <c r="Q15" i="3"/>
  <c r="K11" i="3"/>
  <c r="F25" i="3"/>
  <c r="Q17" i="3"/>
  <c r="J65" i="3"/>
  <c r="O61" i="3"/>
  <c r="I10" i="3"/>
  <c r="F42" i="3"/>
  <c r="F71" i="3"/>
  <c r="F58" i="3"/>
  <c r="H9" i="3"/>
  <c r="H44" i="3"/>
  <c r="H54" i="3"/>
  <c r="H14" i="3"/>
  <c r="H19" i="3"/>
  <c r="H21" i="3"/>
  <c r="H48" i="3"/>
  <c r="H3" i="3"/>
  <c r="H6" i="3"/>
  <c r="H28" i="3"/>
  <c r="H63" i="3"/>
  <c r="H4" i="3"/>
  <c r="H33" i="3"/>
  <c r="H37" i="3"/>
  <c r="H51" i="3"/>
  <c r="H22" i="3"/>
  <c r="H34" i="3"/>
  <c r="H69" i="3"/>
  <c r="H75" i="3"/>
  <c r="H78" i="3"/>
  <c r="H23" i="3"/>
  <c r="H27" i="3"/>
  <c r="H50" i="3"/>
  <c r="H57" i="3"/>
  <c r="H66" i="3"/>
  <c r="H60" i="3"/>
  <c r="H72" i="3"/>
  <c r="H76" i="3"/>
  <c r="H77" i="3"/>
  <c r="H81" i="3"/>
  <c r="H80" i="3"/>
  <c r="H86" i="3"/>
  <c r="Q83" i="3"/>
  <c r="J82" i="3"/>
  <c r="N73" i="3"/>
  <c r="G82" i="3"/>
  <c r="L68" i="3"/>
  <c r="Q61" i="3"/>
  <c r="K55" i="3"/>
  <c r="P45" i="3"/>
  <c r="I40" i="3"/>
  <c r="N65" i="3"/>
  <c r="I58" i="3"/>
  <c r="S46" i="3"/>
  <c r="T39" i="3"/>
  <c r="O32" i="3"/>
  <c r="T25" i="3"/>
  <c r="N17" i="3"/>
  <c r="R67" i="3"/>
  <c r="N59" i="3"/>
  <c r="H47" i="3"/>
  <c r="S39" i="3"/>
  <c r="Q31" i="3"/>
  <c r="O25" i="3"/>
  <c r="S70" i="3"/>
  <c r="K61" i="3"/>
  <c r="L47" i="3"/>
  <c r="G40" i="3"/>
  <c r="I32" i="3"/>
  <c r="J67" i="3"/>
  <c r="I45" i="3"/>
  <c r="P36" i="3"/>
  <c r="M29" i="3"/>
  <c r="Q20" i="3"/>
  <c r="T16" i="3"/>
  <c r="O15" i="3"/>
  <c r="K13" i="3"/>
  <c r="Q11" i="3"/>
  <c r="P10" i="3"/>
  <c r="P8" i="3"/>
  <c r="R70" i="3"/>
  <c r="O58" i="3"/>
  <c r="J46" i="3"/>
  <c r="L36" i="3"/>
  <c r="J30" i="3"/>
  <c r="R25" i="3"/>
  <c r="J20" i="3"/>
  <c r="O17" i="3"/>
  <c r="K16" i="3"/>
  <c r="J15" i="3"/>
  <c r="Q12" i="3"/>
  <c r="P11" i="3"/>
  <c r="O10" i="3"/>
  <c r="O8" i="3"/>
  <c r="K70" i="3"/>
  <c r="P59" i="3"/>
  <c r="M52" i="3"/>
  <c r="M42" i="3"/>
  <c r="H36" i="3"/>
  <c r="R26" i="3"/>
  <c r="S24" i="3"/>
  <c r="I20" i="3"/>
  <c r="S17" i="3"/>
  <c r="N16" i="3"/>
  <c r="I15" i="3"/>
  <c r="T12" i="3"/>
  <c r="S11" i="3"/>
  <c r="R10" i="3"/>
  <c r="N8" i="3"/>
  <c r="S35" i="3"/>
  <c r="H20" i="3"/>
  <c r="H13" i="3"/>
  <c r="R30" i="3"/>
  <c r="L15" i="3"/>
  <c r="Q10" i="3"/>
  <c r="N43" i="3"/>
  <c r="M10" i="3"/>
  <c r="L38" i="3"/>
  <c r="N55" i="3"/>
  <c r="M8" i="3"/>
  <c r="M39" i="3"/>
  <c r="H15" i="3"/>
  <c r="G26" i="3"/>
  <c r="P67" i="3"/>
  <c r="F10" i="3"/>
  <c r="F40" i="3"/>
  <c r="F82" i="3"/>
  <c r="T9" i="3"/>
  <c r="T57" i="3"/>
  <c r="T75" i="3"/>
  <c r="T14" i="3"/>
  <c r="T28" i="3"/>
  <c r="T3" i="3"/>
  <c r="T6" i="3"/>
  <c r="T19" i="3"/>
  <c r="T21" i="3"/>
  <c r="T50" i="3"/>
  <c r="T66" i="3"/>
  <c r="T4" i="3"/>
  <c r="T78" i="3"/>
  <c r="T33" i="3"/>
  <c r="T37" i="3"/>
  <c r="T44" i="3"/>
  <c r="T48" i="3"/>
  <c r="T54" i="3"/>
  <c r="T63" i="3"/>
  <c r="T22" i="3"/>
  <c r="T34" i="3"/>
  <c r="T51" i="3"/>
  <c r="T23" i="3"/>
  <c r="T27" i="3"/>
  <c r="T69" i="3"/>
  <c r="T60" i="3"/>
  <c r="T72" i="3"/>
  <c r="T76" i="3"/>
  <c r="T77" i="3"/>
  <c r="T81" i="3"/>
  <c r="T80" i="3"/>
  <c r="T86" i="3"/>
  <c r="I50" i="3"/>
  <c r="I23" i="3"/>
  <c r="I4" i="3"/>
  <c r="I60" i="3"/>
  <c r="I66" i="3"/>
  <c r="I9" i="3"/>
  <c r="I14" i="3"/>
  <c r="I19" i="3"/>
  <c r="I21" i="3"/>
  <c r="I27" i="3"/>
  <c r="I57" i="3"/>
  <c r="I3" i="3"/>
  <c r="I6" i="3"/>
  <c r="I28" i="3"/>
  <c r="I44" i="3"/>
  <c r="I54" i="3"/>
  <c r="I33" i="3"/>
  <c r="I37" i="3"/>
  <c r="I77" i="3"/>
  <c r="I22" i="3"/>
  <c r="I34" i="3"/>
  <c r="I69" i="3"/>
  <c r="I78" i="3"/>
  <c r="I48" i="3"/>
  <c r="I51" i="3"/>
  <c r="I63" i="3"/>
  <c r="I75" i="3"/>
  <c r="I72" i="3"/>
  <c r="I76" i="3"/>
  <c r="I80" i="3"/>
  <c r="I81" i="3"/>
  <c r="I86" i="3"/>
  <c r="F56" i="3"/>
  <c r="F15" i="3"/>
  <c r="J3" i="3"/>
  <c r="J6" i="3"/>
  <c r="J4" i="3"/>
  <c r="J23" i="3"/>
  <c r="J9" i="3"/>
  <c r="J34" i="3"/>
  <c r="J69" i="3"/>
  <c r="J14" i="3"/>
  <c r="J22" i="3"/>
  <c r="J27" i="3"/>
  <c r="J48" i="3"/>
  <c r="J57" i="3"/>
  <c r="J60" i="3"/>
  <c r="J63" i="3"/>
  <c r="J76" i="3"/>
  <c r="J28" i="3"/>
  <c r="J44" i="3"/>
  <c r="J51" i="3"/>
  <c r="J72" i="3"/>
  <c r="J81" i="3"/>
  <c r="J19" i="3"/>
  <c r="J21" i="3"/>
  <c r="J33" i="3"/>
  <c r="J37" i="3"/>
  <c r="J77" i="3"/>
  <c r="J50" i="3"/>
  <c r="J54" i="3"/>
  <c r="J66" i="3"/>
  <c r="J78" i="3"/>
  <c r="J75" i="3"/>
  <c r="J80" i="3"/>
  <c r="J86" i="3"/>
  <c r="M71" i="3"/>
  <c r="J52" i="3"/>
  <c r="O70" i="3"/>
  <c r="G43" i="3"/>
  <c r="O20" i="3"/>
  <c r="Q55" i="3"/>
  <c r="O29" i="3"/>
  <c r="P55" i="3"/>
  <c r="G30" i="3"/>
  <c r="P32" i="3"/>
  <c r="L16" i="3"/>
  <c r="N12" i="3"/>
  <c r="H8" i="3"/>
  <c r="L41" i="3"/>
  <c r="S26" i="3"/>
  <c r="S16" i="3"/>
  <c r="I12" i="3"/>
  <c r="G8" i="3"/>
  <c r="S45" i="3"/>
  <c r="Q25" i="3"/>
  <c r="H17" i="3"/>
  <c r="L12" i="3"/>
  <c r="H52" i="3"/>
  <c r="I8" i="3"/>
  <c r="K59" i="3"/>
  <c r="G17" i="3"/>
  <c r="R20" i="3"/>
  <c r="L13" i="3"/>
  <c r="N3" i="3"/>
  <c r="N6" i="3"/>
  <c r="N72" i="3"/>
  <c r="N4" i="3"/>
  <c r="N22" i="3"/>
  <c r="N27" i="3"/>
  <c r="N60" i="3"/>
  <c r="N9" i="3"/>
  <c r="N48" i="3"/>
  <c r="N14" i="3"/>
  <c r="N23" i="3"/>
  <c r="N34" i="3"/>
  <c r="N57" i="3"/>
  <c r="N63" i="3"/>
  <c r="N44" i="3"/>
  <c r="N51" i="3"/>
  <c r="N77" i="3"/>
  <c r="N28" i="3"/>
  <c r="N19" i="3"/>
  <c r="N21" i="3"/>
  <c r="N33" i="3"/>
  <c r="N37" i="3"/>
  <c r="N69" i="3"/>
  <c r="N76" i="3"/>
  <c r="N50" i="3"/>
  <c r="N54" i="3"/>
  <c r="N66" i="3"/>
  <c r="N78" i="3"/>
  <c r="N75" i="3"/>
  <c r="N80" i="3"/>
  <c r="N81" i="3"/>
  <c r="N86" i="3"/>
  <c r="F30" i="3"/>
  <c r="F70" i="3"/>
  <c r="P82" i="3"/>
  <c r="K84" i="3"/>
  <c r="J71" i="3"/>
  <c r="Q73" i="3"/>
  <c r="K67" i="3"/>
  <c r="M59" i="3"/>
  <c r="K53" i="3"/>
  <c r="P43" i="3"/>
  <c r="T73" i="3"/>
  <c r="H64" i="3"/>
  <c r="R55" i="3"/>
  <c r="M45" i="3"/>
  <c r="S38" i="3"/>
  <c r="N31" i="3"/>
  <c r="Q24" i="3"/>
  <c r="Q82" i="3"/>
  <c r="M65" i="3"/>
  <c r="G58" i="3"/>
  <c r="Q45" i="3"/>
  <c r="R38" i="3"/>
  <c r="P30" i="3"/>
  <c r="P24" i="3"/>
  <c r="M68" i="3"/>
  <c r="Q58" i="3"/>
  <c r="O45" i="3"/>
  <c r="Q38" i="3"/>
  <c r="H31" i="3"/>
  <c r="J61" i="3"/>
  <c r="Q41" i="3"/>
  <c r="O35" i="3"/>
  <c r="N26" i="3"/>
  <c r="Q18" i="3"/>
  <c r="P16" i="3"/>
  <c r="K15" i="3"/>
  <c r="R12" i="3"/>
  <c r="M11" i="3"/>
  <c r="L10" i="3"/>
  <c r="L8" i="3"/>
  <c r="K68" i="3"/>
  <c r="J56" i="3"/>
  <c r="R42" i="3"/>
  <c r="K35" i="3"/>
  <c r="I29" i="3"/>
  <c r="J25" i="3"/>
  <c r="P18" i="3"/>
  <c r="I17" i="3"/>
  <c r="G16" i="3"/>
  <c r="R13" i="3"/>
  <c r="M12" i="3"/>
  <c r="L11" i="3"/>
  <c r="K10" i="3"/>
  <c r="K8" i="3"/>
  <c r="P65" i="3"/>
  <c r="J58" i="3"/>
  <c r="K47" i="3"/>
  <c r="G41" i="3"/>
  <c r="G35" i="3"/>
  <c r="J26" i="3"/>
  <c r="K24" i="3"/>
  <c r="T18" i="3"/>
  <c r="M17" i="3"/>
  <c r="J16" i="3"/>
  <c r="Q13" i="3"/>
  <c r="P12" i="3"/>
  <c r="O11" i="3"/>
  <c r="N10" i="3"/>
  <c r="J8" i="3"/>
  <c r="S31" i="3"/>
  <c r="H18" i="3"/>
  <c r="G12" i="3"/>
  <c r="O26" i="3"/>
  <c r="T13" i="3"/>
  <c r="S71" i="3"/>
  <c r="M18" i="3"/>
  <c r="S84" i="3"/>
  <c r="R24" i="3"/>
  <c r="N25" i="3"/>
  <c r="P74" i="3"/>
  <c r="T36" i="3"/>
  <c r="K12" i="3"/>
  <c r="M20" i="3"/>
  <c r="Q29" i="3"/>
  <c r="F39" i="3"/>
  <c r="F41" i="3"/>
  <c r="F18" i="3"/>
  <c r="F26" i="3"/>
  <c r="F16" i="3"/>
  <c r="F65" i="3"/>
  <c r="F47" i="3"/>
  <c r="R6" i="3"/>
  <c r="R34" i="3"/>
  <c r="R3" i="3"/>
  <c r="R4" i="3"/>
  <c r="R23" i="3"/>
  <c r="R9" i="3"/>
  <c r="R44" i="3"/>
  <c r="R14" i="3"/>
  <c r="R22" i="3"/>
  <c r="R27" i="3"/>
  <c r="R51" i="3"/>
  <c r="R76" i="3"/>
  <c r="R28" i="3"/>
  <c r="R69" i="3"/>
  <c r="R72" i="3"/>
  <c r="R19" i="3"/>
  <c r="R21" i="3"/>
  <c r="R33" i="3"/>
  <c r="R37" i="3"/>
  <c r="R48" i="3"/>
  <c r="R57" i="3"/>
  <c r="R60" i="3"/>
  <c r="R63" i="3"/>
  <c r="R77" i="3"/>
  <c r="R50" i="3"/>
  <c r="R54" i="3"/>
  <c r="R66" i="3"/>
  <c r="R78" i="3"/>
  <c r="R80" i="3"/>
  <c r="R75" i="3"/>
  <c r="R81" i="3"/>
  <c r="R86" i="3"/>
  <c r="Q85" i="3"/>
  <c r="S82" i="3"/>
  <c r="T84" i="3"/>
  <c r="K65" i="3"/>
  <c r="L58" i="3"/>
  <c r="O42" i="3"/>
  <c r="M53" i="3"/>
  <c r="S36" i="3"/>
  <c r="K73" i="3"/>
  <c r="P42" i="3"/>
  <c r="Q65" i="3"/>
  <c r="M36" i="3"/>
  <c r="K40" i="3"/>
  <c r="L18" i="3"/>
  <c r="S13" i="3"/>
  <c r="H10" i="3"/>
  <c r="S52" i="3"/>
  <c r="N24" i="3"/>
  <c r="R15" i="3"/>
  <c r="H11" i="3"/>
  <c r="I64" i="3"/>
  <c r="H32" i="3"/>
  <c r="N18" i="3"/>
  <c r="M13" i="3"/>
  <c r="J10" i="3"/>
  <c r="Q16" i="3"/>
  <c r="S12" i="3"/>
  <c r="T15" i="3"/>
  <c r="R18" i="3"/>
  <c r="P13" i="3"/>
  <c r="F24" i="3"/>
  <c r="F46" i="3"/>
  <c r="T46" i="2" l="1"/>
  <c r="T24" i="2"/>
  <c r="J13" i="2"/>
  <c r="H18" i="2"/>
  <c r="F15" i="2"/>
  <c r="G12" i="2"/>
  <c r="I16" i="2"/>
  <c r="P10" i="2"/>
  <c r="M13" i="2"/>
  <c r="L18" i="2"/>
  <c r="R32" i="2"/>
  <c r="Q64" i="2"/>
  <c r="R11" i="2"/>
  <c r="H15" i="2"/>
  <c r="L24" i="2"/>
  <c r="G52" i="2"/>
  <c r="R10" i="2"/>
  <c r="G13" i="2"/>
  <c r="N18" i="2"/>
  <c r="O40" i="2"/>
  <c r="M36" i="2"/>
  <c r="I65" i="2"/>
  <c r="J42" i="2"/>
  <c r="O73" i="2"/>
  <c r="G36" i="2"/>
  <c r="M53" i="2"/>
  <c r="K42" i="2"/>
  <c r="N58" i="2"/>
  <c r="O65" i="2"/>
  <c r="F84" i="2"/>
  <c r="G82" i="2"/>
  <c r="I85" i="2"/>
  <c r="H86" i="2"/>
  <c r="H81" i="2"/>
  <c r="H75" i="2"/>
  <c r="H80" i="2"/>
  <c r="H78" i="2"/>
  <c r="H66" i="2"/>
  <c r="H54" i="2"/>
  <c r="H50" i="2"/>
  <c r="H77" i="2"/>
  <c r="H63" i="2"/>
  <c r="H60" i="2"/>
  <c r="H57" i="2"/>
  <c r="H48" i="2"/>
  <c r="H37" i="2"/>
  <c r="H33" i="2"/>
  <c r="H21" i="2"/>
  <c r="H19" i="2"/>
  <c r="H72" i="2"/>
  <c r="H69" i="2"/>
  <c r="H28" i="2"/>
  <c r="H76" i="2"/>
  <c r="H51" i="2"/>
  <c r="H27" i="2"/>
  <c r="H22" i="2"/>
  <c r="H14" i="2"/>
  <c r="H44" i="2"/>
  <c r="H9" i="2"/>
  <c r="H23" i="2"/>
  <c r="H4" i="2"/>
  <c r="H3" i="2"/>
  <c r="H34" i="2"/>
  <c r="H6" i="2"/>
  <c r="T47" i="2"/>
  <c r="T65" i="2"/>
  <c r="T16" i="2"/>
  <c r="T26" i="2"/>
  <c r="T18" i="2"/>
  <c r="T41" i="2"/>
  <c r="T39" i="2"/>
  <c r="I29" i="2"/>
  <c r="M20" i="2"/>
  <c r="O12" i="2"/>
  <c r="F36" i="2"/>
  <c r="J74" i="2"/>
  <c r="L25" i="2"/>
  <c r="H24" i="2"/>
  <c r="G84" i="2"/>
  <c r="M18" i="2"/>
  <c r="G71" i="2"/>
  <c r="F13" i="2"/>
  <c r="K26" i="2"/>
  <c r="S12" i="2"/>
  <c r="R18" i="2"/>
  <c r="G31" i="2"/>
  <c r="P8" i="2"/>
  <c r="L10" i="2"/>
  <c r="K11" i="2"/>
  <c r="J12" i="2"/>
  <c r="I13" i="2"/>
  <c r="P16" i="2"/>
  <c r="M17" i="2"/>
  <c r="F18" i="2"/>
  <c r="O24" i="2"/>
  <c r="P26" i="2"/>
  <c r="S35" i="2"/>
  <c r="S41" i="2"/>
  <c r="O47" i="2"/>
  <c r="P58" i="2"/>
  <c r="J65" i="2"/>
  <c r="O8" i="2"/>
  <c r="O10" i="2"/>
  <c r="N11" i="2"/>
  <c r="M12" i="2"/>
  <c r="H13" i="2"/>
  <c r="S16" i="2"/>
  <c r="Q17" i="2"/>
  <c r="J18" i="2"/>
  <c r="P25" i="2"/>
  <c r="Q29" i="2"/>
  <c r="O35" i="2"/>
  <c r="H42" i="2"/>
  <c r="P56" i="2"/>
  <c r="O68" i="2"/>
  <c r="N8" i="2"/>
  <c r="N10" i="2"/>
  <c r="M11" i="2"/>
  <c r="H12" i="2"/>
  <c r="O15" i="2"/>
  <c r="J16" i="2"/>
  <c r="I18" i="2"/>
  <c r="L26" i="2"/>
  <c r="K35" i="2"/>
  <c r="I41" i="2"/>
  <c r="P61" i="2"/>
  <c r="R31" i="2"/>
  <c r="I38" i="2"/>
  <c r="K45" i="2"/>
  <c r="I58" i="2"/>
  <c r="M68" i="2"/>
  <c r="J24" i="2"/>
  <c r="J30" i="2"/>
  <c r="H38" i="2"/>
  <c r="I45" i="2"/>
  <c r="S58" i="2"/>
  <c r="M65" i="2"/>
  <c r="I82" i="2"/>
  <c r="I24" i="2"/>
  <c r="L31" i="2"/>
  <c r="G38" i="2"/>
  <c r="M45" i="2"/>
  <c r="H55" i="2"/>
  <c r="R64" i="2"/>
  <c r="F73" i="2"/>
  <c r="J43" i="2"/>
  <c r="O53" i="2"/>
  <c r="M59" i="2"/>
  <c r="O67" i="2"/>
  <c r="I73" i="2"/>
  <c r="P71" i="2"/>
  <c r="O84" i="2"/>
  <c r="J82" i="2"/>
  <c r="T70" i="2"/>
  <c r="T30" i="2"/>
  <c r="L86" i="2"/>
  <c r="L81" i="2"/>
  <c r="L80" i="2"/>
  <c r="L75" i="2"/>
  <c r="L78" i="2"/>
  <c r="L66" i="2"/>
  <c r="L54" i="2"/>
  <c r="L50" i="2"/>
  <c r="L76" i="2"/>
  <c r="L69" i="2"/>
  <c r="L37" i="2"/>
  <c r="L33" i="2"/>
  <c r="L21" i="2"/>
  <c r="L19" i="2"/>
  <c r="L28" i="2"/>
  <c r="L77" i="2"/>
  <c r="L51" i="2"/>
  <c r="L44" i="2"/>
  <c r="L63" i="2"/>
  <c r="L57" i="2"/>
  <c r="L34" i="2"/>
  <c r="L23" i="2"/>
  <c r="L14" i="2"/>
  <c r="L48" i="2"/>
  <c r="L9" i="2"/>
  <c r="L60" i="2"/>
  <c r="L27" i="2"/>
  <c r="L22" i="2"/>
  <c r="L4" i="2"/>
  <c r="L72" i="2"/>
  <c r="L6" i="2"/>
  <c r="L3" i="2"/>
  <c r="N13" i="2"/>
  <c r="H20" i="2"/>
  <c r="S17" i="2"/>
  <c r="O59" i="2"/>
  <c r="Q8" i="2"/>
  <c r="R52" i="2"/>
  <c r="N12" i="2"/>
  <c r="R17" i="2"/>
  <c r="I25" i="2"/>
  <c r="G45" i="2"/>
  <c r="S8" i="2"/>
  <c r="Q12" i="2"/>
  <c r="G16" i="2"/>
  <c r="G26" i="2"/>
  <c r="N41" i="2"/>
  <c r="R8" i="2"/>
  <c r="L12" i="2"/>
  <c r="N16" i="2"/>
  <c r="J32" i="2"/>
  <c r="S30" i="2"/>
  <c r="J55" i="2"/>
  <c r="K29" i="2"/>
  <c r="I55" i="2"/>
  <c r="K20" i="2"/>
  <c r="S43" i="2"/>
  <c r="K70" i="2"/>
  <c r="P52" i="2"/>
  <c r="M71" i="2"/>
  <c r="P86" i="2"/>
  <c r="P80" i="2"/>
  <c r="P75" i="2"/>
  <c r="P78" i="2"/>
  <c r="P66" i="2"/>
  <c r="P54" i="2"/>
  <c r="P50" i="2"/>
  <c r="P77" i="2"/>
  <c r="P37" i="2"/>
  <c r="P33" i="2"/>
  <c r="P21" i="2"/>
  <c r="P19" i="2"/>
  <c r="P81" i="2"/>
  <c r="P72" i="2"/>
  <c r="P51" i="2"/>
  <c r="P44" i="2"/>
  <c r="P28" i="2"/>
  <c r="P76" i="2"/>
  <c r="P63" i="2"/>
  <c r="P60" i="2"/>
  <c r="P57" i="2"/>
  <c r="P48" i="2"/>
  <c r="P27" i="2"/>
  <c r="P22" i="2"/>
  <c r="P14" i="2"/>
  <c r="P69" i="2"/>
  <c r="P34" i="2"/>
  <c r="P9" i="2"/>
  <c r="P23" i="2"/>
  <c r="P4" i="2"/>
  <c r="P6" i="2"/>
  <c r="P3" i="2"/>
  <c r="T15" i="2"/>
  <c r="T56" i="2"/>
  <c r="Q86" i="2"/>
  <c r="Q81" i="2"/>
  <c r="Q80" i="2"/>
  <c r="Q76" i="2"/>
  <c r="Q72" i="2"/>
  <c r="Q75" i="2"/>
  <c r="Q63" i="2"/>
  <c r="Q51" i="2"/>
  <c r="Q48" i="2"/>
  <c r="Q78" i="2"/>
  <c r="Q69" i="2"/>
  <c r="Q34" i="2"/>
  <c r="Q22" i="2"/>
  <c r="Q77" i="2"/>
  <c r="Q37" i="2"/>
  <c r="Q33" i="2"/>
  <c r="Q54" i="2"/>
  <c r="Q44" i="2"/>
  <c r="Q28" i="2"/>
  <c r="Q6" i="2"/>
  <c r="Q3" i="2"/>
  <c r="Q57" i="2"/>
  <c r="Q27" i="2"/>
  <c r="Q21" i="2"/>
  <c r="Q19" i="2"/>
  <c r="Q14" i="2"/>
  <c r="Q9" i="2"/>
  <c r="Q66" i="2"/>
  <c r="Q60" i="2"/>
  <c r="Q4" i="2"/>
  <c r="Q23" i="2"/>
  <c r="Q50" i="2"/>
  <c r="F86" i="2"/>
  <c r="F80" i="2"/>
  <c r="F81" i="2"/>
  <c r="F77" i="2"/>
  <c r="F76" i="2"/>
  <c r="F72" i="2"/>
  <c r="F60" i="2"/>
  <c r="F69" i="2"/>
  <c r="F27" i="2"/>
  <c r="F23" i="2"/>
  <c r="F51" i="2"/>
  <c r="F34" i="2"/>
  <c r="F22" i="2"/>
  <c r="F63" i="2"/>
  <c r="F54" i="2"/>
  <c r="F48" i="2"/>
  <c r="F44" i="2"/>
  <c r="F37" i="2"/>
  <c r="F33" i="2"/>
  <c r="F78" i="2"/>
  <c r="F4" i="2"/>
  <c r="F66" i="2"/>
  <c r="F50" i="2"/>
  <c r="F21" i="2"/>
  <c r="F19" i="2"/>
  <c r="F6" i="2"/>
  <c r="F3" i="2"/>
  <c r="F28" i="2"/>
  <c r="F14" i="2"/>
  <c r="F75" i="2"/>
  <c r="F57" i="2"/>
  <c r="F9" i="2"/>
  <c r="T82" i="2"/>
  <c r="T40" i="2"/>
  <c r="T10" i="2"/>
  <c r="J67" i="2"/>
  <c r="S26" i="2"/>
  <c r="R15" i="2"/>
  <c r="M39" i="2"/>
  <c r="M8" i="2"/>
  <c r="L55" i="2"/>
  <c r="N38" i="2"/>
  <c r="M10" i="2"/>
  <c r="L43" i="2"/>
  <c r="I10" i="2"/>
  <c r="N15" i="2"/>
  <c r="H30" i="2"/>
  <c r="R13" i="2"/>
  <c r="R20" i="2"/>
  <c r="G35" i="2"/>
  <c r="L8" i="2"/>
  <c r="H10" i="2"/>
  <c r="G11" i="2"/>
  <c r="F12" i="2"/>
  <c r="Q15" i="2"/>
  <c r="L16" i="2"/>
  <c r="G17" i="2"/>
  <c r="Q20" i="2"/>
  <c r="G24" i="2"/>
  <c r="H26" i="2"/>
  <c r="R36" i="2"/>
  <c r="M42" i="2"/>
  <c r="M52" i="2"/>
  <c r="J59" i="2"/>
  <c r="O70" i="2"/>
  <c r="K8" i="2"/>
  <c r="K10" i="2"/>
  <c r="J11" i="2"/>
  <c r="I12" i="2"/>
  <c r="P15" i="2"/>
  <c r="O16" i="2"/>
  <c r="K17" i="2"/>
  <c r="P20" i="2"/>
  <c r="H25" i="2"/>
  <c r="P30" i="2"/>
  <c r="N36" i="2"/>
  <c r="P46" i="2"/>
  <c r="K58" i="2"/>
  <c r="H70" i="2"/>
  <c r="J8" i="2"/>
  <c r="J10" i="2"/>
  <c r="I11" i="2"/>
  <c r="O13" i="2"/>
  <c r="K15" i="2"/>
  <c r="F16" i="2"/>
  <c r="I20" i="2"/>
  <c r="M29" i="2"/>
  <c r="J36" i="2"/>
  <c r="Q45" i="2"/>
  <c r="P67" i="2"/>
  <c r="Q32" i="2"/>
  <c r="S40" i="2"/>
  <c r="N47" i="2"/>
  <c r="O61" i="2"/>
  <c r="G70" i="2"/>
  <c r="K25" i="2"/>
  <c r="I31" i="2"/>
  <c r="G39" i="2"/>
  <c r="R47" i="2"/>
  <c r="L59" i="2"/>
  <c r="H67" i="2"/>
  <c r="L17" i="2"/>
  <c r="F25" i="2"/>
  <c r="K32" i="2"/>
  <c r="F39" i="2"/>
  <c r="G46" i="2"/>
  <c r="Q58" i="2"/>
  <c r="L65" i="2"/>
  <c r="Q40" i="2"/>
  <c r="J45" i="2"/>
  <c r="O55" i="2"/>
  <c r="I61" i="2"/>
  <c r="N68" i="2"/>
  <c r="S82" i="2"/>
  <c r="L73" i="2"/>
  <c r="P82" i="2"/>
  <c r="I83" i="2"/>
  <c r="R86" i="2"/>
  <c r="R80" i="2"/>
  <c r="R81" i="2"/>
  <c r="R77" i="2"/>
  <c r="R76" i="2"/>
  <c r="R72" i="2"/>
  <c r="R60" i="2"/>
  <c r="R66" i="2"/>
  <c r="R57" i="2"/>
  <c r="R50" i="2"/>
  <c r="R27" i="2"/>
  <c r="R23" i="2"/>
  <c r="R78" i="2"/>
  <c r="R75" i="2"/>
  <c r="R69" i="2"/>
  <c r="R34" i="2"/>
  <c r="R22" i="2"/>
  <c r="R51" i="2"/>
  <c r="R37" i="2"/>
  <c r="R33" i="2"/>
  <c r="R4" i="2"/>
  <c r="R63" i="2"/>
  <c r="R28" i="2"/>
  <c r="R6" i="2"/>
  <c r="R3" i="2"/>
  <c r="R48" i="2"/>
  <c r="R21" i="2"/>
  <c r="R19" i="2"/>
  <c r="R14" i="2"/>
  <c r="R54" i="2"/>
  <c r="R44" i="2"/>
  <c r="R9" i="2"/>
  <c r="T58" i="2"/>
  <c r="T71" i="2"/>
  <c r="T42" i="2"/>
  <c r="Q10" i="2"/>
  <c r="K61" i="2"/>
  <c r="P65" i="2"/>
  <c r="I17" i="2"/>
  <c r="T25" i="2"/>
  <c r="O11" i="2"/>
  <c r="I15" i="2"/>
  <c r="F20" i="2"/>
  <c r="I39" i="2"/>
  <c r="F55" i="2"/>
  <c r="S10" i="2"/>
  <c r="L13" i="2"/>
  <c r="P18" i="2"/>
  <c r="N32" i="2"/>
  <c r="K64" i="2"/>
  <c r="Q11" i="2"/>
  <c r="K24" i="2"/>
  <c r="K56" i="2"/>
  <c r="F42" i="2"/>
  <c r="H83" i="2"/>
  <c r="L36" i="2"/>
  <c r="S64" i="2"/>
  <c r="Q30" i="2"/>
  <c r="G61" i="2"/>
  <c r="M85" i="2"/>
  <c r="T55" i="2"/>
  <c r="T11" i="2"/>
  <c r="T53" i="2"/>
  <c r="T13" i="2"/>
  <c r="O81" i="2"/>
  <c r="O78" i="2"/>
  <c r="O77" i="2"/>
  <c r="O69" i="2"/>
  <c r="O57" i="2"/>
  <c r="O44" i="2"/>
  <c r="O75" i="2"/>
  <c r="O72" i="2"/>
  <c r="O51" i="2"/>
  <c r="O28" i="2"/>
  <c r="O80" i="2"/>
  <c r="O76" i="2"/>
  <c r="O63" i="2"/>
  <c r="O60" i="2"/>
  <c r="O54" i="2"/>
  <c r="O48" i="2"/>
  <c r="O27" i="2"/>
  <c r="O23" i="2"/>
  <c r="O86" i="2"/>
  <c r="O66" i="2"/>
  <c r="O50" i="2"/>
  <c r="O34" i="2"/>
  <c r="O21" i="2"/>
  <c r="O19" i="2"/>
  <c r="O9" i="2"/>
  <c r="O4" i="2"/>
  <c r="O6" i="2"/>
  <c r="O3" i="2"/>
  <c r="O37" i="2"/>
  <c r="O33" i="2"/>
  <c r="O14" i="2"/>
  <c r="O22" i="2"/>
  <c r="T59" i="2"/>
  <c r="T52" i="2"/>
  <c r="P11" i="2"/>
  <c r="L11" i="2"/>
  <c r="F32" i="2"/>
  <c r="N17" i="2"/>
  <c r="L45" i="2"/>
  <c r="Q16" i="2"/>
  <c r="I8" i="2"/>
  <c r="L53" i="2"/>
  <c r="K12" i="2"/>
  <c r="F46" i="2"/>
  <c r="H11" i="2"/>
  <c r="M16" i="2"/>
  <c r="J40" i="2"/>
  <c r="J15" i="2"/>
  <c r="P24" i="2"/>
  <c r="R42" i="2"/>
  <c r="H8" i="2"/>
  <c r="S11" i="2"/>
  <c r="R12" i="2"/>
  <c r="Q13" i="2"/>
  <c r="M15" i="2"/>
  <c r="H16" i="2"/>
  <c r="Q18" i="2"/>
  <c r="L20" i="2"/>
  <c r="Q25" i="2"/>
  <c r="S31" i="2"/>
  <c r="J38" i="2"/>
  <c r="G43" i="2"/>
  <c r="F53" i="2"/>
  <c r="F61" i="2"/>
  <c r="S73" i="2"/>
  <c r="G8" i="2"/>
  <c r="G10" i="2"/>
  <c r="F11" i="2"/>
  <c r="P13" i="2"/>
  <c r="L15" i="2"/>
  <c r="K16" i="2"/>
  <c r="F17" i="2"/>
  <c r="J20" i="2"/>
  <c r="O26" i="2"/>
  <c r="O31" i="2"/>
  <c r="F38" i="2"/>
  <c r="J47" i="2"/>
  <c r="O62" i="2"/>
  <c r="K73" i="2"/>
  <c r="F8" i="2"/>
  <c r="F10" i="2"/>
  <c r="P12" i="2"/>
  <c r="K13" i="2"/>
  <c r="G15" i="2"/>
  <c r="J17" i="2"/>
  <c r="S24" i="2"/>
  <c r="L30" i="2"/>
  <c r="Q39" i="2"/>
  <c r="K46" i="2"/>
  <c r="N83" i="2"/>
  <c r="N35" i="2"/>
  <c r="M41" i="2"/>
  <c r="F52" i="2"/>
  <c r="I62" i="2"/>
  <c r="J73" i="2"/>
  <c r="J26" i="2"/>
  <c r="Q35" i="2"/>
  <c r="Q41" i="2"/>
  <c r="J52" i="2"/>
  <c r="H61" i="2"/>
  <c r="Q70" i="2"/>
  <c r="K18" i="2"/>
  <c r="R29" i="2"/>
  <c r="H35" i="2"/>
  <c r="O41" i="2"/>
  <c r="S52" i="2"/>
  <c r="K59" i="2"/>
  <c r="F67" i="2"/>
  <c r="L41" i="2"/>
  <c r="I46" i="2"/>
  <c r="N56" i="2"/>
  <c r="P64" i="2"/>
  <c r="N70" i="2"/>
  <c r="L83" i="2"/>
  <c r="K74" i="2"/>
  <c r="S84" i="2"/>
  <c r="S85" i="2"/>
  <c r="T45" i="2"/>
  <c r="T68" i="2"/>
  <c r="S13" i="2"/>
  <c r="S15" i="2"/>
  <c r="R16" i="2"/>
  <c r="O17" i="2"/>
  <c r="N20" i="2"/>
  <c r="M25" i="2"/>
  <c r="K31" i="2"/>
  <c r="R38" i="2"/>
  <c r="Q43" i="2"/>
  <c r="Q55" i="2"/>
  <c r="F64" i="2"/>
  <c r="R74" i="2"/>
  <c r="H29" i="2"/>
  <c r="G30" i="2"/>
  <c r="F31" i="2"/>
  <c r="R35" i="2"/>
  <c r="Q36" i="2"/>
  <c r="M38" i="2"/>
  <c r="H39" i="2"/>
  <c r="R41" i="2"/>
  <c r="L42" i="2"/>
  <c r="P45" i="2"/>
  <c r="S47" i="2"/>
  <c r="K52" i="2"/>
  <c r="P55" i="2"/>
  <c r="O58" i="2"/>
  <c r="H59" i="2"/>
  <c r="N62" i="2"/>
  <c r="N65" i="2"/>
  <c r="S68" i="2"/>
  <c r="M70" i="2"/>
  <c r="R73" i="2"/>
  <c r="O82" i="2"/>
  <c r="N24" i="2"/>
  <c r="O25" i="2"/>
  <c r="N26" i="2"/>
  <c r="O29" i="2"/>
  <c r="N30" i="2"/>
  <c r="M31" i="2"/>
  <c r="H32" i="2"/>
  <c r="P36" i="2"/>
  <c r="L38" i="2"/>
  <c r="K39" i="2"/>
  <c r="G40" i="2"/>
  <c r="P42" i="2"/>
  <c r="O45" i="2"/>
  <c r="H46" i="2"/>
  <c r="O52" i="2"/>
  <c r="N55" i="2"/>
  <c r="H56" i="2"/>
  <c r="R59" i="2"/>
  <c r="N61" i="2"/>
  <c r="G62" i="2"/>
  <c r="R65" i="2"/>
  <c r="M67" i="2"/>
  <c r="G68" i="2"/>
  <c r="K71" i="2"/>
  <c r="F74" i="2"/>
  <c r="P17" i="2"/>
  <c r="O18" i="2"/>
  <c r="O20" i="2"/>
  <c r="M24" i="2"/>
  <c r="J25" i="2"/>
  <c r="I26" i="2"/>
  <c r="F29" i="2"/>
  <c r="P31" i="2"/>
  <c r="O32" i="2"/>
  <c r="L35" i="2"/>
  <c r="K36" i="2"/>
  <c r="K38" i="2"/>
  <c r="J39" i="2"/>
  <c r="F40" i="2"/>
  <c r="I42" i="2"/>
  <c r="S45" i="2"/>
  <c r="L46" i="2"/>
  <c r="F47" i="2"/>
  <c r="R53" i="2"/>
  <c r="M55" i="2"/>
  <c r="G56" i="2"/>
  <c r="P59" i="2"/>
  <c r="L61" i="2"/>
  <c r="F62" i="2"/>
  <c r="Q65" i="2"/>
  <c r="L67" i="2"/>
  <c r="P70" i="2"/>
  <c r="N73" i="2"/>
  <c r="M84" i="2"/>
  <c r="P41" i="2"/>
  <c r="O42" i="2"/>
  <c r="N43" i="2"/>
  <c r="N45" i="2"/>
  <c r="M46" i="2"/>
  <c r="H47" i="2"/>
  <c r="S53" i="2"/>
  <c r="S55" i="2"/>
  <c r="R56" i="2"/>
  <c r="R58" i="2"/>
  <c r="Q59" i="2"/>
  <c r="M61" i="2"/>
  <c r="H62" i="2"/>
  <c r="S65" i="2"/>
  <c r="S67" i="2"/>
  <c r="R68" i="2"/>
  <c r="R70" i="2"/>
  <c r="Q71" i="2"/>
  <c r="M73" i="2"/>
  <c r="H74" i="2"/>
  <c r="R83" i="2"/>
  <c r="K84" i="2"/>
  <c r="I70" i="2"/>
  <c r="P73" i="2"/>
  <c r="O74" i="2"/>
  <c r="L82" i="2"/>
  <c r="F83" i="2"/>
  <c r="H85" i="2"/>
  <c r="J83" i="2"/>
  <c r="R85" i="2"/>
  <c r="N82" i="2"/>
  <c r="M83" i="2"/>
  <c r="H84" i="2"/>
  <c r="G85" i="2"/>
  <c r="S81" i="2"/>
  <c r="S86" i="2"/>
  <c r="S78" i="2"/>
  <c r="S80" i="2"/>
  <c r="S77" i="2"/>
  <c r="S69" i="2"/>
  <c r="S57" i="2"/>
  <c r="S44" i="2"/>
  <c r="S63" i="2"/>
  <c r="S60" i="2"/>
  <c r="S54" i="2"/>
  <c r="S48" i="2"/>
  <c r="S28" i="2"/>
  <c r="S66" i="2"/>
  <c r="S50" i="2"/>
  <c r="S27" i="2"/>
  <c r="S23" i="2"/>
  <c r="S75" i="2"/>
  <c r="S72" i="2"/>
  <c r="S34" i="2"/>
  <c r="S76" i="2"/>
  <c r="S37" i="2"/>
  <c r="S33" i="2"/>
  <c r="S9" i="2"/>
  <c r="S22" i="2"/>
  <c r="S4" i="2"/>
  <c r="S51" i="2"/>
  <c r="S6" i="2"/>
  <c r="S3" i="2"/>
  <c r="S19" i="2"/>
  <c r="S21" i="2"/>
  <c r="S14" i="2"/>
  <c r="T36" i="2"/>
  <c r="T29" i="2"/>
  <c r="T64" i="2"/>
  <c r="T86" i="2"/>
  <c r="T75" i="2"/>
  <c r="T81" i="2"/>
  <c r="T78" i="2"/>
  <c r="T66" i="2"/>
  <c r="T54" i="2"/>
  <c r="T50" i="2"/>
  <c r="T76" i="2"/>
  <c r="T51" i="2"/>
  <c r="T44" i="2"/>
  <c r="T37" i="2"/>
  <c r="T33" i="2"/>
  <c r="T21" i="2"/>
  <c r="T19" i="2"/>
  <c r="T63" i="2"/>
  <c r="T60" i="2"/>
  <c r="T57" i="2"/>
  <c r="T48" i="2"/>
  <c r="T28" i="2"/>
  <c r="T80" i="2"/>
  <c r="T77" i="2"/>
  <c r="T69" i="2"/>
  <c r="T72" i="2"/>
  <c r="T23" i="2"/>
  <c r="T14" i="2"/>
  <c r="T9" i="2"/>
  <c r="T34" i="2"/>
  <c r="T27" i="2"/>
  <c r="T22" i="2"/>
  <c r="T4" i="2"/>
  <c r="T3" i="2"/>
  <c r="T6" i="2"/>
  <c r="T84" i="2"/>
  <c r="T35" i="2"/>
  <c r="T17" i="2"/>
  <c r="I68" i="2"/>
  <c r="P29" i="2"/>
  <c r="O30" i="2"/>
  <c r="N31" i="2"/>
  <c r="M32" i="2"/>
  <c r="J35" i="2"/>
  <c r="I36" i="2"/>
  <c r="P39" i="2"/>
  <c r="N40" i="2"/>
  <c r="G41" i="2"/>
  <c r="P43" i="2"/>
  <c r="O46" i="2"/>
  <c r="I47" i="2"/>
  <c r="P53" i="2"/>
  <c r="O56" i="2"/>
  <c r="S59" i="2"/>
  <c r="J61" i="2"/>
  <c r="O64" i="2"/>
  <c r="N67" i="2"/>
  <c r="H68" i="2"/>
  <c r="N71" i="2"/>
  <c r="Q74" i="2"/>
  <c r="Q85" i="2"/>
  <c r="F24" i="2"/>
  <c r="G25" i="2"/>
  <c r="F26" i="2"/>
  <c r="G29" i="2"/>
  <c r="F30" i="2"/>
  <c r="P32" i="2"/>
  <c r="M35" i="2"/>
  <c r="H36" i="2"/>
  <c r="S39" i="2"/>
  <c r="R40" i="2"/>
  <c r="K41" i="2"/>
  <c r="O43" i="2"/>
  <c r="S46" i="2"/>
  <c r="M47" i="2"/>
  <c r="N53" i="2"/>
  <c r="S56" i="2"/>
  <c r="M58" i="2"/>
  <c r="G59" i="2"/>
  <c r="R62" i="2"/>
  <c r="N64" i="2"/>
  <c r="H65" i="2"/>
  <c r="Q68" i="2"/>
  <c r="L70" i="2"/>
  <c r="G73" i="2"/>
  <c r="R84" i="2"/>
  <c r="H17" i="2"/>
  <c r="G18" i="2"/>
  <c r="G20" i="2"/>
  <c r="R25" i="2"/>
  <c r="Q26" i="2"/>
  <c r="N29" i="2"/>
  <c r="M30" i="2"/>
  <c r="H31" i="2"/>
  <c r="G32" i="2"/>
  <c r="S36" i="2"/>
  <c r="S38" i="2"/>
  <c r="R39" i="2"/>
  <c r="P40" i="2"/>
  <c r="J41" i="2"/>
  <c r="M43" i="2"/>
  <c r="H45" i="2"/>
  <c r="Q47" i="2"/>
  <c r="N52" i="2"/>
  <c r="H53" i="2"/>
  <c r="Q56" i="2"/>
  <c r="L58" i="2"/>
  <c r="F59" i="2"/>
  <c r="Q62" i="2"/>
  <c r="M64" i="2"/>
  <c r="F65" i="2"/>
  <c r="P68" i="2"/>
  <c r="R71" i="2"/>
  <c r="M74" i="2"/>
  <c r="M40" i="2"/>
  <c r="H41" i="2"/>
  <c r="G42" i="2"/>
  <c r="F43" i="2"/>
  <c r="F45" i="2"/>
  <c r="P47" i="2"/>
  <c r="L52" i="2"/>
  <c r="K53" i="2"/>
  <c r="K55" i="2"/>
  <c r="J56" i="2"/>
  <c r="J58" i="2"/>
  <c r="I59" i="2"/>
  <c r="P62" i="2"/>
  <c r="L64" i="2"/>
  <c r="K65" i="2"/>
  <c r="K67" i="2"/>
  <c r="J68" i="2"/>
  <c r="J70" i="2"/>
  <c r="I71" i="2"/>
  <c r="P74" i="2"/>
  <c r="M82" i="2"/>
  <c r="G83" i="2"/>
  <c r="P85" i="2"/>
  <c r="L71" i="2"/>
  <c r="H73" i="2"/>
  <c r="G74" i="2"/>
  <c r="P83" i="2"/>
  <c r="J84" i="2"/>
  <c r="K82" i="2"/>
  <c r="N84" i="2"/>
  <c r="F85" i="2"/>
  <c r="F82" i="2"/>
  <c r="P84" i="2"/>
  <c r="O85" i="2"/>
  <c r="K81" i="2"/>
  <c r="K80" i="2"/>
  <c r="K86" i="2"/>
  <c r="K78" i="2"/>
  <c r="K77" i="2"/>
  <c r="K69" i="2"/>
  <c r="K57" i="2"/>
  <c r="K44" i="2"/>
  <c r="K28" i="2"/>
  <c r="K51" i="2"/>
  <c r="K27" i="2"/>
  <c r="K23" i="2"/>
  <c r="K75" i="2"/>
  <c r="K72" i="2"/>
  <c r="K63" i="2"/>
  <c r="K60" i="2"/>
  <c r="K54" i="2"/>
  <c r="K48" i="2"/>
  <c r="K34" i="2"/>
  <c r="K9" i="2"/>
  <c r="K22" i="2"/>
  <c r="K21" i="2"/>
  <c r="K19" i="2"/>
  <c r="K4" i="2"/>
  <c r="K66" i="2"/>
  <c r="K50" i="2"/>
  <c r="K37" i="2"/>
  <c r="K33" i="2"/>
  <c r="K6" i="2"/>
  <c r="K3" i="2"/>
  <c r="K14" i="2"/>
  <c r="K76" i="2"/>
  <c r="T74" i="2"/>
  <c r="T12" i="2"/>
  <c r="T32" i="2"/>
  <c r="T85" i="2"/>
  <c r="I86" i="2"/>
  <c r="I76" i="2"/>
  <c r="I72" i="2"/>
  <c r="I81" i="2"/>
  <c r="I75" i="2"/>
  <c r="I63" i="2"/>
  <c r="I51" i="2"/>
  <c r="I48" i="2"/>
  <c r="I80" i="2"/>
  <c r="I78" i="2"/>
  <c r="I54" i="2"/>
  <c r="I44" i="2"/>
  <c r="I34" i="2"/>
  <c r="I22" i="2"/>
  <c r="I77" i="2"/>
  <c r="I66" i="2"/>
  <c r="I60" i="2"/>
  <c r="I57" i="2"/>
  <c r="I50" i="2"/>
  <c r="I37" i="2"/>
  <c r="I33" i="2"/>
  <c r="I69" i="2"/>
  <c r="I28" i="2"/>
  <c r="I6" i="2"/>
  <c r="I3" i="2"/>
  <c r="I27" i="2"/>
  <c r="I14" i="2"/>
  <c r="I9" i="2"/>
  <c r="I23" i="2"/>
  <c r="I21" i="2"/>
  <c r="I19" i="2"/>
  <c r="I4" i="2"/>
  <c r="J86" i="2"/>
  <c r="J80" i="2"/>
  <c r="J77" i="2"/>
  <c r="J76" i="2"/>
  <c r="J72" i="2"/>
  <c r="J60" i="2"/>
  <c r="J81" i="2"/>
  <c r="J51" i="2"/>
  <c r="J27" i="2"/>
  <c r="J23" i="2"/>
  <c r="J78" i="2"/>
  <c r="J75" i="2"/>
  <c r="J63" i="2"/>
  <c r="J54" i="2"/>
  <c r="J48" i="2"/>
  <c r="J44" i="2"/>
  <c r="J34" i="2"/>
  <c r="J22" i="2"/>
  <c r="J66" i="2"/>
  <c r="J57" i="2"/>
  <c r="J50" i="2"/>
  <c r="J37" i="2"/>
  <c r="J33" i="2"/>
  <c r="J69" i="2"/>
  <c r="J21" i="2"/>
  <c r="J19" i="2"/>
  <c r="J4" i="2"/>
  <c r="J6" i="2"/>
  <c r="J3" i="2"/>
  <c r="J14" i="2"/>
  <c r="J9" i="2"/>
  <c r="J28" i="2"/>
  <c r="T38" i="2"/>
  <c r="T83" i="2"/>
  <c r="T8" i="2"/>
  <c r="Q53" i="2"/>
  <c r="J62" i="2"/>
  <c r="O71" i="2"/>
  <c r="L29" i="2"/>
  <c r="K30" i="2"/>
  <c r="J31" i="2"/>
  <c r="I32" i="2"/>
  <c r="F35" i="2"/>
  <c r="Q38" i="2"/>
  <c r="L39" i="2"/>
  <c r="H40" i="2"/>
  <c r="Q42" i="2"/>
  <c r="K43" i="2"/>
  <c r="J46" i="2"/>
  <c r="Q52" i="2"/>
  <c r="J53" i="2"/>
  <c r="I56" i="2"/>
  <c r="N59" i="2"/>
  <c r="S62" i="2"/>
  <c r="J64" i="2"/>
  <c r="I67" i="2"/>
  <c r="S70" i="2"/>
  <c r="F71" i="2"/>
  <c r="I74" i="2"/>
  <c r="R24" i="2"/>
  <c r="S25" i="2"/>
  <c r="R26" i="2"/>
  <c r="S29" i="2"/>
  <c r="R30" i="2"/>
  <c r="Q31" i="2"/>
  <c r="L32" i="2"/>
  <c r="I35" i="2"/>
  <c r="P38" i="2"/>
  <c r="O39" i="2"/>
  <c r="L40" i="2"/>
  <c r="F41" i="2"/>
  <c r="I43" i="2"/>
  <c r="N46" i="2"/>
  <c r="G47" i="2"/>
  <c r="I53" i="2"/>
  <c r="M56" i="2"/>
  <c r="H58" i="2"/>
  <c r="S61" i="2"/>
  <c r="M62" i="2"/>
  <c r="I64" i="2"/>
  <c r="R67" i="2"/>
  <c r="L68" i="2"/>
  <c r="S71" i="2"/>
  <c r="N74" i="2"/>
  <c r="L85" i="2"/>
  <c r="S18" i="2"/>
  <c r="S20" i="2"/>
  <c r="Q24" i="2"/>
  <c r="N25" i="2"/>
  <c r="M26" i="2"/>
  <c r="J29" i="2"/>
  <c r="I30" i="2"/>
  <c r="S32" i="2"/>
  <c r="P35" i="2"/>
  <c r="O36" i="2"/>
  <c r="O38" i="2"/>
  <c r="N39" i="2"/>
  <c r="K40" i="2"/>
  <c r="N42" i="2"/>
  <c r="H43" i="2"/>
  <c r="R46" i="2"/>
  <c r="K47" i="2"/>
  <c r="I52" i="2"/>
  <c r="R55" i="2"/>
  <c r="L56" i="2"/>
  <c r="G58" i="2"/>
  <c r="R61" i="2"/>
  <c r="K62" i="2"/>
  <c r="G64" i="2"/>
  <c r="Q67" i="2"/>
  <c r="K68" i="2"/>
  <c r="J71" i="2"/>
  <c r="S83" i="2"/>
  <c r="I40" i="2"/>
  <c r="S42" i="2"/>
  <c r="R43" i="2"/>
  <c r="R45" i="2"/>
  <c r="Q46" i="2"/>
  <c r="L47" i="2"/>
  <c r="H52" i="2"/>
  <c r="G53" i="2"/>
  <c r="G55" i="2"/>
  <c r="F56" i="2"/>
  <c r="F58" i="2"/>
  <c r="Q61" i="2"/>
  <c r="L62" i="2"/>
  <c r="H64" i="2"/>
  <c r="G65" i="2"/>
  <c r="G67" i="2"/>
  <c r="F68" i="2"/>
  <c r="F70" i="2"/>
  <c r="Q73" i="2"/>
  <c r="L74" i="2"/>
  <c r="H82" i="2"/>
  <c r="Q84" i="2"/>
  <c r="J85" i="2"/>
  <c r="H71" i="2"/>
  <c r="S74" i="2"/>
  <c r="Q82" i="2"/>
  <c r="K83" i="2"/>
  <c r="N85" i="2"/>
  <c r="O83" i="2"/>
  <c r="I84" i="2"/>
  <c r="R82" i="2"/>
  <c r="Q83" i="2"/>
  <c r="L84" i="2"/>
  <c r="K85" i="2"/>
  <c r="N86" i="2"/>
  <c r="N80" i="2"/>
  <c r="N77" i="2"/>
  <c r="N81" i="2"/>
  <c r="N76" i="2"/>
  <c r="N72" i="2"/>
  <c r="N60" i="2"/>
  <c r="N63" i="2"/>
  <c r="N54" i="2"/>
  <c r="N48" i="2"/>
  <c r="N44" i="2"/>
  <c r="N27" i="2"/>
  <c r="N23" i="2"/>
  <c r="N66" i="2"/>
  <c r="N57" i="2"/>
  <c r="N50" i="2"/>
  <c r="N34" i="2"/>
  <c r="N22" i="2"/>
  <c r="N69" i="2"/>
  <c r="N37" i="2"/>
  <c r="N33" i="2"/>
  <c r="N75" i="2"/>
  <c r="N28" i="2"/>
  <c r="N4" i="2"/>
  <c r="N78" i="2"/>
  <c r="N51" i="2"/>
  <c r="N6" i="2"/>
  <c r="N3" i="2"/>
  <c r="N14" i="2"/>
  <c r="N21" i="2"/>
  <c r="N9" i="2"/>
  <c r="N19" i="2"/>
  <c r="T73" i="2"/>
  <c r="M81" i="2"/>
  <c r="M76" i="2"/>
  <c r="M72" i="2"/>
  <c r="M86" i="2"/>
  <c r="M80" i="2"/>
  <c r="M75" i="2"/>
  <c r="M63" i="2"/>
  <c r="M51" i="2"/>
  <c r="M48" i="2"/>
  <c r="M66" i="2"/>
  <c r="M60" i="2"/>
  <c r="M57" i="2"/>
  <c r="M50" i="2"/>
  <c r="M34" i="2"/>
  <c r="M22" i="2"/>
  <c r="M69" i="2"/>
  <c r="M37" i="2"/>
  <c r="M33" i="2"/>
  <c r="M78" i="2"/>
  <c r="M28" i="2"/>
  <c r="M77" i="2"/>
  <c r="M6" i="2"/>
  <c r="M3" i="2"/>
  <c r="M23" i="2"/>
  <c r="M14" i="2"/>
  <c r="M54" i="2"/>
  <c r="M44" i="2"/>
  <c r="M21" i="2"/>
  <c r="M19" i="2"/>
  <c r="M9" i="2"/>
  <c r="M4" i="2"/>
  <c r="M27" i="2"/>
  <c r="T62" i="2"/>
  <c r="T67" i="2"/>
  <c r="T31" i="2"/>
  <c r="G81" i="2"/>
  <c r="G80" i="2"/>
  <c r="G78" i="2"/>
  <c r="G77" i="2"/>
  <c r="G69" i="2"/>
  <c r="G57" i="2"/>
  <c r="G44" i="2"/>
  <c r="G75" i="2"/>
  <c r="G72" i="2"/>
  <c r="G66" i="2"/>
  <c r="G50" i="2"/>
  <c r="G28" i="2"/>
  <c r="G86" i="2"/>
  <c r="G76" i="2"/>
  <c r="G27" i="2"/>
  <c r="G23" i="2"/>
  <c r="G51" i="2"/>
  <c r="G34" i="2"/>
  <c r="G48" i="2"/>
  <c r="G9" i="2"/>
  <c r="G60" i="2"/>
  <c r="G54" i="2"/>
  <c r="G37" i="2"/>
  <c r="G33" i="2"/>
  <c r="G4" i="2"/>
  <c r="G21" i="2"/>
  <c r="G19" i="2"/>
  <c r="G6" i="2"/>
  <c r="G3" i="2"/>
  <c r="G63" i="2"/>
  <c r="G22" i="2"/>
  <c r="G14" i="2"/>
  <c r="T61" i="2"/>
  <c r="T43" i="2"/>
  <c r="T20" i="2"/>
  <c r="H2" i="2"/>
  <c r="L2" i="2"/>
  <c r="P2" i="2"/>
  <c r="Q2" i="2"/>
  <c r="F2" i="2"/>
  <c r="R2" i="2"/>
  <c r="O2" i="2"/>
  <c r="S2" i="2"/>
  <c r="T2" i="2"/>
  <c r="K2" i="2"/>
  <c r="I2" i="2"/>
  <c r="J2" i="2"/>
  <c r="N2" i="2"/>
  <c r="M2" i="2"/>
  <c r="G2" i="2"/>
</calcChain>
</file>

<file path=xl/sharedStrings.xml><?xml version="1.0" encoding="utf-8"?>
<sst xmlns="http://schemas.openxmlformats.org/spreadsheetml/2006/main" count="5185" uniqueCount="191">
  <si>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</si>
  <si>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</si>
  <si>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</si>
  <si>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</si>
  <si>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</si>
  <si>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</si>
  <si>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</si>
  <si>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</si>
  <si>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</si>
  <si>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</si>
  <si>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</si>
  <si>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</si>
  <si>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</si>
  <si>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</si>
  <si>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</si>
  <si>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</si>
  <si>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</si>
  <si>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</si>
  <si>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</si>
  <si>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</si>
  <si>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</si>
  <si>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</si>
  <si>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</si>
  <si>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</si>
  <si>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</si>
  <si>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</si>
  <si>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</si>
  <si>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</si>
  <si>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</si>
  <si>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</si>
  <si>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</si>
  <si>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</si>
  <si>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</si>
  <si>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</si>
  <si>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</si>
  <si>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</si>
  <si>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</si>
  <si>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</si>
  <si>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</si>
  <si>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</si>
  <si>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</si>
  <si>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</si>
  <si>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</si>
  <si>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</si>
  <si>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</si>
  <si>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</si>
  <si>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</si>
  <si>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</si>
  <si>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In Millions (except Per Share or noted otherwise)</t>
  </si>
  <si>
    <t/>
  </si>
  <si>
    <t>Static</t>
  </si>
  <si>
    <t>Key Performance Indicators</t>
  </si>
  <si>
    <t>Heading</t>
  </si>
  <si>
    <t xml:space="preserve">    </t>
  </si>
  <si>
    <t xml:space="preserve">    Company-Level Industry Statistics</t>
  </si>
  <si>
    <t xml:space="preserve">    Revenue Growth (%) YoY</t>
  </si>
  <si>
    <t>INFO IN Equity</t>
  </si>
  <si>
    <t>S6188</t>
  </si>
  <si>
    <t>ARDR_REVENUE_GROWTH</t>
  </si>
  <si>
    <t>Dynamic</t>
  </si>
  <si>
    <t xml:space="preserve">        By End-Market</t>
  </si>
  <si>
    <t xml:space="preserve">            Financial Services</t>
  </si>
  <si>
    <t>INFY US Equity</t>
  </si>
  <si>
    <t>BI047</t>
  </si>
  <si>
    <t>BICS_SEGMENT_DATA</t>
  </si>
  <si>
    <t xml:space="preserve">            Retail</t>
  </si>
  <si>
    <t xml:space="preserve">            Manufacturing</t>
  </si>
  <si>
    <t xml:space="preserve">    Revenue Growth in Constant Currency (%) YoY</t>
  </si>
  <si>
    <t>M0025</t>
  </si>
  <si>
    <t>1_YR_REVENUE_GROWTH_CC</t>
  </si>
  <si>
    <t xml:space="preserve">    Revenue Growth (%) QoQ</t>
  </si>
  <si>
    <t>F0486</t>
  </si>
  <si>
    <t>REVENUE_SEQUENTIAL_GROWTH</t>
  </si>
  <si>
    <t xml:space="preserve">    Revenue Growth in Constant Currency (%) QoQ</t>
  </si>
  <si>
    <t>B5666</t>
  </si>
  <si>
    <t>ARD_SEQUENTIAL_REVENUE_GROWTH_CC</t>
  </si>
  <si>
    <t xml:space="preserve">    Digital</t>
  </si>
  <si>
    <t xml:space="preserve">        Revenue</t>
  </si>
  <si>
    <t>M1245</t>
  </si>
  <si>
    <t>DIGITAL_REVENUE</t>
  </si>
  <si>
    <t xml:space="preserve">            (%) of Total Revenue</t>
  </si>
  <si>
    <t>Expression</t>
  </si>
  <si>
    <t xml:space="preserve">            Growth in Constant Currency (%) YoY</t>
  </si>
  <si>
    <t>M1150</t>
  </si>
  <si>
    <t>DIGITAL_REV_PCT_GRWTH_IN_CC</t>
  </si>
  <si>
    <t xml:space="preserve">    Labor Metrics (Actual)</t>
  </si>
  <si>
    <t xml:space="preserve">        Number of Employees</t>
  </si>
  <si>
    <t>BM383</t>
  </si>
  <si>
    <t>BS_NUMBER_EMPLOYEES</t>
  </si>
  <si>
    <t xml:space="preserve">        Net Employee Additions</t>
  </si>
  <si>
    <t>M0001</t>
  </si>
  <si>
    <t>NET_EMPLOYEE_ADDITIONS</t>
  </si>
  <si>
    <t xml:space="preserve">        Employee Attrition (%) - Annualized</t>
  </si>
  <si>
    <t>M0005</t>
  </si>
  <si>
    <t>ATTRITION_RATE</t>
  </si>
  <si>
    <t xml:space="preserve">        Employee Utilization Excluding Trainees (%)</t>
  </si>
  <si>
    <t>M0006</t>
  </si>
  <si>
    <t>UTILIZATION_RATE</t>
  </si>
  <si>
    <t xml:space="preserve">    Client Metrics (Actual)</t>
  </si>
  <si>
    <t xml:space="preserve">        Active Clients</t>
  </si>
  <si>
    <t>M0008</t>
  </si>
  <si>
    <t>NUMBER_OF_ACTIVE_CLIENTS</t>
  </si>
  <si>
    <t xml:space="preserve">        Clients Added (Gross)</t>
  </si>
  <si>
    <t>B2806</t>
  </si>
  <si>
    <t>ARD_NUMBER_OF_CLIENTS_ADDED</t>
  </si>
  <si>
    <t xml:space="preserve">        Number of Clients by LTM Contribution (USD)</t>
  </si>
  <si>
    <t xml:space="preserve">            $1+ Million</t>
  </si>
  <si>
    <t>M0010</t>
  </si>
  <si>
    <t>NUMBER_OF_CLIENTS_0_TO_5MM</t>
  </si>
  <si>
    <t xml:space="preserve">            $5+ Million</t>
  </si>
  <si>
    <t>M0011</t>
  </si>
  <si>
    <t>NUM_CLIENTS_5MM_TO_10MM</t>
  </si>
  <si>
    <t xml:space="preserve">            $10+ Million</t>
  </si>
  <si>
    <t>M0012</t>
  </si>
  <si>
    <t>NUM_CLIENTS_10MM_TO_20MM</t>
  </si>
  <si>
    <t xml:space="preserve">            $20+ Million</t>
  </si>
  <si>
    <t>M0013</t>
  </si>
  <si>
    <t>NUM_CLIENTS_20MM_TO_30MM</t>
  </si>
  <si>
    <t xml:space="preserve">            $50+ Million</t>
  </si>
  <si>
    <t>M0016</t>
  </si>
  <si>
    <t>NUM_CLIENTS_50MM_TO_100MM</t>
  </si>
  <si>
    <t xml:space="preserve">            $100+ Million</t>
  </si>
  <si>
    <t>M0017</t>
  </si>
  <si>
    <t>NUM_OF_CLIENTS_OVER_100MM</t>
  </si>
  <si>
    <t xml:space="preserve">        Client Contribution to Revenue (%)</t>
  </si>
  <si>
    <t xml:space="preserve">            Top Client</t>
  </si>
  <si>
    <t>M0018</t>
  </si>
  <si>
    <t>TOP_CLIENTS_CONTRIB_TO_REVENUE</t>
  </si>
  <si>
    <t xml:space="preserve">            Top 10 Clients</t>
  </si>
  <si>
    <t>M0020</t>
  </si>
  <si>
    <t>TOP_10_CLIENTS_CONTRIB_TO_REV</t>
  </si>
  <si>
    <t xml:space="preserve">            Top 25 Clients</t>
  </si>
  <si>
    <t>M1145</t>
  </si>
  <si>
    <t>TOP_TWENTY_FIVE_CLIENTS_CONT_REV</t>
  </si>
  <si>
    <t>End Market Breakdown</t>
  </si>
  <si>
    <t xml:space="preserve">    Financial Services</t>
  </si>
  <si>
    <t xml:space="preserve">        Operating Income</t>
  </si>
  <si>
    <t xml:space="preserve">    Retail</t>
  </si>
  <si>
    <t xml:space="preserve">    Communication</t>
  </si>
  <si>
    <t xml:space="preserve">    Energy, Utilities, Resources and Services</t>
  </si>
  <si>
    <t xml:space="preserve">    Manufacturing</t>
  </si>
  <si>
    <t xml:space="preserve">    Hi-Tech</t>
  </si>
  <si>
    <t xml:space="preserve">    Life Sciences</t>
  </si>
  <si>
    <t xml:space="preserve">    Other</t>
  </si>
  <si>
    <t xml:space="preserve">    Energy &amp; Utilities, Communcation and Services</t>
  </si>
  <si>
    <t xml:space="preserve">    Life Sciences, Healthcare and Insurance</t>
  </si>
  <si>
    <t>Regional Breakdown</t>
  </si>
  <si>
    <t xml:space="preserve">    Revenue</t>
  </si>
  <si>
    <t xml:space="preserve">        North America</t>
  </si>
  <si>
    <t xml:space="preserve">        Europe</t>
  </si>
  <si>
    <t xml:space="preserve">        India</t>
  </si>
  <si>
    <t xml:space="preserve">        Rest of World</t>
  </si>
  <si>
    <t>~~~~~~~~~~</t>
  </si>
  <si>
    <t>All rows below have been added for reference by formula rows above.</t>
  </si>
  <si>
    <t>Currency</t>
  </si>
  <si>
    <t>USD</t>
  </si>
  <si>
    <t>Periodicity</t>
  </si>
  <si>
    <t>CY</t>
  </si>
  <si>
    <t>AY</t>
  </si>
  <si>
    <t>Number of Periods</t>
  </si>
  <si>
    <t>Start Date</t>
  </si>
  <si>
    <t>-15CY</t>
  </si>
  <si>
    <t>-15AY</t>
  </si>
  <si>
    <t>End Date</t>
  </si>
  <si>
    <t>HeaderStatus</t>
  </si>
  <si>
    <t>M5589</t>
  </si>
  <si>
    <t>PCT_ONLINE_REV_TO_TOT_SALES</t>
  </si>
  <si>
    <t>~~~~~~~~~~~~~~~~~~~~~</t>
  </si>
  <si>
    <t>Rows below for column date calculation</t>
  </si>
  <si>
    <t>Downloaded at</t>
  </si>
  <si>
    <t>This is End Date</t>
  </si>
  <si>
    <t>Snapshot Date</t>
  </si>
  <si>
    <t>Snapshot header</t>
  </si>
  <si>
    <t>BDH snapshot header0</t>
  </si>
  <si>
    <t>#N/A Invalid Parameter: Invalid override field id specified</t>
  </si>
  <si>
    <t>BDH snapshot result0</t>
  </si>
  <si>
    <t>BDH snapshot header1</t>
  </si>
  <si>
    <t>BDH snapshot result1</t>
  </si>
  <si>
    <t>BDH snapshot header2</t>
  </si>
  <si>
    <t>BDH snapshot result2</t>
  </si>
  <si>
    <t>BDH snapshot</t>
  </si>
  <si>
    <t>BDH snapshot title</t>
  </si>
  <si>
    <t>BDH dynamic header0</t>
  </si>
  <si>
    <t>BDH dynamic result0</t>
  </si>
  <si>
    <t>BDH dynamic header1</t>
  </si>
  <si>
    <t>BDH dynamic result1</t>
  </si>
  <si>
    <t>BDH dynamic header2</t>
  </si>
  <si>
    <t>BDH dynamic result2</t>
  </si>
  <si>
    <t>BDH dynamic</t>
  </si>
  <si>
    <t>BDH dynamic title</t>
  </si>
  <si>
    <t>No error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</si>
</sst>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BDH|17860406823683828992</stp>
        <tr r="F144" s="3"/>
      </tp>
      <tp t="s">
        <v>#N/A N/A</v>
        <stp/>
        <stp>BDH|14017052662989090368</stp>
        <tr r="F142" s="3"/>
      </tp>
      <tp t="s">
        <v>#N/A N/A</v>
        <stp/>
        <stp>BDH|11556354889057988123</stp>
        <tr r="F105" s="3"/>
      </tp>
      <tp t="s">
        <v>#N/A N/A</v>
        <stp/>
        <stp>BDH|15708326604282309771</stp>
        <tr r="F109" s="3"/>
      </tp>
      <tp t="s">
        <v>#N/A N/A</v>
        <stp/>
        <stp>BDH|17968911357649682165</stp>
        <tr r="C176" s="3"/>
        <tr r="C168" s="3"/>
      </tp>
      <tp t="s">
        <v>#N/A N/A</v>
        <stp/>
        <stp>BDH|16543022336657494223</stp>
        <tr r="F108" s="3"/>
      </tp>
      <tp t="s">
        <v>#N/A N/A</v>
        <stp/>
        <stp>BDH|11286421132055325373</stp>
        <tr r="F143" s="3"/>
      </tp>
      <tp t="s">
        <v>#N/A N/A</v>
        <stp/>
        <stp>BDH|10249023912729103996</stp>
        <tr r="F124" s="3"/>
      </tp>
      <tp t="s">
        <v>#N/A N/A</v>
        <stp/>
        <stp>BDH|15252148053942429509</stp>
        <tr r="F148" s="3"/>
      </tp>
      <tp t="s">
        <v>#N/A N/A</v>
        <stp/>
        <stp>BDH|13487063806927820297</stp>
        <tr r="F130" s="3"/>
      </tp>
      <tp t="s">
        <v>#N/A N/A</v>
        <stp/>
        <stp>BDH|14662632340874036528</stp>
        <tr r="F131" s="3"/>
      </tp>
      <tp t="s">
        <v>#N/A N/A</v>
        <stp/>
        <stp>BDH|15785254189430021815</stp>
        <tr r="F151" s="3"/>
      </tp>
      <tp t="s">
        <v>#N/A N/A</v>
        <stp/>
        <stp>BDH|16043237040216762256</stp>
        <tr r="F139" s="3"/>
      </tp>
      <tp t="s">
        <v>#N/A N/A</v>
        <stp/>
        <stp>BDH|14739182242547848278</stp>
        <tr r="F122" s="3"/>
      </tp>
      <tp t="s">
        <v>#N/A N/A</v>
        <stp/>
        <stp>BDH|15365095163440398730</stp>
        <tr r="F123" s="3"/>
      </tp>
      <tp t="s">
        <v>#N/A N/A</v>
        <stp/>
        <stp>BDH|14695490374973758014</stp>
        <tr r="F147" s="3"/>
      </tp>
      <tp t="s">
        <v>#N/A N/A</v>
        <stp/>
        <stp>BDH|16706652208041985436</stp>
        <tr r="F125" s="3"/>
      </tp>
      <tp t="s">
        <v>#N/A N/A</v>
        <stp/>
        <stp>BDH|15484773123707408203</stp>
        <tr r="F150" s="3"/>
      </tp>
      <tp t="s">
        <v>#N/A N/A</v>
        <stp/>
        <stp>BDH|13763641603189773912</stp>
        <tr r="F133" s="3"/>
      </tp>
      <tp t="s">
        <v>#N/A N/A</v>
        <stp/>
        <stp>BDH|14794671833640170485</stp>
        <tr r="C172" s="3"/>
        <tr r="C164" s="3"/>
      </tp>
      <tp t="s">
        <v>#N/A N/A</v>
        <stp/>
        <stp>BDH|15245615060403150383</stp>
        <tr r="F107" s="3"/>
      </tp>
    </main>
    <main first="bloomberg.ccyreader">
      <tp>
        <v>0</v>
        <stp/>
        <stp>#track</stp>
        <stp>DBG</stp>
        <stp>BIHITX</stp>
        <stp>1.0</stp>
        <stp>RepeatHit</stp>
        <tr r="A96" s="3"/>
      </tp>
    </main>
    <main first="bofaddin.rtdserver">
      <tp t="s">
        <v>#N/A N/A</v>
        <stp/>
        <stp>BDH|1980713814463385977</stp>
        <tr r="F117" s="3"/>
      </tp>
      <tp t="s">
        <v>#N/A N/A</v>
        <stp/>
        <stp>BDH|8619888558509200135</stp>
        <tr r="F106" s="3"/>
      </tp>
      <tp t="s">
        <v>#N/A N/A</v>
        <stp/>
        <stp>BDH|7487671958758689225</stp>
        <tr r="F128" s="3"/>
      </tp>
      <tp t="s">
        <v>#N/A N/A</v>
        <stp/>
        <stp>BDH|8638237720962176437</stp>
        <tr r="F146" s="3"/>
      </tp>
      <tp t="s">
        <v>#N/A N/A</v>
        <stp/>
        <stp>BDH|9997566670087212293</stp>
        <tr r="F115" s="3"/>
      </tp>
      <tp t="s">
        <v>#N/A N/A</v>
        <stp/>
        <stp>BDH|3055936604461939429</stp>
        <tr r="F119" s="3"/>
      </tp>
      <tp t="s">
        <v>#N/A N/A</v>
        <stp/>
        <stp>BDH|9407365615881572200</stp>
        <tr r="F140" s="3"/>
      </tp>
      <tp t="s">
        <v>#N/A N/A</v>
        <stp/>
        <stp>BDH|3724233225842737954</stp>
        <tr r="F111" s="3"/>
      </tp>
      <tp t="s">
        <v>#N/A N/A</v>
        <stp/>
        <stp>BDH|5070547416489539077</stp>
        <tr r="F134" s="3"/>
      </tp>
      <tp t="s">
        <v>#N/A N/A</v>
        <stp/>
        <stp>BDH|6805138963251960850</stp>
        <tr r="F120" s="3"/>
      </tp>
      <tp t="s">
        <v>#N/A N/A</v>
        <stp/>
        <stp>BDH|5654877780339872539</stp>
        <tr r="F135" s="3"/>
      </tp>
      <tp t="s">
        <v>#N/A N/A</v>
        <stp/>
        <stp>BDH|2121850229306565752</stp>
        <tr r="F129" s="3"/>
      </tp>
      <tp t="s">
        <v>#N/A N/A</v>
        <stp/>
        <stp>BDH|5386664390452151246</stp>
        <tr r="F121" s="3"/>
      </tp>
      <tp t="s">
        <v>#N/A N/A</v>
        <stp/>
        <stp>BDH|3872289204639988287</stp>
        <tr r="F126" s="3"/>
      </tp>
      <tp t="s">
        <v>#N/A N/A</v>
        <stp/>
        <stp>BDH|6441569581647882879</stp>
        <tr r="F104" s="3"/>
      </tp>
      <tp t="s">
        <v>#N/A N/A</v>
        <stp/>
        <stp>BDH|7662366844447074321</stp>
        <tr r="F112" s="3"/>
      </tp>
      <tp t="s">
        <v>#N/A N/A</v>
        <stp/>
        <stp>BDH|7933795179413291160</stp>
        <tr r="F138" s="3"/>
      </tp>
      <tp t="s">
        <v>#N/A N/A</v>
        <stp/>
        <stp>BDH|8016134349829891213</stp>
        <tr r="C174" s="3"/>
        <tr r="C166" s="3"/>
      </tp>
      <tp t="s">
        <v>#N/A N/A</v>
        <stp/>
        <stp>BDH|8098062144652792821</stp>
        <tr r="F132" s="3"/>
      </tp>
      <tp t="s">
        <v>#N/A N/A</v>
        <stp/>
        <stp>BDH|6648676171482152358</stp>
        <tr r="F116" s="3"/>
      </tp>
      <tp t="s">
        <v>#N/A N/A</v>
        <stp/>
        <stp>BDH|1424265034890265607</stp>
        <tr r="F114" s="3"/>
      </tp>
      <tp t="s">
        <v>#N/A N/A</v>
        <stp/>
        <stp>BDH|3911205833466872395</stp>
        <tr r="F149" s="3"/>
      </tp>
      <tp t="s">
        <v>#N/A N/A</v>
        <stp/>
        <stp>BDH|4738188950441696605</stp>
        <tr r="F141" s="3"/>
      </tp>
      <tp t="s">
        <v>#N/A N/A</v>
        <stp/>
        <stp>BDH|1385199965043705594</stp>
        <tr r="F113" s="3"/>
      </tp>
      <tp t="s">
        <v>#N/A N/A</v>
        <stp/>
        <stp>BDH|6630787752312981748</stp>
        <tr r="F137" s="3"/>
      </tp>
      <tp t="s">
        <v>#N/A N/A</v>
        <stp/>
        <stp>BDH|3717291825759955991</stp>
        <tr r="F136" s="3"/>
      </tp>
      <tp t="s">
        <v>#N/A N/A</v>
        <stp/>
        <stp>BDH|4346895860411874858</stp>
        <tr r="F127" s="3"/>
      </tp>
      <tp t="s">
        <v>#N/A N/A</v>
        <stp/>
        <stp>BDH|810335563117408565</stp>
        <tr r="F145" s="3"/>
      </tp>
      <tp t="s">
        <v>#N/A N/A</v>
        <stp/>
        <stp>BDH|856531872533903716</stp>
        <tr r="F110" s="3"/>
      </tp>
      <tp t="s">
        <v>#N/A N/A</v>
        <stp/>
        <stp>BDH|696397700444339777</stp>
        <tr r="F118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20" width="9.140625" bestFit="1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IFERROR(IF(0=LEN(ReferenceData!$T$2),"",ReferenceData!$T$2),"")</f>
        <v>FY 2006</v>
      </c>
      <c r="G2" t="str">
        <f>IFERROR(IF(0=LEN(ReferenceData!$S$2),"",ReferenceData!$S$2),"")</f>
        <v>FY 2007</v>
      </c>
      <c r="H2" t="str">
        <f>IFERROR(IF(0=LEN(ReferenceData!$R$2),"",ReferenceData!$R$2),"")</f>
        <v>FY 2008</v>
      </c>
      <c r="I2" t="str">
        <f>IFERROR(IF(0=LEN(ReferenceData!$Q$2),"",ReferenceData!$Q$2),"")</f>
        <v>FY 2009</v>
      </c>
      <c r="J2" t="str">
        <f>IFERROR(IF(0=LEN(ReferenceData!$P$2),"",ReferenceData!$P$2),"")</f>
        <v>FY 2010</v>
      </c>
      <c r="K2" t="str">
        <f>IFERROR(IF(0=LEN(ReferenceData!$O$2),"",ReferenceData!$O$2),"")</f>
        <v>FY 2011</v>
      </c>
      <c r="L2" t="str">
        <f>IFERROR(IF(0=LEN(ReferenceData!$N$2),"",ReferenceData!$N$2),"")</f>
        <v>FY 2012</v>
      </c>
      <c r="M2" t="str">
        <f>IFERROR(IF(0=LEN(ReferenceData!$M$2),"",ReferenceData!$M$2),"")</f>
        <v>FY 2013</v>
      </c>
      <c r="N2" t="str">
        <f>IFERROR(IF(0=LEN(ReferenceData!$L$2),"",ReferenceData!$L$2),"")</f>
        <v>FY 2014</v>
      </c>
      <c r="O2" t="str">
        <f>IFERROR(IF(0=LEN(ReferenceData!$K$2),"",ReferenceData!$K$2),"")</f>
        <v>FY 2015</v>
      </c>
      <c r="P2" t="str">
        <f>IFERROR(IF(0=LEN(ReferenceData!$J$2),"",ReferenceData!$J$2),"")</f>
        <v>FY 2016</v>
      </c>
      <c r="Q2" t="str">
        <f>IFERROR(IF(0=LEN(ReferenceData!$I$2),"",ReferenceData!$I$2),"")</f>
        <v>FY 2017</v>
      </c>
      <c r="R2" t="str">
        <f>IFERROR(IF(0=LEN(ReferenceData!$H$2),"",ReferenceData!$H$2),"")</f>
        <v>FY 2018</v>
      </c>
      <c r="S2" t="str">
        <f>IFERROR(IF(0=LEN(ReferenceData!$G$2),"",ReferenceData!$G$2),"")</f>
        <v>FY 2019</v>
      </c>
      <c r="T2" t="str">
        <f>IFERROR(IF(0=LEN(ReferenceData!$F$2),"",ReferenceData!$F$2),"")</f>
        <v>FY 2020</v>
      </c>
    </row>
    <row r="3" spans="1:20" x14ac:dyDescent="0.25">
      <c r="A3" t="str">
        <f>IFERROR(IF(0=LEN(ReferenceData!$A$3),"",ReferenceData!$A$3),"")</f>
        <v>In Millions (except Per Share or noted otherwise)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Static</v>
      </c>
      <c r="F3" t="str">
        <f ca="1">IFERROR(IF(0=LEN(ReferenceData!$T$3),"",ReferenceData!$T$3),"")</f>
        <v/>
      </c>
      <c r="G3" t="str">
        <f ca="1">IFERROR(IF(0=LEN(ReferenceData!$S$3),"",ReferenceData!$S$3),"")</f>
        <v/>
      </c>
      <c r="H3" t="str">
        <f ca="1">IFERROR(IF(0=LEN(ReferenceData!$R$3),"",ReferenceData!$R$3),"")</f>
        <v/>
      </c>
      <c r="I3" t="str">
        <f ca="1">IFERROR(IF(0=LEN(ReferenceData!$Q$3),"",ReferenceData!$Q$3),"")</f>
        <v/>
      </c>
      <c r="J3" t="str">
        <f ca="1">IFERROR(IF(0=LEN(ReferenceData!$P$3),"",ReferenceData!$P$3),"")</f>
        <v/>
      </c>
      <c r="K3" t="str">
        <f ca="1">IFERROR(IF(0=LEN(ReferenceData!$O$3),"",ReferenceData!$O$3),"")</f>
        <v/>
      </c>
      <c r="L3" t="str">
        <f ca="1">IFERROR(IF(0=LEN(ReferenceData!$N$3),"",ReferenceData!$N$3),"")</f>
        <v/>
      </c>
      <c r="M3" t="str">
        <f ca="1">IFERROR(IF(0=LEN(ReferenceData!$M$3),"",ReferenceData!$M$3),"")</f>
        <v/>
      </c>
      <c r="N3" t="str">
        <f ca="1">IFERROR(IF(0=LEN(ReferenceData!$L$3),"",ReferenceData!$L$3),"")</f>
        <v/>
      </c>
      <c r="O3" t="str">
        <f ca="1">IFERROR(IF(0=LEN(ReferenceData!$K$3),"",ReferenceData!$K$3),"")</f>
        <v/>
      </c>
      <c r="P3" t="str">
        <f ca="1">IFERROR(IF(0=LEN(ReferenceData!$J$3),"",ReferenceData!$J$3),"")</f>
        <v/>
      </c>
      <c r="Q3" t="str">
        <f ca="1">IFERROR(IF(0=LEN(ReferenceData!$I$3),"",ReferenceData!$I$3),"")</f>
        <v/>
      </c>
      <c r="R3" t="str">
        <f ca="1">IFERROR(IF(0=LEN(ReferenceData!$H$3),"",ReferenceData!$H$3),"")</f>
        <v/>
      </c>
      <c r="S3" t="str">
        <f ca="1">IFERROR(IF(0=LEN(ReferenceData!$G$3),"",ReferenceData!$G$3),"")</f>
        <v/>
      </c>
      <c r="T3" t="str">
        <f ca="1">IFERROR(IF(0=LEN(ReferenceData!$F$3),"",ReferenceData!$F$3),"")</f>
        <v/>
      </c>
    </row>
    <row r="4" spans="1:20" x14ac:dyDescent="0.25">
      <c r="A4" t="str">
        <f>IFERROR(IF(0=LEN(ReferenceData!$A$4),"",ReferenceData!$A$4),"")</f>
        <v/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Static</v>
      </c>
      <c r="F4" t="str">
        <f ca="1">IFERROR(IF(0=LEN(ReferenceData!$T$4),"",ReferenceData!$T$4),"")</f>
        <v/>
      </c>
      <c r="G4" t="str">
        <f ca="1">IFERROR(IF(0=LEN(ReferenceData!$S$4),"",ReferenceData!$S$4),"")</f>
        <v/>
      </c>
      <c r="H4" t="str">
        <f ca="1">IFERROR(IF(0=LEN(ReferenceData!$R$4),"",ReferenceData!$R$4),"")</f>
        <v/>
      </c>
      <c r="I4" t="str">
        <f ca="1">IFERROR(IF(0=LEN(ReferenceData!$Q$4),"",ReferenceData!$Q$4),"")</f>
        <v/>
      </c>
      <c r="J4" t="str">
        <f ca="1">IFERROR(IF(0=LEN(ReferenceData!$P$4),"",ReferenceData!$P$4),"")</f>
        <v/>
      </c>
      <c r="K4" t="str">
        <f ca="1">IFERROR(IF(0=LEN(ReferenceData!$O$4),"",ReferenceData!$O$4),"")</f>
        <v/>
      </c>
      <c r="L4" t="str">
        <f ca="1">IFERROR(IF(0=LEN(ReferenceData!$N$4),"",ReferenceData!$N$4),"")</f>
        <v/>
      </c>
      <c r="M4" t="str">
        <f ca="1">IFERROR(IF(0=LEN(ReferenceData!$M$4),"",ReferenceData!$M$4),"")</f>
        <v/>
      </c>
      <c r="N4" t="str">
        <f ca="1">IFERROR(IF(0=LEN(ReferenceData!$L$4),"",ReferenceData!$L$4),"")</f>
        <v/>
      </c>
      <c r="O4" t="str">
        <f ca="1">IFERROR(IF(0=LEN(ReferenceData!$K$4),"",ReferenceData!$K$4),"")</f>
        <v/>
      </c>
      <c r="P4" t="str">
        <f ca="1">IFERROR(IF(0=LEN(ReferenceData!$J$4),"",ReferenceData!$J$4),"")</f>
        <v/>
      </c>
      <c r="Q4" t="str">
        <f ca="1">IFERROR(IF(0=LEN(ReferenceData!$I$4),"",ReferenceData!$I$4),"")</f>
        <v/>
      </c>
      <c r="R4" t="str">
        <f ca="1">IFERROR(IF(0=LEN(ReferenceData!$H$4),"",ReferenceData!$H$4),"")</f>
        <v/>
      </c>
      <c r="S4" t="str">
        <f ca="1">IFERROR(IF(0=LEN(ReferenceData!$G$4),"",ReferenceData!$G$4),"")</f>
        <v/>
      </c>
      <c r="T4" t="str">
        <f ca="1">IFERROR(IF(0=LEN(ReferenceData!$F$4),"",ReferenceData!$F$4),"")</f>
        <v/>
      </c>
    </row>
    <row r="5" spans="1:20" x14ac:dyDescent="0.25">
      <c r="A5" t="str">
        <f>IFERROR(IF(0=LEN(ReferenceData!$A$5),"",ReferenceData!$A$5),"")</f>
        <v>Key Performance Indicators</v>
      </c>
      <c r="B5" t="str">
        <f>IFERROR(IF(0=LEN(ReferenceData!$B$5),"",ReferenceData!$B$5),"")</f>
        <v/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Heading</v>
      </c>
      <c r="F5" t="str">
        <f>IFERROR(IF(0=LEN(ReferenceData!$T$5),"",ReferenceData!$T$5),"")</f>
        <v/>
      </c>
      <c r="G5" t="str">
        <f>IFERROR(IF(0=LEN(ReferenceData!$S$5),"",ReferenceData!$S$5),"")</f>
        <v/>
      </c>
      <c r="H5" t="str">
        <f>IFERROR(IF(0=LEN(ReferenceData!$R$5),"",ReferenceData!$R$5),"")</f>
        <v/>
      </c>
      <c r="I5" t="str">
        <f>IFERROR(IF(0=LEN(ReferenceData!$Q$5),"",ReferenceData!$Q$5),"")</f>
        <v/>
      </c>
      <c r="J5" t="str">
        <f>IFERROR(IF(0=LEN(ReferenceData!$P$5),"",ReferenceData!$P$5),"")</f>
        <v/>
      </c>
      <c r="K5" t="str">
        <f>IFERROR(IF(0=LEN(ReferenceData!$O$5),"",ReferenceData!$O$5),"")</f>
        <v/>
      </c>
      <c r="L5" t="str">
        <f>IFERROR(IF(0=LEN(ReferenceData!$N$5),"",ReferenceData!$N$5),"")</f>
        <v/>
      </c>
      <c r="M5" t="str">
        <f>IFERROR(IF(0=LEN(ReferenceData!$M$5),"",ReferenceData!$M$5),"")</f>
        <v/>
      </c>
      <c r="N5" t="str">
        <f>IFERROR(IF(0=LEN(ReferenceData!$L$5),"",ReferenceData!$L$5),"")</f>
        <v/>
      </c>
      <c r="O5" t="str">
        <f>IFERROR(IF(0=LEN(ReferenceData!$K$5),"",ReferenceData!$K$5),"")</f>
        <v/>
      </c>
      <c r="P5" t="str">
        <f>IFERROR(IF(0=LEN(ReferenceData!$J$5),"",ReferenceData!$J$5),"")</f>
        <v/>
      </c>
      <c r="Q5" t="str">
        <f>IFERROR(IF(0=LEN(ReferenceData!$I$5),"",ReferenceData!$I$5),"")</f>
        <v/>
      </c>
      <c r="R5" t="str">
        <f>IFERROR(IF(0=LEN(ReferenceData!$H$5),"",ReferenceData!$H$5),"")</f>
        <v/>
      </c>
      <c r="S5" t="str">
        <f>IFERROR(IF(0=LEN(ReferenceData!$G$5),"",ReferenceData!$G$5),"")</f>
        <v/>
      </c>
      <c r="T5" t="str">
        <f>IFERROR(IF(0=LEN(ReferenceData!$F$5),"",ReferenceData!$F$5),"")</f>
        <v/>
      </c>
    </row>
    <row r="6" spans="1:20" x14ac:dyDescent="0.25">
      <c r="A6" t="str">
        <f>IFERROR(IF(0=LEN(ReferenceData!$A$6),"",ReferenceData!$A$6),"")</f>
        <v xml:space="preserve">    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Static</v>
      </c>
      <c r="F6" t="str">
        <f ca="1">IFERROR(IF(0=LEN(ReferenceData!$T$6),"",ReferenceData!$T$6),"")</f>
        <v/>
      </c>
      <c r="G6" t="str">
        <f ca="1">IFERROR(IF(0=LEN(ReferenceData!$S$6),"",ReferenceData!$S$6),"")</f>
        <v/>
      </c>
      <c r="H6" t="str">
        <f ca="1">IFERROR(IF(0=LEN(ReferenceData!$R$6),"",ReferenceData!$R$6),"")</f>
        <v/>
      </c>
      <c r="I6" t="str">
        <f ca="1">IFERROR(IF(0=LEN(ReferenceData!$Q$6),"",ReferenceData!$Q$6),"")</f>
        <v/>
      </c>
      <c r="J6" t="str">
        <f ca="1">IFERROR(IF(0=LEN(ReferenceData!$P$6),"",ReferenceData!$P$6),"")</f>
        <v/>
      </c>
      <c r="K6" t="str">
        <f ca="1">IFERROR(IF(0=LEN(ReferenceData!$O$6),"",ReferenceData!$O$6),"")</f>
        <v/>
      </c>
      <c r="L6" t="str">
        <f ca="1">IFERROR(IF(0=LEN(ReferenceData!$N$6),"",ReferenceData!$N$6),"")</f>
        <v/>
      </c>
      <c r="M6" t="str">
        <f ca="1">IFERROR(IF(0=LEN(ReferenceData!$M$6),"",ReferenceData!$M$6),"")</f>
        <v/>
      </c>
      <c r="N6" t="str">
        <f ca="1">IFERROR(IF(0=LEN(ReferenceData!$L$6),"",ReferenceData!$L$6),"")</f>
        <v/>
      </c>
      <c r="O6" t="str">
        <f ca="1">IFERROR(IF(0=LEN(ReferenceData!$K$6),"",ReferenceData!$K$6),"")</f>
        <v/>
      </c>
      <c r="P6" t="str">
        <f ca="1">IFERROR(IF(0=LEN(ReferenceData!$J$6),"",ReferenceData!$J$6),"")</f>
        <v/>
      </c>
      <c r="Q6" t="str">
        <f ca="1">IFERROR(IF(0=LEN(ReferenceData!$I$6),"",ReferenceData!$I$6),"")</f>
        <v/>
      </c>
      <c r="R6" t="str">
        <f ca="1">IFERROR(IF(0=LEN(ReferenceData!$H$6),"",ReferenceData!$H$6),"")</f>
        <v/>
      </c>
      <c r="S6" t="str">
        <f ca="1">IFERROR(IF(0=LEN(ReferenceData!$G$6),"",ReferenceData!$G$6),"")</f>
        <v/>
      </c>
      <c r="T6" t="str">
        <f ca="1">IFERROR(IF(0=LEN(ReferenceData!$F$6),"",ReferenceData!$F$6),"")</f>
        <v/>
      </c>
    </row>
    <row r="7" spans="1:20" x14ac:dyDescent="0.25">
      <c r="A7" t="str">
        <f>IFERROR(IF(0=LEN(ReferenceData!$A$7),"",ReferenceData!$A$7),"")</f>
        <v xml:space="preserve">    Company-Level Industry Statistics</v>
      </c>
      <c r="B7" t="str">
        <f>IFERROR(IF(0=LEN(ReferenceData!$B$7),"",ReferenceData!$B$7),"")</f>
        <v/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Heading</v>
      </c>
      <c r="F7" t="str">
        <f>IFERROR(IF(0=LEN(ReferenceData!$T$7),"",ReferenceData!$T$7),"")</f>
        <v/>
      </c>
      <c r="G7" t="str">
        <f>IFERROR(IF(0=LEN(ReferenceData!$S$7),"",ReferenceData!$S$7),"")</f>
        <v/>
      </c>
      <c r="H7" t="str">
        <f>IFERROR(IF(0=LEN(ReferenceData!$R$7),"",ReferenceData!$R$7),"")</f>
        <v/>
      </c>
      <c r="I7" t="str">
        <f>IFERROR(IF(0=LEN(ReferenceData!$Q$7),"",ReferenceData!$Q$7),"")</f>
        <v/>
      </c>
      <c r="J7" t="str">
        <f>IFERROR(IF(0=LEN(ReferenceData!$P$7),"",ReferenceData!$P$7),"")</f>
        <v/>
      </c>
      <c r="K7" t="str">
        <f>IFERROR(IF(0=LEN(ReferenceData!$O$7),"",ReferenceData!$O$7),"")</f>
        <v/>
      </c>
      <c r="L7" t="str">
        <f>IFERROR(IF(0=LEN(ReferenceData!$N$7),"",ReferenceData!$N$7),"")</f>
        <v/>
      </c>
      <c r="M7" t="str">
        <f>IFERROR(IF(0=LEN(ReferenceData!$M$7),"",ReferenceData!$M$7),"")</f>
        <v/>
      </c>
      <c r="N7" t="str">
        <f>IFERROR(IF(0=LEN(ReferenceData!$L$7),"",ReferenceData!$L$7),"")</f>
        <v/>
      </c>
      <c r="O7" t="str">
        <f>IFERROR(IF(0=LEN(ReferenceData!$K$7),"",ReferenceData!$K$7),"")</f>
        <v/>
      </c>
      <c r="P7" t="str">
        <f>IFERROR(IF(0=LEN(ReferenceData!$J$7),"",ReferenceData!$J$7),"")</f>
        <v/>
      </c>
      <c r="Q7" t="str">
        <f>IFERROR(IF(0=LEN(ReferenceData!$I$7),"",ReferenceData!$I$7),"")</f>
        <v/>
      </c>
      <c r="R7" t="str">
        <f>IFERROR(IF(0=LEN(ReferenceData!$H$7),"",ReferenceData!$H$7),"")</f>
        <v/>
      </c>
      <c r="S7" t="str">
        <f>IFERROR(IF(0=LEN(ReferenceData!$G$7),"",ReferenceData!$G$7),"")</f>
        <v/>
      </c>
      <c r="T7" t="str">
        <f>IFERROR(IF(0=LEN(ReferenceData!$F$7),"",ReferenceData!$F$7),"")</f>
        <v/>
      </c>
    </row>
    <row r="8" spans="1:20" x14ac:dyDescent="0.25">
      <c r="A8" t="str">
        <f>IFERROR(IF(0=LEN(ReferenceData!$A$8),"",ReferenceData!$A$8),"")</f>
        <v xml:space="preserve">    Revenue Growth (%) YoY</v>
      </c>
      <c r="B8" t="str">
        <f>IFERROR(IF(0=LEN(ReferenceData!$B$8),"",ReferenceData!$B$8),"")</f>
        <v>INFO IN Equity</v>
      </c>
      <c r="C8" t="str">
        <f>IFERROR(IF(0=LEN(ReferenceData!$C$8),"",ReferenceData!$C$8),"")</f>
        <v>S6188</v>
      </c>
      <c r="D8" t="str">
        <f>IFERROR(IF(0=LEN(ReferenceData!$D$8),"",ReferenceData!$D$8),"")</f>
        <v>ARDR_REVENUE_GROWTH</v>
      </c>
      <c r="E8" t="str">
        <f>IFERROR(IF(0=LEN(ReferenceData!$E$8),"",ReferenceData!$E$8),"")</f>
        <v>Dynamic</v>
      </c>
      <c r="F8">
        <f ca="1">IFERROR(IF(0=LEN(ReferenceData!$T$8),"",ReferenceData!$T$8),"")</f>
        <v>33.540917159999999</v>
      </c>
      <c r="G8">
        <f ca="1">IFERROR(IF(0=LEN(ReferenceData!$S$8),"",ReferenceData!$S$8),"")</f>
        <v>45.919546269999998</v>
      </c>
      <c r="H8">
        <f ca="1">IFERROR(IF(0=LEN(ReferenceData!$R$8),"",ReferenceData!$R$8),"")</f>
        <v>20.146836539999999</v>
      </c>
      <c r="I8">
        <f ca="1">IFERROR(IF(0=LEN(ReferenceData!$Q$8),"",ReferenceData!$Q$8),"")</f>
        <v>29.960460099999999</v>
      </c>
      <c r="J8">
        <f ca="1">IFERROR(IF(0=LEN(ReferenceData!$P$8),"",ReferenceData!$P$8),"")</f>
        <v>4.8356612730000004</v>
      </c>
      <c r="K8">
        <f ca="1">IFERROR(IF(0=LEN(ReferenceData!$O$8),"",ReferenceData!$O$8),"")</f>
        <v>20.926039930000002</v>
      </c>
      <c r="L8">
        <f ca="1">IFERROR(IF(0=LEN(ReferenceData!$N$8),"",ReferenceData!$N$8),"")</f>
        <v>22.664630379999998</v>
      </c>
      <c r="M8">
        <f ca="1">IFERROR(IF(0=LEN(ReferenceData!$M$8),"",ReferenceData!$M$8),"")</f>
        <v>19.618189359999999</v>
      </c>
      <c r="N8">
        <f ca="1">IFERROR(IF(0=LEN(ReferenceData!$L$8),"",ReferenceData!$L$8),"")</f>
        <v>24.239195079999998</v>
      </c>
      <c r="O8">
        <f ca="1">IFERROR(IF(0=LEN(ReferenceData!$K$8),"",ReferenceData!$K$8),"")</f>
        <v>6.355095446</v>
      </c>
      <c r="P8">
        <f ca="1">IFERROR(IF(0=LEN(ReferenceData!$J$8),"",ReferenceData!$J$8),"")</f>
        <v>17.108347869999999</v>
      </c>
      <c r="Q8">
        <f ca="1">IFERROR(IF(0=LEN(ReferenceData!$I$8),"",ReferenceData!$I$8),"")</f>
        <v>9.6779359720000002</v>
      </c>
      <c r="R8">
        <f ca="1">IFERROR(IF(0=LEN(ReferenceData!$H$8),"",ReferenceData!$H$8),"")</f>
        <v>2.9758775769999999</v>
      </c>
      <c r="S8">
        <f ca="1">IFERROR(IF(0=LEN(ReferenceData!$G$8),"",ReferenceData!$G$8),"")</f>
        <v>17.23292022</v>
      </c>
      <c r="T8">
        <f ca="1">IFERROR(IF(0=LEN(ReferenceData!$F$8),"",ReferenceData!$F$8),"")</f>
        <v>9.8167523439999993</v>
      </c>
    </row>
    <row r="9" spans="1:20" x14ac:dyDescent="0.25">
      <c r="A9" t="str">
        <f>IFERROR(IF(0=LEN(ReferenceData!$A$9),"",ReferenceData!$A$9),"")</f>
        <v xml:space="preserve">        By End-Market</v>
      </c>
      <c r="B9" t="str">
        <f>IFERROR(IF(0=LEN(ReferenceData!$B$9),"",ReferenceData!$B$9),"")</f>
        <v/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Static</v>
      </c>
      <c r="F9" t="str">
        <f ca="1">IFERROR(IF(0=LEN(ReferenceData!$T$9),"",ReferenceData!$T$9),"")</f>
        <v/>
      </c>
      <c r="G9" t="str">
        <f ca="1">IFERROR(IF(0=LEN(ReferenceData!$S$9),"",ReferenceData!$S$9),"")</f>
        <v/>
      </c>
      <c r="H9" t="str">
        <f ca="1">IFERROR(IF(0=LEN(ReferenceData!$R$9),"",ReferenceData!$R$9),"")</f>
        <v/>
      </c>
      <c r="I9" t="str">
        <f ca="1">IFERROR(IF(0=LEN(ReferenceData!$Q$9),"",ReferenceData!$Q$9),"")</f>
        <v/>
      </c>
      <c r="J9" t="str">
        <f ca="1">IFERROR(IF(0=LEN(ReferenceData!$P$9),"",ReferenceData!$P$9),"")</f>
        <v/>
      </c>
      <c r="K9" t="str">
        <f ca="1">IFERROR(IF(0=LEN(ReferenceData!$O$9),"",ReferenceData!$O$9),"")</f>
        <v/>
      </c>
      <c r="L9" t="str">
        <f ca="1">IFERROR(IF(0=LEN(ReferenceData!$N$9),"",ReferenceData!$N$9),"")</f>
        <v/>
      </c>
      <c r="M9" t="str">
        <f ca="1">IFERROR(IF(0=LEN(ReferenceData!$M$9),"",ReferenceData!$M$9),"")</f>
        <v/>
      </c>
      <c r="N9" t="str">
        <f ca="1">IFERROR(IF(0=LEN(ReferenceData!$L$9),"",ReferenceData!$L$9),"")</f>
        <v/>
      </c>
      <c r="O9" t="str">
        <f ca="1">IFERROR(IF(0=LEN(ReferenceData!$K$9),"",ReferenceData!$K$9),"")</f>
        <v/>
      </c>
      <c r="P9" t="str">
        <f ca="1">IFERROR(IF(0=LEN(ReferenceData!$J$9),"",ReferenceData!$J$9),"")</f>
        <v/>
      </c>
      <c r="Q9" t="str">
        <f ca="1">IFERROR(IF(0=LEN(ReferenceData!$I$9),"",ReferenceData!$I$9),"")</f>
        <v/>
      </c>
      <c r="R9" t="str">
        <f ca="1">IFERROR(IF(0=LEN(ReferenceData!$H$9),"",ReferenceData!$H$9),"")</f>
        <v/>
      </c>
      <c r="S9" t="str">
        <f ca="1">IFERROR(IF(0=LEN(ReferenceData!$G$9),"",ReferenceData!$G$9),"")</f>
        <v/>
      </c>
      <c r="T9" t="str">
        <f ca="1">IFERROR(IF(0=LEN(ReferenceData!$F$9),"",ReferenceData!$F$9),"")</f>
        <v/>
      </c>
    </row>
    <row r="10" spans="1:20" x14ac:dyDescent="0.25">
      <c r="A10" t="str">
        <f>IFERROR(IF(0=LEN(ReferenceData!$A$10),"",ReferenceData!$A$10),"")</f>
        <v xml:space="preserve">            Financial Services</v>
      </c>
      <c r="B10" t="str">
        <f>IFERROR(IF(0=LEN(ReferenceData!$B$10),"",ReferenceData!$B$10),"")</f>
        <v>INFY US Equity</v>
      </c>
      <c r="C10" t="str">
        <f>IFERROR(IF(0=LEN(ReferenceData!$C$10),"",ReferenceData!$C$10),"")</f>
        <v>BI047</v>
      </c>
      <c r="D10" t="str">
        <f>IFERROR(IF(0=LEN(ReferenceData!$D$10),"",ReferenceData!$D$10),"")</f>
        <v>BICS_SEGMENT_DATA</v>
      </c>
      <c r="E10" t="str">
        <f>IFERROR(IF(0=LEN(ReferenceData!$E$10),"",ReferenceData!$E$10),"")</f>
        <v>Dynamic</v>
      </c>
      <c r="F10" t="str">
        <f ca="1">IFERROR(IF(0=LEN(ReferenceData!$T$10),"",ReferenceData!$T$10),"")</f>
        <v/>
      </c>
      <c r="G10" t="str">
        <f ca="1">IFERROR(IF(0=LEN(ReferenceData!$S$10),"",ReferenceData!$S$10),"")</f>
        <v/>
      </c>
      <c r="H10" t="str">
        <f ca="1">IFERROR(IF(0=LEN(ReferenceData!$R$10),"",ReferenceData!$R$10),"")</f>
        <v/>
      </c>
      <c r="I10" t="str">
        <f ca="1">IFERROR(IF(0=LEN(ReferenceData!$Q$10),"",ReferenceData!$Q$10),"")</f>
        <v/>
      </c>
      <c r="J10" t="str">
        <f ca="1">IFERROR(IF(0=LEN(ReferenceData!$P$10),"",ReferenceData!$P$10),"")</f>
        <v/>
      </c>
      <c r="K10" t="str">
        <f ca="1">IFERROR(IF(0=LEN(ReferenceData!$O$10),"",ReferenceData!$O$10),"")</f>
        <v/>
      </c>
      <c r="L10" t="str">
        <f ca="1">IFERROR(IF(0=LEN(ReferenceData!$N$10),"",ReferenceData!$N$10),"")</f>
        <v/>
      </c>
      <c r="M10" t="str">
        <f ca="1">IFERROR(IF(0=LEN(ReferenceData!$M$10),"",ReferenceData!$M$10),"")</f>
        <v/>
      </c>
      <c r="N10" t="str">
        <f ca="1">IFERROR(IF(0=LEN(ReferenceData!$L$10),"",ReferenceData!$L$10),"")</f>
        <v/>
      </c>
      <c r="O10" t="str">
        <f ca="1">IFERROR(IF(0=LEN(ReferenceData!$K$10),"",ReferenceData!$K$10),"")</f>
        <v/>
      </c>
      <c r="P10" t="str">
        <f ca="1">IFERROR(IF(0=LEN(ReferenceData!$J$10),"",ReferenceData!$J$10),"")</f>
        <v/>
      </c>
      <c r="Q10" t="str">
        <f ca="1">IFERROR(IF(0=LEN(ReferenceData!$I$10),"",ReferenceData!$I$10),"")</f>
        <v/>
      </c>
      <c r="R10">
        <f ca="1">IFERROR(IF(0=LEN(ReferenceData!$H$10),"",ReferenceData!$H$10),"")</f>
        <v>7.1</v>
      </c>
      <c r="S10" t="str">
        <f ca="1">IFERROR(IF(0=LEN(ReferenceData!$G$10),"",ReferenceData!$G$10),"")</f>
        <v/>
      </c>
      <c r="T10" t="str">
        <f ca="1">IFERROR(IF(0=LEN(ReferenceData!$F$10),"",ReferenceData!$F$10),"")</f>
        <v/>
      </c>
    </row>
    <row r="11" spans="1:20" x14ac:dyDescent="0.25">
      <c r="A11" t="str">
        <f>IFERROR(IF(0=LEN(ReferenceData!$A$11),"",ReferenceData!$A$11),"")</f>
        <v xml:space="preserve">            Retail</v>
      </c>
      <c r="B11" t="str">
        <f>IFERROR(IF(0=LEN(ReferenceData!$B$11),"",ReferenceData!$B$11),"")</f>
        <v>INFY US Equity</v>
      </c>
      <c r="C11" t="str">
        <f>IFERROR(IF(0=LEN(ReferenceData!$C$11),"",ReferenceData!$C$11),"")</f>
        <v>BI047</v>
      </c>
      <c r="D11" t="str">
        <f>IFERROR(IF(0=LEN(ReferenceData!$D$11),"",ReferenceData!$D$11),"")</f>
        <v>BICS_SEGMENT_DATA</v>
      </c>
      <c r="E11" t="str">
        <f>IFERROR(IF(0=LEN(ReferenceData!$E$11),"",ReferenceData!$E$11),"")</f>
        <v>Dynamic</v>
      </c>
      <c r="F11" t="str">
        <f ca="1">IFERROR(IF(0=LEN(ReferenceData!$T$11),"",ReferenceData!$T$11),"")</f>
        <v/>
      </c>
      <c r="G11" t="str">
        <f ca="1">IFERROR(IF(0=LEN(ReferenceData!$S$11),"",ReferenceData!$S$11),"")</f>
        <v/>
      </c>
      <c r="H11" t="str">
        <f ca="1">IFERROR(IF(0=LEN(ReferenceData!$R$11),"",ReferenceData!$R$11),"")</f>
        <v/>
      </c>
      <c r="I11" t="str">
        <f ca="1">IFERROR(IF(0=LEN(ReferenceData!$Q$11),"",ReferenceData!$Q$11),"")</f>
        <v/>
      </c>
      <c r="J11" t="str">
        <f ca="1">IFERROR(IF(0=LEN(ReferenceData!$P$11),"",ReferenceData!$P$11),"")</f>
        <v/>
      </c>
      <c r="K11" t="str">
        <f ca="1">IFERROR(IF(0=LEN(ReferenceData!$O$11),"",ReferenceData!$O$11),"")</f>
        <v/>
      </c>
      <c r="L11" t="str">
        <f ca="1">IFERROR(IF(0=LEN(ReferenceData!$N$11),"",ReferenceData!$N$11),"")</f>
        <v/>
      </c>
      <c r="M11" t="str">
        <f ca="1">IFERROR(IF(0=LEN(ReferenceData!$M$11),"",ReferenceData!$M$11),"")</f>
        <v/>
      </c>
      <c r="N11" t="str">
        <f ca="1">IFERROR(IF(0=LEN(ReferenceData!$L$11),"",ReferenceData!$L$11),"")</f>
        <v/>
      </c>
      <c r="O11" t="str">
        <f ca="1">IFERROR(IF(0=LEN(ReferenceData!$K$11),"",ReferenceData!$K$11),"")</f>
        <v/>
      </c>
      <c r="P11" t="str">
        <f ca="1">IFERROR(IF(0=LEN(ReferenceData!$J$11),"",ReferenceData!$J$11),"")</f>
        <v/>
      </c>
      <c r="Q11" t="str">
        <f ca="1">IFERROR(IF(0=LEN(ReferenceData!$I$11),"",ReferenceData!$I$11),"")</f>
        <v/>
      </c>
      <c r="R11">
        <f ca="1">IFERROR(IF(0=LEN(ReferenceData!$H$11),"",ReferenceData!$H$11),"")</f>
        <v>3.3</v>
      </c>
      <c r="S11" t="str">
        <f ca="1">IFERROR(IF(0=LEN(ReferenceData!$G$11),"",ReferenceData!$G$11),"")</f>
        <v/>
      </c>
      <c r="T11" t="str">
        <f ca="1">IFERROR(IF(0=LEN(ReferenceData!$F$11),"",ReferenceData!$F$11),"")</f>
        <v/>
      </c>
    </row>
    <row r="12" spans="1:20" x14ac:dyDescent="0.25">
      <c r="A12" t="str">
        <f>IFERROR(IF(0=LEN(ReferenceData!$A$12),"",ReferenceData!$A$12),"")</f>
        <v xml:space="preserve">            Manufacturing</v>
      </c>
      <c r="B12" t="str">
        <f>IFERROR(IF(0=LEN(ReferenceData!$B$12),"",ReferenceData!$B$12),"")</f>
        <v>INFY US Equity</v>
      </c>
      <c r="C12" t="str">
        <f>IFERROR(IF(0=LEN(ReferenceData!$C$12),"",ReferenceData!$C$12),"")</f>
        <v>BI047</v>
      </c>
      <c r="D12" t="str">
        <f>IFERROR(IF(0=LEN(ReferenceData!$D$12),"",ReferenceData!$D$12),"")</f>
        <v>BICS_SEGMENT_DATA</v>
      </c>
      <c r="E12" t="str">
        <f>IFERROR(IF(0=LEN(ReferenceData!$E$12),"",ReferenceData!$E$12),"")</f>
        <v>Dynamic</v>
      </c>
      <c r="F12" t="str">
        <f ca="1">IFERROR(IF(0=LEN(ReferenceData!$T$12),"",ReferenceData!$T$12),"")</f>
        <v/>
      </c>
      <c r="G12" t="str">
        <f ca="1">IFERROR(IF(0=LEN(ReferenceData!$S$12),"",ReferenceData!$S$12),"")</f>
        <v/>
      </c>
      <c r="H12" t="str">
        <f ca="1">IFERROR(IF(0=LEN(ReferenceData!$R$12),"",ReferenceData!$R$12),"")</f>
        <v/>
      </c>
      <c r="I12" t="str">
        <f ca="1">IFERROR(IF(0=LEN(ReferenceData!$Q$12),"",ReferenceData!$Q$12),"")</f>
        <v/>
      </c>
      <c r="J12" t="str">
        <f ca="1">IFERROR(IF(0=LEN(ReferenceData!$P$12),"",ReferenceData!$P$12),"")</f>
        <v/>
      </c>
      <c r="K12" t="str">
        <f ca="1">IFERROR(IF(0=LEN(ReferenceData!$O$12),"",ReferenceData!$O$12),"")</f>
        <v/>
      </c>
      <c r="L12" t="str">
        <f ca="1">IFERROR(IF(0=LEN(ReferenceData!$N$12),"",ReferenceData!$N$12),"")</f>
        <v/>
      </c>
      <c r="M12" t="str">
        <f ca="1">IFERROR(IF(0=LEN(ReferenceData!$M$12),"",ReferenceData!$M$12),"")</f>
        <v/>
      </c>
      <c r="N12" t="str">
        <f ca="1">IFERROR(IF(0=LEN(ReferenceData!$L$12),"",ReferenceData!$L$12),"")</f>
        <v/>
      </c>
      <c r="O12" t="str">
        <f ca="1">IFERROR(IF(0=LEN(ReferenceData!$K$12),"",ReferenceData!$K$12),"")</f>
        <v/>
      </c>
      <c r="P12" t="str">
        <f ca="1">IFERROR(IF(0=LEN(ReferenceData!$J$12),"",ReferenceData!$J$12),"")</f>
        <v/>
      </c>
      <c r="Q12" t="str">
        <f ca="1">IFERROR(IF(0=LEN(ReferenceData!$I$12),"",ReferenceData!$I$12),"")</f>
        <v/>
      </c>
      <c r="R12">
        <f ca="1">IFERROR(IF(0=LEN(ReferenceData!$H$12),"",ReferenceData!$H$12),"")</f>
        <v>4.2</v>
      </c>
      <c r="S12" t="str">
        <f ca="1">IFERROR(IF(0=LEN(ReferenceData!$G$12),"",ReferenceData!$G$12),"")</f>
        <v/>
      </c>
      <c r="T12" t="str">
        <f ca="1">IFERROR(IF(0=LEN(ReferenceData!$F$12),"",ReferenceData!$F$12),"")</f>
        <v/>
      </c>
    </row>
    <row r="13" spans="1:20" x14ac:dyDescent="0.25">
      <c r="A13" t="str">
        <f>IFERROR(IF(0=LEN(ReferenceData!$A$13),"",ReferenceData!$A$13),"")</f>
        <v xml:space="preserve">    Revenue Growth in Constant Currency (%) YoY</v>
      </c>
      <c r="B13" t="str">
        <f>IFERROR(IF(0=LEN(ReferenceData!$B$13),"",ReferenceData!$B$13),"")</f>
        <v>INFY US Equity</v>
      </c>
      <c r="C13" t="str">
        <f>IFERROR(IF(0=LEN(ReferenceData!$C$13),"",ReferenceData!$C$13),"")</f>
        <v>M0025</v>
      </c>
      <c r="D13" t="str">
        <f>IFERROR(IF(0=LEN(ReferenceData!$D$13),"",ReferenceData!$D$13),"")</f>
        <v>1_YR_REVENUE_GROWTH_CC</v>
      </c>
      <c r="E13" t="str">
        <f>IFERROR(IF(0=LEN(ReferenceData!$E$13),"",ReferenceData!$E$13),"")</f>
        <v>Dynamic</v>
      </c>
      <c r="F13" t="str">
        <f ca="1">IFERROR(IF(0=LEN(ReferenceData!$T$13),"",ReferenceData!$T$13),"")</f>
        <v/>
      </c>
      <c r="G13" t="str">
        <f ca="1">IFERROR(IF(0=LEN(ReferenceData!$S$13),"",ReferenceData!$S$13),"")</f>
        <v/>
      </c>
      <c r="H13" t="str">
        <f ca="1">IFERROR(IF(0=LEN(ReferenceData!$R$13),"",ReferenceData!$R$13),"")</f>
        <v/>
      </c>
      <c r="I13">
        <f ca="1">IFERROR(IF(0=LEN(ReferenceData!$Q$13),"",ReferenceData!$Q$13),"")</f>
        <v>5.9</v>
      </c>
      <c r="J13" t="str">
        <f ca="1">IFERROR(IF(0=LEN(ReferenceData!$P$13),"",ReferenceData!$P$13),"")</f>
        <v/>
      </c>
      <c r="K13">
        <f ca="1">IFERROR(IF(0=LEN(ReferenceData!$O$13),"",ReferenceData!$O$13),"")</f>
        <v>22.3</v>
      </c>
      <c r="L13">
        <f ca="1">IFERROR(IF(0=LEN(ReferenceData!$N$13),"",ReferenceData!$N$13),"")</f>
        <v>22.3</v>
      </c>
      <c r="M13" t="str">
        <f ca="1">IFERROR(IF(0=LEN(ReferenceData!$M$13),"",ReferenceData!$M$13),"")</f>
        <v/>
      </c>
      <c r="N13" t="str">
        <f ca="1">IFERROR(IF(0=LEN(ReferenceData!$L$13),"",ReferenceData!$L$13),"")</f>
        <v/>
      </c>
      <c r="O13" t="str">
        <f ca="1">IFERROR(IF(0=LEN(ReferenceData!$K$13),"",ReferenceData!$K$13),"")</f>
        <v/>
      </c>
      <c r="P13" t="str">
        <f ca="1">IFERROR(IF(0=LEN(ReferenceData!$J$13),"",ReferenceData!$J$13),"")</f>
        <v/>
      </c>
      <c r="Q13" t="str">
        <f ca="1">IFERROR(IF(0=LEN(ReferenceData!$I$13),"",ReferenceData!$I$13),"")</f>
        <v/>
      </c>
      <c r="R13" t="str">
        <f ca="1">IFERROR(IF(0=LEN(ReferenceData!$H$13),"",ReferenceData!$H$13),"")</f>
        <v/>
      </c>
      <c r="S13">
        <f ca="1">IFERROR(IF(0=LEN(ReferenceData!$G$13),"",ReferenceData!$G$13),"")</f>
        <v>9</v>
      </c>
      <c r="T13">
        <f ca="1">IFERROR(IF(0=LEN(ReferenceData!$F$13),"",ReferenceData!$F$13),"")</f>
        <v>9.8000000000000007</v>
      </c>
    </row>
    <row r="14" spans="1:20" x14ac:dyDescent="0.25">
      <c r="A14" t="str">
        <f>IFERROR(IF(0=LEN(ReferenceData!$A$14),"",ReferenceData!$A$14),"")</f>
        <v xml:space="preserve">        By End-Market</v>
      </c>
      <c r="B14" t="str">
        <f>IFERROR(IF(0=LEN(ReferenceData!$B$14),"",ReferenceData!$B$14),"")</f>
        <v/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Static</v>
      </c>
      <c r="F14" t="str">
        <f ca="1">IFERROR(IF(0=LEN(ReferenceData!$T$14),"",ReferenceData!$T$14),"")</f>
        <v/>
      </c>
      <c r="G14" t="str">
        <f ca="1">IFERROR(IF(0=LEN(ReferenceData!$S$14),"",ReferenceData!$S$14),"")</f>
        <v/>
      </c>
      <c r="H14" t="str">
        <f ca="1">IFERROR(IF(0=LEN(ReferenceData!$R$14),"",ReferenceData!$R$14),"")</f>
        <v/>
      </c>
      <c r="I14" t="str">
        <f ca="1">IFERROR(IF(0=LEN(ReferenceData!$Q$14),"",ReferenceData!$Q$14),"")</f>
        <v/>
      </c>
      <c r="J14" t="str">
        <f ca="1">IFERROR(IF(0=LEN(ReferenceData!$P$14),"",ReferenceData!$P$14),"")</f>
        <v/>
      </c>
      <c r="K14" t="str">
        <f ca="1">IFERROR(IF(0=LEN(ReferenceData!$O$14),"",ReferenceData!$O$14),"")</f>
        <v/>
      </c>
      <c r="L14" t="str">
        <f ca="1">IFERROR(IF(0=LEN(ReferenceData!$N$14),"",ReferenceData!$N$14),"")</f>
        <v/>
      </c>
      <c r="M14" t="str">
        <f ca="1">IFERROR(IF(0=LEN(ReferenceData!$M$14),"",ReferenceData!$M$14),"")</f>
        <v/>
      </c>
      <c r="N14" t="str">
        <f ca="1">IFERROR(IF(0=LEN(ReferenceData!$L$14),"",ReferenceData!$L$14),"")</f>
        <v/>
      </c>
      <c r="O14" t="str">
        <f ca="1">IFERROR(IF(0=LEN(ReferenceData!$K$14),"",ReferenceData!$K$14),"")</f>
        <v/>
      </c>
      <c r="P14" t="str">
        <f ca="1">IFERROR(IF(0=LEN(ReferenceData!$J$14),"",ReferenceData!$J$14),"")</f>
        <v/>
      </c>
      <c r="Q14" t="str">
        <f ca="1">IFERROR(IF(0=LEN(ReferenceData!$I$14),"",ReferenceData!$I$14),"")</f>
        <v/>
      </c>
      <c r="R14" t="str">
        <f ca="1">IFERROR(IF(0=LEN(ReferenceData!$H$14),"",ReferenceData!$H$14),"")</f>
        <v/>
      </c>
      <c r="S14" t="str">
        <f ca="1">IFERROR(IF(0=LEN(ReferenceData!$G$14),"",ReferenceData!$G$14),"")</f>
        <v/>
      </c>
      <c r="T14" t="str">
        <f ca="1">IFERROR(IF(0=LEN(ReferenceData!$F$14),"",ReferenceData!$F$14),"")</f>
        <v/>
      </c>
    </row>
    <row r="15" spans="1:20" x14ac:dyDescent="0.25">
      <c r="A15" t="str">
        <f>IFERROR(IF(0=LEN(ReferenceData!$A$15),"",ReferenceData!$A$15),"")</f>
        <v xml:space="preserve">            Financial Services</v>
      </c>
      <c r="B15" t="str">
        <f>IFERROR(IF(0=LEN(ReferenceData!$B$15),"",ReferenceData!$B$15),"")</f>
        <v>INFY US Equity</v>
      </c>
      <c r="C15" t="str">
        <f>IFERROR(IF(0=LEN(ReferenceData!$C$15),"",ReferenceData!$C$15),"")</f>
        <v>BI047</v>
      </c>
      <c r="D15" t="str">
        <f>IFERROR(IF(0=LEN(ReferenceData!$D$15),"",ReferenceData!$D$15),"")</f>
        <v>BICS_SEGMENT_DATA</v>
      </c>
      <c r="E15" t="str">
        <f>IFERROR(IF(0=LEN(ReferenceData!$E$15),"",ReferenceData!$E$15),"")</f>
        <v>Dynamic</v>
      </c>
      <c r="F15" t="str">
        <f ca="1">IFERROR(IF(0=LEN(ReferenceData!$T$15),"",ReferenceData!$T$15),"")</f>
        <v/>
      </c>
      <c r="G15" t="str">
        <f ca="1">IFERROR(IF(0=LEN(ReferenceData!$S$15),"",ReferenceData!$S$15),"")</f>
        <v/>
      </c>
      <c r="H15" t="str">
        <f ca="1">IFERROR(IF(0=LEN(ReferenceData!$R$15),"",ReferenceData!$R$15),"")</f>
        <v/>
      </c>
      <c r="I15" t="str">
        <f ca="1">IFERROR(IF(0=LEN(ReferenceData!$Q$15),"",ReferenceData!$Q$15),"")</f>
        <v/>
      </c>
      <c r="J15" t="str">
        <f ca="1">IFERROR(IF(0=LEN(ReferenceData!$P$15),"",ReferenceData!$P$15),"")</f>
        <v/>
      </c>
      <c r="K15" t="str">
        <f ca="1">IFERROR(IF(0=LEN(ReferenceData!$O$15),"",ReferenceData!$O$15),"")</f>
        <v/>
      </c>
      <c r="L15" t="str">
        <f ca="1">IFERROR(IF(0=LEN(ReferenceData!$N$15),"",ReferenceData!$N$15),"")</f>
        <v/>
      </c>
      <c r="M15" t="str">
        <f ca="1">IFERROR(IF(0=LEN(ReferenceData!$M$15),"",ReferenceData!$M$15),"")</f>
        <v/>
      </c>
      <c r="N15" t="str">
        <f ca="1">IFERROR(IF(0=LEN(ReferenceData!$L$15),"",ReferenceData!$L$15),"")</f>
        <v/>
      </c>
      <c r="O15" t="str">
        <f ca="1">IFERROR(IF(0=LEN(ReferenceData!$K$15),"",ReferenceData!$K$15),"")</f>
        <v/>
      </c>
      <c r="P15" t="str">
        <f ca="1">IFERROR(IF(0=LEN(ReferenceData!$J$15),"",ReferenceData!$J$15),"")</f>
        <v/>
      </c>
      <c r="Q15" t="str">
        <f ca="1">IFERROR(IF(0=LEN(ReferenceData!$I$15),"",ReferenceData!$I$15),"")</f>
        <v/>
      </c>
      <c r="R15">
        <f ca="1">IFERROR(IF(0=LEN(ReferenceData!$H$15),"",ReferenceData!$H$15),"")</f>
        <v>5.9</v>
      </c>
      <c r="S15" t="str">
        <f ca="1">IFERROR(IF(0=LEN(ReferenceData!$G$15),"",ReferenceData!$G$15),"")</f>
        <v/>
      </c>
      <c r="T15" t="str">
        <f ca="1">IFERROR(IF(0=LEN(ReferenceData!$F$15),"",ReferenceData!$F$15),"")</f>
        <v/>
      </c>
    </row>
    <row r="16" spans="1:20" x14ac:dyDescent="0.25">
      <c r="A16" t="str">
        <f>IFERROR(IF(0=LEN(ReferenceData!$A$16),"",ReferenceData!$A$16),"")</f>
        <v xml:space="preserve">            Retail</v>
      </c>
      <c r="B16" t="str">
        <f>IFERROR(IF(0=LEN(ReferenceData!$B$16),"",ReferenceData!$B$16),"")</f>
        <v>INFY US Equity</v>
      </c>
      <c r="C16" t="str">
        <f>IFERROR(IF(0=LEN(ReferenceData!$C$16),"",ReferenceData!$C$16),"")</f>
        <v>BI047</v>
      </c>
      <c r="D16" t="str">
        <f>IFERROR(IF(0=LEN(ReferenceData!$D$16),"",ReferenceData!$D$16),"")</f>
        <v>BICS_SEGMENT_DATA</v>
      </c>
      <c r="E16" t="str">
        <f>IFERROR(IF(0=LEN(ReferenceData!$E$16),"",ReferenceData!$E$16),"")</f>
        <v>Dynamic</v>
      </c>
      <c r="F16" t="str">
        <f ca="1">IFERROR(IF(0=LEN(ReferenceData!$T$16),"",ReferenceData!$T$16),"")</f>
        <v/>
      </c>
      <c r="G16" t="str">
        <f ca="1">IFERROR(IF(0=LEN(ReferenceData!$S$16),"",ReferenceData!$S$16),"")</f>
        <v/>
      </c>
      <c r="H16" t="str">
        <f ca="1">IFERROR(IF(0=LEN(ReferenceData!$R$16),"",ReferenceData!$R$16),"")</f>
        <v/>
      </c>
      <c r="I16" t="str">
        <f ca="1">IFERROR(IF(0=LEN(ReferenceData!$Q$16),"",ReferenceData!$Q$16),"")</f>
        <v/>
      </c>
      <c r="J16" t="str">
        <f ca="1">IFERROR(IF(0=LEN(ReferenceData!$P$16),"",ReferenceData!$P$16),"")</f>
        <v/>
      </c>
      <c r="K16" t="str">
        <f ca="1">IFERROR(IF(0=LEN(ReferenceData!$O$16),"",ReferenceData!$O$16),"")</f>
        <v/>
      </c>
      <c r="L16" t="str">
        <f ca="1">IFERROR(IF(0=LEN(ReferenceData!$N$16),"",ReferenceData!$N$16),"")</f>
        <v/>
      </c>
      <c r="M16" t="str">
        <f ca="1">IFERROR(IF(0=LEN(ReferenceData!$M$16),"",ReferenceData!$M$16),"")</f>
        <v/>
      </c>
      <c r="N16" t="str">
        <f ca="1">IFERROR(IF(0=LEN(ReferenceData!$L$16),"",ReferenceData!$L$16),"")</f>
        <v/>
      </c>
      <c r="O16" t="str">
        <f ca="1">IFERROR(IF(0=LEN(ReferenceData!$K$16),"",ReferenceData!$K$16),"")</f>
        <v/>
      </c>
      <c r="P16" t="str">
        <f ca="1">IFERROR(IF(0=LEN(ReferenceData!$J$16),"",ReferenceData!$J$16),"")</f>
        <v/>
      </c>
      <c r="Q16" t="str">
        <f ca="1">IFERROR(IF(0=LEN(ReferenceData!$I$16),"",ReferenceData!$I$16),"")</f>
        <v/>
      </c>
      <c r="R16">
        <f ca="1">IFERROR(IF(0=LEN(ReferenceData!$H$16),"",ReferenceData!$H$16),"")</f>
        <v>2</v>
      </c>
      <c r="S16" t="str">
        <f ca="1">IFERROR(IF(0=LEN(ReferenceData!$G$16),"",ReferenceData!$G$16),"")</f>
        <v/>
      </c>
      <c r="T16" t="str">
        <f ca="1">IFERROR(IF(0=LEN(ReferenceData!$F$16),"",ReferenceData!$F$16),"")</f>
        <v/>
      </c>
    </row>
    <row r="17" spans="1:20" x14ac:dyDescent="0.25">
      <c r="A17" t="str">
        <f>IFERROR(IF(0=LEN(ReferenceData!$A$17),"",ReferenceData!$A$17),"")</f>
        <v xml:space="preserve">            Manufacturing</v>
      </c>
      <c r="B17" t="str">
        <f>IFERROR(IF(0=LEN(ReferenceData!$B$17),"",ReferenceData!$B$17),"")</f>
        <v>INFY US Equity</v>
      </c>
      <c r="C17" t="str">
        <f>IFERROR(IF(0=LEN(ReferenceData!$C$17),"",ReferenceData!$C$17),"")</f>
        <v>BI047</v>
      </c>
      <c r="D17" t="str">
        <f>IFERROR(IF(0=LEN(ReferenceData!$D$17),"",ReferenceData!$D$17),"")</f>
        <v>BICS_SEGMENT_DATA</v>
      </c>
      <c r="E17" t="str">
        <f>IFERROR(IF(0=LEN(ReferenceData!$E$17),"",ReferenceData!$E$17),"")</f>
        <v>Dynamic</v>
      </c>
      <c r="F17" t="str">
        <f ca="1">IFERROR(IF(0=LEN(ReferenceData!$T$17),"",ReferenceData!$T$17),"")</f>
        <v/>
      </c>
      <c r="G17" t="str">
        <f ca="1">IFERROR(IF(0=LEN(ReferenceData!$S$17),"",ReferenceData!$S$17),"")</f>
        <v/>
      </c>
      <c r="H17" t="str">
        <f ca="1">IFERROR(IF(0=LEN(ReferenceData!$R$17),"",ReferenceData!$R$17),"")</f>
        <v/>
      </c>
      <c r="I17" t="str">
        <f ca="1">IFERROR(IF(0=LEN(ReferenceData!$Q$17),"",ReferenceData!$Q$17),"")</f>
        <v/>
      </c>
      <c r="J17" t="str">
        <f ca="1">IFERROR(IF(0=LEN(ReferenceData!$P$17),"",ReferenceData!$P$17),"")</f>
        <v/>
      </c>
      <c r="K17" t="str">
        <f ca="1">IFERROR(IF(0=LEN(ReferenceData!$O$17),"",ReferenceData!$O$17),"")</f>
        <v/>
      </c>
      <c r="L17" t="str">
        <f ca="1">IFERROR(IF(0=LEN(ReferenceData!$N$17),"",ReferenceData!$N$17),"")</f>
        <v/>
      </c>
      <c r="M17" t="str">
        <f ca="1">IFERROR(IF(0=LEN(ReferenceData!$M$17),"",ReferenceData!$M$17),"")</f>
        <v/>
      </c>
      <c r="N17" t="str">
        <f ca="1">IFERROR(IF(0=LEN(ReferenceData!$L$17),"",ReferenceData!$L$17),"")</f>
        <v/>
      </c>
      <c r="O17" t="str">
        <f ca="1">IFERROR(IF(0=LEN(ReferenceData!$K$17),"",ReferenceData!$K$17),"")</f>
        <v/>
      </c>
      <c r="P17" t="str">
        <f ca="1">IFERROR(IF(0=LEN(ReferenceData!$J$17),"",ReferenceData!$J$17),"")</f>
        <v/>
      </c>
      <c r="Q17" t="str">
        <f ca="1">IFERROR(IF(0=LEN(ReferenceData!$I$17),"",ReferenceData!$I$17),"")</f>
        <v/>
      </c>
      <c r="R17">
        <f ca="1">IFERROR(IF(0=LEN(ReferenceData!$H$17),"",ReferenceData!$H$17),"")</f>
        <v>3.1</v>
      </c>
      <c r="S17" t="str">
        <f ca="1">IFERROR(IF(0=LEN(ReferenceData!$G$17),"",ReferenceData!$G$17),"")</f>
        <v/>
      </c>
      <c r="T17" t="str">
        <f ca="1">IFERROR(IF(0=LEN(ReferenceData!$F$17),"",ReferenceData!$F$17),"")</f>
        <v/>
      </c>
    </row>
    <row r="18" spans="1:20" x14ac:dyDescent="0.25">
      <c r="A18" t="str">
        <f>IFERROR(IF(0=LEN(ReferenceData!$A$18),"",ReferenceData!$A$18),"")</f>
        <v xml:space="preserve">    Revenue Growth (%) QoQ</v>
      </c>
      <c r="B18" t="str">
        <f>IFERROR(IF(0=LEN(ReferenceData!$B$18),"",ReferenceData!$B$18),"")</f>
        <v>INFO IN Equity</v>
      </c>
      <c r="C18" t="str">
        <f>IFERROR(IF(0=LEN(ReferenceData!$C$18),"",ReferenceData!$C$18),"")</f>
        <v>F0486</v>
      </c>
      <c r="D18" t="str">
        <f>IFERROR(IF(0=LEN(ReferenceData!$D$18),"",ReferenceData!$D$18),"")</f>
        <v>REVENUE_SEQUENTIAL_GROWTH</v>
      </c>
      <c r="E18" t="str">
        <f>IFERROR(IF(0=LEN(ReferenceData!$E$18),"",ReferenceData!$E$18),"")</f>
        <v>Dynamic</v>
      </c>
      <c r="F18">
        <f ca="1">IFERROR(IF(0=LEN(ReferenceData!$T$18),"",ReferenceData!$T$18),"")</f>
        <v>33.540917159999999</v>
      </c>
      <c r="G18">
        <f ca="1">IFERROR(IF(0=LEN(ReferenceData!$S$18),"",ReferenceData!$S$18),"")</f>
        <v>45.919546269999998</v>
      </c>
      <c r="H18">
        <f ca="1">IFERROR(IF(0=LEN(ReferenceData!$R$18),"",ReferenceData!$R$18),"")</f>
        <v>20.146836539999999</v>
      </c>
      <c r="I18">
        <f ca="1">IFERROR(IF(0=LEN(ReferenceData!$Q$18),"",ReferenceData!$Q$18),"")</f>
        <v>29.960460099999999</v>
      </c>
      <c r="J18">
        <f ca="1">IFERROR(IF(0=LEN(ReferenceData!$P$18),"",ReferenceData!$P$18),"")</f>
        <v>4.8356612730000004</v>
      </c>
      <c r="K18">
        <f ca="1">IFERROR(IF(0=LEN(ReferenceData!$O$18),"",ReferenceData!$O$18),"")</f>
        <v>20.926039930000002</v>
      </c>
      <c r="L18">
        <f ca="1">IFERROR(IF(0=LEN(ReferenceData!$N$18),"",ReferenceData!$N$18),"")</f>
        <v>22.664630379999998</v>
      </c>
      <c r="M18">
        <f ca="1">IFERROR(IF(0=LEN(ReferenceData!$M$18),"",ReferenceData!$M$18),"")</f>
        <v>19.618189359999999</v>
      </c>
      <c r="N18">
        <f ca="1">IFERROR(IF(0=LEN(ReferenceData!$L$18),"",ReferenceData!$L$18),"")</f>
        <v>24.239195079999998</v>
      </c>
      <c r="O18">
        <f ca="1">IFERROR(IF(0=LEN(ReferenceData!$K$18),"",ReferenceData!$K$18),"")</f>
        <v>6.355095446</v>
      </c>
      <c r="P18">
        <f ca="1">IFERROR(IF(0=LEN(ReferenceData!$J$18),"",ReferenceData!$J$18),"")</f>
        <v>17.108347869999999</v>
      </c>
      <c r="Q18">
        <f ca="1">IFERROR(IF(0=LEN(ReferenceData!$I$18),"",ReferenceData!$I$18),"")</f>
        <v>9.6779359720000002</v>
      </c>
      <c r="R18">
        <f ca="1">IFERROR(IF(0=LEN(ReferenceData!$H$18),"",ReferenceData!$H$18),"")</f>
        <v>2.9758775769999999</v>
      </c>
      <c r="S18">
        <f ca="1">IFERROR(IF(0=LEN(ReferenceData!$G$18),"",ReferenceData!$G$18),"")</f>
        <v>17.23292022</v>
      </c>
      <c r="T18">
        <f ca="1">IFERROR(IF(0=LEN(ReferenceData!$F$18),"",ReferenceData!$F$18),"")</f>
        <v>9.8167523439999993</v>
      </c>
    </row>
    <row r="19" spans="1:20" x14ac:dyDescent="0.25">
      <c r="A19" t="str">
        <f>IFERROR(IF(0=LEN(ReferenceData!$A$19),"",ReferenceData!$A$19),"")</f>
        <v xml:space="preserve">        By End-Market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Static</v>
      </c>
      <c r="F19" t="str">
        <f ca="1">IFERROR(IF(0=LEN(ReferenceData!$T$19),"",ReferenceData!$T$19),"")</f>
        <v/>
      </c>
      <c r="G19" t="str">
        <f ca="1">IFERROR(IF(0=LEN(ReferenceData!$S$19),"",ReferenceData!$S$19),"")</f>
        <v/>
      </c>
      <c r="H19" t="str">
        <f ca="1">IFERROR(IF(0=LEN(ReferenceData!$R$19),"",ReferenceData!$R$19),"")</f>
        <v/>
      </c>
      <c r="I19" t="str">
        <f ca="1">IFERROR(IF(0=LEN(ReferenceData!$Q$19),"",ReferenceData!$Q$19),"")</f>
        <v/>
      </c>
      <c r="J19" t="str">
        <f ca="1">IFERROR(IF(0=LEN(ReferenceData!$P$19),"",ReferenceData!$P$19),"")</f>
        <v/>
      </c>
      <c r="K19" t="str">
        <f ca="1">IFERROR(IF(0=LEN(ReferenceData!$O$19),"",ReferenceData!$O$19),"")</f>
        <v/>
      </c>
      <c r="L19" t="str">
        <f ca="1">IFERROR(IF(0=LEN(ReferenceData!$N$19),"",ReferenceData!$N$19),"")</f>
        <v/>
      </c>
      <c r="M19" t="str">
        <f ca="1">IFERROR(IF(0=LEN(ReferenceData!$M$19),"",ReferenceData!$M$19),"")</f>
        <v/>
      </c>
      <c r="N19" t="str">
        <f ca="1">IFERROR(IF(0=LEN(ReferenceData!$L$19),"",ReferenceData!$L$19),"")</f>
        <v/>
      </c>
      <c r="O19" t="str">
        <f ca="1">IFERROR(IF(0=LEN(ReferenceData!$K$19),"",ReferenceData!$K$19),"")</f>
        <v/>
      </c>
      <c r="P19" t="str">
        <f ca="1">IFERROR(IF(0=LEN(ReferenceData!$J$19),"",ReferenceData!$J$19),"")</f>
        <v/>
      </c>
      <c r="Q19" t="str">
        <f ca="1">IFERROR(IF(0=LEN(ReferenceData!$I$19),"",ReferenceData!$I$19),"")</f>
        <v/>
      </c>
      <c r="R19" t="str">
        <f ca="1">IFERROR(IF(0=LEN(ReferenceData!$H$19),"",ReferenceData!$H$19),"")</f>
        <v/>
      </c>
      <c r="S19" t="str">
        <f ca="1">IFERROR(IF(0=LEN(ReferenceData!$G$19),"",ReferenceData!$G$19),"")</f>
        <v/>
      </c>
      <c r="T19" t="str">
        <f ca="1">IFERROR(IF(0=LEN(ReferenceData!$F$19),"",ReferenceData!$F$19),"")</f>
        <v/>
      </c>
    </row>
    <row r="20" spans="1:20" x14ac:dyDescent="0.25">
      <c r="A20" t="str">
        <f>IFERROR(IF(0=LEN(ReferenceData!$A$20),"",ReferenceData!$A$20),"")</f>
        <v xml:space="preserve">    Revenue Growth in Constant Currency (%) QoQ</v>
      </c>
      <c r="B20" t="str">
        <f>IFERROR(IF(0=LEN(ReferenceData!$B$20),"",ReferenceData!$B$20),"")</f>
        <v>INFY US Equity</v>
      </c>
      <c r="C20" t="str">
        <f>IFERROR(IF(0=LEN(ReferenceData!$C$20),"",ReferenceData!$C$20),"")</f>
        <v>B5666</v>
      </c>
      <c r="D20" t="str">
        <f>IFERROR(IF(0=LEN(ReferenceData!$D$20),"",ReferenceData!$D$20),"")</f>
        <v>ARD_SEQUENTIAL_REVENUE_GROWTH_CC</v>
      </c>
      <c r="E20" t="str">
        <f>IFERROR(IF(0=LEN(ReferenceData!$E$20),"",ReferenceData!$E$20),"")</f>
        <v>Dynamic</v>
      </c>
      <c r="F20" t="str">
        <f ca="1">IFERROR(IF(0=LEN(ReferenceData!$T$20),"",ReferenceData!$T$20),"")</f>
        <v/>
      </c>
      <c r="G20" t="str">
        <f ca="1">IFERROR(IF(0=LEN(ReferenceData!$S$20),"",ReferenceData!$S$20),"")</f>
        <v/>
      </c>
      <c r="H20" t="str">
        <f ca="1">IFERROR(IF(0=LEN(ReferenceData!$R$20),"",ReferenceData!$R$20),"")</f>
        <v/>
      </c>
      <c r="I20" t="str">
        <f ca="1">IFERROR(IF(0=LEN(ReferenceData!$Q$20),"",ReferenceData!$Q$20),"")</f>
        <v/>
      </c>
      <c r="J20" t="str">
        <f ca="1">IFERROR(IF(0=LEN(ReferenceData!$P$20),"",ReferenceData!$P$20),"")</f>
        <v/>
      </c>
      <c r="K20" t="str">
        <f ca="1">IFERROR(IF(0=LEN(ReferenceData!$O$20),"",ReferenceData!$O$20),"")</f>
        <v/>
      </c>
      <c r="L20" t="str">
        <f ca="1">IFERROR(IF(0=LEN(ReferenceData!$N$20),"",ReferenceData!$N$20),"")</f>
        <v/>
      </c>
      <c r="M20" t="str">
        <f ca="1">IFERROR(IF(0=LEN(ReferenceData!$M$20),"",ReferenceData!$M$20),"")</f>
        <v/>
      </c>
      <c r="N20" t="str">
        <f ca="1">IFERROR(IF(0=LEN(ReferenceData!$L$20),"",ReferenceData!$L$20),"")</f>
        <v/>
      </c>
      <c r="O20" t="str">
        <f ca="1">IFERROR(IF(0=LEN(ReferenceData!$K$20),"",ReferenceData!$K$20),"")</f>
        <v/>
      </c>
      <c r="P20" t="str">
        <f ca="1">IFERROR(IF(0=LEN(ReferenceData!$J$20),"",ReferenceData!$J$20),"")</f>
        <v/>
      </c>
      <c r="Q20" t="str">
        <f ca="1">IFERROR(IF(0=LEN(ReferenceData!$I$20),"",ReferenceData!$I$20),"")</f>
        <v/>
      </c>
      <c r="R20" t="str">
        <f ca="1">IFERROR(IF(0=LEN(ReferenceData!$H$20),"",ReferenceData!$H$20),"")</f>
        <v/>
      </c>
      <c r="S20" t="str">
        <f ca="1">IFERROR(IF(0=LEN(ReferenceData!$G$20),"",ReferenceData!$G$20),"")</f>
        <v/>
      </c>
      <c r="T20" t="str">
        <f ca="1">IFERROR(IF(0=LEN(ReferenceData!$F$20),"",ReferenceData!$F$20),"")</f>
        <v/>
      </c>
    </row>
    <row r="21" spans="1:20" x14ac:dyDescent="0.25">
      <c r="A21" t="str">
        <f>IFERROR(IF(0=LEN(ReferenceData!$A$21),"",ReferenceData!$A$21),"")</f>
        <v xml:space="preserve">        By End-Market</v>
      </c>
      <c r="B21" t="str">
        <f>IFERROR(IF(0=LEN(ReferenceData!$B$21),"",ReferenceData!$B$21),"")</f>
        <v/>
      </c>
      <c r="C21" t="str">
        <f>IFERROR(IF(0=LEN(ReferenceData!$C$21),"",ReferenceData!$C$21),"")</f>
        <v/>
      </c>
      <c r="D21" t="str">
        <f>IFERROR(IF(0=LEN(ReferenceData!$D$21),"",ReferenceData!$D$21),"")</f>
        <v/>
      </c>
      <c r="E21" t="str">
        <f>IFERROR(IF(0=LEN(ReferenceData!$E$21),"",ReferenceData!$E$21),"")</f>
        <v>Static</v>
      </c>
      <c r="F21" t="str">
        <f ca="1">IFERROR(IF(0=LEN(ReferenceData!$T$21),"",ReferenceData!$T$21),"")</f>
        <v/>
      </c>
      <c r="G21" t="str">
        <f ca="1">IFERROR(IF(0=LEN(ReferenceData!$S$21),"",ReferenceData!$S$21),"")</f>
        <v/>
      </c>
      <c r="H21" t="str">
        <f ca="1">IFERROR(IF(0=LEN(ReferenceData!$R$21),"",ReferenceData!$R$21),"")</f>
        <v/>
      </c>
      <c r="I21" t="str">
        <f ca="1">IFERROR(IF(0=LEN(ReferenceData!$Q$21),"",ReferenceData!$Q$21),"")</f>
        <v/>
      </c>
      <c r="J21" t="str">
        <f ca="1">IFERROR(IF(0=LEN(ReferenceData!$P$21),"",ReferenceData!$P$21),"")</f>
        <v/>
      </c>
      <c r="K21" t="str">
        <f ca="1">IFERROR(IF(0=LEN(ReferenceData!$O$21),"",ReferenceData!$O$21),"")</f>
        <v/>
      </c>
      <c r="L21" t="str">
        <f ca="1">IFERROR(IF(0=LEN(ReferenceData!$N$21),"",ReferenceData!$N$21),"")</f>
        <v/>
      </c>
      <c r="M21" t="str">
        <f ca="1">IFERROR(IF(0=LEN(ReferenceData!$M$21),"",ReferenceData!$M$21),"")</f>
        <v/>
      </c>
      <c r="N21" t="str">
        <f ca="1">IFERROR(IF(0=LEN(ReferenceData!$L$21),"",ReferenceData!$L$21),"")</f>
        <v/>
      </c>
      <c r="O21" t="str">
        <f ca="1">IFERROR(IF(0=LEN(ReferenceData!$K$21),"",ReferenceData!$K$21),"")</f>
        <v/>
      </c>
      <c r="P21" t="str">
        <f ca="1">IFERROR(IF(0=LEN(ReferenceData!$J$21),"",ReferenceData!$J$21),"")</f>
        <v/>
      </c>
      <c r="Q21" t="str">
        <f ca="1">IFERROR(IF(0=LEN(ReferenceData!$I$21),"",ReferenceData!$I$21),"")</f>
        <v/>
      </c>
      <c r="R21" t="str">
        <f ca="1">IFERROR(IF(0=LEN(ReferenceData!$H$21),"",ReferenceData!$H$21),"")</f>
        <v/>
      </c>
      <c r="S21" t="str">
        <f ca="1">IFERROR(IF(0=LEN(ReferenceData!$G$21),"",ReferenceData!$G$21),"")</f>
        <v/>
      </c>
      <c r="T21" t="str">
        <f ca="1">IFERROR(IF(0=LEN(ReferenceData!$F$21),"",ReferenceData!$F$21),"")</f>
        <v/>
      </c>
    </row>
    <row r="22" spans="1:20" x14ac:dyDescent="0.25">
      <c r="A22" t="str">
        <f>IFERROR(IF(0=LEN(ReferenceData!$A$22),"",ReferenceData!$A$22),"")</f>
        <v xml:space="preserve">    </v>
      </c>
      <c r="B22" t="str">
        <f>IFERROR(IF(0=LEN(ReferenceData!$B$22),"",ReferenceData!$B$22),"")</f>
        <v/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Static</v>
      </c>
      <c r="F22" t="str">
        <f ca="1">IFERROR(IF(0=LEN(ReferenceData!$T$22),"",ReferenceData!$T$22),"")</f>
        <v/>
      </c>
      <c r="G22" t="str">
        <f ca="1">IFERROR(IF(0=LEN(ReferenceData!$S$22),"",ReferenceData!$S$22),"")</f>
        <v/>
      </c>
      <c r="H22" t="str">
        <f ca="1">IFERROR(IF(0=LEN(ReferenceData!$R$22),"",ReferenceData!$R$22),"")</f>
        <v/>
      </c>
      <c r="I22" t="str">
        <f ca="1">IFERROR(IF(0=LEN(ReferenceData!$Q$22),"",ReferenceData!$Q$22),"")</f>
        <v/>
      </c>
      <c r="J22" t="str">
        <f ca="1">IFERROR(IF(0=LEN(ReferenceData!$P$22),"",ReferenceData!$P$22),"")</f>
        <v/>
      </c>
      <c r="K22" t="str">
        <f ca="1">IFERROR(IF(0=LEN(ReferenceData!$O$22),"",ReferenceData!$O$22),"")</f>
        <v/>
      </c>
      <c r="L22" t="str">
        <f ca="1">IFERROR(IF(0=LEN(ReferenceData!$N$22),"",ReferenceData!$N$22),"")</f>
        <v/>
      </c>
      <c r="M22" t="str">
        <f ca="1">IFERROR(IF(0=LEN(ReferenceData!$M$22),"",ReferenceData!$M$22),"")</f>
        <v/>
      </c>
      <c r="N22" t="str">
        <f ca="1">IFERROR(IF(0=LEN(ReferenceData!$L$22),"",ReferenceData!$L$22),"")</f>
        <v/>
      </c>
      <c r="O22" t="str">
        <f ca="1">IFERROR(IF(0=LEN(ReferenceData!$K$22),"",ReferenceData!$K$22),"")</f>
        <v/>
      </c>
      <c r="P22" t="str">
        <f ca="1">IFERROR(IF(0=LEN(ReferenceData!$J$22),"",ReferenceData!$J$22),"")</f>
        <v/>
      </c>
      <c r="Q22" t="str">
        <f ca="1">IFERROR(IF(0=LEN(ReferenceData!$I$22),"",ReferenceData!$I$22),"")</f>
        <v/>
      </c>
      <c r="R22" t="str">
        <f ca="1">IFERROR(IF(0=LEN(ReferenceData!$H$22),"",ReferenceData!$H$22),"")</f>
        <v/>
      </c>
      <c r="S22" t="str">
        <f ca="1">IFERROR(IF(0=LEN(ReferenceData!$G$22),"",ReferenceData!$G$22),"")</f>
        <v/>
      </c>
      <c r="T22" t="str">
        <f ca="1">IFERROR(IF(0=LEN(ReferenceData!$F$22),"",ReferenceData!$F$22),"")</f>
        <v/>
      </c>
    </row>
    <row r="23" spans="1:20" x14ac:dyDescent="0.25">
      <c r="A23" t="str">
        <f>IFERROR(IF(0=LEN(ReferenceData!$A$23),"",ReferenceData!$A$23),"")</f>
        <v xml:space="preserve">    Digital</v>
      </c>
      <c r="B23" t="str">
        <f>IFERROR(IF(0=LEN(ReferenceData!$B$23),"",ReferenceData!$B$23),"")</f>
        <v/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Static</v>
      </c>
      <c r="F23" t="str">
        <f ca="1">IFERROR(IF(0=LEN(ReferenceData!$T$23),"",ReferenceData!$T$23),"")</f>
        <v/>
      </c>
      <c r="G23" t="str">
        <f ca="1">IFERROR(IF(0=LEN(ReferenceData!$S$23),"",ReferenceData!$S$23),"")</f>
        <v/>
      </c>
      <c r="H23" t="str">
        <f ca="1">IFERROR(IF(0=LEN(ReferenceData!$R$23),"",ReferenceData!$R$23),"")</f>
        <v/>
      </c>
      <c r="I23" t="str">
        <f ca="1">IFERROR(IF(0=LEN(ReferenceData!$Q$23),"",ReferenceData!$Q$23),"")</f>
        <v/>
      </c>
      <c r="J23" t="str">
        <f ca="1">IFERROR(IF(0=LEN(ReferenceData!$P$23),"",ReferenceData!$P$23),"")</f>
        <v/>
      </c>
      <c r="K23" t="str">
        <f ca="1">IFERROR(IF(0=LEN(ReferenceData!$O$23),"",ReferenceData!$O$23),"")</f>
        <v/>
      </c>
      <c r="L23" t="str">
        <f ca="1">IFERROR(IF(0=LEN(ReferenceData!$N$23),"",ReferenceData!$N$23),"")</f>
        <v/>
      </c>
      <c r="M23" t="str">
        <f ca="1">IFERROR(IF(0=LEN(ReferenceData!$M$23),"",ReferenceData!$M$23),"")</f>
        <v/>
      </c>
      <c r="N23" t="str">
        <f ca="1">IFERROR(IF(0=LEN(ReferenceData!$L$23),"",ReferenceData!$L$23),"")</f>
        <v/>
      </c>
      <c r="O23" t="str">
        <f ca="1">IFERROR(IF(0=LEN(ReferenceData!$K$23),"",ReferenceData!$K$23),"")</f>
        <v/>
      </c>
      <c r="P23" t="str">
        <f ca="1">IFERROR(IF(0=LEN(ReferenceData!$J$23),"",ReferenceData!$J$23),"")</f>
        <v/>
      </c>
      <c r="Q23" t="str">
        <f ca="1">IFERROR(IF(0=LEN(ReferenceData!$I$23),"",ReferenceData!$I$23),"")</f>
        <v/>
      </c>
      <c r="R23" t="str">
        <f ca="1">IFERROR(IF(0=LEN(ReferenceData!$H$23),"",ReferenceData!$H$23),"")</f>
        <v/>
      </c>
      <c r="S23" t="str">
        <f ca="1">IFERROR(IF(0=LEN(ReferenceData!$G$23),"",ReferenceData!$G$23),"")</f>
        <v/>
      </c>
      <c r="T23" t="str">
        <f ca="1">IFERROR(IF(0=LEN(ReferenceData!$F$23),"",ReferenceData!$F$23),"")</f>
        <v/>
      </c>
    </row>
    <row r="24" spans="1:20" x14ac:dyDescent="0.25">
      <c r="A24" t="str">
        <f>IFERROR(IF(0=LEN(ReferenceData!$A$24),"",ReferenceData!$A$24),"")</f>
        <v xml:space="preserve">        Revenue</v>
      </c>
      <c r="B24" t="str">
        <f>IFERROR(IF(0=LEN(ReferenceData!$B$24),"",ReferenceData!$B$24),"")</f>
        <v>INFO IN Equity</v>
      </c>
      <c r="C24" t="str">
        <f>IFERROR(IF(0=LEN(ReferenceData!$C$24),"",ReferenceData!$C$24),"")</f>
        <v>M1245</v>
      </c>
      <c r="D24" t="str">
        <f>IFERROR(IF(0=LEN(ReferenceData!$D$24),"",ReferenceData!$D$24),"")</f>
        <v>DIGITAL_REVENUE</v>
      </c>
      <c r="E24" t="str">
        <f>IFERROR(IF(0=LEN(ReferenceData!$E$24),"",ReferenceData!$E$24),"")</f>
        <v>Dynamic</v>
      </c>
      <c r="F24" t="str">
        <f ca="1">IFERROR(IF(0=LEN(ReferenceData!$T$24),"",ReferenceData!$T$24),"")</f>
        <v/>
      </c>
      <c r="G24" t="str">
        <f ca="1">IFERROR(IF(0=LEN(ReferenceData!$S$24),"",ReferenceData!$S$24),"")</f>
        <v/>
      </c>
      <c r="H24" t="str">
        <f ca="1">IFERROR(IF(0=LEN(ReferenceData!$R$24),"",ReferenceData!$R$24),"")</f>
        <v/>
      </c>
      <c r="I24" t="str">
        <f ca="1">IFERROR(IF(0=LEN(ReferenceData!$Q$24),"",ReferenceData!$Q$24),"")</f>
        <v/>
      </c>
      <c r="J24" t="str">
        <f ca="1">IFERROR(IF(0=LEN(ReferenceData!$P$24),"",ReferenceData!$P$24),"")</f>
        <v/>
      </c>
      <c r="K24" t="str">
        <f ca="1">IFERROR(IF(0=LEN(ReferenceData!$O$24),"",ReferenceData!$O$24),"")</f>
        <v/>
      </c>
      <c r="L24" t="str">
        <f ca="1">IFERROR(IF(0=LEN(ReferenceData!$N$24),"",ReferenceData!$N$24),"")</f>
        <v/>
      </c>
      <c r="M24" t="str">
        <f ca="1">IFERROR(IF(0=LEN(ReferenceData!$M$24),"",ReferenceData!$M$24),"")</f>
        <v/>
      </c>
      <c r="N24" t="str">
        <f ca="1">IFERROR(IF(0=LEN(ReferenceData!$L$24),"",ReferenceData!$L$24),"")</f>
        <v/>
      </c>
      <c r="O24" t="str">
        <f ca="1">IFERROR(IF(0=LEN(ReferenceData!$K$24),"",ReferenceData!$K$24),"")</f>
        <v/>
      </c>
      <c r="P24" t="str">
        <f ca="1">IFERROR(IF(0=LEN(ReferenceData!$J$24),"",ReferenceData!$J$24),"")</f>
        <v/>
      </c>
      <c r="Q24" t="str">
        <f ca="1">IFERROR(IF(0=LEN(ReferenceData!$I$24),"",ReferenceData!$I$24),"")</f>
        <v/>
      </c>
      <c r="R24" t="str">
        <f ca="1">IFERROR(IF(0=LEN(ReferenceData!$H$24),"",ReferenceData!$H$24),"")</f>
        <v/>
      </c>
      <c r="S24">
        <f ca="1">IFERROR(IF(0=LEN(ReferenceData!$G$24),"",ReferenceData!$G$24),"")</f>
        <v>3690.6778770000001</v>
      </c>
      <c r="T24">
        <f ca="1">IFERROR(IF(0=LEN(ReferenceData!$F$24),"",ReferenceData!$F$24),"")</f>
        <v>5025.3754410000001</v>
      </c>
    </row>
    <row r="25" spans="1:20" x14ac:dyDescent="0.25">
      <c r="A25" t="str">
        <f>IFERROR(IF(0=LEN(ReferenceData!$A$25),"",ReferenceData!$A$25),"")</f>
        <v xml:space="preserve">            (%) of Total Revenue</v>
      </c>
      <c r="B25" t="str">
        <f>IFERROR(IF(0=LEN(ReferenceData!$B$25),"",ReferenceData!$B$25),"")</f>
        <v>INFY US Equity</v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Expression</v>
      </c>
      <c r="F25" t="str">
        <f ca="1">IFERROR(IF(0=LEN(ReferenceData!$T$25),"",ReferenceData!$T$25),"")</f>
        <v/>
      </c>
      <c r="G25" t="str">
        <f ca="1">IFERROR(IF(0=LEN(ReferenceData!$S$25),"",ReferenceData!$S$25),"")</f>
        <v/>
      </c>
      <c r="H25" t="str">
        <f ca="1">IFERROR(IF(0=LEN(ReferenceData!$R$25),"",ReferenceData!$R$25),"")</f>
        <v/>
      </c>
      <c r="I25" t="str">
        <f ca="1">IFERROR(IF(0=LEN(ReferenceData!$Q$25),"",ReferenceData!$Q$25),"")</f>
        <v/>
      </c>
      <c r="J25" t="str">
        <f ca="1">IFERROR(IF(0=LEN(ReferenceData!$P$25),"",ReferenceData!$P$25),"")</f>
        <v/>
      </c>
      <c r="K25" t="str">
        <f ca="1">IFERROR(IF(0=LEN(ReferenceData!$O$25),"",ReferenceData!$O$25),"")</f>
        <v/>
      </c>
      <c r="L25" t="str">
        <f ca="1">IFERROR(IF(0=LEN(ReferenceData!$N$25),"",ReferenceData!$N$25),"")</f>
        <v/>
      </c>
      <c r="M25" t="str">
        <f ca="1">IFERROR(IF(0=LEN(ReferenceData!$M$25),"",ReferenceData!$M$25),"")</f>
        <v/>
      </c>
      <c r="N25" t="str">
        <f ca="1">IFERROR(IF(0=LEN(ReferenceData!$L$25),"",ReferenceData!$L$25),"")</f>
        <v/>
      </c>
      <c r="O25" t="str">
        <f ca="1">IFERROR(IF(0=LEN(ReferenceData!$K$25),"",ReferenceData!$K$25),"")</f>
        <v/>
      </c>
      <c r="P25" t="str">
        <f ca="1">IFERROR(IF(0=LEN(ReferenceData!$J$25),"",ReferenceData!$J$25),"")</f>
        <v/>
      </c>
      <c r="Q25" t="str">
        <f ca="1">IFERROR(IF(0=LEN(ReferenceData!$I$25),"",ReferenceData!$I$25),"")</f>
        <v/>
      </c>
      <c r="R25" t="str">
        <f ca="1">IFERROR(IF(0=LEN(ReferenceData!$H$25),"",ReferenceData!$H$25),"")</f>
        <v/>
      </c>
      <c r="S25">
        <f ca="1">IFERROR(IF(0=LEN(ReferenceData!$G$25),"",ReferenceData!$G$25),"")</f>
        <v>31.20290293</v>
      </c>
      <c r="T25">
        <f ca="1">IFERROR(IF(0=LEN(ReferenceData!$F$25),"",ReferenceData!$F$25),"")</f>
        <v>39.229659329999997</v>
      </c>
    </row>
    <row r="26" spans="1:20" x14ac:dyDescent="0.25">
      <c r="A26" t="str">
        <f>IFERROR(IF(0=LEN(ReferenceData!$A$26),"",ReferenceData!$A$26),"")</f>
        <v xml:space="preserve">            Growth in Constant Currency (%) YoY</v>
      </c>
      <c r="B26" t="str">
        <f>IFERROR(IF(0=LEN(ReferenceData!$B$26),"",ReferenceData!$B$26),"")</f>
        <v>INFY US Equity</v>
      </c>
      <c r="C26" t="str">
        <f>IFERROR(IF(0=LEN(ReferenceData!$C$26),"",ReferenceData!$C$26),"")</f>
        <v>M1150</v>
      </c>
      <c r="D26" t="str">
        <f>IFERROR(IF(0=LEN(ReferenceData!$D$26),"",ReferenceData!$D$26),"")</f>
        <v>DIGITAL_REV_PCT_GRWTH_IN_CC</v>
      </c>
      <c r="E26" t="str">
        <f>IFERROR(IF(0=LEN(ReferenceData!$E$26),"",ReferenceData!$E$26),"")</f>
        <v>Dynamic</v>
      </c>
      <c r="F26" t="str">
        <f ca="1">IFERROR(IF(0=LEN(ReferenceData!$T$26),"",ReferenceData!$T$26),"")</f>
        <v/>
      </c>
      <c r="G26" t="str">
        <f ca="1">IFERROR(IF(0=LEN(ReferenceData!$S$26),"",ReferenceData!$S$26),"")</f>
        <v/>
      </c>
      <c r="H26" t="str">
        <f ca="1">IFERROR(IF(0=LEN(ReferenceData!$R$26),"",ReferenceData!$R$26),"")</f>
        <v/>
      </c>
      <c r="I26" t="str">
        <f ca="1">IFERROR(IF(0=LEN(ReferenceData!$Q$26),"",ReferenceData!$Q$26),"")</f>
        <v/>
      </c>
      <c r="J26" t="str">
        <f ca="1">IFERROR(IF(0=LEN(ReferenceData!$P$26),"",ReferenceData!$P$26),"")</f>
        <v/>
      </c>
      <c r="K26" t="str">
        <f ca="1">IFERROR(IF(0=LEN(ReferenceData!$O$26),"",ReferenceData!$O$26),"")</f>
        <v/>
      </c>
      <c r="L26" t="str">
        <f ca="1">IFERROR(IF(0=LEN(ReferenceData!$N$26),"",ReferenceData!$N$26),"")</f>
        <v/>
      </c>
      <c r="M26" t="str">
        <f ca="1">IFERROR(IF(0=LEN(ReferenceData!$M$26),"",ReferenceData!$M$26),"")</f>
        <v/>
      </c>
      <c r="N26" t="str">
        <f ca="1">IFERROR(IF(0=LEN(ReferenceData!$L$26),"",ReferenceData!$L$26),"")</f>
        <v/>
      </c>
      <c r="O26" t="str">
        <f ca="1">IFERROR(IF(0=LEN(ReferenceData!$K$26),"",ReferenceData!$K$26),"")</f>
        <v/>
      </c>
      <c r="P26" t="str">
        <f ca="1">IFERROR(IF(0=LEN(ReferenceData!$J$26),"",ReferenceData!$J$26),"")</f>
        <v/>
      </c>
      <c r="Q26" t="str">
        <f ca="1">IFERROR(IF(0=LEN(ReferenceData!$I$26),"",ReferenceData!$I$26),"")</f>
        <v/>
      </c>
      <c r="R26" t="str">
        <f ca="1">IFERROR(IF(0=LEN(ReferenceData!$H$26),"",ReferenceData!$H$26),"")</f>
        <v/>
      </c>
      <c r="S26" t="str">
        <f ca="1">IFERROR(IF(0=LEN(ReferenceData!$G$26),"",ReferenceData!$G$26),"")</f>
        <v/>
      </c>
      <c r="T26">
        <f ca="1">IFERROR(IF(0=LEN(ReferenceData!$F$26),"",ReferenceData!$F$26),"")</f>
        <v>37.799999999999997</v>
      </c>
    </row>
    <row r="27" spans="1:20" x14ac:dyDescent="0.25">
      <c r="A27" t="str">
        <f>IFERROR(IF(0=LEN(ReferenceData!$A$27),"",ReferenceData!$A$27),"")</f>
        <v xml:space="preserve">    </v>
      </c>
      <c r="B27" t="str">
        <f>IFERROR(IF(0=LEN(ReferenceData!$B$27),"",ReferenceData!$B$27),"")</f>
        <v/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Static</v>
      </c>
      <c r="F27" t="str">
        <f ca="1">IFERROR(IF(0=LEN(ReferenceData!$T$27),"",ReferenceData!$T$27),"")</f>
        <v/>
      </c>
      <c r="G27" t="str">
        <f ca="1">IFERROR(IF(0=LEN(ReferenceData!$S$27),"",ReferenceData!$S$27),"")</f>
        <v/>
      </c>
      <c r="H27" t="str">
        <f ca="1">IFERROR(IF(0=LEN(ReferenceData!$R$27),"",ReferenceData!$R$27),"")</f>
        <v/>
      </c>
      <c r="I27" t="str">
        <f ca="1">IFERROR(IF(0=LEN(ReferenceData!$Q$27),"",ReferenceData!$Q$27),"")</f>
        <v/>
      </c>
      <c r="J27" t="str">
        <f ca="1">IFERROR(IF(0=LEN(ReferenceData!$P$27),"",ReferenceData!$P$27),"")</f>
        <v/>
      </c>
      <c r="K27" t="str">
        <f ca="1">IFERROR(IF(0=LEN(ReferenceData!$O$27),"",ReferenceData!$O$27),"")</f>
        <v/>
      </c>
      <c r="L27" t="str">
        <f ca="1">IFERROR(IF(0=LEN(ReferenceData!$N$27),"",ReferenceData!$N$27),"")</f>
        <v/>
      </c>
      <c r="M27" t="str">
        <f ca="1">IFERROR(IF(0=LEN(ReferenceData!$M$27),"",ReferenceData!$M$27),"")</f>
        <v/>
      </c>
      <c r="N27" t="str">
        <f ca="1">IFERROR(IF(0=LEN(ReferenceData!$L$27),"",ReferenceData!$L$27),"")</f>
        <v/>
      </c>
      <c r="O27" t="str">
        <f ca="1">IFERROR(IF(0=LEN(ReferenceData!$K$27),"",ReferenceData!$K$27),"")</f>
        <v/>
      </c>
      <c r="P27" t="str">
        <f ca="1">IFERROR(IF(0=LEN(ReferenceData!$J$27),"",ReferenceData!$J$27),"")</f>
        <v/>
      </c>
      <c r="Q27" t="str">
        <f ca="1">IFERROR(IF(0=LEN(ReferenceData!$I$27),"",ReferenceData!$I$27),"")</f>
        <v/>
      </c>
      <c r="R27" t="str">
        <f ca="1">IFERROR(IF(0=LEN(ReferenceData!$H$27),"",ReferenceData!$H$27),"")</f>
        <v/>
      </c>
      <c r="S27" t="str">
        <f ca="1">IFERROR(IF(0=LEN(ReferenceData!$G$27),"",ReferenceData!$G$27),"")</f>
        <v/>
      </c>
      <c r="T27" t="str">
        <f ca="1">IFERROR(IF(0=LEN(ReferenceData!$F$27),"",ReferenceData!$F$27),"")</f>
        <v/>
      </c>
    </row>
    <row r="28" spans="1:20" x14ac:dyDescent="0.25">
      <c r="A28" t="str">
        <f>IFERROR(IF(0=LEN(ReferenceData!$A$28),"",ReferenceData!$A$28),"")</f>
        <v xml:space="preserve">    Labor Metrics (Actual)</v>
      </c>
      <c r="B28" t="str">
        <f>IFERROR(IF(0=LEN(ReferenceData!$B$28),"",ReferenceData!$B$28),"")</f>
        <v/>
      </c>
      <c r="C28" t="str">
        <f>IFERROR(IF(0=LEN(ReferenceData!$C$28),"",ReferenceData!$C$28),"")</f>
        <v/>
      </c>
      <c r="D28" t="str">
        <f>IFERROR(IF(0=LEN(ReferenceData!$D$28),"",ReferenceData!$D$28),"")</f>
        <v/>
      </c>
      <c r="E28" t="str">
        <f>IFERROR(IF(0=LEN(ReferenceData!$E$28),"",ReferenceData!$E$28),"")</f>
        <v>Static</v>
      </c>
      <c r="F28" t="str">
        <f ca="1">IFERROR(IF(0=LEN(ReferenceData!$T$28),"",ReferenceData!$T$28),"")</f>
        <v/>
      </c>
      <c r="G28" t="str">
        <f ca="1">IFERROR(IF(0=LEN(ReferenceData!$S$28),"",ReferenceData!$S$28),"")</f>
        <v/>
      </c>
      <c r="H28" t="str">
        <f ca="1">IFERROR(IF(0=LEN(ReferenceData!$R$28),"",ReferenceData!$R$28),"")</f>
        <v/>
      </c>
      <c r="I28" t="str">
        <f ca="1">IFERROR(IF(0=LEN(ReferenceData!$Q$28),"",ReferenceData!$Q$28),"")</f>
        <v/>
      </c>
      <c r="J28" t="str">
        <f ca="1">IFERROR(IF(0=LEN(ReferenceData!$P$28),"",ReferenceData!$P$28),"")</f>
        <v/>
      </c>
      <c r="K28" t="str">
        <f ca="1">IFERROR(IF(0=LEN(ReferenceData!$O$28),"",ReferenceData!$O$28),"")</f>
        <v/>
      </c>
      <c r="L28" t="str">
        <f ca="1">IFERROR(IF(0=LEN(ReferenceData!$N$28),"",ReferenceData!$N$28),"")</f>
        <v/>
      </c>
      <c r="M28" t="str">
        <f ca="1">IFERROR(IF(0=LEN(ReferenceData!$M$28),"",ReferenceData!$M$28),"")</f>
        <v/>
      </c>
      <c r="N28" t="str">
        <f ca="1">IFERROR(IF(0=LEN(ReferenceData!$L$28),"",ReferenceData!$L$28),"")</f>
        <v/>
      </c>
      <c r="O28" t="str">
        <f ca="1">IFERROR(IF(0=LEN(ReferenceData!$K$28),"",ReferenceData!$K$28),"")</f>
        <v/>
      </c>
      <c r="P28" t="str">
        <f ca="1">IFERROR(IF(0=LEN(ReferenceData!$J$28),"",ReferenceData!$J$28),"")</f>
        <v/>
      </c>
      <c r="Q28" t="str">
        <f ca="1">IFERROR(IF(0=LEN(ReferenceData!$I$28),"",ReferenceData!$I$28),"")</f>
        <v/>
      </c>
      <c r="R28" t="str">
        <f ca="1">IFERROR(IF(0=LEN(ReferenceData!$H$28),"",ReferenceData!$H$28),"")</f>
        <v/>
      </c>
      <c r="S28" t="str">
        <f ca="1">IFERROR(IF(0=LEN(ReferenceData!$G$28),"",ReferenceData!$G$28),"")</f>
        <v/>
      </c>
      <c r="T28" t="str">
        <f ca="1">IFERROR(IF(0=LEN(ReferenceData!$F$28),"",ReferenceData!$F$28),"")</f>
        <v/>
      </c>
    </row>
    <row r="29" spans="1:20" x14ac:dyDescent="0.25">
      <c r="A29" t="str">
        <f>IFERROR(IF(0=LEN(ReferenceData!$A$29),"",ReferenceData!$A$29),"")</f>
        <v xml:space="preserve">        Number of Employees</v>
      </c>
      <c r="B29" t="str">
        <f>IFERROR(IF(0=LEN(ReferenceData!$B$29),"",ReferenceData!$B$29),"")</f>
        <v>INFY US Equity</v>
      </c>
      <c r="C29" t="str">
        <f>IFERROR(IF(0=LEN(ReferenceData!$C$29),"",ReferenceData!$C$29),"")</f>
        <v>BM383</v>
      </c>
      <c r="D29" t="str">
        <f>IFERROR(IF(0=LEN(ReferenceData!$D$29),"",ReferenceData!$D$29),"")</f>
        <v>BS_NUMBER_EMPLOYEES</v>
      </c>
      <c r="E29" t="str">
        <f>IFERROR(IF(0=LEN(ReferenceData!$E$29),"",ReferenceData!$E$29),"")</f>
        <v>Dynamic</v>
      </c>
      <c r="F29">
        <f ca="1">IFERROR(IF(0=LEN(ReferenceData!$T$29),"",ReferenceData!$T$29),"")</f>
        <v>52715</v>
      </c>
      <c r="G29">
        <f ca="1">IFERROR(IF(0=LEN(ReferenceData!$S$29),"",ReferenceData!$S$29),"")</f>
        <v>59831</v>
      </c>
      <c r="H29">
        <f ca="1">IFERROR(IF(0=LEN(ReferenceData!$R$29),"",ReferenceData!$R$29),"")</f>
        <v>73490</v>
      </c>
      <c r="I29">
        <f ca="1">IFERROR(IF(0=LEN(ReferenceData!$Q$29),"",ReferenceData!$Q$29),"")</f>
        <v>85851</v>
      </c>
      <c r="J29">
        <f ca="1">IFERROR(IF(0=LEN(ReferenceData!$P$29),"",ReferenceData!$P$29),"")</f>
        <v>113800</v>
      </c>
      <c r="K29">
        <f ca="1">IFERROR(IF(0=LEN(ReferenceData!$O$29),"",ReferenceData!$O$29),"")</f>
        <v>130820</v>
      </c>
      <c r="L29">
        <f ca="1">IFERROR(IF(0=LEN(ReferenceData!$N$29),"",ReferenceData!$N$29),"")</f>
        <v>149994</v>
      </c>
      <c r="M29">
        <f ca="1">IFERROR(IF(0=LEN(ReferenceData!$M$29),"",ReferenceData!$M$29),"")</f>
        <v>156688</v>
      </c>
      <c r="N29">
        <f ca="1">IFERROR(IF(0=LEN(ReferenceData!$L$29),"",ReferenceData!$L$29),"")</f>
        <v>160405</v>
      </c>
      <c r="O29">
        <f ca="1">IFERROR(IF(0=LEN(ReferenceData!$K$29),"",ReferenceData!$K$29),"")</f>
        <v>176187</v>
      </c>
      <c r="P29">
        <f ca="1">IFERROR(IF(0=LEN(ReferenceData!$J$29),"",ReferenceData!$J$29),"")</f>
        <v>194044</v>
      </c>
      <c r="Q29">
        <f ca="1">IFERROR(IF(0=LEN(ReferenceData!$I$29),"",ReferenceData!$I$29),"")</f>
        <v>200364</v>
      </c>
      <c r="R29">
        <f ca="1">IFERROR(IF(0=LEN(ReferenceData!$H$29),"",ReferenceData!$H$29),"")</f>
        <v>204107</v>
      </c>
      <c r="S29">
        <f ca="1">IFERROR(IF(0=LEN(ReferenceData!$G$29),"",ReferenceData!$G$29),"")</f>
        <v>228123</v>
      </c>
      <c r="T29">
        <f ca="1">IFERROR(IF(0=LEN(ReferenceData!$F$29),"",ReferenceData!$F$29),"")</f>
        <v>242371</v>
      </c>
    </row>
    <row r="30" spans="1:20" x14ac:dyDescent="0.25">
      <c r="A30" t="str">
        <f>IFERROR(IF(0=LEN(ReferenceData!$A$30),"",ReferenceData!$A$30),"")</f>
        <v xml:space="preserve">        Net Employee Additions</v>
      </c>
      <c r="B30" t="str">
        <f>IFERROR(IF(0=LEN(ReferenceData!$B$30),"",ReferenceData!$B$30),"")</f>
        <v>INFY US Equity</v>
      </c>
      <c r="C30" t="str">
        <f>IFERROR(IF(0=LEN(ReferenceData!$C$30),"",ReferenceData!$C$30),"")</f>
        <v>M0001</v>
      </c>
      <c r="D30" t="str">
        <f>IFERROR(IF(0=LEN(ReferenceData!$D$30),"",ReferenceData!$D$30),"")</f>
        <v>NET_EMPLOYEE_ADDITIONS</v>
      </c>
      <c r="E30" t="str">
        <f>IFERROR(IF(0=LEN(ReferenceData!$E$30),"",ReferenceData!$E$30),"")</f>
        <v>Dynamic</v>
      </c>
      <c r="F30">
        <f ca="1">IFERROR(IF(0=LEN(ReferenceData!$T$30),"",ReferenceData!$T$30),"")</f>
        <v>3293</v>
      </c>
      <c r="G30">
        <f ca="1">IFERROR(IF(0=LEN(ReferenceData!$S$30),"",ReferenceData!$S$30),"")</f>
        <v>2809</v>
      </c>
      <c r="H30">
        <f ca="1">IFERROR(IF(0=LEN(ReferenceData!$R$30),"",ReferenceData!$R$30),"")</f>
        <v>18946</v>
      </c>
      <c r="I30">
        <f ca="1">IFERROR(IF(0=LEN(ReferenceData!$Q$30),"",ReferenceData!$Q$30),"")</f>
        <v>13663</v>
      </c>
      <c r="J30">
        <f ca="1">IFERROR(IF(0=LEN(ReferenceData!$P$30),"",ReferenceData!$P$30),"")</f>
        <v>8946</v>
      </c>
      <c r="K30">
        <f ca="1">IFERROR(IF(0=LEN(ReferenceData!$O$30),"",ReferenceData!$O$30),"")</f>
        <v>17024</v>
      </c>
      <c r="L30">
        <f ca="1">IFERROR(IF(0=LEN(ReferenceData!$N$30),"",ReferenceData!$N$30),"")</f>
        <v>17024</v>
      </c>
      <c r="M30">
        <f ca="1">IFERROR(IF(0=LEN(ReferenceData!$M$30),"",ReferenceData!$M$30),"")</f>
        <v>6694</v>
      </c>
      <c r="N30">
        <f ca="1">IFERROR(IF(0=LEN(ReferenceData!$L$30),"",ReferenceData!$L$30),"")</f>
        <v>3717</v>
      </c>
      <c r="O30">
        <f ca="1">IFERROR(IF(0=LEN(ReferenceData!$K$30),"",ReferenceData!$K$30),"")</f>
        <v>15782</v>
      </c>
      <c r="P30">
        <f ca="1">IFERROR(IF(0=LEN(ReferenceData!$J$30),"",ReferenceData!$J$30),"")</f>
        <v>17857</v>
      </c>
      <c r="Q30">
        <f ca="1">IFERROR(IF(0=LEN(ReferenceData!$I$30),"",ReferenceData!$I$30),"")</f>
        <v>6320</v>
      </c>
      <c r="R30">
        <f ca="1">IFERROR(IF(0=LEN(ReferenceData!$H$30),"",ReferenceData!$H$30),"")</f>
        <v>3743</v>
      </c>
      <c r="S30" t="str">
        <f ca="1">IFERROR(IF(0=LEN(ReferenceData!$G$30),"",ReferenceData!$G$30),"")</f>
        <v/>
      </c>
      <c r="T30" t="str">
        <f ca="1">IFERROR(IF(0=LEN(ReferenceData!$F$30),"",ReferenceData!$F$30),"")</f>
        <v/>
      </c>
    </row>
    <row r="31" spans="1:20" x14ac:dyDescent="0.25">
      <c r="A31" t="str">
        <f>IFERROR(IF(0=LEN(ReferenceData!$A$31),"",ReferenceData!$A$31),"")</f>
        <v xml:space="preserve">        Employee Attrition (%) - Annualized</v>
      </c>
      <c r="B31" t="str">
        <f>IFERROR(IF(0=LEN(ReferenceData!$B$31),"",ReferenceData!$B$31),"")</f>
        <v>INFY US Equity</v>
      </c>
      <c r="C31" t="str">
        <f>IFERROR(IF(0=LEN(ReferenceData!$C$31),"",ReferenceData!$C$31),"")</f>
        <v>M0005</v>
      </c>
      <c r="D31" t="str">
        <f>IFERROR(IF(0=LEN(ReferenceData!$D$31),"",ReferenceData!$D$31),"")</f>
        <v>ATTRITION_RATE</v>
      </c>
      <c r="E31" t="str">
        <f>IFERROR(IF(0=LEN(ReferenceData!$E$31),"",ReferenceData!$E$31),"")</f>
        <v>Dynamic</v>
      </c>
      <c r="F31">
        <f ca="1">IFERROR(IF(0=LEN(ReferenceData!$T$31),"",ReferenceData!$T$31),"")</f>
        <v>11.2</v>
      </c>
      <c r="G31">
        <f ca="1">IFERROR(IF(0=LEN(ReferenceData!$S$31),"",ReferenceData!$S$31),"")</f>
        <v>13.7</v>
      </c>
      <c r="H31">
        <f ca="1">IFERROR(IF(0=LEN(ReferenceData!$R$31),"",ReferenceData!$R$31),"")</f>
        <v>13.4</v>
      </c>
      <c r="I31">
        <f ca="1">IFERROR(IF(0=LEN(ReferenceData!$Q$31),"",ReferenceData!$Q$31),"")</f>
        <v>11.1</v>
      </c>
      <c r="J31">
        <f ca="1">IFERROR(IF(0=LEN(ReferenceData!$P$31),"",ReferenceData!$P$31),"")</f>
        <v>13.4</v>
      </c>
      <c r="K31">
        <f ca="1">IFERROR(IF(0=LEN(ReferenceData!$O$31),"",ReferenceData!$O$31),"")</f>
        <v>17</v>
      </c>
      <c r="L31">
        <f ca="1">IFERROR(IF(0=LEN(ReferenceData!$N$31),"",ReferenceData!$N$31),"")</f>
        <v>17</v>
      </c>
      <c r="M31">
        <f ca="1">IFERROR(IF(0=LEN(ReferenceData!$M$31),"",ReferenceData!$M$31),"")</f>
        <v>16.3</v>
      </c>
      <c r="N31">
        <f ca="1">IFERROR(IF(0=LEN(ReferenceData!$L$31),"",ReferenceData!$L$31),"")</f>
        <v>18.7</v>
      </c>
      <c r="O31">
        <f ca="1">IFERROR(IF(0=LEN(ReferenceData!$K$31),"",ReferenceData!$K$31),"")</f>
        <v>18.899999999999999</v>
      </c>
      <c r="P31">
        <f ca="1">IFERROR(IF(0=LEN(ReferenceData!$J$31),"",ReferenceData!$J$31),"")</f>
        <v>18.7</v>
      </c>
      <c r="Q31">
        <f ca="1">IFERROR(IF(0=LEN(ReferenceData!$I$31),"",ReferenceData!$I$31),"")</f>
        <v>19.2</v>
      </c>
      <c r="R31">
        <f ca="1">IFERROR(IF(0=LEN(ReferenceData!$H$31),"",ReferenceData!$H$31),"")</f>
        <v>20</v>
      </c>
      <c r="S31" t="str">
        <f ca="1">IFERROR(IF(0=LEN(ReferenceData!$G$31),"",ReferenceData!$G$31),"")</f>
        <v/>
      </c>
      <c r="T31" t="str">
        <f ca="1">IFERROR(IF(0=LEN(ReferenceData!$F$31),"",ReferenceData!$F$31),"")</f>
        <v/>
      </c>
    </row>
    <row r="32" spans="1:20" x14ac:dyDescent="0.25">
      <c r="A32" t="str">
        <f>IFERROR(IF(0=LEN(ReferenceData!$A$32),"",ReferenceData!$A$32),"")</f>
        <v xml:space="preserve">        Employee Utilization Excluding Trainees (%)</v>
      </c>
      <c r="B32" t="str">
        <f>IFERROR(IF(0=LEN(ReferenceData!$B$32),"",ReferenceData!$B$32),"")</f>
        <v>INFY US Equity</v>
      </c>
      <c r="C32" t="str">
        <f>IFERROR(IF(0=LEN(ReferenceData!$C$32),"",ReferenceData!$C$32),"")</f>
        <v>M0006</v>
      </c>
      <c r="D32" t="str">
        <f>IFERROR(IF(0=LEN(ReferenceData!$D$32),"",ReferenceData!$D$32),"")</f>
        <v>UTILIZATION_RATE</v>
      </c>
      <c r="E32" t="str">
        <f>IFERROR(IF(0=LEN(ReferenceData!$E$32),"",ReferenceData!$E$32),"")</f>
        <v>Dynamic</v>
      </c>
      <c r="F32">
        <f ca="1">IFERROR(IF(0=LEN(ReferenceData!$T$32),"",ReferenceData!$T$32),"")</f>
        <v>77</v>
      </c>
      <c r="G32">
        <f ca="1">IFERROR(IF(0=LEN(ReferenceData!$S$32),"",ReferenceData!$S$32),"")</f>
        <v>75.5</v>
      </c>
      <c r="H32">
        <f ca="1">IFERROR(IF(0=LEN(ReferenceData!$R$32),"",ReferenceData!$R$32),"")</f>
        <v>75.900000000000006</v>
      </c>
      <c r="I32">
        <f ca="1">IFERROR(IF(0=LEN(ReferenceData!$Q$32),"",ReferenceData!$Q$32),"")</f>
        <v>73.7</v>
      </c>
      <c r="J32">
        <f ca="1">IFERROR(IF(0=LEN(ReferenceData!$P$32),"",ReferenceData!$P$32),"")</f>
        <v>74.400000000000006</v>
      </c>
      <c r="K32">
        <f ca="1">IFERROR(IF(0=LEN(ReferenceData!$O$32),"",ReferenceData!$O$32),"")</f>
        <v>78.900000000000006</v>
      </c>
      <c r="L32">
        <f ca="1">IFERROR(IF(0=LEN(ReferenceData!$N$32),"",ReferenceData!$N$32),"")</f>
        <v>78.900000000000006</v>
      </c>
      <c r="M32">
        <f ca="1">IFERROR(IF(0=LEN(ReferenceData!$M$32),"",ReferenceData!$M$32),"")</f>
        <v>73</v>
      </c>
      <c r="N32">
        <f ca="1">IFERROR(IF(0=LEN(ReferenceData!$L$32),"",ReferenceData!$L$32),"")</f>
        <v>77.400000000000006</v>
      </c>
      <c r="O32">
        <f ca="1">IFERROR(IF(0=LEN(ReferenceData!$K$32),"",ReferenceData!$K$32),"")</f>
        <v>80.900000000000006</v>
      </c>
      <c r="P32">
        <f ca="1">IFERROR(IF(0=LEN(ReferenceData!$J$32),"",ReferenceData!$J$32),"")</f>
        <v>80.599999999999994</v>
      </c>
      <c r="Q32">
        <f ca="1">IFERROR(IF(0=LEN(ReferenceData!$I$32),"",ReferenceData!$I$32),"")</f>
        <v>81.7</v>
      </c>
      <c r="R32">
        <f ca="1">IFERROR(IF(0=LEN(ReferenceData!$H$32),"",ReferenceData!$H$32),"")</f>
        <v>84.6</v>
      </c>
      <c r="S32">
        <f ca="1">IFERROR(IF(0=LEN(ReferenceData!$G$32),"",ReferenceData!$G$32),"")</f>
        <v>84.3</v>
      </c>
      <c r="T32">
        <f ca="1">IFERROR(IF(0=LEN(ReferenceData!$F$32),"",ReferenceData!$F$32),"")</f>
        <v>84</v>
      </c>
    </row>
    <row r="33" spans="1:20" x14ac:dyDescent="0.25">
      <c r="A33" t="str">
        <f>IFERROR(IF(0=LEN(ReferenceData!$A$33),"",ReferenceData!$A$33),"")</f>
        <v xml:space="preserve">    </v>
      </c>
      <c r="B33" t="str">
        <f>IFERROR(IF(0=LEN(ReferenceData!$B$33),"",ReferenceData!$B$33),"")</f>
        <v/>
      </c>
      <c r="C33" t="str">
        <f>IFERROR(IF(0=LEN(ReferenceData!$C$33),"",ReferenceData!$C$33),"")</f>
        <v/>
      </c>
      <c r="D33" t="str">
        <f>IFERROR(IF(0=LEN(ReferenceData!$D$33),"",ReferenceData!$D$33),"")</f>
        <v/>
      </c>
      <c r="E33" t="str">
        <f>IFERROR(IF(0=LEN(ReferenceData!$E$33),"",ReferenceData!$E$33),"")</f>
        <v>Static</v>
      </c>
      <c r="F33" t="str">
        <f ca="1">IFERROR(IF(0=LEN(ReferenceData!$T$33),"",ReferenceData!$T$33),"")</f>
        <v/>
      </c>
      <c r="G33" t="str">
        <f ca="1">IFERROR(IF(0=LEN(ReferenceData!$S$33),"",ReferenceData!$S$33),"")</f>
        <v/>
      </c>
      <c r="H33" t="str">
        <f ca="1">IFERROR(IF(0=LEN(ReferenceData!$R$33),"",ReferenceData!$R$33),"")</f>
        <v/>
      </c>
      <c r="I33" t="str">
        <f ca="1">IFERROR(IF(0=LEN(ReferenceData!$Q$33),"",ReferenceData!$Q$33),"")</f>
        <v/>
      </c>
      <c r="J33" t="str">
        <f ca="1">IFERROR(IF(0=LEN(ReferenceData!$P$33),"",ReferenceData!$P$33),"")</f>
        <v/>
      </c>
      <c r="K33" t="str">
        <f ca="1">IFERROR(IF(0=LEN(ReferenceData!$O$33),"",ReferenceData!$O$33),"")</f>
        <v/>
      </c>
      <c r="L33" t="str">
        <f ca="1">IFERROR(IF(0=LEN(ReferenceData!$N$33),"",ReferenceData!$N$33),"")</f>
        <v/>
      </c>
      <c r="M33" t="str">
        <f ca="1">IFERROR(IF(0=LEN(ReferenceData!$M$33),"",ReferenceData!$M$33),"")</f>
        <v/>
      </c>
      <c r="N33" t="str">
        <f ca="1">IFERROR(IF(0=LEN(ReferenceData!$L$33),"",ReferenceData!$L$33),"")</f>
        <v/>
      </c>
      <c r="O33" t="str">
        <f ca="1">IFERROR(IF(0=LEN(ReferenceData!$K$33),"",ReferenceData!$K$33),"")</f>
        <v/>
      </c>
      <c r="P33" t="str">
        <f ca="1">IFERROR(IF(0=LEN(ReferenceData!$J$33),"",ReferenceData!$J$33),"")</f>
        <v/>
      </c>
      <c r="Q33" t="str">
        <f ca="1">IFERROR(IF(0=LEN(ReferenceData!$I$33),"",ReferenceData!$I$33),"")</f>
        <v/>
      </c>
      <c r="R33" t="str">
        <f ca="1">IFERROR(IF(0=LEN(ReferenceData!$H$33),"",ReferenceData!$H$33),"")</f>
        <v/>
      </c>
      <c r="S33" t="str">
        <f ca="1">IFERROR(IF(0=LEN(ReferenceData!$G$33),"",ReferenceData!$G$33),"")</f>
        <v/>
      </c>
      <c r="T33" t="str">
        <f ca="1">IFERROR(IF(0=LEN(ReferenceData!$F$33),"",ReferenceData!$F$33),"")</f>
        <v/>
      </c>
    </row>
    <row r="34" spans="1:20" x14ac:dyDescent="0.25">
      <c r="A34" t="str">
        <f>IFERROR(IF(0=LEN(ReferenceData!$A$34),"",ReferenceData!$A$34),"")</f>
        <v xml:space="preserve">    Client Metrics (Actual)</v>
      </c>
      <c r="B34" t="str">
        <f>IFERROR(IF(0=LEN(ReferenceData!$B$34),"",ReferenceData!$B$34),"")</f>
        <v/>
      </c>
      <c r="C34" t="str">
        <f>IFERROR(IF(0=LEN(ReferenceData!$C$34),"",ReferenceData!$C$34),"")</f>
        <v/>
      </c>
      <c r="D34" t="str">
        <f>IFERROR(IF(0=LEN(ReferenceData!$D$34),"",ReferenceData!$D$34),"")</f>
        <v/>
      </c>
      <c r="E34" t="str">
        <f>IFERROR(IF(0=LEN(ReferenceData!$E$34),"",ReferenceData!$E$34),"")</f>
        <v>Static</v>
      </c>
      <c r="F34" t="str">
        <f ca="1">IFERROR(IF(0=LEN(ReferenceData!$T$34),"",ReferenceData!$T$34),"")</f>
        <v/>
      </c>
      <c r="G34" t="str">
        <f ca="1">IFERROR(IF(0=LEN(ReferenceData!$S$34),"",ReferenceData!$S$34),"")</f>
        <v/>
      </c>
      <c r="H34" t="str">
        <f ca="1">IFERROR(IF(0=LEN(ReferenceData!$R$34),"",ReferenceData!$R$34),"")</f>
        <v/>
      </c>
      <c r="I34" t="str">
        <f ca="1">IFERROR(IF(0=LEN(ReferenceData!$Q$34),"",ReferenceData!$Q$34),"")</f>
        <v/>
      </c>
      <c r="J34" t="str">
        <f ca="1">IFERROR(IF(0=LEN(ReferenceData!$P$34),"",ReferenceData!$P$34),"")</f>
        <v/>
      </c>
      <c r="K34" t="str">
        <f ca="1">IFERROR(IF(0=LEN(ReferenceData!$O$34),"",ReferenceData!$O$34),"")</f>
        <v/>
      </c>
      <c r="L34" t="str">
        <f ca="1">IFERROR(IF(0=LEN(ReferenceData!$N$34),"",ReferenceData!$N$34),"")</f>
        <v/>
      </c>
      <c r="M34" t="str">
        <f ca="1">IFERROR(IF(0=LEN(ReferenceData!$M$34),"",ReferenceData!$M$34),"")</f>
        <v/>
      </c>
      <c r="N34" t="str">
        <f ca="1">IFERROR(IF(0=LEN(ReferenceData!$L$34),"",ReferenceData!$L$34),"")</f>
        <v/>
      </c>
      <c r="O34" t="str">
        <f ca="1">IFERROR(IF(0=LEN(ReferenceData!$K$34),"",ReferenceData!$K$34),"")</f>
        <v/>
      </c>
      <c r="P34" t="str">
        <f ca="1">IFERROR(IF(0=LEN(ReferenceData!$J$34),"",ReferenceData!$J$34),"")</f>
        <v/>
      </c>
      <c r="Q34" t="str">
        <f ca="1">IFERROR(IF(0=LEN(ReferenceData!$I$34),"",ReferenceData!$I$34),"")</f>
        <v/>
      </c>
      <c r="R34" t="str">
        <f ca="1">IFERROR(IF(0=LEN(ReferenceData!$H$34),"",ReferenceData!$H$34),"")</f>
        <v/>
      </c>
      <c r="S34" t="str">
        <f ca="1">IFERROR(IF(0=LEN(ReferenceData!$G$34),"",ReferenceData!$G$34),"")</f>
        <v/>
      </c>
      <c r="T34" t="str">
        <f ca="1">IFERROR(IF(0=LEN(ReferenceData!$F$34),"",ReferenceData!$F$34),"")</f>
        <v/>
      </c>
    </row>
    <row r="35" spans="1:20" x14ac:dyDescent="0.25">
      <c r="A35" t="str">
        <f>IFERROR(IF(0=LEN(ReferenceData!$A$35),"",ReferenceData!$A$35),"")</f>
        <v xml:space="preserve">        Active Clients</v>
      </c>
      <c r="B35" t="str">
        <f>IFERROR(IF(0=LEN(ReferenceData!$B$35),"",ReferenceData!$B$35),"")</f>
        <v>INFY US Equity</v>
      </c>
      <c r="C35" t="str">
        <f>IFERROR(IF(0=LEN(ReferenceData!$C$35),"",ReferenceData!$C$35),"")</f>
        <v>M0008</v>
      </c>
      <c r="D35" t="str">
        <f>IFERROR(IF(0=LEN(ReferenceData!$D$35),"",ReferenceData!$D$35),"")</f>
        <v>NUMBER_OF_ACTIVE_CLIENTS</v>
      </c>
      <c r="E35" t="str">
        <f>IFERROR(IF(0=LEN(ReferenceData!$E$35),"",ReferenceData!$E$35),"")</f>
        <v>Dynamic</v>
      </c>
      <c r="F35">
        <f ca="1">IFERROR(IF(0=LEN(ReferenceData!$T$35),"",ReferenceData!$T$35),"")</f>
        <v>460</v>
      </c>
      <c r="G35">
        <f ca="1">IFERROR(IF(0=LEN(ReferenceData!$S$35),"",ReferenceData!$S$35),"")</f>
        <v>500</v>
      </c>
      <c r="H35">
        <f ca="1">IFERROR(IF(0=LEN(ReferenceData!$R$35),"",ReferenceData!$R$35),"")</f>
        <v>538</v>
      </c>
      <c r="I35">
        <f ca="1">IFERROR(IF(0=LEN(ReferenceData!$Q$35),"",ReferenceData!$Q$35),"")</f>
        <v>579</v>
      </c>
      <c r="J35">
        <f ca="1">IFERROR(IF(0=LEN(ReferenceData!$P$35),"",ReferenceData!$P$35),"")</f>
        <v>575</v>
      </c>
      <c r="K35">
        <f ca="1">IFERROR(IF(0=LEN(ReferenceData!$O$35),"",ReferenceData!$O$35),"")</f>
        <v>620</v>
      </c>
      <c r="L35">
        <f ca="1">IFERROR(IF(0=LEN(ReferenceData!$N$35),"",ReferenceData!$N$35),"")</f>
        <v>620</v>
      </c>
      <c r="M35">
        <f ca="1">IFERROR(IF(0=LEN(ReferenceData!$M$35),"",ReferenceData!$M$35),"")</f>
        <v>798</v>
      </c>
      <c r="N35">
        <f ca="1">IFERROR(IF(0=LEN(ReferenceData!$L$35),"",ReferenceData!$L$35),"")</f>
        <v>890</v>
      </c>
      <c r="O35">
        <f ca="1">IFERROR(IF(0=LEN(ReferenceData!$K$35),"",ReferenceData!$K$35),"")</f>
        <v>950</v>
      </c>
      <c r="P35">
        <f ca="1">IFERROR(IF(0=LEN(ReferenceData!$J$35),"",ReferenceData!$J$35),"")</f>
        <v>1092</v>
      </c>
      <c r="Q35">
        <f ca="1">IFERROR(IF(0=LEN(ReferenceData!$I$35),"",ReferenceData!$I$35),"")</f>
        <v>1162</v>
      </c>
      <c r="R35">
        <f ca="1">IFERROR(IF(0=LEN(ReferenceData!$H$35),"",ReferenceData!$H$35),"")</f>
        <v>1204</v>
      </c>
      <c r="S35">
        <f ca="1">IFERROR(IF(0=LEN(ReferenceData!$G$35),"",ReferenceData!$G$35),"")</f>
        <v>1279</v>
      </c>
      <c r="T35">
        <f ca="1">IFERROR(IF(0=LEN(ReferenceData!$F$35),"",ReferenceData!$F$35),"")</f>
        <v>1411</v>
      </c>
    </row>
    <row r="36" spans="1:20" x14ac:dyDescent="0.25">
      <c r="A36" t="str">
        <f>IFERROR(IF(0=LEN(ReferenceData!$A$36),"",ReferenceData!$A$36),"")</f>
        <v xml:space="preserve">        Clients Added (Gross)</v>
      </c>
      <c r="B36" t="str">
        <f>IFERROR(IF(0=LEN(ReferenceData!$B$36),"",ReferenceData!$B$36),"")</f>
        <v>INFY US Equity</v>
      </c>
      <c r="C36" t="str">
        <f>IFERROR(IF(0=LEN(ReferenceData!$C$36),"",ReferenceData!$C$36),"")</f>
        <v>B2806</v>
      </c>
      <c r="D36" t="str">
        <f>IFERROR(IF(0=LEN(ReferenceData!$D$36),"",ReferenceData!$D$36),"")</f>
        <v>ARD_NUMBER_OF_CLIENTS_ADDED</v>
      </c>
      <c r="E36" t="str">
        <f>IFERROR(IF(0=LEN(ReferenceData!$E$36),"",ReferenceData!$E$36),"")</f>
        <v>Dynamic</v>
      </c>
      <c r="F36">
        <f ca="1">IFERROR(IF(0=LEN(ReferenceData!$T$36),"",ReferenceData!$T$36),"")</f>
        <v>144</v>
      </c>
      <c r="G36">
        <f ca="1">IFERROR(IF(0=LEN(ReferenceData!$S$36),"",ReferenceData!$S$36),"")</f>
        <v>160</v>
      </c>
      <c r="H36">
        <f ca="1">IFERROR(IF(0=LEN(ReferenceData!$R$36),"",ReferenceData!$R$36),"")</f>
        <v>170</v>
      </c>
      <c r="I36">
        <f ca="1">IFERROR(IF(0=LEN(ReferenceData!$Q$36),"",ReferenceData!$Q$36),"")</f>
        <v>156</v>
      </c>
      <c r="J36">
        <f ca="1">IFERROR(IF(0=LEN(ReferenceData!$P$36),"",ReferenceData!$P$36),"")</f>
        <v>141</v>
      </c>
      <c r="K36">
        <f ca="1">IFERROR(IF(0=LEN(ReferenceData!$O$36),"",ReferenceData!$O$36),"")</f>
        <v>139</v>
      </c>
      <c r="L36">
        <f ca="1">IFERROR(IF(0=LEN(ReferenceData!$N$36),"",ReferenceData!$N$36),"")</f>
        <v>139</v>
      </c>
      <c r="M36">
        <f ca="1">IFERROR(IF(0=LEN(ReferenceData!$M$36),"",ReferenceData!$M$36),"")</f>
        <v>235</v>
      </c>
      <c r="N36">
        <f ca="1">IFERROR(IF(0=LEN(ReferenceData!$L$36),"",ReferenceData!$L$36),"")</f>
        <v>238</v>
      </c>
      <c r="O36">
        <f ca="1">IFERROR(IF(0=LEN(ReferenceData!$K$36),"",ReferenceData!$K$36),"")</f>
        <v>221</v>
      </c>
      <c r="P36">
        <f ca="1">IFERROR(IF(0=LEN(ReferenceData!$J$36),"",ReferenceData!$J$36),"")</f>
        <v>325</v>
      </c>
      <c r="Q36">
        <f ca="1">IFERROR(IF(0=LEN(ReferenceData!$I$36),"",ReferenceData!$I$36),"")</f>
        <v>321</v>
      </c>
      <c r="R36">
        <f ca="1">IFERROR(IF(0=LEN(ReferenceData!$H$36),"",ReferenceData!$H$36),"")</f>
        <v>283</v>
      </c>
      <c r="S36" t="str">
        <f ca="1">IFERROR(IF(0=LEN(ReferenceData!$G$36),"",ReferenceData!$G$36),"")</f>
        <v/>
      </c>
      <c r="T36" t="str">
        <f ca="1">IFERROR(IF(0=LEN(ReferenceData!$F$36),"",ReferenceData!$F$36),"")</f>
        <v/>
      </c>
    </row>
    <row r="37" spans="1:20" x14ac:dyDescent="0.25">
      <c r="A37" t="str">
        <f>IFERROR(IF(0=LEN(ReferenceData!$A$37),"",ReferenceData!$A$37),"")</f>
        <v xml:space="preserve">        Number of Clients by LTM Contribution (USD)</v>
      </c>
      <c r="B37" t="str">
        <f>IFERROR(IF(0=LEN(ReferenceData!$B$37),"",ReferenceData!$B$37),"")</f>
        <v/>
      </c>
      <c r="C37" t="str">
        <f>IFERROR(IF(0=LEN(ReferenceData!$C$37),"",ReferenceData!$C$37),"")</f>
        <v/>
      </c>
      <c r="D37" t="str">
        <f>IFERROR(IF(0=LEN(ReferenceData!$D$37),"",ReferenceData!$D$37),"")</f>
        <v/>
      </c>
      <c r="E37" t="str">
        <f>IFERROR(IF(0=LEN(ReferenceData!$E$37),"",ReferenceData!$E$37),"")</f>
        <v>Static</v>
      </c>
      <c r="F37" t="str">
        <f ca="1">IFERROR(IF(0=LEN(ReferenceData!$T$37),"",ReferenceData!$T$37),"")</f>
        <v/>
      </c>
      <c r="G37" t="str">
        <f ca="1">IFERROR(IF(0=LEN(ReferenceData!$S$37),"",ReferenceData!$S$37),"")</f>
        <v/>
      </c>
      <c r="H37" t="str">
        <f ca="1">IFERROR(IF(0=LEN(ReferenceData!$R$37),"",ReferenceData!$R$37),"")</f>
        <v/>
      </c>
      <c r="I37" t="str">
        <f ca="1">IFERROR(IF(0=LEN(ReferenceData!$Q$37),"",ReferenceData!$Q$37),"")</f>
        <v/>
      </c>
      <c r="J37" t="str">
        <f ca="1">IFERROR(IF(0=LEN(ReferenceData!$P$37),"",ReferenceData!$P$37),"")</f>
        <v/>
      </c>
      <c r="K37" t="str">
        <f ca="1">IFERROR(IF(0=LEN(ReferenceData!$O$37),"",ReferenceData!$O$37),"")</f>
        <v/>
      </c>
      <c r="L37" t="str">
        <f ca="1">IFERROR(IF(0=LEN(ReferenceData!$N$37),"",ReferenceData!$N$37),"")</f>
        <v/>
      </c>
      <c r="M37" t="str">
        <f ca="1">IFERROR(IF(0=LEN(ReferenceData!$M$37),"",ReferenceData!$M$37),"")</f>
        <v/>
      </c>
      <c r="N37" t="str">
        <f ca="1">IFERROR(IF(0=LEN(ReferenceData!$L$37),"",ReferenceData!$L$37),"")</f>
        <v/>
      </c>
      <c r="O37" t="str">
        <f ca="1">IFERROR(IF(0=LEN(ReferenceData!$K$37),"",ReferenceData!$K$37),"")</f>
        <v/>
      </c>
      <c r="P37" t="str">
        <f ca="1">IFERROR(IF(0=LEN(ReferenceData!$J$37),"",ReferenceData!$J$37),"")</f>
        <v/>
      </c>
      <c r="Q37" t="str">
        <f ca="1">IFERROR(IF(0=LEN(ReferenceData!$I$37),"",ReferenceData!$I$37),"")</f>
        <v/>
      </c>
      <c r="R37" t="str">
        <f ca="1">IFERROR(IF(0=LEN(ReferenceData!$H$37),"",ReferenceData!$H$37),"")</f>
        <v/>
      </c>
      <c r="S37" t="str">
        <f ca="1">IFERROR(IF(0=LEN(ReferenceData!$G$37),"",ReferenceData!$G$37),"")</f>
        <v/>
      </c>
      <c r="T37" t="str">
        <f ca="1">IFERROR(IF(0=LEN(ReferenceData!$F$37),"",ReferenceData!$F$37),"")</f>
        <v/>
      </c>
    </row>
    <row r="38" spans="1:20" x14ac:dyDescent="0.25">
      <c r="A38" t="str">
        <f>IFERROR(IF(0=LEN(ReferenceData!$A$38),"",ReferenceData!$A$38),"")</f>
        <v xml:space="preserve">            $1+ Million</v>
      </c>
      <c r="B38" t="str">
        <f>IFERROR(IF(0=LEN(ReferenceData!$B$38),"",ReferenceData!$B$38),"")</f>
        <v>INFO IN Equity</v>
      </c>
      <c r="C38" t="str">
        <f>IFERROR(IF(0=LEN(ReferenceData!$C$38),"",ReferenceData!$C$38),"")</f>
        <v>M0010</v>
      </c>
      <c r="D38" t="str">
        <f>IFERROR(IF(0=LEN(ReferenceData!$D$38),"",ReferenceData!$D$38),"")</f>
        <v>NUMBER_OF_CLIENTS_0_TO_5MM</v>
      </c>
      <c r="E38" t="str">
        <f>IFERROR(IF(0=LEN(ReferenceData!$E$38),"",ReferenceData!$E$38),"")</f>
        <v>Dynamic</v>
      </c>
      <c r="F38">
        <f ca="1">IFERROR(IF(0=LEN(ReferenceData!$T$38),"",ReferenceData!$T$38),"")</f>
        <v>221</v>
      </c>
      <c r="G38">
        <f ca="1">IFERROR(IF(0=LEN(ReferenceData!$S$38),"",ReferenceData!$S$38),"")</f>
        <v>275</v>
      </c>
      <c r="H38">
        <f ca="1">IFERROR(IF(0=LEN(ReferenceData!$R$38),"",ReferenceData!$R$38),"")</f>
        <v>310</v>
      </c>
      <c r="I38">
        <f ca="1">IFERROR(IF(0=LEN(ReferenceData!$Q$38),"",ReferenceData!$Q$38),"")</f>
        <v>327</v>
      </c>
      <c r="J38">
        <f ca="1">IFERROR(IF(0=LEN(ReferenceData!$P$38),"",ReferenceData!$P$38),"")</f>
        <v>338</v>
      </c>
      <c r="K38">
        <f ca="1">IFERROR(IF(0=LEN(ReferenceData!$O$38),"",ReferenceData!$O$38),"")</f>
        <v>366</v>
      </c>
      <c r="L38">
        <f ca="1">IFERROR(IF(0=LEN(ReferenceData!$N$38),"",ReferenceData!$N$38),"")</f>
        <v>366</v>
      </c>
      <c r="M38">
        <f ca="1">IFERROR(IF(0=LEN(ReferenceData!$M$38),"",ReferenceData!$M$38),"")</f>
        <v>448</v>
      </c>
      <c r="N38">
        <f ca="1">IFERROR(IF(0=LEN(ReferenceData!$L$38),"",ReferenceData!$L$38),"")</f>
        <v>501</v>
      </c>
      <c r="O38">
        <f ca="1">IFERROR(IF(0=LEN(ReferenceData!$K$38),"",ReferenceData!$K$38),"")</f>
        <v>529</v>
      </c>
      <c r="P38">
        <f ca="1">IFERROR(IF(0=LEN(ReferenceData!$J$38),"",ReferenceData!$J$38),"")</f>
        <v>558</v>
      </c>
      <c r="Q38">
        <f ca="1">IFERROR(IF(0=LEN(ReferenceData!$I$38),"",ReferenceData!$I$38),"")</f>
        <v>598</v>
      </c>
      <c r="R38">
        <f ca="1">IFERROR(IF(0=LEN(ReferenceData!$H$38),"",ReferenceData!$H$38),"")</f>
        <v>634</v>
      </c>
      <c r="S38">
        <f ca="1">IFERROR(IF(0=LEN(ReferenceData!$G$38),"",ReferenceData!$G$38),"")</f>
        <v>662</v>
      </c>
      <c r="T38">
        <f ca="1">IFERROR(IF(0=LEN(ReferenceData!$F$38),"",ReferenceData!$F$38),"")</f>
        <v>718</v>
      </c>
    </row>
    <row r="39" spans="1:20" x14ac:dyDescent="0.25">
      <c r="A39" t="str">
        <f>IFERROR(IF(0=LEN(ReferenceData!$A$39),"",ReferenceData!$A$39),"")</f>
        <v xml:space="preserve">            $5+ Million</v>
      </c>
      <c r="B39" t="str">
        <f>IFERROR(IF(0=LEN(ReferenceData!$B$39),"",ReferenceData!$B$39),"")</f>
        <v>INFO IN Equity</v>
      </c>
      <c r="C39" t="str">
        <f>IFERROR(IF(0=LEN(ReferenceData!$C$39),"",ReferenceData!$C$39),"")</f>
        <v>M0011</v>
      </c>
      <c r="D39" t="str">
        <f>IFERROR(IF(0=LEN(ReferenceData!$D$39),"",ReferenceData!$D$39),"")</f>
        <v>NUM_CLIENTS_5MM_TO_10MM</v>
      </c>
      <c r="E39" t="str">
        <f>IFERROR(IF(0=LEN(ReferenceData!$E$39),"",ReferenceData!$E$39),"")</f>
        <v>Dynamic</v>
      </c>
      <c r="F39">
        <f ca="1">IFERROR(IF(0=LEN(ReferenceData!$T$39),"",ReferenceData!$T$39),"")</f>
        <v>81</v>
      </c>
      <c r="G39">
        <f ca="1">IFERROR(IF(0=LEN(ReferenceData!$S$39),"",ReferenceData!$S$39),"")</f>
        <v>107</v>
      </c>
      <c r="H39">
        <f ca="1">IFERROR(IF(0=LEN(ReferenceData!$R$39),"",ReferenceData!$R$39),"")</f>
        <v>141</v>
      </c>
      <c r="I39">
        <f ca="1">IFERROR(IF(0=LEN(ReferenceData!$Q$39),"",ReferenceData!$Q$39),"")</f>
        <v>151</v>
      </c>
      <c r="J39">
        <f ca="1">IFERROR(IF(0=LEN(ReferenceData!$P$39),"",ReferenceData!$P$39),"")</f>
        <v>159</v>
      </c>
      <c r="K39">
        <f ca="1">IFERROR(IF(0=LEN(ReferenceData!$O$39),"",ReferenceData!$O$39),"")</f>
        <v>187</v>
      </c>
      <c r="L39">
        <f ca="1">IFERROR(IF(0=LEN(ReferenceData!$N$39),"",ReferenceData!$N$39),"")</f>
        <v>187</v>
      </c>
      <c r="M39">
        <f ca="1">IFERROR(IF(0=LEN(ReferenceData!$M$39),"",ReferenceData!$M$39),"")</f>
        <v>213</v>
      </c>
      <c r="N39">
        <f ca="1">IFERROR(IF(0=LEN(ReferenceData!$L$39),"",ReferenceData!$L$39),"")</f>
        <v>232</v>
      </c>
      <c r="O39">
        <f ca="1">IFERROR(IF(0=LEN(ReferenceData!$K$39),"",ReferenceData!$K$39),"")</f>
        <v>244</v>
      </c>
      <c r="P39">
        <f ca="1">IFERROR(IF(0=LEN(ReferenceData!$J$39),"",ReferenceData!$J$39),"")</f>
        <v>268</v>
      </c>
      <c r="Q39">
        <f ca="1">IFERROR(IF(0=LEN(ReferenceData!$I$39),"",ReferenceData!$I$39),"")</f>
        <v>282</v>
      </c>
      <c r="R39">
        <f ca="1">IFERROR(IF(0=LEN(ReferenceData!$H$39),"",ReferenceData!$H$39),"")</f>
        <v>295</v>
      </c>
      <c r="S39" t="str">
        <f ca="1">IFERROR(IF(0=LEN(ReferenceData!$G$39),"",ReferenceData!$G$39),"")</f>
        <v/>
      </c>
      <c r="T39" t="str">
        <f ca="1">IFERROR(IF(0=LEN(ReferenceData!$F$39),"",ReferenceData!$F$39),"")</f>
        <v/>
      </c>
    </row>
    <row r="40" spans="1:20" x14ac:dyDescent="0.25">
      <c r="A40" t="str">
        <f>IFERROR(IF(0=LEN(ReferenceData!$A$40),"",ReferenceData!$A$40),"")</f>
        <v xml:space="preserve">            $10+ Million</v>
      </c>
      <c r="B40" t="str">
        <f>IFERROR(IF(0=LEN(ReferenceData!$B$40),"",ReferenceData!$B$40),"")</f>
        <v>INFO IN Equity</v>
      </c>
      <c r="C40" t="str">
        <f>IFERROR(IF(0=LEN(ReferenceData!$C$40),"",ReferenceData!$C$40),"")</f>
        <v>M0012</v>
      </c>
      <c r="D40" t="str">
        <f>IFERROR(IF(0=LEN(ReferenceData!$D$40),"",ReferenceData!$D$40),"")</f>
        <v>NUM_CLIENTS_10MM_TO_20MM</v>
      </c>
      <c r="E40" t="str">
        <f>IFERROR(IF(0=LEN(ReferenceData!$E$40),"",ReferenceData!$E$40),"")</f>
        <v>Dynamic</v>
      </c>
      <c r="F40">
        <f ca="1">IFERROR(IF(0=LEN(ReferenceData!$T$40),"",ReferenceData!$T$40),"")</f>
        <v>54</v>
      </c>
      <c r="G40">
        <f ca="1">IFERROR(IF(0=LEN(ReferenceData!$S$40),"",ReferenceData!$S$40),"")</f>
        <v>71</v>
      </c>
      <c r="H40">
        <f ca="1">IFERROR(IF(0=LEN(ReferenceData!$R$40),"",ReferenceData!$R$40),"")</f>
        <v>89</v>
      </c>
      <c r="I40">
        <f ca="1">IFERROR(IF(0=LEN(ReferenceData!$Q$40),"",ReferenceData!$Q$40),"")</f>
        <v>101</v>
      </c>
      <c r="J40">
        <f ca="1">IFERROR(IF(0=LEN(ReferenceData!$P$40),"",ReferenceData!$P$40),"")</f>
        <v>97</v>
      </c>
      <c r="K40">
        <f ca="1">IFERROR(IF(0=LEN(ReferenceData!$O$40),"",ReferenceData!$O$40),"")</f>
        <v>126</v>
      </c>
      <c r="L40">
        <f ca="1">IFERROR(IF(0=LEN(ReferenceData!$N$40),"",ReferenceData!$N$40),"")</f>
        <v>126</v>
      </c>
      <c r="M40">
        <f ca="1">IFERROR(IF(0=LEN(ReferenceData!$M$40),"",ReferenceData!$M$40),"")</f>
        <v>137</v>
      </c>
      <c r="N40">
        <f ca="1">IFERROR(IF(0=LEN(ReferenceData!$L$40),"",ReferenceData!$L$40),"")</f>
        <v>148</v>
      </c>
      <c r="O40">
        <f ca="1">IFERROR(IF(0=LEN(ReferenceData!$K$40),"",ReferenceData!$K$40),"")</f>
        <v>159</v>
      </c>
      <c r="P40">
        <f ca="1">IFERROR(IF(0=LEN(ReferenceData!$J$40),"",ReferenceData!$J$40),"")</f>
        <v>177</v>
      </c>
      <c r="Q40">
        <f ca="1">IFERROR(IF(0=LEN(ReferenceData!$I$40),"",ReferenceData!$I$40),"")</f>
        <v>189</v>
      </c>
      <c r="R40">
        <f ca="1">IFERROR(IF(0=LEN(ReferenceData!$H$40),"",ReferenceData!$H$40),"")</f>
        <v>198</v>
      </c>
      <c r="S40">
        <f ca="1">IFERROR(IF(0=LEN(ReferenceData!$G$40),"",ReferenceData!$G$40),"")</f>
        <v>222</v>
      </c>
      <c r="T40">
        <f ca="1">IFERROR(IF(0=LEN(ReferenceData!$F$40),"",ReferenceData!$F$40),"")</f>
        <v>234</v>
      </c>
    </row>
    <row r="41" spans="1:20" x14ac:dyDescent="0.25">
      <c r="A41" t="str">
        <f>IFERROR(IF(0=LEN(ReferenceData!$A$41),"",ReferenceData!$A$41),"")</f>
        <v xml:space="preserve">            $20+ Million</v>
      </c>
      <c r="B41" t="str">
        <f>IFERROR(IF(0=LEN(ReferenceData!$B$41),"",ReferenceData!$B$41),"")</f>
        <v>INFO IN Equity</v>
      </c>
      <c r="C41" t="str">
        <f>IFERROR(IF(0=LEN(ReferenceData!$C$41),"",ReferenceData!$C$41),"")</f>
        <v>M0013</v>
      </c>
      <c r="D41" t="str">
        <f>IFERROR(IF(0=LEN(ReferenceData!$D$41),"",ReferenceData!$D$41),"")</f>
        <v>NUM_CLIENTS_20MM_TO_30MM</v>
      </c>
      <c r="E41" t="str">
        <f>IFERROR(IF(0=LEN(ReferenceData!$E$41),"",ReferenceData!$E$41),"")</f>
        <v>Dynamic</v>
      </c>
      <c r="F41">
        <f ca="1">IFERROR(IF(0=LEN(ReferenceData!$T$41),"",ReferenceData!$T$41),"")</f>
        <v>26</v>
      </c>
      <c r="G41">
        <f ca="1">IFERROR(IF(0=LEN(ReferenceData!$S$41),"",ReferenceData!$S$41),"")</f>
        <v>36</v>
      </c>
      <c r="H41">
        <f ca="1">IFERROR(IF(0=LEN(ReferenceData!$R$41),"",ReferenceData!$R$41),"")</f>
        <v>47</v>
      </c>
      <c r="I41">
        <f ca="1">IFERROR(IF(0=LEN(ReferenceData!$Q$41),"",ReferenceData!$Q$41),"")</f>
        <v>59</v>
      </c>
      <c r="J41">
        <f ca="1">IFERROR(IF(0=LEN(ReferenceData!$P$41),"",ReferenceData!$P$41),"")</f>
        <v>59</v>
      </c>
      <c r="K41">
        <f ca="1">IFERROR(IF(0=LEN(ReferenceData!$O$41),"",ReferenceData!$O$41),"")</f>
        <v>73</v>
      </c>
      <c r="L41">
        <f ca="1">IFERROR(IF(0=LEN(ReferenceData!$N$41),"",ReferenceData!$N$41),"")</f>
        <v>73</v>
      </c>
      <c r="M41">
        <f ca="1">IFERROR(IF(0=LEN(ReferenceData!$M$41),"",ReferenceData!$M$41),"")</f>
        <v>80</v>
      </c>
      <c r="N41">
        <f ca="1">IFERROR(IF(0=LEN(ReferenceData!$L$41),"",ReferenceData!$L$41),"")</f>
        <v>91</v>
      </c>
      <c r="O41">
        <f ca="1">IFERROR(IF(0=LEN(ReferenceData!$K$41),"",ReferenceData!$K$41),"")</f>
        <v>83</v>
      </c>
      <c r="P41">
        <f ca="1">IFERROR(IF(0=LEN(ReferenceData!$J$41),"",ReferenceData!$J$41),"")</f>
        <v>88</v>
      </c>
      <c r="Q41">
        <f ca="1">IFERROR(IF(0=LEN(ReferenceData!$I$41),"",ReferenceData!$I$41),"")</f>
        <v>91</v>
      </c>
      <c r="R41">
        <f ca="1">IFERROR(IF(0=LEN(ReferenceData!$H$41),"",ReferenceData!$H$41),"")</f>
        <v>105</v>
      </c>
      <c r="S41" t="str">
        <f ca="1">IFERROR(IF(0=LEN(ReferenceData!$G$41),"",ReferenceData!$G$41),"")</f>
        <v/>
      </c>
      <c r="T41" t="str">
        <f ca="1">IFERROR(IF(0=LEN(ReferenceData!$F$41),"",ReferenceData!$F$41),"")</f>
        <v/>
      </c>
    </row>
    <row r="42" spans="1:20" x14ac:dyDescent="0.25">
      <c r="A42" t="str">
        <f>IFERROR(IF(0=LEN(ReferenceData!$A$42),"",ReferenceData!$A$42),"")</f>
        <v xml:space="preserve">            $50+ Million</v>
      </c>
      <c r="B42" t="str">
        <f>IFERROR(IF(0=LEN(ReferenceData!$B$42),"",ReferenceData!$B$42),"")</f>
        <v>INFO IN Equity</v>
      </c>
      <c r="C42" t="str">
        <f>IFERROR(IF(0=LEN(ReferenceData!$C$42),"",ReferenceData!$C$42),"")</f>
        <v>M0016</v>
      </c>
      <c r="D42" t="str">
        <f>IFERROR(IF(0=LEN(ReferenceData!$D$42),"",ReferenceData!$D$42),"")</f>
        <v>NUM_CLIENTS_50MM_TO_100MM</v>
      </c>
      <c r="E42" t="str">
        <f>IFERROR(IF(0=LEN(ReferenceData!$E$42),"",ReferenceData!$E$42),"")</f>
        <v>Dynamic</v>
      </c>
      <c r="F42">
        <f ca="1">IFERROR(IF(0=LEN(ReferenceData!$T$42),"",ReferenceData!$T$42),"")</f>
        <v>14</v>
      </c>
      <c r="G42">
        <f ca="1">IFERROR(IF(0=LEN(ReferenceData!$S$42),"",ReferenceData!$S$42),"")</f>
        <v>28</v>
      </c>
      <c r="H42">
        <f ca="1">IFERROR(IF(0=LEN(ReferenceData!$R$42),"",ReferenceData!$R$42),"")</f>
        <v>41</v>
      </c>
      <c r="I42">
        <f ca="1">IFERROR(IF(0=LEN(ReferenceData!$Q$42),"",ReferenceData!$Q$42),"")</f>
        <v>65</v>
      </c>
      <c r="J42">
        <f ca="1">IFERROR(IF(0=LEN(ReferenceData!$P$42),"",ReferenceData!$P$42),"")</f>
        <v>72</v>
      </c>
      <c r="K42">
        <f ca="1">IFERROR(IF(0=LEN(ReferenceData!$O$42),"",ReferenceData!$O$42),"")</f>
        <v>97</v>
      </c>
      <c r="L42">
        <f ca="1">IFERROR(IF(0=LEN(ReferenceData!$N$42),"",ReferenceData!$N$42),"")</f>
        <v>97</v>
      </c>
      <c r="M42">
        <f ca="1">IFERROR(IF(0=LEN(ReferenceData!$M$42),"",ReferenceData!$M$42),"")</f>
        <v>137</v>
      </c>
      <c r="N42">
        <f ca="1">IFERROR(IF(0=LEN(ReferenceData!$L$42),"",ReferenceData!$L$42),"")</f>
        <v>147</v>
      </c>
      <c r="O42">
        <f ca="1">IFERROR(IF(0=LEN(ReferenceData!$K$42),"",ReferenceData!$K$42),"")</f>
        <v>76</v>
      </c>
      <c r="P42">
        <f ca="1">IFERROR(IF(0=LEN(ReferenceData!$J$42),"",ReferenceData!$J$42),"")</f>
        <v>83</v>
      </c>
      <c r="Q42">
        <f ca="1">IFERROR(IF(0=LEN(ReferenceData!$I$42),"",ReferenceData!$I$42),"")</f>
        <v>87</v>
      </c>
      <c r="R42">
        <f ca="1">IFERROR(IF(0=LEN(ReferenceData!$H$42),"",ReferenceData!$H$42),"")</f>
        <v>92</v>
      </c>
      <c r="S42">
        <f ca="1">IFERROR(IF(0=LEN(ReferenceData!$G$42),"",ReferenceData!$G$42),"")</f>
        <v>60</v>
      </c>
      <c r="T42">
        <f ca="1">IFERROR(IF(0=LEN(ReferenceData!$F$42),"",ReferenceData!$F$42),"")</f>
        <v>61</v>
      </c>
    </row>
    <row r="43" spans="1:20" x14ac:dyDescent="0.25">
      <c r="A43" t="str">
        <f>IFERROR(IF(0=LEN(ReferenceData!$A$43),"",ReferenceData!$A$43),"")</f>
        <v xml:space="preserve">            $100+ Million</v>
      </c>
      <c r="B43" t="str">
        <f>IFERROR(IF(0=LEN(ReferenceData!$B$43),"",ReferenceData!$B$43),"")</f>
        <v>INFO IN Equity</v>
      </c>
      <c r="C43" t="str">
        <f>IFERROR(IF(0=LEN(ReferenceData!$C$43),"",ReferenceData!$C$43),"")</f>
        <v>M0017</v>
      </c>
      <c r="D43" t="str">
        <f>IFERROR(IF(0=LEN(ReferenceData!$D$43),"",ReferenceData!$D$43),"")</f>
        <v>NUM_OF_CLIENTS_OVER_100MM</v>
      </c>
      <c r="E43" t="str">
        <f>IFERROR(IF(0=LEN(ReferenceData!$E$43),"",ReferenceData!$E$43),"")</f>
        <v>Dynamic</v>
      </c>
      <c r="F43">
        <f ca="1">IFERROR(IF(0=LEN(ReferenceData!$T$43),"",ReferenceData!$T$43),"")</f>
        <v>0</v>
      </c>
      <c r="G43">
        <f ca="1">IFERROR(IF(0=LEN(ReferenceData!$S$43),"",ReferenceData!$S$43),"")</f>
        <v>4</v>
      </c>
      <c r="H43">
        <f ca="1">IFERROR(IF(0=LEN(ReferenceData!$R$43),"",ReferenceData!$R$43),"")</f>
        <v>8</v>
      </c>
      <c r="I43">
        <f ca="1">IFERROR(IF(0=LEN(ReferenceData!$Q$43),"",ReferenceData!$Q$43),"")</f>
        <v>6</v>
      </c>
      <c r="J43">
        <f ca="1">IFERROR(IF(0=LEN(ReferenceData!$P$43),"",ReferenceData!$P$43),"")</f>
        <v>7</v>
      </c>
      <c r="K43">
        <f ca="1">IFERROR(IF(0=LEN(ReferenceData!$O$43),"",ReferenceData!$O$43),"")</f>
        <v>13</v>
      </c>
      <c r="L43">
        <f ca="1">IFERROR(IF(0=LEN(ReferenceData!$N$43),"",ReferenceData!$N$43),"")</f>
        <v>13</v>
      </c>
      <c r="M43">
        <f ca="1">IFERROR(IF(0=LEN(ReferenceData!$M$43),"",ReferenceData!$M$43),"")</f>
        <v>15</v>
      </c>
      <c r="N43">
        <f ca="1">IFERROR(IF(0=LEN(ReferenceData!$L$43),"",ReferenceData!$L$43),"")</f>
        <v>17</v>
      </c>
      <c r="O43">
        <f ca="1">IFERROR(IF(0=LEN(ReferenceData!$K$43),"",ReferenceData!$K$43),"")</f>
        <v>19</v>
      </c>
      <c r="P43">
        <f ca="1">IFERROR(IF(0=LEN(ReferenceData!$J$43),"",ReferenceData!$J$43),"")</f>
        <v>21</v>
      </c>
      <c r="Q43">
        <f ca="1">IFERROR(IF(0=LEN(ReferenceData!$I$43),"",ReferenceData!$I$43),"")</f>
        <v>26</v>
      </c>
      <c r="R43">
        <f ca="1">IFERROR(IF(0=LEN(ReferenceData!$H$43),"",ReferenceData!$H$43),"")</f>
        <v>20</v>
      </c>
      <c r="S43">
        <f ca="1">IFERROR(IF(0=LEN(ReferenceData!$G$43),"",ReferenceData!$G$43),"")</f>
        <v>25</v>
      </c>
      <c r="T43">
        <f ca="1">IFERROR(IF(0=LEN(ReferenceData!$F$43),"",ReferenceData!$F$43),"")</f>
        <v>28</v>
      </c>
    </row>
    <row r="44" spans="1:20" x14ac:dyDescent="0.25">
      <c r="A44" t="str">
        <f>IFERROR(IF(0=LEN(ReferenceData!$A$44),"",ReferenceData!$A$44),"")</f>
        <v xml:space="preserve">        Client Contribution to Revenue (%)</v>
      </c>
      <c r="B44" t="str">
        <f>IFERROR(IF(0=LEN(ReferenceData!$B$44),"",ReferenceData!$B$44),"")</f>
        <v/>
      </c>
      <c r="C44" t="str">
        <f>IFERROR(IF(0=LEN(ReferenceData!$C$44),"",ReferenceData!$C$44),"")</f>
        <v/>
      </c>
      <c r="D44" t="str">
        <f>IFERROR(IF(0=LEN(ReferenceData!$D$44),"",ReferenceData!$D$44),"")</f>
        <v/>
      </c>
      <c r="E44" t="str">
        <f>IFERROR(IF(0=LEN(ReferenceData!$E$44),"",ReferenceData!$E$44),"")</f>
        <v>Static</v>
      </c>
      <c r="F44" t="str">
        <f ca="1">IFERROR(IF(0=LEN(ReferenceData!$T$44),"",ReferenceData!$T$44),"")</f>
        <v/>
      </c>
      <c r="G44" t="str">
        <f ca="1">IFERROR(IF(0=LEN(ReferenceData!$S$44),"",ReferenceData!$S$44),"")</f>
        <v/>
      </c>
      <c r="H44" t="str">
        <f ca="1">IFERROR(IF(0=LEN(ReferenceData!$R$44),"",ReferenceData!$R$44),"")</f>
        <v/>
      </c>
      <c r="I44" t="str">
        <f ca="1">IFERROR(IF(0=LEN(ReferenceData!$Q$44),"",ReferenceData!$Q$44),"")</f>
        <v/>
      </c>
      <c r="J44" t="str">
        <f ca="1">IFERROR(IF(0=LEN(ReferenceData!$P$44),"",ReferenceData!$P$44),"")</f>
        <v/>
      </c>
      <c r="K44" t="str">
        <f ca="1">IFERROR(IF(0=LEN(ReferenceData!$O$44),"",ReferenceData!$O$44),"")</f>
        <v/>
      </c>
      <c r="L44" t="str">
        <f ca="1">IFERROR(IF(0=LEN(ReferenceData!$N$44),"",ReferenceData!$N$44),"")</f>
        <v/>
      </c>
      <c r="M44" t="str">
        <f ca="1">IFERROR(IF(0=LEN(ReferenceData!$M$44),"",ReferenceData!$M$44),"")</f>
        <v/>
      </c>
      <c r="N44" t="str">
        <f ca="1">IFERROR(IF(0=LEN(ReferenceData!$L$44),"",ReferenceData!$L$44),"")</f>
        <v/>
      </c>
      <c r="O44" t="str">
        <f ca="1">IFERROR(IF(0=LEN(ReferenceData!$K$44),"",ReferenceData!$K$44),"")</f>
        <v/>
      </c>
      <c r="P44" t="str">
        <f ca="1">IFERROR(IF(0=LEN(ReferenceData!$J$44),"",ReferenceData!$J$44),"")</f>
        <v/>
      </c>
      <c r="Q44" t="str">
        <f ca="1">IFERROR(IF(0=LEN(ReferenceData!$I$44),"",ReferenceData!$I$44),"")</f>
        <v/>
      </c>
      <c r="R44" t="str">
        <f ca="1">IFERROR(IF(0=LEN(ReferenceData!$H$44),"",ReferenceData!$H$44),"")</f>
        <v/>
      </c>
      <c r="S44" t="str">
        <f ca="1">IFERROR(IF(0=LEN(ReferenceData!$G$44),"",ReferenceData!$G$44),"")</f>
        <v/>
      </c>
      <c r="T44" t="str">
        <f ca="1">IFERROR(IF(0=LEN(ReferenceData!$F$44),"",ReferenceData!$F$44),"")</f>
        <v/>
      </c>
    </row>
    <row r="45" spans="1:20" x14ac:dyDescent="0.25">
      <c r="A45" t="str">
        <f>IFERROR(IF(0=LEN(ReferenceData!$A$45),"",ReferenceData!$A$45),"")</f>
        <v xml:space="preserve">            Top Client</v>
      </c>
      <c r="B45" t="str">
        <f>IFERROR(IF(0=LEN(ReferenceData!$B$45),"",ReferenceData!$B$45),"")</f>
        <v>INFO IN Equity</v>
      </c>
      <c r="C45" t="str">
        <f>IFERROR(IF(0=LEN(ReferenceData!$C$45),"",ReferenceData!$C$45),"")</f>
        <v>M0018</v>
      </c>
      <c r="D45" t="str">
        <f>IFERROR(IF(0=LEN(ReferenceData!$D$45),"",ReferenceData!$D$45),"")</f>
        <v>TOP_CLIENTS_CONTRIB_TO_REVENUE</v>
      </c>
      <c r="E45" t="str">
        <f>IFERROR(IF(0=LEN(ReferenceData!$E$45),"",ReferenceData!$E$45),"")</f>
        <v>Dynamic</v>
      </c>
      <c r="F45">
        <f ca="1">IFERROR(IF(0=LEN(ReferenceData!$T$45),"",ReferenceData!$T$45),"")</f>
        <v>4.7</v>
      </c>
      <c r="G45">
        <f ca="1">IFERROR(IF(0=LEN(ReferenceData!$S$45),"",ReferenceData!$S$45),"")</f>
        <v>8.5</v>
      </c>
      <c r="H45">
        <f ca="1">IFERROR(IF(0=LEN(ReferenceData!$R$45),"",ReferenceData!$R$45),"")</f>
        <v>9.1</v>
      </c>
      <c r="I45">
        <f ca="1">IFERROR(IF(0=LEN(ReferenceData!$Q$45),"",ReferenceData!$Q$45),"")</f>
        <v>6.9</v>
      </c>
      <c r="J45">
        <f ca="1">IFERROR(IF(0=LEN(ReferenceData!$P$45),"",ReferenceData!$P$45),"")</f>
        <v>4.5999999999999996</v>
      </c>
      <c r="K45">
        <f ca="1">IFERROR(IF(0=LEN(ReferenceData!$O$45),"",ReferenceData!$O$45),"")</f>
        <v>4.7</v>
      </c>
      <c r="L45">
        <f ca="1">IFERROR(IF(0=LEN(ReferenceData!$N$45),"",ReferenceData!$N$45),"")</f>
        <v>4.7</v>
      </c>
      <c r="M45">
        <f ca="1">IFERROR(IF(0=LEN(ReferenceData!$M$45),"",ReferenceData!$M$45),"")</f>
        <v>3.8</v>
      </c>
      <c r="N45">
        <f ca="1">IFERROR(IF(0=LEN(ReferenceData!$L$45),"",ReferenceData!$L$45),"")</f>
        <v>3.8</v>
      </c>
      <c r="O45">
        <f ca="1">IFERROR(IF(0=LEN(ReferenceData!$K$45),"",ReferenceData!$K$45),"")</f>
        <v>3.3</v>
      </c>
      <c r="P45">
        <f ca="1">IFERROR(IF(0=LEN(ReferenceData!$J$45),"",ReferenceData!$J$45),"")</f>
        <v>3.6</v>
      </c>
      <c r="Q45">
        <f ca="1">IFERROR(IF(0=LEN(ReferenceData!$I$45),"",ReferenceData!$I$45),"")</f>
        <v>3.4</v>
      </c>
      <c r="R45">
        <f ca="1">IFERROR(IF(0=LEN(ReferenceData!$H$45),"",ReferenceData!$H$45),"")</f>
        <v>3.4</v>
      </c>
      <c r="S45" t="str">
        <f ca="1">IFERROR(IF(0=LEN(ReferenceData!$G$45),"",ReferenceData!$G$45),"")</f>
        <v/>
      </c>
      <c r="T45">
        <f ca="1">IFERROR(IF(0=LEN(ReferenceData!$F$45),"",ReferenceData!$F$45),"")</f>
        <v>3.1</v>
      </c>
    </row>
    <row r="46" spans="1:20" x14ac:dyDescent="0.25">
      <c r="A46" t="str">
        <f>IFERROR(IF(0=LEN(ReferenceData!$A$46),"",ReferenceData!$A$46),"")</f>
        <v xml:space="preserve">            Top 10 Clients</v>
      </c>
      <c r="B46" t="str">
        <f>IFERROR(IF(0=LEN(ReferenceData!$B$46),"",ReferenceData!$B$46),"")</f>
        <v>INFO IN Equity</v>
      </c>
      <c r="C46" t="str">
        <f>IFERROR(IF(0=LEN(ReferenceData!$C$46),"",ReferenceData!$C$46),"")</f>
        <v>M0020</v>
      </c>
      <c r="D46" t="str">
        <f>IFERROR(IF(0=LEN(ReferenceData!$D$46),"",ReferenceData!$D$46),"")</f>
        <v>TOP_10_CLIENTS_CONTRIB_TO_REV</v>
      </c>
      <c r="E46" t="str">
        <f>IFERROR(IF(0=LEN(ReferenceData!$E$46),"",ReferenceData!$E$46),"")</f>
        <v>Dynamic</v>
      </c>
      <c r="F46">
        <f ca="1">IFERROR(IF(0=LEN(ReferenceData!$T$46),"",ReferenceData!$T$46),"")</f>
        <v>31</v>
      </c>
      <c r="G46">
        <f ca="1">IFERROR(IF(0=LEN(ReferenceData!$S$46),"",ReferenceData!$S$46),"")</f>
        <v>33.4</v>
      </c>
      <c r="H46">
        <f ca="1">IFERROR(IF(0=LEN(ReferenceData!$R$46),"",ReferenceData!$R$46),"")</f>
        <v>31.4</v>
      </c>
      <c r="I46">
        <f ca="1">IFERROR(IF(0=LEN(ReferenceData!$Q$46),"",ReferenceData!$Q$46),"")</f>
        <v>27.7</v>
      </c>
      <c r="J46">
        <f ca="1">IFERROR(IF(0=LEN(ReferenceData!$P$46),"",ReferenceData!$P$46),"")</f>
        <v>26.2</v>
      </c>
      <c r="K46">
        <f ca="1">IFERROR(IF(0=LEN(ReferenceData!$O$46),"",ReferenceData!$O$46),"")</f>
        <v>25.7</v>
      </c>
      <c r="L46">
        <f ca="1">IFERROR(IF(0=LEN(ReferenceData!$N$46),"",ReferenceData!$N$46),"")</f>
        <v>25.7</v>
      </c>
      <c r="M46">
        <f ca="1">IFERROR(IF(0=LEN(ReferenceData!$M$46),"",ReferenceData!$M$46),"")</f>
        <v>24.6</v>
      </c>
      <c r="N46">
        <f ca="1">IFERROR(IF(0=LEN(ReferenceData!$L$46),"",ReferenceData!$L$46),"")</f>
        <v>23.8</v>
      </c>
      <c r="O46">
        <f ca="1">IFERROR(IF(0=LEN(ReferenceData!$K$46),"",ReferenceData!$K$46),"")</f>
        <v>22.7</v>
      </c>
      <c r="P46">
        <f ca="1">IFERROR(IF(0=LEN(ReferenceData!$J$46),"",ReferenceData!$J$46),"")</f>
        <v>22.5</v>
      </c>
      <c r="Q46">
        <f ca="1">IFERROR(IF(0=LEN(ReferenceData!$I$46),"",ReferenceData!$I$46),"")</f>
        <v>21</v>
      </c>
      <c r="R46">
        <f ca="1">IFERROR(IF(0=LEN(ReferenceData!$H$46),"",ReferenceData!$H$46),"")</f>
        <v>19.3</v>
      </c>
      <c r="S46" t="str">
        <f ca="1">IFERROR(IF(0=LEN(ReferenceData!$G$46),"",ReferenceData!$G$46),"")</f>
        <v/>
      </c>
      <c r="T46" t="str">
        <f ca="1">IFERROR(IF(0=LEN(ReferenceData!$F$46),"",ReferenceData!$F$46),"")</f>
        <v/>
      </c>
    </row>
    <row r="47" spans="1:20" x14ac:dyDescent="0.25">
      <c r="A47" t="str">
        <f>IFERROR(IF(0=LEN(ReferenceData!$A$47),"",ReferenceData!$A$47),"")</f>
        <v xml:space="preserve">            Top 25 Clients</v>
      </c>
      <c r="B47" t="str">
        <f>IFERROR(IF(0=LEN(ReferenceData!$B$47),"",ReferenceData!$B$47),"")</f>
        <v>INFO IN Equity</v>
      </c>
      <c r="C47" t="str">
        <f>IFERROR(IF(0=LEN(ReferenceData!$C$47),"",ReferenceData!$C$47),"")</f>
        <v>M1145</v>
      </c>
      <c r="D47" t="str">
        <f>IFERROR(IF(0=LEN(ReferenceData!$D$47),"",ReferenceData!$D$47),"")</f>
        <v>TOP_TWENTY_FIVE_CLIENTS_CONT_REV</v>
      </c>
      <c r="E47" t="str">
        <f>IFERROR(IF(0=LEN(ReferenceData!$E$47),"",ReferenceData!$E$47),"")</f>
        <v>Dynamic</v>
      </c>
      <c r="F47" t="str">
        <f ca="1">IFERROR(IF(0=LEN(ReferenceData!$T$47),"",ReferenceData!$T$47),"")</f>
        <v/>
      </c>
      <c r="G47" t="str">
        <f ca="1">IFERROR(IF(0=LEN(ReferenceData!$S$47),"",ReferenceData!$S$47),"")</f>
        <v/>
      </c>
      <c r="H47" t="str">
        <f ca="1">IFERROR(IF(0=LEN(ReferenceData!$R$47),"",ReferenceData!$R$47),"")</f>
        <v/>
      </c>
      <c r="I47" t="str">
        <f ca="1">IFERROR(IF(0=LEN(ReferenceData!$Q$47),"",ReferenceData!$Q$47),"")</f>
        <v/>
      </c>
      <c r="J47" t="str">
        <f ca="1">IFERROR(IF(0=LEN(ReferenceData!$P$47),"",ReferenceData!$P$47),"")</f>
        <v/>
      </c>
      <c r="K47" t="str">
        <f ca="1">IFERROR(IF(0=LEN(ReferenceData!$O$47),"",ReferenceData!$O$47),"")</f>
        <v/>
      </c>
      <c r="L47" t="str">
        <f ca="1">IFERROR(IF(0=LEN(ReferenceData!$N$47),"",ReferenceData!$N$47),"")</f>
        <v/>
      </c>
      <c r="M47" t="str">
        <f ca="1">IFERROR(IF(0=LEN(ReferenceData!$M$47),"",ReferenceData!$M$47),"")</f>
        <v/>
      </c>
      <c r="N47" t="str">
        <f ca="1">IFERROR(IF(0=LEN(ReferenceData!$L$47),"",ReferenceData!$L$47),"")</f>
        <v/>
      </c>
      <c r="O47" t="str">
        <f ca="1">IFERROR(IF(0=LEN(ReferenceData!$K$47),"",ReferenceData!$K$47),"")</f>
        <v/>
      </c>
      <c r="P47" t="str">
        <f ca="1">IFERROR(IF(0=LEN(ReferenceData!$J$47),"",ReferenceData!$J$47),"")</f>
        <v/>
      </c>
      <c r="Q47" t="str">
        <f ca="1">IFERROR(IF(0=LEN(ReferenceData!$I$47),"",ReferenceData!$I$47),"")</f>
        <v/>
      </c>
      <c r="R47">
        <f ca="1">IFERROR(IF(0=LEN(ReferenceData!$H$47),"",ReferenceData!$H$47),"")</f>
        <v>35.4</v>
      </c>
      <c r="S47" t="str">
        <f ca="1">IFERROR(IF(0=LEN(ReferenceData!$G$47),"",ReferenceData!$G$47),"")</f>
        <v/>
      </c>
      <c r="T47">
        <f ca="1">IFERROR(IF(0=LEN(ReferenceData!$F$47),"",ReferenceData!$F$47),"")</f>
        <v>18.7</v>
      </c>
    </row>
    <row r="48" spans="1:20" x14ac:dyDescent="0.25">
      <c r="A48" t="str">
        <f>IFERROR(IF(0=LEN(ReferenceData!$A$48),"",ReferenceData!$A$48),"")</f>
        <v/>
      </c>
      <c r="B48" t="str">
        <f>IFERROR(IF(0=LEN(ReferenceData!$B$48),"",ReferenceData!$B$48),"")</f>
        <v/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Static</v>
      </c>
      <c r="F48" t="str">
        <f ca="1">IFERROR(IF(0=LEN(ReferenceData!$T$48),"",ReferenceData!$T$48),"")</f>
        <v/>
      </c>
      <c r="G48" t="str">
        <f ca="1">IFERROR(IF(0=LEN(ReferenceData!$S$48),"",ReferenceData!$S$48),"")</f>
        <v/>
      </c>
      <c r="H48" t="str">
        <f ca="1">IFERROR(IF(0=LEN(ReferenceData!$R$48),"",ReferenceData!$R$48),"")</f>
        <v/>
      </c>
      <c r="I48" t="str">
        <f ca="1">IFERROR(IF(0=LEN(ReferenceData!$Q$48),"",ReferenceData!$Q$48),"")</f>
        <v/>
      </c>
      <c r="J48" t="str">
        <f ca="1">IFERROR(IF(0=LEN(ReferenceData!$P$48),"",ReferenceData!$P$48),"")</f>
        <v/>
      </c>
      <c r="K48" t="str">
        <f ca="1">IFERROR(IF(0=LEN(ReferenceData!$O$48),"",ReferenceData!$O$48),"")</f>
        <v/>
      </c>
      <c r="L48" t="str">
        <f ca="1">IFERROR(IF(0=LEN(ReferenceData!$N$48),"",ReferenceData!$N$48),"")</f>
        <v/>
      </c>
      <c r="M48" t="str">
        <f ca="1">IFERROR(IF(0=LEN(ReferenceData!$M$48),"",ReferenceData!$M$48),"")</f>
        <v/>
      </c>
      <c r="N48" t="str">
        <f ca="1">IFERROR(IF(0=LEN(ReferenceData!$L$48),"",ReferenceData!$L$48),"")</f>
        <v/>
      </c>
      <c r="O48" t="str">
        <f ca="1">IFERROR(IF(0=LEN(ReferenceData!$K$48),"",ReferenceData!$K$48),"")</f>
        <v/>
      </c>
      <c r="P48" t="str">
        <f ca="1">IFERROR(IF(0=LEN(ReferenceData!$J$48),"",ReferenceData!$J$48),"")</f>
        <v/>
      </c>
      <c r="Q48" t="str">
        <f ca="1">IFERROR(IF(0=LEN(ReferenceData!$I$48),"",ReferenceData!$I$48),"")</f>
        <v/>
      </c>
      <c r="R48" t="str">
        <f ca="1">IFERROR(IF(0=LEN(ReferenceData!$H$48),"",ReferenceData!$H$48),"")</f>
        <v/>
      </c>
      <c r="S48" t="str">
        <f ca="1">IFERROR(IF(0=LEN(ReferenceData!$G$48),"",ReferenceData!$G$48),"")</f>
        <v/>
      </c>
      <c r="T48" t="str">
        <f ca="1">IFERROR(IF(0=LEN(ReferenceData!$F$48),"",ReferenceData!$F$48),"")</f>
        <v/>
      </c>
    </row>
    <row r="49" spans="1:20" x14ac:dyDescent="0.25">
      <c r="A49" t="str">
        <f>IFERROR(IF(0=LEN(ReferenceData!$A$49),"",ReferenceData!$A$49),"")</f>
        <v>End Market Breakdown</v>
      </c>
      <c r="B49" t="str">
        <f>IFERROR(IF(0=LEN(ReferenceData!$B$49),"",ReferenceData!$B$49),"")</f>
        <v/>
      </c>
      <c r="C49" t="str">
        <f>IFERROR(IF(0=LEN(ReferenceData!$C$49),"",ReferenceData!$C$49),"")</f>
        <v/>
      </c>
      <c r="D49" t="str">
        <f>IFERROR(IF(0=LEN(ReferenceData!$D$49),"",ReferenceData!$D$49),"")</f>
        <v/>
      </c>
      <c r="E49" t="str">
        <f>IFERROR(IF(0=LEN(ReferenceData!$E$49),"",ReferenceData!$E$49),"")</f>
        <v>Heading</v>
      </c>
      <c r="F49" t="str">
        <f>IFERROR(IF(0=LEN(ReferenceData!$T$49),"",ReferenceData!$T$49),"")</f>
        <v/>
      </c>
      <c r="G49" t="str">
        <f>IFERROR(IF(0=LEN(ReferenceData!$S$49),"",ReferenceData!$S$49),"")</f>
        <v/>
      </c>
      <c r="H49" t="str">
        <f>IFERROR(IF(0=LEN(ReferenceData!$R$49),"",ReferenceData!$R$49),"")</f>
        <v/>
      </c>
      <c r="I49" t="str">
        <f>IFERROR(IF(0=LEN(ReferenceData!$Q$49),"",ReferenceData!$Q$49),"")</f>
        <v/>
      </c>
      <c r="J49" t="str">
        <f>IFERROR(IF(0=LEN(ReferenceData!$P$49),"",ReferenceData!$P$49),"")</f>
        <v/>
      </c>
      <c r="K49" t="str">
        <f>IFERROR(IF(0=LEN(ReferenceData!$O$49),"",ReferenceData!$O$49),"")</f>
        <v/>
      </c>
      <c r="L49" t="str">
        <f>IFERROR(IF(0=LEN(ReferenceData!$N$49),"",ReferenceData!$N$49),"")</f>
        <v/>
      </c>
      <c r="M49" t="str">
        <f>IFERROR(IF(0=LEN(ReferenceData!$M$49),"",ReferenceData!$M$49),"")</f>
        <v/>
      </c>
      <c r="N49" t="str">
        <f>IFERROR(IF(0=LEN(ReferenceData!$L$49),"",ReferenceData!$L$49),"")</f>
        <v/>
      </c>
      <c r="O49" t="str">
        <f>IFERROR(IF(0=LEN(ReferenceData!$K$49),"",ReferenceData!$K$49),"")</f>
        <v/>
      </c>
      <c r="P49" t="str">
        <f>IFERROR(IF(0=LEN(ReferenceData!$J$49),"",ReferenceData!$J$49),"")</f>
        <v/>
      </c>
      <c r="Q49" t="str">
        <f>IFERROR(IF(0=LEN(ReferenceData!$I$49),"",ReferenceData!$I$49),"")</f>
        <v/>
      </c>
      <c r="R49" t="str">
        <f>IFERROR(IF(0=LEN(ReferenceData!$H$49),"",ReferenceData!$H$49),"")</f>
        <v/>
      </c>
      <c r="S49" t="str">
        <f>IFERROR(IF(0=LEN(ReferenceData!$G$49),"",ReferenceData!$G$49),"")</f>
        <v/>
      </c>
      <c r="T49" t="str">
        <f>IFERROR(IF(0=LEN(ReferenceData!$F$49),"",ReferenceData!$F$49),"")</f>
        <v/>
      </c>
    </row>
    <row r="50" spans="1:20" x14ac:dyDescent="0.25">
      <c r="A50" t="str">
        <f>IFERROR(IF(0=LEN(ReferenceData!$A$50),"",ReferenceData!$A$50),"")</f>
        <v xml:space="preserve">    </v>
      </c>
      <c r="B50" t="str">
        <f>IFERROR(IF(0=LEN(ReferenceData!$B$50),"",ReferenceData!$B$50),"")</f>
        <v/>
      </c>
      <c r="C50" t="str">
        <f>IFERROR(IF(0=LEN(ReferenceData!$C$50),"",ReferenceData!$C$50),"")</f>
        <v/>
      </c>
      <c r="D50" t="str">
        <f>IFERROR(IF(0=LEN(ReferenceData!$D$50),"",ReferenceData!$D$50),"")</f>
        <v/>
      </c>
      <c r="E50" t="str">
        <f>IFERROR(IF(0=LEN(ReferenceData!$E$50),"",ReferenceData!$E$50),"")</f>
        <v>Static</v>
      </c>
      <c r="F50" t="str">
        <f ca="1">IFERROR(IF(0=LEN(ReferenceData!$T$50),"",ReferenceData!$T$50),"")</f>
        <v/>
      </c>
      <c r="G50" t="str">
        <f ca="1">IFERROR(IF(0=LEN(ReferenceData!$S$50),"",ReferenceData!$S$50),"")</f>
        <v/>
      </c>
      <c r="H50" t="str">
        <f ca="1">IFERROR(IF(0=LEN(ReferenceData!$R$50),"",ReferenceData!$R$50),"")</f>
        <v/>
      </c>
      <c r="I50" t="str">
        <f ca="1">IFERROR(IF(0=LEN(ReferenceData!$Q$50),"",ReferenceData!$Q$50),"")</f>
        <v/>
      </c>
      <c r="J50" t="str">
        <f ca="1">IFERROR(IF(0=LEN(ReferenceData!$P$50),"",ReferenceData!$P$50),"")</f>
        <v/>
      </c>
      <c r="K50" t="str">
        <f ca="1">IFERROR(IF(0=LEN(ReferenceData!$O$50),"",ReferenceData!$O$50),"")</f>
        <v/>
      </c>
      <c r="L50" t="str">
        <f ca="1">IFERROR(IF(0=LEN(ReferenceData!$N$50),"",ReferenceData!$N$50),"")</f>
        <v/>
      </c>
      <c r="M50" t="str">
        <f ca="1">IFERROR(IF(0=LEN(ReferenceData!$M$50),"",ReferenceData!$M$50),"")</f>
        <v/>
      </c>
      <c r="N50" t="str">
        <f ca="1">IFERROR(IF(0=LEN(ReferenceData!$L$50),"",ReferenceData!$L$50),"")</f>
        <v/>
      </c>
      <c r="O50" t="str">
        <f ca="1">IFERROR(IF(0=LEN(ReferenceData!$K$50),"",ReferenceData!$K$50),"")</f>
        <v/>
      </c>
      <c r="P50" t="str">
        <f ca="1">IFERROR(IF(0=LEN(ReferenceData!$J$50),"",ReferenceData!$J$50),"")</f>
        <v/>
      </c>
      <c r="Q50" t="str">
        <f ca="1">IFERROR(IF(0=LEN(ReferenceData!$I$50),"",ReferenceData!$I$50),"")</f>
        <v/>
      </c>
      <c r="R50" t="str">
        <f ca="1">IFERROR(IF(0=LEN(ReferenceData!$H$50),"",ReferenceData!$H$50),"")</f>
        <v/>
      </c>
      <c r="S50" t="str">
        <f ca="1">IFERROR(IF(0=LEN(ReferenceData!$G$50),"",ReferenceData!$G$50),"")</f>
        <v/>
      </c>
      <c r="T50" t="str">
        <f ca="1">IFERROR(IF(0=LEN(ReferenceData!$F$50),"",ReferenceData!$F$50),"")</f>
        <v/>
      </c>
    </row>
    <row r="51" spans="1:20" x14ac:dyDescent="0.25">
      <c r="A51" t="str">
        <f>IFERROR(IF(0=LEN(ReferenceData!$A$51),"",ReferenceData!$A$51),"")</f>
        <v xml:space="preserve">    Financial Services</v>
      </c>
      <c r="B51" t="str">
        <f>IFERROR(IF(0=LEN(ReferenceData!$B$51),"",ReferenceData!$B$51),"")</f>
        <v/>
      </c>
      <c r="C51" t="str">
        <f>IFERROR(IF(0=LEN(ReferenceData!$C$51),"",ReferenceData!$C$51),"")</f>
        <v/>
      </c>
      <c r="D51" t="str">
        <f>IFERROR(IF(0=LEN(ReferenceData!$D$51),"",ReferenceData!$D$51),"")</f>
        <v/>
      </c>
      <c r="E51" t="str">
        <f>IFERROR(IF(0=LEN(ReferenceData!$E$51),"",ReferenceData!$E$51),"")</f>
        <v>Static</v>
      </c>
      <c r="F51" t="str">
        <f ca="1">IFERROR(IF(0=LEN(ReferenceData!$T$51),"",ReferenceData!$T$51),"")</f>
        <v/>
      </c>
      <c r="G51" t="str">
        <f ca="1">IFERROR(IF(0=LEN(ReferenceData!$S$51),"",ReferenceData!$S$51),"")</f>
        <v/>
      </c>
      <c r="H51" t="str">
        <f ca="1">IFERROR(IF(0=LEN(ReferenceData!$R$51),"",ReferenceData!$R$51),"")</f>
        <v/>
      </c>
      <c r="I51" t="str">
        <f ca="1">IFERROR(IF(0=LEN(ReferenceData!$Q$51),"",ReferenceData!$Q$51),"")</f>
        <v/>
      </c>
      <c r="J51" t="str">
        <f ca="1">IFERROR(IF(0=LEN(ReferenceData!$P$51),"",ReferenceData!$P$51),"")</f>
        <v/>
      </c>
      <c r="K51" t="str">
        <f ca="1">IFERROR(IF(0=LEN(ReferenceData!$O$51),"",ReferenceData!$O$51),"")</f>
        <v/>
      </c>
      <c r="L51" t="str">
        <f ca="1">IFERROR(IF(0=LEN(ReferenceData!$N$51),"",ReferenceData!$N$51),"")</f>
        <v/>
      </c>
      <c r="M51" t="str">
        <f ca="1">IFERROR(IF(0=LEN(ReferenceData!$M$51),"",ReferenceData!$M$51),"")</f>
        <v/>
      </c>
      <c r="N51" t="str">
        <f ca="1">IFERROR(IF(0=LEN(ReferenceData!$L$51),"",ReferenceData!$L$51),"")</f>
        <v/>
      </c>
      <c r="O51" t="str">
        <f ca="1">IFERROR(IF(0=LEN(ReferenceData!$K$51),"",ReferenceData!$K$51),"")</f>
        <v/>
      </c>
      <c r="P51" t="str">
        <f ca="1">IFERROR(IF(0=LEN(ReferenceData!$J$51),"",ReferenceData!$J$51),"")</f>
        <v/>
      </c>
      <c r="Q51" t="str">
        <f ca="1">IFERROR(IF(0=LEN(ReferenceData!$I$51),"",ReferenceData!$I$51),"")</f>
        <v/>
      </c>
      <c r="R51" t="str">
        <f ca="1">IFERROR(IF(0=LEN(ReferenceData!$H$51),"",ReferenceData!$H$51),"")</f>
        <v/>
      </c>
      <c r="S51" t="str">
        <f ca="1">IFERROR(IF(0=LEN(ReferenceData!$G$51),"",ReferenceData!$G$51),"")</f>
        <v/>
      </c>
      <c r="T51" t="str">
        <f ca="1">IFERROR(IF(0=LEN(ReferenceData!$F$51),"",ReferenceData!$F$51),"")</f>
        <v/>
      </c>
    </row>
    <row r="52" spans="1:20" x14ac:dyDescent="0.25">
      <c r="A52" t="str">
        <f>IFERROR(IF(0=LEN(ReferenceData!$A$52),"",ReferenceData!$A$52),"")</f>
        <v xml:space="preserve">        Revenue</v>
      </c>
      <c r="B52" t="str">
        <f>IFERROR(IF(0=LEN(ReferenceData!$B$52),"",ReferenceData!$B$52),"")</f>
        <v>INFY US Equity</v>
      </c>
      <c r="C52" t="str">
        <f>IFERROR(IF(0=LEN(ReferenceData!$C$52),"",ReferenceData!$C$52),"")</f>
        <v>BI047</v>
      </c>
      <c r="D52" t="str">
        <f>IFERROR(IF(0=LEN(ReferenceData!$D$52),"",ReferenceData!$D$52),"")</f>
        <v>BICS_SEGMENT_DATA</v>
      </c>
      <c r="E52" t="str">
        <f>IFERROR(IF(0=LEN(ReferenceData!$E$52),"",ReferenceData!$E$52),"")</f>
        <v>Dynamic</v>
      </c>
      <c r="F52">
        <f ca="1">IFERROR(IF(0=LEN(ReferenceData!$T$52),"",ReferenceData!$T$52),"")</f>
        <v>774.37764570000002</v>
      </c>
      <c r="G52">
        <f ca="1">IFERROR(IF(0=LEN(ReferenceData!$S$52),"",ReferenceData!$S$52),"")</f>
        <v>1151.50865</v>
      </c>
      <c r="H52">
        <f ca="1">IFERROR(IF(0=LEN(ReferenceData!$R$52),"",ReferenceData!$R$52),"")</f>
        <v>1484.8735509999999</v>
      </c>
      <c r="I52">
        <f ca="1">IFERROR(IF(0=LEN(ReferenceData!$Q$52),"",ReferenceData!$Q$52),"")</f>
        <v>1611.658195</v>
      </c>
      <c r="J52">
        <f ca="1">IFERROR(IF(0=LEN(ReferenceData!$P$52),"",ReferenceData!$P$52),"")</f>
        <v>1632.056423</v>
      </c>
      <c r="K52" t="str">
        <f ca="1">IFERROR(IF(0=LEN(ReferenceData!$O$52),"",ReferenceData!$O$52),"")</f>
        <v/>
      </c>
      <c r="L52" t="str">
        <f ca="1">IFERROR(IF(0=LEN(ReferenceData!$N$52),"",ReferenceData!$N$52),"")</f>
        <v/>
      </c>
      <c r="M52" t="str">
        <f ca="1">IFERROR(IF(0=LEN(ReferenceData!$M$52),"",ReferenceData!$M$52),"")</f>
        <v/>
      </c>
      <c r="N52" t="str">
        <f ca="1">IFERROR(IF(0=LEN(ReferenceData!$L$52),"",ReferenceData!$L$52),"")</f>
        <v/>
      </c>
      <c r="O52" t="str">
        <f ca="1">IFERROR(IF(0=LEN(ReferenceData!$K$52),"",ReferenceData!$K$52),"")</f>
        <v/>
      </c>
      <c r="P52">
        <f ca="1">IFERROR(IF(0=LEN(ReferenceData!$J$52),"",ReferenceData!$J$52),"")</f>
        <v>2602.9808969999999</v>
      </c>
      <c r="Q52">
        <f ca="1">IFERROR(IF(0=LEN(ReferenceData!$I$52),"",ReferenceData!$I$52),"")</f>
        <v>2767.727738</v>
      </c>
      <c r="R52">
        <f ca="1">IFERROR(IF(0=LEN(ReferenceData!$H$52),"",ReferenceData!$H$52),"")</f>
        <v>2891.019714</v>
      </c>
      <c r="S52">
        <f ca="1">IFERROR(IF(0=LEN(ReferenceData!$G$52),"",ReferenceData!$G$52),"")</f>
        <v>3787.9628699999998</v>
      </c>
      <c r="T52">
        <f ca="1">IFERROR(IF(0=LEN(ReferenceData!$F$52),"",ReferenceData!$F$52),"")</f>
        <v>4038.8402160000001</v>
      </c>
    </row>
    <row r="53" spans="1:20" x14ac:dyDescent="0.25">
      <c r="A53" t="str">
        <f>IFERROR(IF(0=LEN(ReferenceData!$A$53),"",ReferenceData!$A$53),"")</f>
        <v xml:space="preserve">        Operating Income</v>
      </c>
      <c r="B53" t="str">
        <f>IFERROR(IF(0=LEN(ReferenceData!$B$53),"",ReferenceData!$B$53),"")</f>
        <v>INFY US Equity</v>
      </c>
      <c r="C53" t="str">
        <f>IFERROR(IF(0=LEN(ReferenceData!$C$53),"",ReferenceData!$C$53),"")</f>
        <v>BI047</v>
      </c>
      <c r="D53" t="str">
        <f>IFERROR(IF(0=LEN(ReferenceData!$D$53),"",ReferenceData!$D$53),"")</f>
        <v>BICS_SEGMENT_DATA</v>
      </c>
      <c r="E53" t="str">
        <f>IFERROR(IF(0=LEN(ReferenceData!$E$53),"",ReferenceData!$E$53),"")</f>
        <v>Dynamic</v>
      </c>
      <c r="F53">
        <f ca="1">IFERROR(IF(0=LEN(ReferenceData!$T$53),"",ReferenceData!$T$53),"")</f>
        <v>242.6850282</v>
      </c>
      <c r="G53">
        <f ca="1">IFERROR(IF(0=LEN(ReferenceData!$S$53),"",ReferenceData!$S$53),"")</f>
        <v>345.73997489999999</v>
      </c>
      <c r="H53">
        <f ca="1">IFERROR(IF(0=LEN(ReferenceData!$R$53),"",ReferenceData!$R$53),"")</f>
        <v>458.49076170000001</v>
      </c>
      <c r="I53">
        <f ca="1">IFERROR(IF(0=LEN(ReferenceData!$Q$53),"",ReferenceData!$Q$53),"")</f>
        <v>519.98865920000003</v>
      </c>
      <c r="J53">
        <f ca="1">IFERROR(IF(0=LEN(ReferenceData!$P$53),"",ReferenceData!$P$53),"")</f>
        <v>572.0958359</v>
      </c>
      <c r="K53" t="str">
        <f ca="1">IFERROR(IF(0=LEN(ReferenceData!$O$53),"",ReferenceData!$O$53),"")</f>
        <v/>
      </c>
      <c r="L53" t="str">
        <f ca="1">IFERROR(IF(0=LEN(ReferenceData!$N$53),"",ReferenceData!$N$53),"")</f>
        <v/>
      </c>
      <c r="M53" t="str">
        <f ca="1">IFERROR(IF(0=LEN(ReferenceData!$M$53),"",ReferenceData!$M$53),"")</f>
        <v/>
      </c>
      <c r="N53" t="str">
        <f ca="1">IFERROR(IF(0=LEN(ReferenceData!$L$53),"",ReferenceData!$L$53),"")</f>
        <v/>
      </c>
      <c r="O53" t="str">
        <f ca="1">IFERROR(IF(0=LEN(ReferenceData!$K$53),"",ReferenceData!$K$53),"")</f>
        <v/>
      </c>
      <c r="P53">
        <f ca="1">IFERROR(IF(0=LEN(ReferenceData!$J$53),"",ReferenceData!$J$53),"")</f>
        <v>739.88631099999998</v>
      </c>
      <c r="Q53">
        <f ca="1">IFERROR(IF(0=LEN(ReferenceData!$I$53),"",ReferenceData!$I$53),"")</f>
        <v>776.99238960000002</v>
      </c>
      <c r="R53">
        <f ca="1">IFERROR(IF(0=LEN(ReferenceData!$H$53),"",ReferenceData!$H$53),"")</f>
        <v>807.67998980000004</v>
      </c>
      <c r="S53">
        <f ca="1">IFERROR(IF(0=LEN(ReferenceData!$G$53),"",ReferenceData!$G$53),"")</f>
        <v>984.00908790000005</v>
      </c>
      <c r="T53">
        <f ca="1">IFERROR(IF(0=LEN(ReferenceData!$F$53),"",ReferenceData!$F$53),"")</f>
        <v>1030.839009</v>
      </c>
    </row>
    <row r="54" spans="1:20" x14ac:dyDescent="0.25">
      <c r="A54" t="str">
        <f>IFERROR(IF(0=LEN(ReferenceData!$A$54),"",ReferenceData!$A$54),"")</f>
        <v xml:space="preserve">    Retail</v>
      </c>
      <c r="B54" t="str">
        <f>IFERROR(IF(0=LEN(ReferenceData!$B$54),"",ReferenceData!$B$54),"")</f>
        <v/>
      </c>
      <c r="C54" t="str">
        <f>IFERROR(IF(0=LEN(ReferenceData!$C$54),"",ReferenceData!$C$54),"")</f>
        <v/>
      </c>
      <c r="D54" t="str">
        <f>IFERROR(IF(0=LEN(ReferenceData!$D$54),"",ReferenceData!$D$54),"")</f>
        <v/>
      </c>
      <c r="E54" t="str">
        <f>IFERROR(IF(0=LEN(ReferenceData!$E$54),"",ReferenceData!$E$54),"")</f>
        <v>Static</v>
      </c>
      <c r="F54" t="str">
        <f ca="1">IFERROR(IF(0=LEN(ReferenceData!$T$54),"",ReferenceData!$T$54),"")</f>
        <v/>
      </c>
      <c r="G54" t="str">
        <f ca="1">IFERROR(IF(0=LEN(ReferenceData!$S$54),"",ReferenceData!$S$54),"")</f>
        <v/>
      </c>
      <c r="H54" t="str">
        <f ca="1">IFERROR(IF(0=LEN(ReferenceData!$R$54),"",ReferenceData!$R$54),"")</f>
        <v/>
      </c>
      <c r="I54" t="str">
        <f ca="1">IFERROR(IF(0=LEN(ReferenceData!$Q$54),"",ReferenceData!$Q$54),"")</f>
        <v/>
      </c>
      <c r="J54" t="str">
        <f ca="1">IFERROR(IF(0=LEN(ReferenceData!$P$54),"",ReferenceData!$P$54),"")</f>
        <v/>
      </c>
      <c r="K54" t="str">
        <f ca="1">IFERROR(IF(0=LEN(ReferenceData!$O$54),"",ReferenceData!$O$54),"")</f>
        <v/>
      </c>
      <c r="L54" t="str">
        <f ca="1">IFERROR(IF(0=LEN(ReferenceData!$N$54),"",ReferenceData!$N$54),"")</f>
        <v/>
      </c>
      <c r="M54" t="str">
        <f ca="1">IFERROR(IF(0=LEN(ReferenceData!$M$54),"",ReferenceData!$M$54),"")</f>
        <v/>
      </c>
      <c r="N54" t="str">
        <f ca="1">IFERROR(IF(0=LEN(ReferenceData!$L$54),"",ReferenceData!$L$54),"")</f>
        <v/>
      </c>
      <c r="O54" t="str">
        <f ca="1">IFERROR(IF(0=LEN(ReferenceData!$K$54),"",ReferenceData!$K$54),"")</f>
        <v/>
      </c>
      <c r="P54" t="str">
        <f ca="1">IFERROR(IF(0=LEN(ReferenceData!$J$54),"",ReferenceData!$J$54),"")</f>
        <v/>
      </c>
      <c r="Q54" t="str">
        <f ca="1">IFERROR(IF(0=LEN(ReferenceData!$I$54),"",ReferenceData!$I$54),"")</f>
        <v/>
      </c>
      <c r="R54" t="str">
        <f ca="1">IFERROR(IF(0=LEN(ReferenceData!$H$54),"",ReferenceData!$H$54),"")</f>
        <v/>
      </c>
      <c r="S54" t="str">
        <f ca="1">IFERROR(IF(0=LEN(ReferenceData!$G$54),"",ReferenceData!$G$54),"")</f>
        <v/>
      </c>
      <c r="T54" t="str">
        <f ca="1">IFERROR(IF(0=LEN(ReferenceData!$F$54),"",ReferenceData!$F$54),"")</f>
        <v/>
      </c>
    </row>
    <row r="55" spans="1:20" x14ac:dyDescent="0.25">
      <c r="A55" t="str">
        <f>IFERROR(IF(0=LEN(ReferenceData!$A$55),"",ReferenceData!$A$55),"")</f>
        <v xml:space="preserve">        Revenue</v>
      </c>
      <c r="B55" t="str">
        <f>IFERROR(IF(0=LEN(ReferenceData!$B$55),"",ReferenceData!$B$55),"")</f>
        <v>INFY US Equity</v>
      </c>
      <c r="C55" t="str">
        <f>IFERROR(IF(0=LEN(ReferenceData!$C$55),"",ReferenceData!$C$55),"")</f>
        <v>BI047</v>
      </c>
      <c r="D55" t="str">
        <f>IFERROR(IF(0=LEN(ReferenceData!$D$55),"",ReferenceData!$D$55),"")</f>
        <v>BICS_SEGMENT_DATA</v>
      </c>
      <c r="E55" t="str">
        <f>IFERROR(IF(0=LEN(ReferenceData!$E$55),"",ReferenceData!$E$55),"")</f>
        <v>Dynamic</v>
      </c>
      <c r="F55" t="str">
        <f ca="1">IFERROR(IF(0=LEN(ReferenceData!$T$55),"",ReferenceData!$T$55),"")</f>
        <v/>
      </c>
      <c r="G55" t="str">
        <f ca="1">IFERROR(IF(0=LEN(ReferenceData!$S$55),"",ReferenceData!$S$55),"")</f>
        <v/>
      </c>
      <c r="H55" t="str">
        <f ca="1">IFERROR(IF(0=LEN(ReferenceData!$R$55),"",ReferenceData!$R$55),"")</f>
        <v/>
      </c>
      <c r="I55" t="str">
        <f ca="1">IFERROR(IF(0=LEN(ReferenceData!$Q$55),"",ReferenceData!$Q$55),"")</f>
        <v/>
      </c>
      <c r="J55" t="str">
        <f ca="1">IFERROR(IF(0=LEN(ReferenceData!$P$55),"",ReferenceData!$P$55),"")</f>
        <v/>
      </c>
      <c r="K55">
        <f ca="1">IFERROR(IF(0=LEN(ReferenceData!$O$55),"",ReferenceData!$O$55),"")</f>
        <v>1236.4507599999999</v>
      </c>
      <c r="L55">
        <f ca="1">IFERROR(IF(0=LEN(ReferenceData!$N$55),"",ReferenceData!$N$55),"")</f>
        <v>1620.542381</v>
      </c>
      <c r="M55">
        <f ca="1">IFERROR(IF(0=LEN(ReferenceData!$M$55),"",ReferenceData!$M$55),"")</f>
        <v>1775.4161079999999</v>
      </c>
      <c r="N55">
        <f ca="1">IFERROR(IF(0=LEN(ReferenceData!$L$55),"",ReferenceData!$L$55),"")</f>
        <v>1382.2965320000001</v>
      </c>
      <c r="O55">
        <f ca="1">IFERROR(IF(0=LEN(ReferenceData!$K$55),"",ReferenceData!$K$55),"")</f>
        <v>1418.254921</v>
      </c>
      <c r="P55">
        <f ca="1">IFERROR(IF(0=LEN(ReferenceData!$J$55),"",ReferenceData!$J$55),"")</f>
        <v>1563.5621860000001</v>
      </c>
      <c r="Q55">
        <f ca="1">IFERROR(IF(0=LEN(ReferenceData!$I$55),"",ReferenceData!$I$55),"")</f>
        <v>1674.35968</v>
      </c>
      <c r="R55">
        <f ca="1">IFERROR(IF(0=LEN(ReferenceData!$H$55),"",ReferenceData!$H$55),"")</f>
        <v>1722.3888240000001</v>
      </c>
      <c r="S55">
        <f ca="1">IFERROR(IF(0=LEN(ReferenceData!$G$55),"",ReferenceData!$G$55),"")</f>
        <v>1939.404943</v>
      </c>
      <c r="T55">
        <f ca="1">IFERROR(IF(0=LEN(ReferenceData!$F$55),"",ReferenceData!$F$55),"")</f>
        <v>1980.266286</v>
      </c>
    </row>
    <row r="56" spans="1:20" x14ac:dyDescent="0.25">
      <c r="A56" t="str">
        <f>IFERROR(IF(0=LEN(ReferenceData!$A$56),"",ReferenceData!$A$56),"")</f>
        <v xml:space="preserve">        Operating Income</v>
      </c>
      <c r="B56" t="str">
        <f>IFERROR(IF(0=LEN(ReferenceData!$B$56),"",ReferenceData!$B$56),"")</f>
        <v>INFY US Equity</v>
      </c>
      <c r="C56" t="str">
        <f>IFERROR(IF(0=LEN(ReferenceData!$C$56),"",ReferenceData!$C$56),"")</f>
        <v>BI047</v>
      </c>
      <c r="D56" t="str">
        <f>IFERROR(IF(0=LEN(ReferenceData!$D$56),"",ReferenceData!$D$56),"")</f>
        <v>BICS_SEGMENT_DATA</v>
      </c>
      <c r="E56" t="str">
        <f>IFERROR(IF(0=LEN(ReferenceData!$E$56),"",ReferenceData!$E$56),"")</f>
        <v>Dynamic</v>
      </c>
      <c r="F56" t="str">
        <f ca="1">IFERROR(IF(0=LEN(ReferenceData!$T$56),"",ReferenceData!$T$56),"")</f>
        <v/>
      </c>
      <c r="G56" t="str">
        <f ca="1">IFERROR(IF(0=LEN(ReferenceData!$S$56),"",ReferenceData!$S$56),"")</f>
        <v/>
      </c>
      <c r="H56" t="str">
        <f ca="1">IFERROR(IF(0=LEN(ReferenceData!$R$56),"",ReferenceData!$R$56),"")</f>
        <v/>
      </c>
      <c r="I56" t="str">
        <f ca="1">IFERROR(IF(0=LEN(ReferenceData!$Q$56),"",ReferenceData!$Q$56),"")</f>
        <v/>
      </c>
      <c r="J56" t="str">
        <f ca="1">IFERROR(IF(0=LEN(ReferenceData!$P$56),"",ReferenceData!$P$56),"")</f>
        <v/>
      </c>
      <c r="K56">
        <f ca="1">IFERROR(IF(0=LEN(ReferenceData!$O$56),"",ReferenceData!$O$56),"")</f>
        <v>395.83109380000002</v>
      </c>
      <c r="L56">
        <f ca="1">IFERROR(IF(0=LEN(ReferenceData!$N$56),"",ReferenceData!$N$56),"")</f>
        <v>521.05317200000002</v>
      </c>
      <c r="M56">
        <f ca="1">IFERROR(IF(0=LEN(ReferenceData!$M$56),"",ReferenceData!$M$56),"")</f>
        <v>525.91300560000002</v>
      </c>
      <c r="N56">
        <f ca="1">IFERROR(IF(0=LEN(ReferenceData!$L$56),"",ReferenceData!$L$56),"")</f>
        <v>367.85053879999998</v>
      </c>
      <c r="O56">
        <f ca="1">IFERROR(IF(0=LEN(ReferenceData!$K$56),"",ReferenceData!$K$56),"")</f>
        <v>430.43357900000001</v>
      </c>
      <c r="P56">
        <f ca="1">IFERROR(IF(0=LEN(ReferenceData!$J$56),"",ReferenceData!$J$56),"")</f>
        <v>434.23788450000001</v>
      </c>
      <c r="Q56">
        <f ca="1">IFERROR(IF(0=LEN(ReferenceData!$I$56),"",ReferenceData!$I$56),"")</f>
        <v>484.63203570000002</v>
      </c>
      <c r="R56">
        <f ca="1">IFERROR(IF(0=LEN(ReferenceData!$H$56),"",ReferenceData!$H$56),"")</f>
        <v>503.96625449999999</v>
      </c>
      <c r="S56">
        <f ca="1">IFERROR(IF(0=LEN(ReferenceData!$G$56),"",ReferenceData!$G$56),"")</f>
        <v>577.12891260000004</v>
      </c>
      <c r="T56">
        <f ca="1">IFERROR(IF(0=LEN(ReferenceData!$F$56),"",ReferenceData!$F$56),"")</f>
        <v>594.29152810000005</v>
      </c>
    </row>
    <row r="57" spans="1:20" x14ac:dyDescent="0.25">
      <c r="A57" t="str">
        <f>IFERROR(IF(0=LEN(ReferenceData!$A$57),"",ReferenceData!$A$57),"")</f>
        <v xml:space="preserve">    Communication</v>
      </c>
      <c r="B57" t="str">
        <f>IFERROR(IF(0=LEN(ReferenceData!$B$57),"",ReferenceData!$B$57),"")</f>
        <v/>
      </c>
      <c r="C57" t="str">
        <f>IFERROR(IF(0=LEN(ReferenceData!$C$57),"",ReferenceData!$C$57),"")</f>
        <v/>
      </c>
      <c r="D57" t="str">
        <f>IFERROR(IF(0=LEN(ReferenceData!$D$57),"",ReferenceData!$D$57),"")</f>
        <v/>
      </c>
      <c r="E57" t="str">
        <f>IFERROR(IF(0=LEN(ReferenceData!$E$57),"",ReferenceData!$E$57),"")</f>
        <v>Static</v>
      </c>
      <c r="F57" t="str">
        <f ca="1">IFERROR(IF(0=LEN(ReferenceData!$T$57),"",ReferenceData!$T$57),"")</f>
        <v/>
      </c>
      <c r="G57" t="str">
        <f ca="1">IFERROR(IF(0=LEN(ReferenceData!$S$57),"",ReferenceData!$S$57),"")</f>
        <v/>
      </c>
      <c r="H57" t="str">
        <f ca="1">IFERROR(IF(0=LEN(ReferenceData!$R$57),"",ReferenceData!$R$57),"")</f>
        <v/>
      </c>
      <c r="I57" t="str">
        <f ca="1">IFERROR(IF(0=LEN(ReferenceData!$Q$57),"",ReferenceData!$Q$57),"")</f>
        <v/>
      </c>
      <c r="J57" t="str">
        <f ca="1">IFERROR(IF(0=LEN(ReferenceData!$P$57),"",ReferenceData!$P$57),"")</f>
        <v/>
      </c>
      <c r="K57" t="str">
        <f ca="1">IFERROR(IF(0=LEN(ReferenceData!$O$57),"",ReferenceData!$O$57),"")</f>
        <v/>
      </c>
      <c r="L57" t="str">
        <f ca="1">IFERROR(IF(0=LEN(ReferenceData!$N$57),"",ReferenceData!$N$57),"")</f>
        <v/>
      </c>
      <c r="M57" t="str">
        <f ca="1">IFERROR(IF(0=LEN(ReferenceData!$M$57),"",ReferenceData!$M$57),"")</f>
        <v/>
      </c>
      <c r="N57" t="str">
        <f ca="1">IFERROR(IF(0=LEN(ReferenceData!$L$57),"",ReferenceData!$L$57),"")</f>
        <v/>
      </c>
      <c r="O57" t="str">
        <f ca="1">IFERROR(IF(0=LEN(ReferenceData!$K$57),"",ReferenceData!$K$57),"")</f>
        <v/>
      </c>
      <c r="P57" t="str">
        <f ca="1">IFERROR(IF(0=LEN(ReferenceData!$J$57),"",ReferenceData!$J$57),"")</f>
        <v/>
      </c>
      <c r="Q57" t="str">
        <f ca="1">IFERROR(IF(0=LEN(ReferenceData!$I$57),"",ReferenceData!$I$57),"")</f>
        <v/>
      </c>
      <c r="R57" t="str">
        <f ca="1">IFERROR(IF(0=LEN(ReferenceData!$H$57),"",ReferenceData!$H$57),"")</f>
        <v/>
      </c>
      <c r="S57" t="str">
        <f ca="1">IFERROR(IF(0=LEN(ReferenceData!$G$57),"",ReferenceData!$G$57),"")</f>
        <v/>
      </c>
      <c r="T57" t="str">
        <f ca="1">IFERROR(IF(0=LEN(ReferenceData!$F$57),"",ReferenceData!$F$57),"")</f>
        <v/>
      </c>
    </row>
    <row r="58" spans="1:20" x14ac:dyDescent="0.25">
      <c r="A58" t="str">
        <f>IFERROR(IF(0=LEN(ReferenceData!$A$58),"",ReferenceData!$A$58),"")</f>
        <v xml:space="preserve">        Revenue</v>
      </c>
      <c r="B58" t="str">
        <f>IFERROR(IF(0=LEN(ReferenceData!$B$58),"",ReferenceData!$B$58),"")</f>
        <v>INFY US Equity</v>
      </c>
      <c r="C58" t="str">
        <f>IFERROR(IF(0=LEN(ReferenceData!$C$58),"",ReferenceData!$C$58),"")</f>
        <v>BI047</v>
      </c>
      <c r="D58" t="str">
        <f>IFERROR(IF(0=LEN(ReferenceData!$D$58),"",ReferenceData!$D$58),"")</f>
        <v>BICS_SEGMENT_DATA</v>
      </c>
      <c r="E58" t="str">
        <f>IFERROR(IF(0=LEN(ReferenceData!$E$58),"",ReferenceData!$E$58),"")</f>
        <v>Dynamic</v>
      </c>
      <c r="F58" t="str">
        <f ca="1">IFERROR(IF(0=LEN(ReferenceData!$T$58),"",ReferenceData!$T$58),"")</f>
        <v/>
      </c>
      <c r="G58" t="str">
        <f ca="1">IFERROR(IF(0=LEN(ReferenceData!$S$58),"",ReferenceData!$S$58),"")</f>
        <v/>
      </c>
      <c r="H58" t="str">
        <f ca="1">IFERROR(IF(0=LEN(ReferenceData!$R$58),"",ReferenceData!$R$58),"")</f>
        <v/>
      </c>
      <c r="I58" t="str">
        <f ca="1">IFERROR(IF(0=LEN(ReferenceData!$Q$58),"",ReferenceData!$Q$58),"")</f>
        <v/>
      </c>
      <c r="J58" t="str">
        <f ca="1">IFERROR(IF(0=LEN(ReferenceData!$P$58),"",ReferenceData!$P$58),"")</f>
        <v/>
      </c>
      <c r="K58" t="str">
        <f ca="1">IFERROR(IF(0=LEN(ReferenceData!$O$58),"",ReferenceData!$O$58),"")</f>
        <v/>
      </c>
      <c r="L58" t="str">
        <f ca="1">IFERROR(IF(0=LEN(ReferenceData!$N$58),"",ReferenceData!$N$58),"")</f>
        <v/>
      </c>
      <c r="M58" t="str">
        <f ca="1">IFERROR(IF(0=LEN(ReferenceData!$M$58),"",ReferenceData!$M$58),"")</f>
        <v/>
      </c>
      <c r="N58" t="str">
        <f ca="1">IFERROR(IF(0=LEN(ReferenceData!$L$58),"",ReferenceData!$L$58),"")</f>
        <v/>
      </c>
      <c r="O58" t="str">
        <f ca="1">IFERROR(IF(0=LEN(ReferenceData!$K$58),"",ReferenceData!$K$58),"")</f>
        <v/>
      </c>
      <c r="P58" t="str">
        <f ca="1">IFERROR(IF(0=LEN(ReferenceData!$J$58),"",ReferenceData!$J$58),"")</f>
        <v/>
      </c>
      <c r="Q58" t="str">
        <f ca="1">IFERROR(IF(0=LEN(ReferenceData!$I$58),"",ReferenceData!$I$58),"")</f>
        <v/>
      </c>
      <c r="R58" t="str">
        <f ca="1">IFERROR(IF(0=LEN(ReferenceData!$H$58),"",ReferenceData!$H$58),"")</f>
        <v/>
      </c>
      <c r="S58">
        <f ca="1">IFERROR(IF(0=LEN(ReferenceData!$G$58),"",ReferenceData!$G$58),"")</f>
        <v>1491.6078440000001</v>
      </c>
      <c r="T58">
        <f ca="1">IFERROR(IF(0=LEN(ReferenceData!$F$58),"",ReferenceData!$F$58),"")</f>
        <v>1690.8807389999999</v>
      </c>
    </row>
    <row r="59" spans="1:20" x14ac:dyDescent="0.25">
      <c r="A59" t="str">
        <f>IFERROR(IF(0=LEN(ReferenceData!$A$59),"",ReferenceData!$A$59),"")</f>
        <v xml:space="preserve">        Operating Income</v>
      </c>
      <c r="B59" t="str">
        <f>IFERROR(IF(0=LEN(ReferenceData!$B$59),"",ReferenceData!$B$59),"")</f>
        <v>INFY US Equity</v>
      </c>
      <c r="C59" t="str">
        <f>IFERROR(IF(0=LEN(ReferenceData!$C$59),"",ReferenceData!$C$59),"")</f>
        <v>BI047</v>
      </c>
      <c r="D59" t="str">
        <f>IFERROR(IF(0=LEN(ReferenceData!$D$59),"",ReferenceData!$D$59),"")</f>
        <v>BICS_SEGMENT_DATA</v>
      </c>
      <c r="E59" t="str">
        <f>IFERROR(IF(0=LEN(ReferenceData!$E$59),"",ReferenceData!$E$59),"")</f>
        <v>Dynamic</v>
      </c>
      <c r="F59" t="str">
        <f ca="1">IFERROR(IF(0=LEN(ReferenceData!$T$59),"",ReferenceData!$T$59),"")</f>
        <v/>
      </c>
      <c r="G59" t="str">
        <f ca="1">IFERROR(IF(0=LEN(ReferenceData!$S$59),"",ReferenceData!$S$59),"")</f>
        <v/>
      </c>
      <c r="H59" t="str">
        <f ca="1">IFERROR(IF(0=LEN(ReferenceData!$R$59),"",ReferenceData!$R$59),"")</f>
        <v/>
      </c>
      <c r="I59" t="str">
        <f ca="1">IFERROR(IF(0=LEN(ReferenceData!$Q$59),"",ReferenceData!$Q$59),"")</f>
        <v/>
      </c>
      <c r="J59" t="str">
        <f ca="1">IFERROR(IF(0=LEN(ReferenceData!$P$59),"",ReferenceData!$P$59),"")</f>
        <v/>
      </c>
      <c r="K59" t="str">
        <f ca="1">IFERROR(IF(0=LEN(ReferenceData!$O$59),"",ReferenceData!$O$59),"")</f>
        <v/>
      </c>
      <c r="L59" t="str">
        <f ca="1">IFERROR(IF(0=LEN(ReferenceData!$N$59),"",ReferenceData!$N$59),"")</f>
        <v/>
      </c>
      <c r="M59" t="str">
        <f ca="1">IFERROR(IF(0=LEN(ReferenceData!$M$59),"",ReferenceData!$M$59),"")</f>
        <v/>
      </c>
      <c r="N59" t="str">
        <f ca="1">IFERROR(IF(0=LEN(ReferenceData!$L$59),"",ReferenceData!$L$59),"")</f>
        <v/>
      </c>
      <c r="O59" t="str">
        <f ca="1">IFERROR(IF(0=LEN(ReferenceData!$K$59),"",ReferenceData!$K$59),"")</f>
        <v/>
      </c>
      <c r="P59" t="str">
        <f ca="1">IFERROR(IF(0=LEN(ReferenceData!$J$59),"",ReferenceData!$J$59),"")</f>
        <v/>
      </c>
      <c r="Q59" t="str">
        <f ca="1">IFERROR(IF(0=LEN(ReferenceData!$I$59),"",ReferenceData!$I$59),"")</f>
        <v/>
      </c>
      <c r="R59" t="str">
        <f ca="1">IFERROR(IF(0=LEN(ReferenceData!$H$59),"",ReferenceData!$H$59),"")</f>
        <v/>
      </c>
      <c r="S59">
        <f ca="1">IFERROR(IF(0=LEN(ReferenceData!$G$59),"",ReferenceData!$G$59),"")</f>
        <v>360.09753910000001</v>
      </c>
      <c r="T59">
        <f ca="1">IFERROR(IF(0=LEN(ReferenceData!$F$59),"",ReferenceData!$F$59),"")</f>
        <v>342.0139279</v>
      </c>
    </row>
    <row r="60" spans="1:20" x14ac:dyDescent="0.25">
      <c r="A60" t="str">
        <f>IFERROR(IF(0=LEN(ReferenceData!$A$60),"",ReferenceData!$A$60),"")</f>
        <v xml:space="preserve">    Energy, Utilities, Resources and Services</v>
      </c>
      <c r="B60" t="str">
        <f>IFERROR(IF(0=LEN(ReferenceData!$B$60),"",ReferenceData!$B$60),"")</f>
        <v/>
      </c>
      <c r="C60" t="str">
        <f>IFERROR(IF(0=LEN(ReferenceData!$C$60),"",ReferenceData!$C$60),"")</f>
        <v/>
      </c>
      <c r="D60" t="str">
        <f>IFERROR(IF(0=LEN(ReferenceData!$D$60),"",ReferenceData!$D$60),"")</f>
        <v/>
      </c>
      <c r="E60" t="str">
        <f>IFERROR(IF(0=LEN(ReferenceData!$E$60),"",ReferenceData!$E$60),"")</f>
        <v>Static</v>
      </c>
      <c r="F60" t="str">
        <f ca="1">IFERROR(IF(0=LEN(ReferenceData!$T$60),"",ReferenceData!$T$60),"")</f>
        <v/>
      </c>
      <c r="G60" t="str">
        <f ca="1">IFERROR(IF(0=LEN(ReferenceData!$S$60),"",ReferenceData!$S$60),"")</f>
        <v/>
      </c>
      <c r="H60" t="str">
        <f ca="1">IFERROR(IF(0=LEN(ReferenceData!$R$60),"",ReferenceData!$R$60),"")</f>
        <v/>
      </c>
      <c r="I60" t="str">
        <f ca="1">IFERROR(IF(0=LEN(ReferenceData!$Q$60),"",ReferenceData!$Q$60),"")</f>
        <v/>
      </c>
      <c r="J60" t="str">
        <f ca="1">IFERROR(IF(0=LEN(ReferenceData!$P$60),"",ReferenceData!$P$60),"")</f>
        <v/>
      </c>
      <c r="K60" t="str">
        <f ca="1">IFERROR(IF(0=LEN(ReferenceData!$O$60),"",ReferenceData!$O$60),"")</f>
        <v/>
      </c>
      <c r="L60" t="str">
        <f ca="1">IFERROR(IF(0=LEN(ReferenceData!$N$60),"",ReferenceData!$N$60),"")</f>
        <v/>
      </c>
      <c r="M60" t="str">
        <f ca="1">IFERROR(IF(0=LEN(ReferenceData!$M$60),"",ReferenceData!$M$60),"")</f>
        <v/>
      </c>
      <c r="N60" t="str">
        <f ca="1">IFERROR(IF(0=LEN(ReferenceData!$L$60),"",ReferenceData!$L$60),"")</f>
        <v/>
      </c>
      <c r="O60" t="str">
        <f ca="1">IFERROR(IF(0=LEN(ReferenceData!$K$60),"",ReferenceData!$K$60),"")</f>
        <v/>
      </c>
      <c r="P60" t="str">
        <f ca="1">IFERROR(IF(0=LEN(ReferenceData!$J$60),"",ReferenceData!$J$60),"")</f>
        <v/>
      </c>
      <c r="Q60" t="str">
        <f ca="1">IFERROR(IF(0=LEN(ReferenceData!$I$60),"",ReferenceData!$I$60),"")</f>
        <v/>
      </c>
      <c r="R60" t="str">
        <f ca="1">IFERROR(IF(0=LEN(ReferenceData!$H$60),"",ReferenceData!$H$60),"")</f>
        <v/>
      </c>
      <c r="S60" t="str">
        <f ca="1">IFERROR(IF(0=LEN(ReferenceData!$G$60),"",ReferenceData!$G$60),"")</f>
        <v/>
      </c>
      <c r="T60" t="str">
        <f ca="1">IFERROR(IF(0=LEN(ReferenceData!$F$60),"",ReferenceData!$F$60),"")</f>
        <v/>
      </c>
    </row>
    <row r="61" spans="1:20" x14ac:dyDescent="0.25">
      <c r="A61" t="str">
        <f>IFERROR(IF(0=LEN(ReferenceData!$A$61),"",ReferenceData!$A$61),"")</f>
        <v xml:space="preserve">        Revenue</v>
      </c>
      <c r="B61" t="str">
        <f>IFERROR(IF(0=LEN(ReferenceData!$B$61),"",ReferenceData!$B$61),"")</f>
        <v>INFY US Equity</v>
      </c>
      <c r="C61" t="str">
        <f>IFERROR(IF(0=LEN(ReferenceData!$C$61),"",ReferenceData!$C$61),"")</f>
        <v>BI047</v>
      </c>
      <c r="D61" t="str">
        <f>IFERROR(IF(0=LEN(ReferenceData!$D$61),"",ReferenceData!$D$61),"")</f>
        <v>BICS_SEGMENT_DATA</v>
      </c>
      <c r="E61" t="str">
        <f>IFERROR(IF(0=LEN(ReferenceData!$E$61),"",ReferenceData!$E$61),"")</f>
        <v>Dynamic</v>
      </c>
      <c r="F61" t="str">
        <f ca="1">IFERROR(IF(0=LEN(ReferenceData!$T$61),"",ReferenceData!$T$61),"")</f>
        <v/>
      </c>
      <c r="G61" t="str">
        <f ca="1">IFERROR(IF(0=LEN(ReferenceData!$S$61),"",ReferenceData!$S$61),"")</f>
        <v/>
      </c>
      <c r="H61" t="str">
        <f ca="1">IFERROR(IF(0=LEN(ReferenceData!$R$61),"",ReferenceData!$R$61),"")</f>
        <v/>
      </c>
      <c r="I61" t="str">
        <f ca="1">IFERROR(IF(0=LEN(ReferenceData!$Q$61),"",ReferenceData!$Q$61),"")</f>
        <v/>
      </c>
      <c r="J61" t="str">
        <f ca="1">IFERROR(IF(0=LEN(ReferenceData!$P$61),"",ReferenceData!$P$61),"")</f>
        <v/>
      </c>
      <c r="K61" t="str">
        <f ca="1">IFERROR(IF(0=LEN(ReferenceData!$O$61),"",ReferenceData!$O$61),"")</f>
        <v/>
      </c>
      <c r="L61" t="str">
        <f ca="1">IFERROR(IF(0=LEN(ReferenceData!$N$61),"",ReferenceData!$N$61),"")</f>
        <v/>
      </c>
      <c r="M61" t="str">
        <f ca="1">IFERROR(IF(0=LEN(ReferenceData!$M$61),"",ReferenceData!$M$61),"")</f>
        <v/>
      </c>
      <c r="N61" t="str">
        <f ca="1">IFERROR(IF(0=LEN(ReferenceData!$L$61),"",ReferenceData!$L$61),"")</f>
        <v/>
      </c>
      <c r="O61" t="str">
        <f ca="1">IFERROR(IF(0=LEN(ReferenceData!$K$61),"",ReferenceData!$K$61),"")</f>
        <v/>
      </c>
      <c r="P61" t="str">
        <f ca="1">IFERROR(IF(0=LEN(ReferenceData!$J$61),"",ReferenceData!$J$61),"")</f>
        <v/>
      </c>
      <c r="Q61" t="str">
        <f ca="1">IFERROR(IF(0=LEN(ReferenceData!$I$61),"",ReferenceData!$I$61),"")</f>
        <v/>
      </c>
      <c r="R61" t="str">
        <f ca="1">IFERROR(IF(0=LEN(ReferenceData!$H$61),"",ReferenceData!$H$61),"")</f>
        <v/>
      </c>
      <c r="S61">
        <f ca="1">IFERROR(IF(0=LEN(ReferenceData!$G$61),"",ReferenceData!$G$61),"")</f>
        <v>1486.4574620000001</v>
      </c>
      <c r="T61">
        <f ca="1">IFERROR(IF(0=LEN(ReferenceData!$F$61),"",ReferenceData!$F$61),"")</f>
        <v>1655.8892149999999</v>
      </c>
    </row>
    <row r="62" spans="1:20" x14ac:dyDescent="0.25">
      <c r="A62" t="str">
        <f>IFERROR(IF(0=LEN(ReferenceData!$A$62),"",ReferenceData!$A$62),"")</f>
        <v xml:space="preserve">        Operating Income</v>
      </c>
      <c r="B62" t="str">
        <f>IFERROR(IF(0=LEN(ReferenceData!$B$62),"",ReferenceData!$B$62),"")</f>
        <v>INFY US Equity</v>
      </c>
      <c r="C62" t="str">
        <f>IFERROR(IF(0=LEN(ReferenceData!$C$62),"",ReferenceData!$C$62),"")</f>
        <v>BI047</v>
      </c>
      <c r="D62" t="str">
        <f>IFERROR(IF(0=LEN(ReferenceData!$D$62),"",ReferenceData!$D$62),"")</f>
        <v>BICS_SEGMENT_DATA</v>
      </c>
      <c r="E62" t="str">
        <f>IFERROR(IF(0=LEN(ReferenceData!$E$62),"",ReferenceData!$E$62),"")</f>
        <v>Dynamic</v>
      </c>
      <c r="F62" t="str">
        <f ca="1">IFERROR(IF(0=LEN(ReferenceData!$T$62),"",ReferenceData!$T$62),"")</f>
        <v/>
      </c>
      <c r="G62" t="str">
        <f ca="1">IFERROR(IF(0=LEN(ReferenceData!$S$62),"",ReferenceData!$S$62),"")</f>
        <v/>
      </c>
      <c r="H62" t="str">
        <f ca="1">IFERROR(IF(0=LEN(ReferenceData!$R$62),"",ReferenceData!$R$62),"")</f>
        <v/>
      </c>
      <c r="I62" t="str">
        <f ca="1">IFERROR(IF(0=LEN(ReferenceData!$Q$62),"",ReferenceData!$Q$62),"")</f>
        <v/>
      </c>
      <c r="J62" t="str">
        <f ca="1">IFERROR(IF(0=LEN(ReferenceData!$P$62),"",ReferenceData!$P$62),"")</f>
        <v/>
      </c>
      <c r="K62" t="str">
        <f ca="1">IFERROR(IF(0=LEN(ReferenceData!$O$62),"",ReferenceData!$O$62),"")</f>
        <v/>
      </c>
      <c r="L62" t="str">
        <f ca="1">IFERROR(IF(0=LEN(ReferenceData!$N$62),"",ReferenceData!$N$62),"")</f>
        <v/>
      </c>
      <c r="M62" t="str">
        <f ca="1">IFERROR(IF(0=LEN(ReferenceData!$M$62),"",ReferenceData!$M$62),"")</f>
        <v/>
      </c>
      <c r="N62" t="str">
        <f ca="1">IFERROR(IF(0=LEN(ReferenceData!$L$62),"",ReferenceData!$L$62),"")</f>
        <v/>
      </c>
      <c r="O62" t="str">
        <f ca="1">IFERROR(IF(0=LEN(ReferenceData!$K$62),"",ReferenceData!$K$62),"")</f>
        <v/>
      </c>
      <c r="P62" t="str">
        <f ca="1">IFERROR(IF(0=LEN(ReferenceData!$J$62),"",ReferenceData!$J$62),"")</f>
        <v/>
      </c>
      <c r="Q62" t="str">
        <f ca="1">IFERROR(IF(0=LEN(ReferenceData!$I$62),"",ReferenceData!$I$62),"")</f>
        <v/>
      </c>
      <c r="R62" t="str">
        <f ca="1">IFERROR(IF(0=LEN(ReferenceData!$H$62),"",ReferenceData!$H$62),"")</f>
        <v/>
      </c>
      <c r="S62">
        <f ca="1">IFERROR(IF(0=LEN(ReferenceData!$G$62),"",ReferenceData!$G$62),"")</f>
        <v>363.67419330000001</v>
      </c>
      <c r="T62">
        <f ca="1">IFERROR(IF(0=LEN(ReferenceData!$F$62),"",ReferenceData!$F$62),"")</f>
        <v>453.76105280000002</v>
      </c>
    </row>
    <row r="63" spans="1:20" x14ac:dyDescent="0.25">
      <c r="A63" t="str">
        <f>IFERROR(IF(0=LEN(ReferenceData!$A$63),"",ReferenceData!$A$63),"")</f>
        <v xml:space="preserve">    Manufacturing</v>
      </c>
      <c r="B63" t="str">
        <f>IFERROR(IF(0=LEN(ReferenceData!$B$63),"",ReferenceData!$B$63),"")</f>
        <v/>
      </c>
      <c r="C63" t="str">
        <f>IFERROR(IF(0=LEN(ReferenceData!$C$63),"",ReferenceData!$C$63),"")</f>
        <v/>
      </c>
      <c r="D63" t="str">
        <f>IFERROR(IF(0=LEN(ReferenceData!$D$63),"",ReferenceData!$D$63),"")</f>
        <v/>
      </c>
      <c r="E63" t="str">
        <f>IFERROR(IF(0=LEN(ReferenceData!$E$63),"",ReferenceData!$E$63),"")</f>
        <v>Static</v>
      </c>
      <c r="F63" t="str">
        <f ca="1">IFERROR(IF(0=LEN(ReferenceData!$T$63),"",ReferenceData!$T$63),"")</f>
        <v/>
      </c>
      <c r="G63" t="str">
        <f ca="1">IFERROR(IF(0=LEN(ReferenceData!$S$63),"",ReferenceData!$S$63),"")</f>
        <v/>
      </c>
      <c r="H63" t="str">
        <f ca="1">IFERROR(IF(0=LEN(ReferenceData!$R$63),"",ReferenceData!$R$63),"")</f>
        <v/>
      </c>
      <c r="I63" t="str">
        <f ca="1">IFERROR(IF(0=LEN(ReferenceData!$Q$63),"",ReferenceData!$Q$63),"")</f>
        <v/>
      </c>
      <c r="J63" t="str">
        <f ca="1">IFERROR(IF(0=LEN(ReferenceData!$P$63),"",ReferenceData!$P$63),"")</f>
        <v/>
      </c>
      <c r="K63" t="str">
        <f ca="1">IFERROR(IF(0=LEN(ReferenceData!$O$63),"",ReferenceData!$O$63),"")</f>
        <v/>
      </c>
      <c r="L63" t="str">
        <f ca="1">IFERROR(IF(0=LEN(ReferenceData!$N$63),"",ReferenceData!$N$63),"")</f>
        <v/>
      </c>
      <c r="M63" t="str">
        <f ca="1">IFERROR(IF(0=LEN(ReferenceData!$M$63),"",ReferenceData!$M$63),"")</f>
        <v/>
      </c>
      <c r="N63" t="str">
        <f ca="1">IFERROR(IF(0=LEN(ReferenceData!$L$63),"",ReferenceData!$L$63),"")</f>
        <v/>
      </c>
      <c r="O63" t="str">
        <f ca="1">IFERROR(IF(0=LEN(ReferenceData!$K$63),"",ReferenceData!$K$63),"")</f>
        <v/>
      </c>
      <c r="P63" t="str">
        <f ca="1">IFERROR(IF(0=LEN(ReferenceData!$J$63),"",ReferenceData!$J$63),"")</f>
        <v/>
      </c>
      <c r="Q63" t="str">
        <f ca="1">IFERROR(IF(0=LEN(ReferenceData!$I$63),"",ReferenceData!$I$63),"")</f>
        <v/>
      </c>
      <c r="R63" t="str">
        <f ca="1">IFERROR(IF(0=LEN(ReferenceData!$H$63),"",ReferenceData!$H$63),"")</f>
        <v/>
      </c>
      <c r="S63" t="str">
        <f ca="1">IFERROR(IF(0=LEN(ReferenceData!$G$63),"",ReferenceData!$G$63),"")</f>
        <v/>
      </c>
      <c r="T63" t="str">
        <f ca="1">IFERROR(IF(0=LEN(ReferenceData!$F$63),"",ReferenceData!$F$63),"")</f>
        <v/>
      </c>
    </row>
    <row r="64" spans="1:20" x14ac:dyDescent="0.25">
      <c r="A64" t="str">
        <f>IFERROR(IF(0=LEN(ReferenceData!$A$64),"",ReferenceData!$A$64),"")</f>
        <v xml:space="preserve">        Revenue</v>
      </c>
      <c r="B64" t="str">
        <f>IFERROR(IF(0=LEN(ReferenceData!$B$64),"",ReferenceData!$B$64),"")</f>
        <v>INFY US Equity</v>
      </c>
      <c r="C64" t="str">
        <f>IFERROR(IF(0=LEN(ReferenceData!$C$64),"",ReferenceData!$C$64),"")</f>
        <v>BI047</v>
      </c>
      <c r="D64" t="str">
        <f>IFERROR(IF(0=LEN(ReferenceData!$D$64),"",ReferenceData!$D$64),"")</f>
        <v>BICS_SEGMENT_DATA</v>
      </c>
      <c r="E64" t="str">
        <f>IFERROR(IF(0=LEN(ReferenceData!$E$64),"",ReferenceData!$E$64),"")</f>
        <v>Dynamic</v>
      </c>
      <c r="F64">
        <f ca="1">IFERROR(IF(0=LEN(ReferenceData!$T$64),"",ReferenceData!$T$64),"")</f>
        <v>299.17595649999998</v>
      </c>
      <c r="G64">
        <f ca="1">IFERROR(IF(0=LEN(ReferenceData!$S$64),"",ReferenceData!$S$64),"")</f>
        <v>414.93218209999998</v>
      </c>
      <c r="H64">
        <f ca="1">IFERROR(IF(0=LEN(ReferenceData!$R$64),"",ReferenceData!$R$64),"")</f>
        <v>610.16069909999999</v>
      </c>
      <c r="I64">
        <f ca="1">IFERROR(IF(0=LEN(ReferenceData!$Q$64),"",ReferenceData!$Q$64),"")</f>
        <v>939.44033660000002</v>
      </c>
      <c r="J64">
        <f ca="1">IFERROR(IF(0=LEN(ReferenceData!$P$64),"",ReferenceData!$P$64),"")</f>
        <v>951.24126809999996</v>
      </c>
      <c r="K64">
        <f ca="1">IFERROR(IF(0=LEN(ReferenceData!$O$64),"",ReferenceData!$O$64),"")</f>
        <v>1183.9806369999999</v>
      </c>
      <c r="L64">
        <f ca="1">IFERROR(IF(0=LEN(ReferenceData!$N$64),"",ReferenceData!$N$64),"")</f>
        <v>1451.9540360000001</v>
      </c>
      <c r="M64">
        <f ca="1">IFERROR(IF(0=LEN(ReferenceData!$M$64),"",ReferenceData!$M$64),"")</f>
        <v>1634.375802</v>
      </c>
      <c r="N64">
        <f ca="1">IFERROR(IF(0=LEN(ReferenceData!$L$64),"",ReferenceData!$L$64),"")</f>
        <v>1797.5154869999999</v>
      </c>
      <c r="O64">
        <f ca="1">IFERROR(IF(0=LEN(ReferenceData!$K$64),"",ReferenceData!$K$64),"")</f>
        <v>1919.8548269999999</v>
      </c>
      <c r="P64">
        <f ca="1">IFERROR(IF(0=LEN(ReferenceData!$J$64),"",ReferenceData!$J$64),"")</f>
        <v>1062.3538100000001</v>
      </c>
      <c r="Q64">
        <f ca="1">IFERROR(IF(0=LEN(ReferenceData!$I$64),"",ReferenceData!$I$64),"")</f>
        <v>1119.769988</v>
      </c>
      <c r="R64">
        <f ca="1">IFERROR(IF(0=LEN(ReferenceData!$H$64),"",ReferenceData!$H$64),"")</f>
        <v>1194.2247440000001</v>
      </c>
      <c r="S64">
        <f ca="1">IFERROR(IF(0=LEN(ReferenceData!$G$64),"",ReferenceData!$G$64),"")</f>
        <v>1166.2753829999999</v>
      </c>
      <c r="T64">
        <f ca="1">IFERROR(IF(0=LEN(ReferenceData!$F$64),"",ReferenceData!$F$64),"")</f>
        <v>1288.3371179999999</v>
      </c>
    </row>
    <row r="65" spans="1:20" x14ac:dyDescent="0.25">
      <c r="A65" t="str">
        <f>IFERROR(IF(0=LEN(ReferenceData!$A$65),"",ReferenceData!$A$65),"")</f>
        <v xml:space="preserve">        Operating Income</v>
      </c>
      <c r="B65" t="str">
        <f>IFERROR(IF(0=LEN(ReferenceData!$B$65),"",ReferenceData!$B$65),"")</f>
        <v>INFY US Equity</v>
      </c>
      <c r="C65" t="str">
        <f>IFERROR(IF(0=LEN(ReferenceData!$C$65),"",ReferenceData!$C$65),"")</f>
        <v>BI047</v>
      </c>
      <c r="D65" t="str">
        <f>IFERROR(IF(0=LEN(ReferenceData!$D$65),"",ReferenceData!$D$65),"")</f>
        <v>BICS_SEGMENT_DATA</v>
      </c>
      <c r="E65" t="str">
        <f>IFERROR(IF(0=LEN(ReferenceData!$E$65),"",ReferenceData!$E$65),"")</f>
        <v>Dynamic</v>
      </c>
      <c r="F65">
        <f ca="1">IFERROR(IF(0=LEN(ReferenceData!$T$65),"",ReferenceData!$T$65),"")</f>
        <v>90.83741277</v>
      </c>
      <c r="G65">
        <f ca="1">IFERROR(IF(0=LEN(ReferenceData!$S$65),"",ReferenceData!$S$65),"")</f>
        <v>127.5524076</v>
      </c>
      <c r="H65">
        <f ca="1">IFERROR(IF(0=LEN(ReferenceData!$R$65),"",ReferenceData!$R$65),"")</f>
        <v>170.81515909999999</v>
      </c>
      <c r="I65">
        <f ca="1">IFERROR(IF(0=LEN(ReferenceData!$Q$65),"",ReferenceData!$Q$65),"")</f>
        <v>290.4401694</v>
      </c>
      <c r="J65">
        <f ca="1">IFERROR(IF(0=LEN(ReferenceData!$P$65),"",ReferenceData!$P$65),"")</f>
        <v>290.058922</v>
      </c>
      <c r="K65">
        <f ca="1">IFERROR(IF(0=LEN(ReferenceData!$O$65),"",ReferenceData!$O$65),"")</f>
        <v>375.85292989999999</v>
      </c>
      <c r="L65">
        <f ca="1">IFERROR(IF(0=LEN(ReferenceData!$N$65),"",ReferenceData!$N$65),"")</f>
        <v>434.76944739999999</v>
      </c>
      <c r="M65">
        <f ca="1">IFERROR(IF(0=LEN(ReferenceData!$M$65),"",ReferenceData!$M$65),"")</f>
        <v>423.67257510000002</v>
      </c>
      <c r="N65">
        <f ca="1">IFERROR(IF(0=LEN(ReferenceData!$L$65),"",ReferenceData!$L$65),"")</f>
        <v>406.10964480000001</v>
      </c>
      <c r="O65">
        <f ca="1">IFERROR(IF(0=LEN(ReferenceData!$K$65),"",ReferenceData!$K$65),"")</f>
        <v>474.2785806</v>
      </c>
      <c r="P65">
        <f ca="1">IFERROR(IF(0=LEN(ReferenceData!$J$65),"",ReferenceData!$J$65),"")</f>
        <v>238.52503519999999</v>
      </c>
      <c r="Q65">
        <f ca="1">IFERROR(IF(0=LEN(ReferenceData!$I$65),"",ReferenceData!$I$65),"")</f>
        <v>275.65404799999999</v>
      </c>
      <c r="R65">
        <f ca="1">IFERROR(IF(0=LEN(ReferenceData!$H$65),"",ReferenceData!$H$65),"")</f>
        <v>282.15285219999998</v>
      </c>
      <c r="S65">
        <f ca="1">IFERROR(IF(0=LEN(ReferenceData!$G$65),"",ReferenceData!$G$65),"")</f>
        <v>265.10160509999997</v>
      </c>
      <c r="T65">
        <f ca="1">IFERROR(IF(0=LEN(ReferenceData!$F$65),"",ReferenceData!$F$65),"")</f>
        <v>290.51430590000001</v>
      </c>
    </row>
    <row r="66" spans="1:20" x14ac:dyDescent="0.25">
      <c r="A66" t="str">
        <f>IFERROR(IF(0=LEN(ReferenceData!$A$66),"",ReferenceData!$A$66),"")</f>
        <v xml:space="preserve">    Hi-Tech</v>
      </c>
      <c r="B66" t="str">
        <f>IFERROR(IF(0=LEN(ReferenceData!$B$66),"",ReferenceData!$B$66),"")</f>
        <v/>
      </c>
      <c r="C66" t="str">
        <f>IFERROR(IF(0=LEN(ReferenceData!$C$66),"",ReferenceData!$C$66),"")</f>
        <v/>
      </c>
      <c r="D66" t="str">
        <f>IFERROR(IF(0=LEN(ReferenceData!$D$66),"",ReferenceData!$D$66),"")</f>
        <v/>
      </c>
      <c r="E66" t="str">
        <f>IFERROR(IF(0=LEN(ReferenceData!$E$66),"",ReferenceData!$E$66),"")</f>
        <v>Static</v>
      </c>
      <c r="F66" t="str">
        <f ca="1">IFERROR(IF(0=LEN(ReferenceData!$T$66),"",ReferenceData!$T$66),"")</f>
        <v/>
      </c>
      <c r="G66" t="str">
        <f ca="1">IFERROR(IF(0=LEN(ReferenceData!$S$66),"",ReferenceData!$S$66),"")</f>
        <v/>
      </c>
      <c r="H66" t="str">
        <f ca="1">IFERROR(IF(0=LEN(ReferenceData!$R$66),"",ReferenceData!$R$66),"")</f>
        <v/>
      </c>
      <c r="I66" t="str">
        <f ca="1">IFERROR(IF(0=LEN(ReferenceData!$Q$66),"",ReferenceData!$Q$66),"")</f>
        <v/>
      </c>
      <c r="J66" t="str">
        <f ca="1">IFERROR(IF(0=LEN(ReferenceData!$P$66),"",ReferenceData!$P$66),"")</f>
        <v/>
      </c>
      <c r="K66" t="str">
        <f ca="1">IFERROR(IF(0=LEN(ReferenceData!$O$66),"",ReferenceData!$O$66),"")</f>
        <v/>
      </c>
      <c r="L66" t="str">
        <f ca="1">IFERROR(IF(0=LEN(ReferenceData!$N$66),"",ReferenceData!$N$66),"")</f>
        <v/>
      </c>
      <c r="M66" t="str">
        <f ca="1">IFERROR(IF(0=LEN(ReferenceData!$M$66),"",ReferenceData!$M$66),"")</f>
        <v/>
      </c>
      <c r="N66" t="str">
        <f ca="1">IFERROR(IF(0=LEN(ReferenceData!$L$66),"",ReferenceData!$L$66),"")</f>
        <v/>
      </c>
      <c r="O66" t="str">
        <f ca="1">IFERROR(IF(0=LEN(ReferenceData!$K$66),"",ReferenceData!$K$66),"")</f>
        <v/>
      </c>
      <c r="P66" t="str">
        <f ca="1">IFERROR(IF(0=LEN(ReferenceData!$J$66),"",ReferenceData!$J$66),"")</f>
        <v/>
      </c>
      <c r="Q66" t="str">
        <f ca="1">IFERROR(IF(0=LEN(ReferenceData!$I$66),"",ReferenceData!$I$66),"")</f>
        <v/>
      </c>
      <c r="R66" t="str">
        <f ca="1">IFERROR(IF(0=LEN(ReferenceData!$H$66),"",ReferenceData!$H$66),"")</f>
        <v/>
      </c>
      <c r="S66" t="str">
        <f ca="1">IFERROR(IF(0=LEN(ReferenceData!$G$66),"",ReferenceData!$G$66),"")</f>
        <v/>
      </c>
      <c r="T66" t="str">
        <f ca="1">IFERROR(IF(0=LEN(ReferenceData!$F$66),"",ReferenceData!$F$66),"")</f>
        <v/>
      </c>
    </row>
    <row r="67" spans="1:20" x14ac:dyDescent="0.25">
      <c r="A67" t="str">
        <f>IFERROR(IF(0=LEN(ReferenceData!$A$67),"",ReferenceData!$A$67),"")</f>
        <v xml:space="preserve">        Revenue</v>
      </c>
      <c r="B67" t="str">
        <f>IFERROR(IF(0=LEN(ReferenceData!$B$67),"",ReferenceData!$B$67),"")</f>
        <v>INFY US Equity</v>
      </c>
      <c r="C67" t="str">
        <f>IFERROR(IF(0=LEN(ReferenceData!$C$67),"",ReferenceData!$C$67),"")</f>
        <v>BI047</v>
      </c>
      <c r="D67" t="str">
        <f>IFERROR(IF(0=LEN(ReferenceData!$D$67),"",ReferenceData!$D$67),"")</f>
        <v>BICS_SEGMENT_DATA</v>
      </c>
      <c r="E67" t="str">
        <f>IFERROR(IF(0=LEN(ReferenceData!$E$67),"",ReferenceData!$E$67),"")</f>
        <v>Dynamic</v>
      </c>
      <c r="F67" t="str">
        <f ca="1">IFERROR(IF(0=LEN(ReferenceData!$T$67),"",ReferenceData!$T$67),"")</f>
        <v/>
      </c>
      <c r="G67" t="str">
        <f ca="1">IFERROR(IF(0=LEN(ReferenceData!$S$67),"",ReferenceData!$S$67),"")</f>
        <v/>
      </c>
      <c r="H67" t="str">
        <f ca="1">IFERROR(IF(0=LEN(ReferenceData!$R$67),"",ReferenceData!$R$67),"")</f>
        <v/>
      </c>
      <c r="I67" t="str">
        <f ca="1">IFERROR(IF(0=LEN(ReferenceData!$Q$67),"",ReferenceData!$Q$67),"")</f>
        <v/>
      </c>
      <c r="J67" t="str">
        <f ca="1">IFERROR(IF(0=LEN(ReferenceData!$P$67),"",ReferenceData!$P$67),"")</f>
        <v/>
      </c>
      <c r="K67" t="str">
        <f ca="1">IFERROR(IF(0=LEN(ReferenceData!$O$67),"",ReferenceData!$O$67),"")</f>
        <v/>
      </c>
      <c r="L67" t="str">
        <f ca="1">IFERROR(IF(0=LEN(ReferenceData!$N$67),"",ReferenceData!$N$67),"")</f>
        <v/>
      </c>
      <c r="M67" t="str">
        <f ca="1">IFERROR(IF(0=LEN(ReferenceData!$M$67),"",ReferenceData!$M$67),"")</f>
        <v/>
      </c>
      <c r="N67" t="str">
        <f ca="1">IFERROR(IF(0=LEN(ReferenceData!$L$67),"",ReferenceData!$L$67),"")</f>
        <v/>
      </c>
      <c r="O67" t="str">
        <f ca="1">IFERROR(IF(0=LEN(ReferenceData!$K$67),"",ReferenceData!$K$67),"")</f>
        <v/>
      </c>
      <c r="P67">
        <f ca="1">IFERROR(IF(0=LEN(ReferenceData!$J$67),"",ReferenceData!$J$67),"")</f>
        <v>747.83714550000002</v>
      </c>
      <c r="Q67">
        <f ca="1">IFERROR(IF(0=LEN(ReferenceData!$I$67),"",ReferenceData!$I$67),"")</f>
        <v>764.01516979999997</v>
      </c>
      <c r="R67">
        <f ca="1">IFERROR(IF(0=LEN(ReferenceData!$H$67),"",ReferenceData!$H$67),"")</f>
        <v>782.86170709999999</v>
      </c>
      <c r="S67">
        <f ca="1">IFERROR(IF(0=LEN(ReferenceData!$G$67),"",ReferenceData!$G$67),"")</f>
        <v>883.71970569999996</v>
      </c>
      <c r="T67">
        <f ca="1">IFERROR(IF(0=LEN(ReferenceData!$F$67),"",ReferenceData!$F$67),"")</f>
        <v>983.71332710000001</v>
      </c>
    </row>
    <row r="68" spans="1:20" x14ac:dyDescent="0.25">
      <c r="A68" t="str">
        <f>IFERROR(IF(0=LEN(ReferenceData!$A$68),"",ReferenceData!$A$68),"")</f>
        <v xml:space="preserve">        Operating Income</v>
      </c>
      <c r="B68" t="str">
        <f>IFERROR(IF(0=LEN(ReferenceData!$B$68),"",ReferenceData!$B$68),"")</f>
        <v>INFY US Equity</v>
      </c>
      <c r="C68" t="str">
        <f>IFERROR(IF(0=LEN(ReferenceData!$C$68),"",ReferenceData!$C$68),"")</f>
        <v>BI047</v>
      </c>
      <c r="D68" t="str">
        <f>IFERROR(IF(0=LEN(ReferenceData!$D$68),"",ReferenceData!$D$68),"")</f>
        <v>BICS_SEGMENT_DATA</v>
      </c>
      <c r="E68" t="str">
        <f>IFERROR(IF(0=LEN(ReferenceData!$E$68),"",ReferenceData!$E$68),"")</f>
        <v>Dynamic</v>
      </c>
      <c r="F68" t="str">
        <f ca="1">IFERROR(IF(0=LEN(ReferenceData!$T$68),"",ReferenceData!$T$68),"")</f>
        <v/>
      </c>
      <c r="G68" t="str">
        <f ca="1">IFERROR(IF(0=LEN(ReferenceData!$S$68),"",ReferenceData!$S$68),"")</f>
        <v/>
      </c>
      <c r="H68" t="str">
        <f ca="1">IFERROR(IF(0=LEN(ReferenceData!$R$68),"",ReferenceData!$R$68),"")</f>
        <v/>
      </c>
      <c r="I68" t="str">
        <f ca="1">IFERROR(IF(0=LEN(ReferenceData!$Q$68),"",ReferenceData!$Q$68),"")</f>
        <v/>
      </c>
      <c r="J68" t="str">
        <f ca="1">IFERROR(IF(0=LEN(ReferenceData!$P$68),"",ReferenceData!$P$68),"")</f>
        <v/>
      </c>
      <c r="K68" t="str">
        <f ca="1">IFERROR(IF(0=LEN(ReferenceData!$O$68),"",ReferenceData!$O$68),"")</f>
        <v/>
      </c>
      <c r="L68" t="str">
        <f ca="1">IFERROR(IF(0=LEN(ReferenceData!$N$68),"",ReferenceData!$N$68),"")</f>
        <v/>
      </c>
      <c r="M68" t="str">
        <f ca="1">IFERROR(IF(0=LEN(ReferenceData!$M$68),"",ReferenceData!$M$68),"")</f>
        <v/>
      </c>
      <c r="N68" t="str">
        <f ca="1">IFERROR(IF(0=LEN(ReferenceData!$L$68),"",ReferenceData!$L$68),"")</f>
        <v/>
      </c>
      <c r="O68" t="str">
        <f ca="1">IFERROR(IF(0=LEN(ReferenceData!$K$68),"",ReferenceData!$K$68),"")</f>
        <v/>
      </c>
      <c r="P68">
        <f ca="1">IFERROR(IF(0=LEN(ReferenceData!$J$68),"",ReferenceData!$J$68),"")</f>
        <v>198.92376329999999</v>
      </c>
      <c r="Q68">
        <f ca="1">IFERROR(IF(0=LEN(ReferenceData!$I$68),"",ReferenceData!$I$68),"")</f>
        <v>190.4817204</v>
      </c>
      <c r="R68">
        <f ca="1">IFERROR(IF(0=LEN(ReferenceData!$H$68),"",ReferenceData!$H$68),"")</f>
        <v>189.85986320000001</v>
      </c>
      <c r="S68">
        <f ca="1">IFERROR(IF(0=LEN(ReferenceData!$G$68),"",ReferenceData!$G$68),"")</f>
        <v>221.46642449999999</v>
      </c>
      <c r="T68">
        <f ca="1">IFERROR(IF(0=LEN(ReferenceData!$F$68),"",ReferenceData!$F$68),"")</f>
        <v>226.316147</v>
      </c>
    </row>
    <row r="69" spans="1:20" x14ac:dyDescent="0.25">
      <c r="A69" t="str">
        <f>IFERROR(IF(0=LEN(ReferenceData!$A$69),"",ReferenceData!$A$69),"")</f>
        <v xml:space="preserve">    Life Sciences</v>
      </c>
      <c r="B69" t="str">
        <f>IFERROR(IF(0=LEN(ReferenceData!$B$69),"",ReferenceData!$B$69),"")</f>
        <v/>
      </c>
      <c r="C69" t="str">
        <f>IFERROR(IF(0=LEN(ReferenceData!$C$69),"",ReferenceData!$C$69),"")</f>
        <v/>
      </c>
      <c r="D69" t="str">
        <f>IFERROR(IF(0=LEN(ReferenceData!$D$69),"",ReferenceData!$D$69),"")</f>
        <v/>
      </c>
      <c r="E69" t="str">
        <f>IFERROR(IF(0=LEN(ReferenceData!$E$69),"",ReferenceData!$E$69),"")</f>
        <v>Static</v>
      </c>
      <c r="F69" t="str">
        <f ca="1">IFERROR(IF(0=LEN(ReferenceData!$T$69),"",ReferenceData!$T$69),"")</f>
        <v/>
      </c>
      <c r="G69" t="str">
        <f ca="1">IFERROR(IF(0=LEN(ReferenceData!$S$69),"",ReferenceData!$S$69),"")</f>
        <v/>
      </c>
      <c r="H69" t="str">
        <f ca="1">IFERROR(IF(0=LEN(ReferenceData!$R$69),"",ReferenceData!$R$69),"")</f>
        <v/>
      </c>
      <c r="I69" t="str">
        <f ca="1">IFERROR(IF(0=LEN(ReferenceData!$Q$69),"",ReferenceData!$Q$69),"")</f>
        <v/>
      </c>
      <c r="J69" t="str">
        <f ca="1">IFERROR(IF(0=LEN(ReferenceData!$P$69),"",ReferenceData!$P$69),"")</f>
        <v/>
      </c>
      <c r="K69" t="str">
        <f ca="1">IFERROR(IF(0=LEN(ReferenceData!$O$69),"",ReferenceData!$O$69),"")</f>
        <v/>
      </c>
      <c r="L69" t="str">
        <f ca="1">IFERROR(IF(0=LEN(ReferenceData!$N$69),"",ReferenceData!$N$69),"")</f>
        <v/>
      </c>
      <c r="M69" t="str">
        <f ca="1">IFERROR(IF(0=LEN(ReferenceData!$M$69),"",ReferenceData!$M$69),"")</f>
        <v/>
      </c>
      <c r="N69" t="str">
        <f ca="1">IFERROR(IF(0=LEN(ReferenceData!$L$69),"",ReferenceData!$L$69),"")</f>
        <v/>
      </c>
      <c r="O69" t="str">
        <f ca="1">IFERROR(IF(0=LEN(ReferenceData!$K$69),"",ReferenceData!$K$69),"")</f>
        <v/>
      </c>
      <c r="P69" t="str">
        <f ca="1">IFERROR(IF(0=LEN(ReferenceData!$J$69),"",ReferenceData!$J$69),"")</f>
        <v/>
      </c>
      <c r="Q69" t="str">
        <f ca="1">IFERROR(IF(0=LEN(ReferenceData!$I$69),"",ReferenceData!$I$69),"")</f>
        <v/>
      </c>
      <c r="R69" t="str">
        <f ca="1">IFERROR(IF(0=LEN(ReferenceData!$H$69),"",ReferenceData!$H$69),"")</f>
        <v/>
      </c>
      <c r="S69" t="str">
        <f ca="1">IFERROR(IF(0=LEN(ReferenceData!$G$69),"",ReferenceData!$G$69),"")</f>
        <v/>
      </c>
      <c r="T69" t="str">
        <f ca="1">IFERROR(IF(0=LEN(ReferenceData!$F$69),"",ReferenceData!$F$69),"")</f>
        <v/>
      </c>
    </row>
    <row r="70" spans="1:20" x14ac:dyDescent="0.25">
      <c r="A70" t="str">
        <f>IFERROR(IF(0=LEN(ReferenceData!$A$70),"",ReferenceData!$A$70),"")</f>
        <v xml:space="preserve">        Revenue</v>
      </c>
      <c r="B70" t="str">
        <f>IFERROR(IF(0=LEN(ReferenceData!$B$70),"",ReferenceData!$B$70),"")</f>
        <v>INFY US Equity</v>
      </c>
      <c r="C70" t="str">
        <f>IFERROR(IF(0=LEN(ReferenceData!$C$70),"",ReferenceData!$C$70),"")</f>
        <v>BI047</v>
      </c>
      <c r="D70" t="str">
        <f>IFERROR(IF(0=LEN(ReferenceData!$D$70),"",ReferenceData!$D$70),"")</f>
        <v>BICS_SEGMENT_DATA</v>
      </c>
      <c r="E70" t="str">
        <f>IFERROR(IF(0=LEN(ReferenceData!$E$70),"",ReferenceData!$E$70),"")</f>
        <v>Dynamic</v>
      </c>
      <c r="F70" t="str">
        <f ca="1">IFERROR(IF(0=LEN(ReferenceData!$T$70),"",ReferenceData!$T$70),"")</f>
        <v/>
      </c>
      <c r="G70" t="str">
        <f ca="1">IFERROR(IF(0=LEN(ReferenceData!$S$70),"",ReferenceData!$S$70),"")</f>
        <v/>
      </c>
      <c r="H70" t="str">
        <f ca="1">IFERROR(IF(0=LEN(ReferenceData!$R$70),"",ReferenceData!$R$70),"")</f>
        <v/>
      </c>
      <c r="I70" t="str">
        <f ca="1">IFERROR(IF(0=LEN(ReferenceData!$Q$70),"",ReferenceData!$Q$70),"")</f>
        <v/>
      </c>
      <c r="J70" t="str">
        <f ca="1">IFERROR(IF(0=LEN(ReferenceData!$P$70),"",ReferenceData!$P$70),"")</f>
        <v/>
      </c>
      <c r="K70" t="str">
        <f ca="1">IFERROR(IF(0=LEN(ReferenceData!$O$70),"",ReferenceData!$O$70),"")</f>
        <v/>
      </c>
      <c r="L70" t="str">
        <f ca="1">IFERROR(IF(0=LEN(ReferenceData!$N$70),"",ReferenceData!$N$70),"")</f>
        <v/>
      </c>
      <c r="M70" t="str">
        <f ca="1">IFERROR(IF(0=LEN(ReferenceData!$M$70),"",ReferenceData!$M$70),"")</f>
        <v/>
      </c>
      <c r="N70">
        <f ca="1">IFERROR(IF(0=LEN(ReferenceData!$L$70),"",ReferenceData!$L$70),"")</f>
        <v>562.95541700000001</v>
      </c>
      <c r="O70">
        <f ca="1">IFERROR(IF(0=LEN(ReferenceData!$K$70),"",ReferenceData!$K$70),"")</f>
        <v>586.34509590000005</v>
      </c>
      <c r="P70" t="str">
        <f ca="1">IFERROR(IF(0=LEN(ReferenceData!$J$70),"",ReferenceData!$J$70),"")</f>
        <v/>
      </c>
      <c r="Q70" t="str">
        <f ca="1">IFERROR(IF(0=LEN(ReferenceData!$I$70),"",ReferenceData!$I$70),"")</f>
        <v/>
      </c>
      <c r="R70" t="str">
        <f ca="1">IFERROR(IF(0=LEN(ReferenceData!$H$70),"",ReferenceData!$H$70),"")</f>
        <v/>
      </c>
      <c r="S70">
        <f ca="1">IFERROR(IF(0=LEN(ReferenceData!$G$70),"",ReferenceData!$G$70),"")</f>
        <v>744.37326029999997</v>
      </c>
      <c r="T70">
        <f ca="1">IFERROR(IF(0=LEN(ReferenceData!$F$70),"",ReferenceData!$F$70),"")</f>
        <v>823.57066699999996</v>
      </c>
    </row>
    <row r="71" spans="1:20" x14ac:dyDescent="0.25">
      <c r="A71" t="str">
        <f>IFERROR(IF(0=LEN(ReferenceData!$A$71),"",ReferenceData!$A$71),"")</f>
        <v xml:space="preserve">        Operating Income</v>
      </c>
      <c r="B71" t="str">
        <f>IFERROR(IF(0=LEN(ReferenceData!$B$71),"",ReferenceData!$B$71),"")</f>
        <v>INFY US Equity</v>
      </c>
      <c r="C71" t="str">
        <f>IFERROR(IF(0=LEN(ReferenceData!$C$71),"",ReferenceData!$C$71),"")</f>
        <v>BI047</v>
      </c>
      <c r="D71" t="str">
        <f>IFERROR(IF(0=LEN(ReferenceData!$D$71),"",ReferenceData!$D$71),"")</f>
        <v>BICS_SEGMENT_DATA</v>
      </c>
      <c r="E71" t="str">
        <f>IFERROR(IF(0=LEN(ReferenceData!$E$71),"",ReferenceData!$E$71),"")</f>
        <v>Dynamic</v>
      </c>
      <c r="F71" t="str">
        <f ca="1">IFERROR(IF(0=LEN(ReferenceData!$T$71),"",ReferenceData!$T$71),"")</f>
        <v/>
      </c>
      <c r="G71" t="str">
        <f ca="1">IFERROR(IF(0=LEN(ReferenceData!$S$71),"",ReferenceData!$S$71),"")</f>
        <v/>
      </c>
      <c r="H71" t="str">
        <f ca="1">IFERROR(IF(0=LEN(ReferenceData!$R$71),"",ReferenceData!$R$71),"")</f>
        <v/>
      </c>
      <c r="I71" t="str">
        <f ca="1">IFERROR(IF(0=LEN(ReferenceData!$Q$71),"",ReferenceData!$Q$71),"")</f>
        <v/>
      </c>
      <c r="J71" t="str">
        <f ca="1">IFERROR(IF(0=LEN(ReferenceData!$P$71),"",ReferenceData!$P$71),"")</f>
        <v/>
      </c>
      <c r="K71" t="str">
        <f ca="1">IFERROR(IF(0=LEN(ReferenceData!$O$71),"",ReferenceData!$O$71),"")</f>
        <v/>
      </c>
      <c r="L71" t="str">
        <f ca="1">IFERROR(IF(0=LEN(ReferenceData!$N$71),"",ReferenceData!$N$71),"")</f>
        <v/>
      </c>
      <c r="M71" t="str">
        <f ca="1">IFERROR(IF(0=LEN(ReferenceData!$M$71),"",ReferenceData!$M$71),"")</f>
        <v/>
      </c>
      <c r="N71">
        <f ca="1">IFERROR(IF(0=LEN(ReferenceData!$L$71),"",ReferenceData!$L$71),"")</f>
        <v>124.05225280000001</v>
      </c>
      <c r="O71">
        <f ca="1">IFERROR(IF(0=LEN(ReferenceData!$K$71),"",ReferenceData!$K$71),"")</f>
        <v>150.3490913</v>
      </c>
      <c r="P71" t="str">
        <f ca="1">IFERROR(IF(0=LEN(ReferenceData!$J$71),"",ReferenceData!$J$71),"")</f>
        <v/>
      </c>
      <c r="Q71" t="str">
        <f ca="1">IFERROR(IF(0=LEN(ReferenceData!$I$71),"",ReferenceData!$I$71),"")</f>
        <v/>
      </c>
      <c r="R71" t="str">
        <f ca="1">IFERROR(IF(0=LEN(ReferenceData!$H$71),"",ReferenceData!$H$71),"")</f>
        <v/>
      </c>
      <c r="S71">
        <f ca="1">IFERROR(IF(0=LEN(ReferenceData!$G$71),"",ReferenceData!$G$71),"")</f>
        <v>203.01088920000001</v>
      </c>
      <c r="T71">
        <f ca="1">IFERROR(IF(0=LEN(ReferenceData!$F$71),"",ReferenceData!$F$71),"")</f>
        <v>201.90673709999999</v>
      </c>
    </row>
    <row r="72" spans="1:20" x14ac:dyDescent="0.25">
      <c r="A72" t="str">
        <f>IFERROR(IF(0=LEN(ReferenceData!$A$72),"",ReferenceData!$A$72),"")</f>
        <v xml:space="preserve">    Other</v>
      </c>
      <c r="B72" t="str">
        <f>IFERROR(IF(0=LEN(ReferenceData!$B$72),"",ReferenceData!$B$72),"")</f>
        <v/>
      </c>
      <c r="C72" t="str">
        <f>IFERROR(IF(0=LEN(ReferenceData!$C$72),"",ReferenceData!$C$72),"")</f>
        <v/>
      </c>
      <c r="D72" t="str">
        <f>IFERROR(IF(0=LEN(ReferenceData!$D$72),"",ReferenceData!$D$72),"")</f>
        <v/>
      </c>
      <c r="E72" t="str">
        <f>IFERROR(IF(0=LEN(ReferenceData!$E$72),"",ReferenceData!$E$72),"")</f>
        <v>Static</v>
      </c>
      <c r="F72" t="str">
        <f ca="1">IFERROR(IF(0=LEN(ReferenceData!$T$72),"",ReferenceData!$T$72),"")</f>
        <v/>
      </c>
      <c r="G72" t="str">
        <f ca="1">IFERROR(IF(0=LEN(ReferenceData!$S$72),"",ReferenceData!$S$72),"")</f>
        <v/>
      </c>
      <c r="H72" t="str">
        <f ca="1">IFERROR(IF(0=LEN(ReferenceData!$R$72),"",ReferenceData!$R$72),"")</f>
        <v/>
      </c>
      <c r="I72" t="str">
        <f ca="1">IFERROR(IF(0=LEN(ReferenceData!$Q$72),"",ReferenceData!$Q$72),"")</f>
        <v/>
      </c>
      <c r="J72" t="str">
        <f ca="1">IFERROR(IF(0=LEN(ReferenceData!$P$72),"",ReferenceData!$P$72),"")</f>
        <v/>
      </c>
      <c r="K72" t="str">
        <f ca="1">IFERROR(IF(0=LEN(ReferenceData!$O$72),"",ReferenceData!$O$72),"")</f>
        <v/>
      </c>
      <c r="L72" t="str">
        <f ca="1">IFERROR(IF(0=LEN(ReferenceData!$N$72),"",ReferenceData!$N$72),"")</f>
        <v/>
      </c>
      <c r="M72" t="str">
        <f ca="1">IFERROR(IF(0=LEN(ReferenceData!$M$72),"",ReferenceData!$M$72),"")</f>
        <v/>
      </c>
      <c r="N72" t="str">
        <f ca="1">IFERROR(IF(0=LEN(ReferenceData!$L$72),"",ReferenceData!$L$72),"")</f>
        <v/>
      </c>
      <c r="O72" t="str">
        <f ca="1">IFERROR(IF(0=LEN(ReferenceData!$K$72),"",ReferenceData!$K$72),"")</f>
        <v/>
      </c>
      <c r="P72" t="str">
        <f ca="1">IFERROR(IF(0=LEN(ReferenceData!$J$72),"",ReferenceData!$J$72),"")</f>
        <v/>
      </c>
      <c r="Q72" t="str">
        <f ca="1">IFERROR(IF(0=LEN(ReferenceData!$I$72),"",ReferenceData!$I$72),"")</f>
        <v/>
      </c>
      <c r="R72" t="str">
        <f ca="1">IFERROR(IF(0=LEN(ReferenceData!$H$72),"",ReferenceData!$H$72),"")</f>
        <v/>
      </c>
      <c r="S72" t="str">
        <f ca="1">IFERROR(IF(0=LEN(ReferenceData!$G$72),"",ReferenceData!$G$72),"")</f>
        <v/>
      </c>
      <c r="T72" t="str">
        <f ca="1">IFERROR(IF(0=LEN(ReferenceData!$F$72),"",ReferenceData!$F$72),"")</f>
        <v/>
      </c>
    </row>
    <row r="73" spans="1:20" x14ac:dyDescent="0.25">
      <c r="A73" t="str">
        <f>IFERROR(IF(0=LEN(ReferenceData!$A$73),"",ReferenceData!$A$73),"")</f>
        <v xml:space="preserve">        Revenue</v>
      </c>
      <c r="B73" t="str">
        <f>IFERROR(IF(0=LEN(ReferenceData!$B$73),"",ReferenceData!$B$73),"")</f>
        <v>INFY US Equity</v>
      </c>
      <c r="C73" t="str">
        <f>IFERROR(IF(0=LEN(ReferenceData!$C$73),"",ReferenceData!$C$73),"")</f>
        <v>BI047</v>
      </c>
      <c r="D73" t="str">
        <f>IFERROR(IF(0=LEN(ReferenceData!$D$73),"",ReferenceData!$D$73),"")</f>
        <v>BICS_SEGMENT_DATA</v>
      </c>
      <c r="E73" t="str">
        <f>IFERROR(IF(0=LEN(ReferenceData!$E$73),"",ReferenceData!$E$73),"")</f>
        <v>Dynamic</v>
      </c>
      <c r="F73" t="str">
        <f ca="1">IFERROR(IF(0=LEN(ReferenceData!$T$73),"",ReferenceData!$T$73),"")</f>
        <v/>
      </c>
      <c r="G73" t="str">
        <f ca="1">IFERROR(IF(0=LEN(ReferenceData!$S$73),"",ReferenceData!$S$73),"")</f>
        <v/>
      </c>
      <c r="H73" t="str">
        <f ca="1">IFERROR(IF(0=LEN(ReferenceData!$R$73),"",ReferenceData!$R$73),"")</f>
        <v/>
      </c>
      <c r="I73" t="str">
        <f ca="1">IFERROR(IF(0=LEN(ReferenceData!$Q$73),"",ReferenceData!$Q$73),"")</f>
        <v/>
      </c>
      <c r="J73" t="str">
        <f ca="1">IFERROR(IF(0=LEN(ReferenceData!$P$73),"",ReferenceData!$P$73),"")</f>
        <v/>
      </c>
      <c r="K73" t="str">
        <f ca="1">IFERROR(IF(0=LEN(ReferenceData!$O$73),"",ReferenceData!$O$73),"")</f>
        <v/>
      </c>
      <c r="L73" t="str">
        <f ca="1">IFERROR(IF(0=LEN(ReferenceData!$N$73),"",ReferenceData!$N$73),"")</f>
        <v/>
      </c>
      <c r="M73" t="str">
        <f ca="1">IFERROR(IF(0=LEN(ReferenceData!$M$73),"",ReferenceData!$M$73),"")</f>
        <v/>
      </c>
      <c r="N73" t="str">
        <f ca="1">IFERROR(IF(0=LEN(ReferenceData!$L$73),"",ReferenceData!$L$73),"")</f>
        <v/>
      </c>
      <c r="O73" t="str">
        <f ca="1">IFERROR(IF(0=LEN(ReferenceData!$K$73),"",ReferenceData!$K$73),"")</f>
        <v/>
      </c>
      <c r="P73">
        <f ca="1">IFERROR(IF(0=LEN(ReferenceData!$J$73),"",ReferenceData!$J$73),"")</f>
        <v>262.22463800000003</v>
      </c>
      <c r="Q73">
        <f ca="1">IFERROR(IF(0=LEN(ReferenceData!$I$73),"",ReferenceData!$I$73),"")</f>
        <v>329.35288850000001</v>
      </c>
      <c r="R73">
        <f ca="1">IFERROR(IF(0=LEN(ReferenceData!$H$73),"",ReferenceData!$H$73),"")</f>
        <v>311.15922019999999</v>
      </c>
      <c r="S73">
        <f ca="1">IFERROR(IF(0=LEN(ReferenceData!$G$73),"",ReferenceData!$G$73),"")</f>
        <v>328.19378419999998</v>
      </c>
      <c r="T73">
        <f ca="1">IFERROR(IF(0=LEN(ReferenceData!$F$73),"",ReferenceData!$F$73),"")</f>
        <v>348.64538599999997</v>
      </c>
    </row>
    <row r="74" spans="1:20" x14ac:dyDescent="0.25">
      <c r="A74" t="str">
        <f>IFERROR(IF(0=LEN(ReferenceData!$A$74),"",ReferenceData!$A$74),"")</f>
        <v xml:space="preserve">        Operating Income</v>
      </c>
      <c r="B74" t="str">
        <f>IFERROR(IF(0=LEN(ReferenceData!$B$74),"",ReferenceData!$B$74),"")</f>
        <v>INFY US Equity</v>
      </c>
      <c r="C74" t="str">
        <f>IFERROR(IF(0=LEN(ReferenceData!$C$74),"",ReferenceData!$C$74),"")</f>
        <v>BI047</v>
      </c>
      <c r="D74" t="str">
        <f>IFERROR(IF(0=LEN(ReferenceData!$D$74),"",ReferenceData!$D$74),"")</f>
        <v>BICS_SEGMENT_DATA</v>
      </c>
      <c r="E74" t="str">
        <f>IFERROR(IF(0=LEN(ReferenceData!$E$74),"",ReferenceData!$E$74),"")</f>
        <v>Dynamic</v>
      </c>
      <c r="F74" t="str">
        <f ca="1">IFERROR(IF(0=LEN(ReferenceData!$T$74),"",ReferenceData!$T$74),"")</f>
        <v/>
      </c>
      <c r="G74" t="str">
        <f ca="1">IFERROR(IF(0=LEN(ReferenceData!$S$74),"",ReferenceData!$S$74),"")</f>
        <v/>
      </c>
      <c r="H74" t="str">
        <f ca="1">IFERROR(IF(0=LEN(ReferenceData!$R$74),"",ReferenceData!$R$74),"")</f>
        <v/>
      </c>
      <c r="I74" t="str">
        <f ca="1">IFERROR(IF(0=LEN(ReferenceData!$Q$74),"",ReferenceData!$Q$74),"")</f>
        <v/>
      </c>
      <c r="J74" t="str">
        <f ca="1">IFERROR(IF(0=LEN(ReferenceData!$P$74),"",ReferenceData!$P$74),"")</f>
        <v/>
      </c>
      <c r="K74" t="str">
        <f ca="1">IFERROR(IF(0=LEN(ReferenceData!$O$74),"",ReferenceData!$O$74),"")</f>
        <v/>
      </c>
      <c r="L74" t="str">
        <f ca="1">IFERROR(IF(0=LEN(ReferenceData!$N$74),"",ReferenceData!$N$74),"")</f>
        <v/>
      </c>
      <c r="M74" t="str">
        <f ca="1">IFERROR(IF(0=LEN(ReferenceData!$M$74),"",ReferenceData!$M$74),"")</f>
        <v/>
      </c>
      <c r="N74" t="str">
        <f ca="1">IFERROR(IF(0=LEN(ReferenceData!$L$74),"",ReferenceData!$L$74),"")</f>
        <v/>
      </c>
      <c r="O74" t="str">
        <f ca="1">IFERROR(IF(0=LEN(ReferenceData!$K$74),"",ReferenceData!$K$74),"")</f>
        <v/>
      </c>
      <c r="P74">
        <f ca="1">IFERROR(IF(0=LEN(ReferenceData!$J$74),"",ReferenceData!$J$74),"")</f>
        <v>39.601271859999997</v>
      </c>
      <c r="Q74">
        <f ca="1">IFERROR(IF(0=LEN(ReferenceData!$I$74),"",ReferenceData!$I$74),"")</f>
        <v>43.555726200000002</v>
      </c>
      <c r="R74">
        <f ca="1">IFERROR(IF(0=LEN(ReferenceData!$H$74),"",ReferenceData!$H$74),"")</f>
        <v>60.339449979999998</v>
      </c>
      <c r="S74">
        <f ca="1">IFERROR(IF(0=LEN(ReferenceData!$G$74),"",ReferenceData!$G$74),"")</f>
        <v>16.59567522</v>
      </c>
      <c r="T74">
        <f ca="1">IFERROR(IF(0=LEN(ReferenceData!$F$74),"",ReferenceData!$F$74),"")</f>
        <v>9.0300707019999997</v>
      </c>
    </row>
    <row r="75" spans="1:20" x14ac:dyDescent="0.25">
      <c r="A75" t="str">
        <f>IFERROR(IF(0=LEN(ReferenceData!$A$75),"",ReferenceData!$A$75),"")</f>
        <v xml:space="preserve">    </v>
      </c>
      <c r="B75" t="str">
        <f>IFERROR(IF(0=LEN(ReferenceData!$B$75),"",ReferenceData!$B$75),"")</f>
        <v/>
      </c>
      <c r="C75" t="str">
        <f>IFERROR(IF(0=LEN(ReferenceData!$C$75),"",ReferenceData!$C$75),"")</f>
        <v/>
      </c>
      <c r="D75" t="str">
        <f>IFERROR(IF(0=LEN(ReferenceData!$D$75),"",ReferenceData!$D$75),"")</f>
        <v/>
      </c>
      <c r="E75" t="str">
        <f>IFERROR(IF(0=LEN(ReferenceData!$E$75),"",ReferenceData!$E$75),"")</f>
        <v>Static</v>
      </c>
      <c r="F75" t="str">
        <f ca="1">IFERROR(IF(0=LEN(ReferenceData!$T$75),"",ReferenceData!$T$75),"")</f>
        <v/>
      </c>
      <c r="G75" t="str">
        <f ca="1">IFERROR(IF(0=LEN(ReferenceData!$S$75),"",ReferenceData!$S$75),"")</f>
        <v/>
      </c>
      <c r="H75" t="str">
        <f ca="1">IFERROR(IF(0=LEN(ReferenceData!$R$75),"",ReferenceData!$R$75),"")</f>
        <v/>
      </c>
      <c r="I75" t="str">
        <f ca="1">IFERROR(IF(0=LEN(ReferenceData!$Q$75),"",ReferenceData!$Q$75),"")</f>
        <v/>
      </c>
      <c r="J75" t="str">
        <f ca="1">IFERROR(IF(0=LEN(ReferenceData!$P$75),"",ReferenceData!$P$75),"")</f>
        <v/>
      </c>
      <c r="K75" t="str">
        <f ca="1">IFERROR(IF(0=LEN(ReferenceData!$O$75),"",ReferenceData!$O$75),"")</f>
        <v/>
      </c>
      <c r="L75" t="str">
        <f ca="1">IFERROR(IF(0=LEN(ReferenceData!$N$75),"",ReferenceData!$N$75),"")</f>
        <v/>
      </c>
      <c r="M75" t="str">
        <f ca="1">IFERROR(IF(0=LEN(ReferenceData!$M$75),"",ReferenceData!$M$75),"")</f>
        <v/>
      </c>
      <c r="N75" t="str">
        <f ca="1">IFERROR(IF(0=LEN(ReferenceData!$L$75),"",ReferenceData!$L$75),"")</f>
        <v/>
      </c>
      <c r="O75" t="str">
        <f ca="1">IFERROR(IF(0=LEN(ReferenceData!$K$75),"",ReferenceData!$K$75),"")</f>
        <v/>
      </c>
      <c r="P75" t="str">
        <f ca="1">IFERROR(IF(0=LEN(ReferenceData!$J$75),"",ReferenceData!$J$75),"")</f>
        <v/>
      </c>
      <c r="Q75" t="str">
        <f ca="1">IFERROR(IF(0=LEN(ReferenceData!$I$75),"",ReferenceData!$I$75),"")</f>
        <v/>
      </c>
      <c r="R75" t="str">
        <f ca="1">IFERROR(IF(0=LEN(ReferenceData!$H$75),"",ReferenceData!$H$75),"")</f>
        <v/>
      </c>
      <c r="S75" t="str">
        <f ca="1">IFERROR(IF(0=LEN(ReferenceData!$G$75),"",ReferenceData!$G$75),"")</f>
        <v/>
      </c>
      <c r="T75" t="str">
        <f ca="1">IFERROR(IF(0=LEN(ReferenceData!$F$75),"",ReferenceData!$F$75),"")</f>
        <v/>
      </c>
    </row>
    <row r="76" spans="1:20" x14ac:dyDescent="0.25">
      <c r="A76" t="str">
        <f>IFERROR(IF(0=LEN(ReferenceData!$A$76),"",ReferenceData!$A$76),"")</f>
        <v xml:space="preserve">    Energy &amp; Utilities, Communcation and Services</v>
      </c>
      <c r="B76" t="str">
        <f>IFERROR(IF(0=LEN(ReferenceData!$B$76),"",ReferenceData!$B$76),"")</f>
        <v/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Static</v>
      </c>
      <c r="F76" t="str">
        <f ca="1">IFERROR(IF(0=LEN(ReferenceData!$T$76),"",ReferenceData!$T$76),"")</f>
        <v/>
      </c>
      <c r="G76" t="str">
        <f ca="1">IFERROR(IF(0=LEN(ReferenceData!$S$76),"",ReferenceData!$S$76),"")</f>
        <v/>
      </c>
      <c r="H76" t="str">
        <f ca="1">IFERROR(IF(0=LEN(ReferenceData!$R$76),"",ReferenceData!$R$76),"")</f>
        <v/>
      </c>
      <c r="I76" t="str">
        <f ca="1">IFERROR(IF(0=LEN(ReferenceData!$Q$76),"",ReferenceData!$Q$76),"")</f>
        <v/>
      </c>
      <c r="J76" t="str">
        <f ca="1">IFERROR(IF(0=LEN(ReferenceData!$P$76),"",ReferenceData!$P$76),"")</f>
        <v/>
      </c>
      <c r="K76" t="str">
        <f ca="1">IFERROR(IF(0=LEN(ReferenceData!$O$76),"",ReferenceData!$O$76),"")</f>
        <v/>
      </c>
      <c r="L76" t="str">
        <f ca="1">IFERROR(IF(0=LEN(ReferenceData!$N$76),"",ReferenceData!$N$76),"")</f>
        <v/>
      </c>
      <c r="M76" t="str">
        <f ca="1">IFERROR(IF(0=LEN(ReferenceData!$M$76),"",ReferenceData!$M$76),"")</f>
        <v/>
      </c>
      <c r="N76" t="str">
        <f ca="1">IFERROR(IF(0=LEN(ReferenceData!$L$76),"",ReferenceData!$L$76),"")</f>
        <v/>
      </c>
      <c r="O76" t="str">
        <f ca="1">IFERROR(IF(0=LEN(ReferenceData!$K$76),"",ReferenceData!$K$76),"")</f>
        <v/>
      </c>
      <c r="P76" t="str">
        <f ca="1">IFERROR(IF(0=LEN(ReferenceData!$J$76),"",ReferenceData!$J$76),"")</f>
        <v/>
      </c>
      <c r="Q76" t="str">
        <f ca="1">IFERROR(IF(0=LEN(ReferenceData!$I$76),"",ReferenceData!$I$76),"")</f>
        <v/>
      </c>
      <c r="R76" t="str">
        <f ca="1">IFERROR(IF(0=LEN(ReferenceData!$H$76),"",ReferenceData!$H$76),"")</f>
        <v/>
      </c>
      <c r="S76" t="str">
        <f ca="1">IFERROR(IF(0=LEN(ReferenceData!$G$76),"",ReferenceData!$G$76),"")</f>
        <v/>
      </c>
      <c r="T76" t="str">
        <f ca="1">IFERROR(IF(0=LEN(ReferenceData!$F$76),"",ReferenceData!$F$76),"")</f>
        <v/>
      </c>
    </row>
    <row r="77" spans="1:20" x14ac:dyDescent="0.25">
      <c r="A77" t="str">
        <f>IFERROR(IF(0=LEN(ReferenceData!$A$77),"",ReferenceData!$A$77),"")</f>
        <v xml:space="preserve">    Life Sciences, Healthcare and Insurance</v>
      </c>
      <c r="B77" t="str">
        <f>IFERROR(IF(0=LEN(ReferenceData!$B$77),"",ReferenceData!$B$77),"")</f>
        <v/>
      </c>
      <c r="C77" t="str">
        <f>IFERROR(IF(0=LEN(ReferenceData!$C$77),"",ReferenceData!$C$77),"")</f>
        <v/>
      </c>
      <c r="D77" t="str">
        <f>IFERROR(IF(0=LEN(ReferenceData!$D$77),"",ReferenceData!$D$77),"")</f>
        <v/>
      </c>
      <c r="E77" t="str">
        <f>IFERROR(IF(0=LEN(ReferenceData!$E$77),"",ReferenceData!$E$77),"")</f>
        <v>Static</v>
      </c>
      <c r="F77" t="str">
        <f ca="1">IFERROR(IF(0=LEN(ReferenceData!$T$77),"",ReferenceData!$T$77),"")</f>
        <v/>
      </c>
      <c r="G77" t="str">
        <f ca="1">IFERROR(IF(0=LEN(ReferenceData!$S$77),"",ReferenceData!$S$77),"")</f>
        <v/>
      </c>
      <c r="H77" t="str">
        <f ca="1">IFERROR(IF(0=LEN(ReferenceData!$R$77),"",ReferenceData!$R$77),"")</f>
        <v/>
      </c>
      <c r="I77" t="str">
        <f ca="1">IFERROR(IF(0=LEN(ReferenceData!$Q$77),"",ReferenceData!$Q$77),"")</f>
        <v/>
      </c>
      <c r="J77" t="str">
        <f ca="1">IFERROR(IF(0=LEN(ReferenceData!$P$77),"",ReferenceData!$P$77),"")</f>
        <v/>
      </c>
      <c r="K77" t="str">
        <f ca="1">IFERROR(IF(0=LEN(ReferenceData!$O$77),"",ReferenceData!$O$77),"")</f>
        <v/>
      </c>
      <c r="L77" t="str">
        <f ca="1">IFERROR(IF(0=LEN(ReferenceData!$N$77),"",ReferenceData!$N$77),"")</f>
        <v/>
      </c>
      <c r="M77" t="str">
        <f ca="1">IFERROR(IF(0=LEN(ReferenceData!$M$77),"",ReferenceData!$M$77),"")</f>
        <v/>
      </c>
      <c r="N77" t="str">
        <f ca="1">IFERROR(IF(0=LEN(ReferenceData!$L$77),"",ReferenceData!$L$77),"")</f>
        <v/>
      </c>
      <c r="O77" t="str">
        <f ca="1">IFERROR(IF(0=LEN(ReferenceData!$K$77),"",ReferenceData!$K$77),"")</f>
        <v/>
      </c>
      <c r="P77" t="str">
        <f ca="1">IFERROR(IF(0=LEN(ReferenceData!$J$77),"",ReferenceData!$J$77),"")</f>
        <v/>
      </c>
      <c r="Q77" t="str">
        <f ca="1">IFERROR(IF(0=LEN(ReferenceData!$I$77),"",ReferenceData!$I$77),"")</f>
        <v/>
      </c>
      <c r="R77" t="str">
        <f ca="1">IFERROR(IF(0=LEN(ReferenceData!$H$77),"",ReferenceData!$H$77),"")</f>
        <v/>
      </c>
      <c r="S77" t="str">
        <f ca="1">IFERROR(IF(0=LEN(ReferenceData!$G$77),"",ReferenceData!$G$77),"")</f>
        <v/>
      </c>
      <c r="T77" t="str">
        <f ca="1">IFERROR(IF(0=LEN(ReferenceData!$F$77),"",ReferenceData!$F$77),"")</f>
        <v/>
      </c>
    </row>
    <row r="78" spans="1:20" x14ac:dyDescent="0.25">
      <c r="A78" t="str">
        <f>IFERROR(IF(0=LEN(ReferenceData!$A$78),"",ReferenceData!$A$78),"")</f>
        <v/>
      </c>
      <c r="B78" t="str">
        <f>IFERROR(IF(0=LEN(ReferenceData!$B$78),"",ReferenceData!$B$78),"")</f>
        <v/>
      </c>
      <c r="C78" t="str">
        <f>IFERROR(IF(0=LEN(ReferenceData!$C$78),"",ReferenceData!$C$78),"")</f>
        <v/>
      </c>
      <c r="D78" t="str">
        <f>IFERROR(IF(0=LEN(ReferenceData!$D$78),"",ReferenceData!$D$78),"")</f>
        <v/>
      </c>
      <c r="E78" t="str">
        <f>IFERROR(IF(0=LEN(ReferenceData!$E$78),"",ReferenceData!$E$78),"")</f>
        <v>Static</v>
      </c>
      <c r="F78" t="str">
        <f ca="1">IFERROR(IF(0=LEN(ReferenceData!$T$78),"",ReferenceData!$T$78),"")</f>
        <v/>
      </c>
      <c r="G78" t="str">
        <f ca="1">IFERROR(IF(0=LEN(ReferenceData!$S$78),"",ReferenceData!$S$78),"")</f>
        <v/>
      </c>
      <c r="H78" t="str">
        <f ca="1">IFERROR(IF(0=LEN(ReferenceData!$R$78),"",ReferenceData!$R$78),"")</f>
        <v/>
      </c>
      <c r="I78" t="str">
        <f ca="1">IFERROR(IF(0=LEN(ReferenceData!$Q$78),"",ReferenceData!$Q$78),"")</f>
        <v/>
      </c>
      <c r="J78" t="str">
        <f ca="1">IFERROR(IF(0=LEN(ReferenceData!$P$78),"",ReferenceData!$P$78),"")</f>
        <v/>
      </c>
      <c r="K78" t="str">
        <f ca="1">IFERROR(IF(0=LEN(ReferenceData!$O$78),"",ReferenceData!$O$78),"")</f>
        <v/>
      </c>
      <c r="L78" t="str">
        <f ca="1">IFERROR(IF(0=LEN(ReferenceData!$N$78),"",ReferenceData!$N$78),"")</f>
        <v/>
      </c>
      <c r="M78" t="str">
        <f ca="1">IFERROR(IF(0=LEN(ReferenceData!$M$78),"",ReferenceData!$M$78),"")</f>
        <v/>
      </c>
      <c r="N78" t="str">
        <f ca="1">IFERROR(IF(0=LEN(ReferenceData!$L$78),"",ReferenceData!$L$78),"")</f>
        <v/>
      </c>
      <c r="O78" t="str">
        <f ca="1">IFERROR(IF(0=LEN(ReferenceData!$K$78),"",ReferenceData!$K$78),"")</f>
        <v/>
      </c>
      <c r="P78" t="str">
        <f ca="1">IFERROR(IF(0=LEN(ReferenceData!$J$78),"",ReferenceData!$J$78),"")</f>
        <v/>
      </c>
      <c r="Q78" t="str">
        <f ca="1">IFERROR(IF(0=LEN(ReferenceData!$I$78),"",ReferenceData!$I$78),"")</f>
        <v/>
      </c>
      <c r="R78" t="str">
        <f ca="1">IFERROR(IF(0=LEN(ReferenceData!$H$78),"",ReferenceData!$H$78),"")</f>
        <v/>
      </c>
      <c r="S78" t="str">
        <f ca="1">IFERROR(IF(0=LEN(ReferenceData!$G$78),"",ReferenceData!$G$78),"")</f>
        <v/>
      </c>
      <c r="T78" t="str">
        <f ca="1">IFERROR(IF(0=LEN(ReferenceData!$F$78),"",ReferenceData!$F$78),"")</f>
        <v/>
      </c>
    </row>
    <row r="79" spans="1:20" x14ac:dyDescent="0.25">
      <c r="A79" t="str">
        <f>IFERROR(IF(0=LEN(ReferenceData!$A$79),"",ReferenceData!$A$79),"")</f>
        <v>Regional Breakdown</v>
      </c>
      <c r="B79" t="str">
        <f>IFERROR(IF(0=LEN(ReferenceData!$B$79),"",ReferenceData!$B$79),"")</f>
        <v/>
      </c>
      <c r="C79" t="str">
        <f>IFERROR(IF(0=LEN(ReferenceData!$C$79),"",ReferenceData!$C$79),"")</f>
        <v/>
      </c>
      <c r="D79" t="str">
        <f>IFERROR(IF(0=LEN(ReferenceData!$D$79),"",ReferenceData!$D$79),"")</f>
        <v/>
      </c>
      <c r="E79" t="str">
        <f>IFERROR(IF(0=LEN(ReferenceData!$E$79),"",ReferenceData!$E$79),"")</f>
        <v>Heading</v>
      </c>
      <c r="F79" t="str">
        <f>IFERROR(IF(0=LEN(ReferenceData!$T$79),"",ReferenceData!$T$79),"")</f>
        <v/>
      </c>
      <c r="G79" t="str">
        <f>IFERROR(IF(0=LEN(ReferenceData!$S$79),"",ReferenceData!$S$79),"")</f>
        <v/>
      </c>
      <c r="H79" t="str">
        <f>IFERROR(IF(0=LEN(ReferenceData!$R$79),"",ReferenceData!$R$79),"")</f>
        <v/>
      </c>
      <c r="I79" t="str">
        <f>IFERROR(IF(0=LEN(ReferenceData!$Q$79),"",ReferenceData!$Q$79),"")</f>
        <v/>
      </c>
      <c r="J79" t="str">
        <f>IFERROR(IF(0=LEN(ReferenceData!$P$79),"",ReferenceData!$P$79),"")</f>
        <v/>
      </c>
      <c r="K79" t="str">
        <f>IFERROR(IF(0=LEN(ReferenceData!$O$79),"",ReferenceData!$O$79),"")</f>
        <v/>
      </c>
      <c r="L79" t="str">
        <f>IFERROR(IF(0=LEN(ReferenceData!$N$79),"",ReferenceData!$N$79),"")</f>
        <v/>
      </c>
      <c r="M79" t="str">
        <f>IFERROR(IF(0=LEN(ReferenceData!$M$79),"",ReferenceData!$M$79),"")</f>
        <v/>
      </c>
      <c r="N79" t="str">
        <f>IFERROR(IF(0=LEN(ReferenceData!$L$79),"",ReferenceData!$L$79),"")</f>
        <v/>
      </c>
      <c r="O79" t="str">
        <f>IFERROR(IF(0=LEN(ReferenceData!$K$79),"",ReferenceData!$K$79),"")</f>
        <v/>
      </c>
      <c r="P79" t="str">
        <f>IFERROR(IF(0=LEN(ReferenceData!$J$79),"",ReferenceData!$J$79),"")</f>
        <v/>
      </c>
      <c r="Q79" t="str">
        <f>IFERROR(IF(0=LEN(ReferenceData!$I$79),"",ReferenceData!$I$79),"")</f>
        <v/>
      </c>
      <c r="R79" t="str">
        <f>IFERROR(IF(0=LEN(ReferenceData!$H$79),"",ReferenceData!$H$79),"")</f>
        <v/>
      </c>
      <c r="S79" t="str">
        <f>IFERROR(IF(0=LEN(ReferenceData!$G$79),"",ReferenceData!$G$79),"")</f>
        <v/>
      </c>
      <c r="T79" t="str">
        <f>IFERROR(IF(0=LEN(ReferenceData!$F$79),"",ReferenceData!$F$79),"")</f>
        <v/>
      </c>
    </row>
    <row r="80" spans="1:20" x14ac:dyDescent="0.25">
      <c r="A80" t="str">
        <f>IFERROR(IF(0=LEN(ReferenceData!$A$80),"",ReferenceData!$A$80),"")</f>
        <v xml:space="preserve">    </v>
      </c>
      <c r="B80" t="str">
        <f>IFERROR(IF(0=LEN(ReferenceData!$B$80),"",ReferenceData!$B$80),"")</f>
        <v/>
      </c>
      <c r="C80" t="str">
        <f>IFERROR(IF(0=LEN(ReferenceData!$C$80),"",ReferenceData!$C$80),"")</f>
        <v/>
      </c>
      <c r="D80" t="str">
        <f>IFERROR(IF(0=LEN(ReferenceData!$D$80),"",ReferenceData!$D$80),"")</f>
        <v/>
      </c>
      <c r="E80" t="str">
        <f>IFERROR(IF(0=LEN(ReferenceData!$E$80),"",ReferenceData!$E$80),"")</f>
        <v>Static</v>
      </c>
      <c r="F80" t="str">
        <f ca="1">IFERROR(IF(0=LEN(ReferenceData!$T$80),"",ReferenceData!$T$80),"")</f>
        <v/>
      </c>
      <c r="G80" t="str">
        <f ca="1">IFERROR(IF(0=LEN(ReferenceData!$S$80),"",ReferenceData!$S$80),"")</f>
        <v/>
      </c>
      <c r="H80" t="str">
        <f ca="1">IFERROR(IF(0=LEN(ReferenceData!$R$80),"",ReferenceData!$R$80),"")</f>
        <v/>
      </c>
      <c r="I80" t="str">
        <f ca="1">IFERROR(IF(0=LEN(ReferenceData!$Q$80),"",ReferenceData!$Q$80),"")</f>
        <v/>
      </c>
      <c r="J80" t="str">
        <f ca="1">IFERROR(IF(0=LEN(ReferenceData!$P$80),"",ReferenceData!$P$80),"")</f>
        <v/>
      </c>
      <c r="K80" t="str">
        <f ca="1">IFERROR(IF(0=LEN(ReferenceData!$O$80),"",ReferenceData!$O$80),"")</f>
        <v/>
      </c>
      <c r="L80" t="str">
        <f ca="1">IFERROR(IF(0=LEN(ReferenceData!$N$80),"",ReferenceData!$N$80),"")</f>
        <v/>
      </c>
      <c r="M80" t="str">
        <f ca="1">IFERROR(IF(0=LEN(ReferenceData!$M$80),"",ReferenceData!$M$80),"")</f>
        <v/>
      </c>
      <c r="N80" t="str">
        <f ca="1">IFERROR(IF(0=LEN(ReferenceData!$L$80),"",ReferenceData!$L$80),"")</f>
        <v/>
      </c>
      <c r="O80" t="str">
        <f ca="1">IFERROR(IF(0=LEN(ReferenceData!$K$80),"",ReferenceData!$K$80),"")</f>
        <v/>
      </c>
      <c r="P80" t="str">
        <f ca="1">IFERROR(IF(0=LEN(ReferenceData!$J$80),"",ReferenceData!$J$80),"")</f>
        <v/>
      </c>
      <c r="Q80" t="str">
        <f ca="1">IFERROR(IF(0=LEN(ReferenceData!$I$80),"",ReferenceData!$I$80),"")</f>
        <v/>
      </c>
      <c r="R80" t="str">
        <f ca="1">IFERROR(IF(0=LEN(ReferenceData!$H$80),"",ReferenceData!$H$80),"")</f>
        <v/>
      </c>
      <c r="S80" t="str">
        <f ca="1">IFERROR(IF(0=LEN(ReferenceData!$G$80),"",ReferenceData!$G$80),"")</f>
        <v/>
      </c>
      <c r="T80" t="str">
        <f ca="1">IFERROR(IF(0=LEN(ReferenceData!$F$80),"",ReferenceData!$F$80),"")</f>
        <v/>
      </c>
    </row>
    <row r="81" spans="1:20" x14ac:dyDescent="0.25">
      <c r="A81" t="str">
        <f>IFERROR(IF(0=LEN(ReferenceData!$A$81),"",ReferenceData!$A$81),"")</f>
        <v xml:space="preserve">    Revenue</v>
      </c>
      <c r="B81" t="str">
        <f>IFERROR(IF(0=LEN(ReferenceData!$B$81),"",ReferenceData!$B$81),"")</f>
        <v/>
      </c>
      <c r="C81" t="str">
        <f>IFERROR(IF(0=LEN(ReferenceData!$C$81),"",ReferenceData!$C$81),"")</f>
        <v/>
      </c>
      <c r="D81" t="str">
        <f>IFERROR(IF(0=LEN(ReferenceData!$D$81),"",ReferenceData!$D$81),"")</f>
        <v/>
      </c>
      <c r="E81" t="str">
        <f>IFERROR(IF(0=LEN(ReferenceData!$E$81),"",ReferenceData!$E$81),"")</f>
        <v>Static</v>
      </c>
      <c r="F81" t="str">
        <f ca="1">IFERROR(IF(0=LEN(ReferenceData!$T$81),"",ReferenceData!$T$81),"")</f>
        <v/>
      </c>
      <c r="G81" t="str">
        <f ca="1">IFERROR(IF(0=LEN(ReferenceData!$S$81),"",ReferenceData!$S$81),"")</f>
        <v/>
      </c>
      <c r="H81" t="str">
        <f ca="1">IFERROR(IF(0=LEN(ReferenceData!$R$81),"",ReferenceData!$R$81),"")</f>
        <v/>
      </c>
      <c r="I81" t="str">
        <f ca="1">IFERROR(IF(0=LEN(ReferenceData!$Q$81),"",ReferenceData!$Q$81),"")</f>
        <v/>
      </c>
      <c r="J81" t="str">
        <f ca="1">IFERROR(IF(0=LEN(ReferenceData!$P$81),"",ReferenceData!$P$81),"")</f>
        <v/>
      </c>
      <c r="K81" t="str">
        <f ca="1">IFERROR(IF(0=LEN(ReferenceData!$O$81),"",ReferenceData!$O$81),"")</f>
        <v/>
      </c>
      <c r="L81" t="str">
        <f ca="1">IFERROR(IF(0=LEN(ReferenceData!$N$81),"",ReferenceData!$N$81),"")</f>
        <v/>
      </c>
      <c r="M81" t="str">
        <f ca="1">IFERROR(IF(0=LEN(ReferenceData!$M$81),"",ReferenceData!$M$81),"")</f>
        <v/>
      </c>
      <c r="N81" t="str">
        <f ca="1">IFERROR(IF(0=LEN(ReferenceData!$L$81),"",ReferenceData!$L$81),"")</f>
        <v/>
      </c>
      <c r="O81" t="str">
        <f ca="1">IFERROR(IF(0=LEN(ReferenceData!$K$81),"",ReferenceData!$K$81),"")</f>
        <v/>
      </c>
      <c r="P81" t="str">
        <f ca="1">IFERROR(IF(0=LEN(ReferenceData!$J$81),"",ReferenceData!$J$81),"")</f>
        <v/>
      </c>
      <c r="Q81" t="str">
        <f ca="1">IFERROR(IF(0=LEN(ReferenceData!$I$81),"",ReferenceData!$I$81),"")</f>
        <v/>
      </c>
      <c r="R81" t="str">
        <f ca="1">IFERROR(IF(0=LEN(ReferenceData!$H$81),"",ReferenceData!$H$81),"")</f>
        <v/>
      </c>
      <c r="S81" t="str">
        <f ca="1">IFERROR(IF(0=LEN(ReferenceData!$G$81),"",ReferenceData!$G$81),"")</f>
        <v/>
      </c>
      <c r="T81" t="str">
        <f ca="1">IFERROR(IF(0=LEN(ReferenceData!$F$81),"",ReferenceData!$F$81),"")</f>
        <v/>
      </c>
    </row>
    <row r="82" spans="1:20" x14ac:dyDescent="0.25">
      <c r="A82" t="str">
        <f>IFERROR(IF(0=LEN(ReferenceData!$A$82),"",ReferenceData!$A$82),"")</f>
        <v xml:space="preserve">        North America</v>
      </c>
      <c r="B82" t="str">
        <f>IFERROR(IF(0=LEN(ReferenceData!$B$82),"",ReferenceData!$B$82),"")</f>
        <v>INFY US Equity</v>
      </c>
      <c r="C82" t="str">
        <f>IFERROR(IF(0=LEN(ReferenceData!$C$82),"",ReferenceData!$C$82),"")</f>
        <v>BI047</v>
      </c>
      <c r="D82" t="str">
        <f>IFERROR(IF(0=LEN(ReferenceData!$D$82),"",ReferenceData!$D$82),"")</f>
        <v>BICS_SEGMENT_DATA</v>
      </c>
      <c r="E82" t="str">
        <f>IFERROR(IF(0=LEN(ReferenceData!$E$82),"",ReferenceData!$E$82),"")</f>
        <v>Dynamic</v>
      </c>
      <c r="F82">
        <f ca="1">IFERROR(IF(0=LEN(ReferenceData!$T$82),"",ReferenceData!$T$82),"")</f>
        <v>1393.7441839999999</v>
      </c>
      <c r="G82">
        <f ca="1">IFERROR(IF(0=LEN(ReferenceData!$S$82),"",ReferenceData!$S$82),"")</f>
        <v>1945.7821349999999</v>
      </c>
      <c r="H82">
        <f ca="1">IFERROR(IF(0=LEN(ReferenceData!$R$82),"",ReferenceData!$R$82),"")</f>
        <v>2573.167512</v>
      </c>
      <c r="I82">
        <f ca="1">IFERROR(IF(0=LEN(ReferenceData!$Q$82),"",ReferenceData!$Q$82),"")</f>
        <v>3008.6622670000002</v>
      </c>
      <c r="J82">
        <f ca="1">IFERROR(IF(0=LEN(ReferenceData!$P$82),"",ReferenceData!$P$82),"")</f>
        <v>3160.6711639999999</v>
      </c>
      <c r="K82">
        <f ca="1">IFERROR(IF(0=LEN(ReferenceData!$O$82),"",ReferenceData!$O$82),"")</f>
        <v>3942.5040389999999</v>
      </c>
      <c r="L82">
        <f ca="1">IFERROR(IF(0=LEN(ReferenceData!$N$82),"",ReferenceData!$N$82),"")</f>
        <v>4510.4188770000001</v>
      </c>
      <c r="M82">
        <f ca="1">IFERROR(IF(0=LEN(ReferenceData!$M$82),"",ReferenceData!$M$82),"")</f>
        <v>4616.0818810000001</v>
      </c>
      <c r="N82">
        <f ca="1">IFERROR(IF(0=LEN(ReferenceData!$L$82),"",ReferenceData!$L$82),"")</f>
        <v>5037.1177109999999</v>
      </c>
      <c r="O82">
        <f ca="1">IFERROR(IF(0=LEN(ReferenceData!$K$82),"",ReferenceData!$K$82),"")</f>
        <v>5365.1230679999999</v>
      </c>
      <c r="P82">
        <f ca="1">IFERROR(IF(0=LEN(ReferenceData!$J$82),"",ReferenceData!$J$82),"")</f>
        <v>5984.3790710000003</v>
      </c>
      <c r="Q82">
        <f ca="1">IFERROR(IF(0=LEN(ReferenceData!$I$82),"",ReferenceData!$I$82),"")</f>
        <v>6325.7234129999997</v>
      </c>
      <c r="R82">
        <f ca="1">IFERROR(IF(0=LEN(ReferenceData!$H$82),"",ReferenceData!$H$82),"")</f>
        <v>6603.9899299999997</v>
      </c>
      <c r="S82">
        <f ca="1">IFERROR(IF(0=LEN(ReferenceData!$G$82),"",ReferenceData!$G$82),"")</f>
        <v>7158.7448009999998</v>
      </c>
      <c r="T82">
        <f ca="1">IFERROR(IF(0=LEN(ReferenceData!$F$82),"",ReferenceData!$F$82),"")</f>
        <v>7874.0805579999997</v>
      </c>
    </row>
    <row r="83" spans="1:20" x14ac:dyDescent="0.25">
      <c r="A83" t="str">
        <f>IFERROR(IF(0=LEN(ReferenceData!$A$83),"",ReferenceData!$A$83),"")</f>
        <v xml:space="preserve">        Europe</v>
      </c>
      <c r="B83" t="str">
        <f>IFERROR(IF(0=LEN(ReferenceData!$B$83),"",ReferenceData!$B$83),"")</f>
        <v>INFY US Equity</v>
      </c>
      <c r="C83" t="str">
        <f>IFERROR(IF(0=LEN(ReferenceData!$C$83),"",ReferenceData!$C$83),"")</f>
        <v>BI047</v>
      </c>
      <c r="D83" t="str">
        <f>IFERROR(IF(0=LEN(ReferenceData!$D$83),"",ReferenceData!$D$83),"")</f>
        <v>BICS_SEGMENT_DATA</v>
      </c>
      <c r="E83" t="str">
        <f>IFERROR(IF(0=LEN(ReferenceData!$E$83),"",ReferenceData!$E$83),"")</f>
        <v>Dynamic</v>
      </c>
      <c r="F83">
        <f ca="1">IFERROR(IF(0=LEN(ReferenceData!$T$83),"",ReferenceData!$T$83),"")</f>
        <v>528.07719810000003</v>
      </c>
      <c r="G83">
        <f ca="1">IFERROR(IF(0=LEN(ReferenceData!$S$83),"",ReferenceData!$S$83),"")</f>
        <v>809.96884139999997</v>
      </c>
      <c r="H83">
        <f ca="1">IFERROR(IF(0=LEN(ReferenceData!$R$83),"",ReferenceData!$R$83),"")</f>
        <v>1164.377569</v>
      </c>
      <c r="I83">
        <f ca="1">IFERROR(IF(0=LEN(ReferenceData!$Q$83),"",ReferenceData!$Q$83),"")</f>
        <v>1249.5936400000001</v>
      </c>
      <c r="J83">
        <f ca="1">IFERROR(IF(0=LEN(ReferenceData!$P$83),"",ReferenceData!$P$83),"")</f>
        <v>1105.5593699999999</v>
      </c>
      <c r="K83">
        <f ca="1">IFERROR(IF(0=LEN(ReferenceData!$O$83),"",ReferenceData!$O$83),"")</f>
        <v>1301.215138</v>
      </c>
      <c r="L83">
        <f ca="1">IFERROR(IF(0=LEN(ReferenceData!$N$83),"",ReferenceData!$N$83),"")</f>
        <v>1549.9656460000001</v>
      </c>
      <c r="M83">
        <f ca="1">IFERROR(IF(0=LEN(ReferenceData!$M$83),"",ReferenceData!$M$83),"")</f>
        <v>1717.124352</v>
      </c>
      <c r="N83">
        <f ca="1">IFERROR(IF(0=LEN(ReferenceData!$L$83),"",ReferenceData!$L$83),"")</f>
        <v>2028.8919860000001</v>
      </c>
      <c r="O83">
        <f ca="1">IFERROR(IF(0=LEN(ReferenceData!$K$83),"",ReferenceData!$K$83),"")</f>
        <v>2098.8340499999999</v>
      </c>
      <c r="P83">
        <f ca="1">IFERROR(IF(0=LEN(ReferenceData!$J$83),"",ReferenceData!$J$83),"")</f>
        <v>2197.6412369999998</v>
      </c>
      <c r="Q83">
        <f ca="1">IFERROR(IF(0=LEN(ReferenceData!$I$83),"",ReferenceData!$I$83),"")</f>
        <v>2295.9237589999998</v>
      </c>
      <c r="R83">
        <f ca="1">IFERROR(IF(0=LEN(ReferenceData!$H$83),"",ReferenceData!$H$83),"")</f>
        <v>2596.3026060000002</v>
      </c>
      <c r="S83">
        <f ca="1">IFERROR(IF(0=LEN(ReferenceData!$G$83),"",ReferenceData!$G$83),"")</f>
        <v>2853.0254770000001</v>
      </c>
      <c r="T83">
        <f ca="1">IFERROR(IF(0=LEN(ReferenceData!$F$83),"",ReferenceData!$F$83),"")</f>
        <v>3092.2348360000001</v>
      </c>
    </row>
    <row r="84" spans="1:20" x14ac:dyDescent="0.25">
      <c r="A84" t="str">
        <f>IFERROR(IF(0=LEN(ReferenceData!$A$84),"",ReferenceData!$A$84),"")</f>
        <v xml:space="preserve">        India</v>
      </c>
      <c r="B84" t="str">
        <f>IFERROR(IF(0=LEN(ReferenceData!$B$84),"",ReferenceData!$B$84),"")</f>
        <v>INFY US Equity</v>
      </c>
      <c r="C84" t="str">
        <f>IFERROR(IF(0=LEN(ReferenceData!$C$84),"",ReferenceData!$C$84),"")</f>
        <v>BI047</v>
      </c>
      <c r="D84" t="str">
        <f>IFERROR(IF(0=LEN(ReferenceData!$D$84),"",ReferenceData!$D$84),"")</f>
        <v>BICS_SEGMENT_DATA</v>
      </c>
      <c r="E84" t="str">
        <f>IFERROR(IF(0=LEN(ReferenceData!$E$84),"",ReferenceData!$E$84),"")</f>
        <v>Dynamic</v>
      </c>
      <c r="F84">
        <f ca="1">IFERROR(IF(0=LEN(ReferenceData!$T$84),"",ReferenceData!$T$84),"")</f>
        <v>37.284012709999999</v>
      </c>
      <c r="G84">
        <f ca="1">IFERROR(IF(0=LEN(ReferenceData!$S$84),"",ReferenceData!$S$84),"")</f>
        <v>47.528193479999999</v>
      </c>
      <c r="H84">
        <f ca="1">IFERROR(IF(0=LEN(ReferenceData!$R$84),"",ReferenceData!$R$84),"")</f>
        <v>54.45199393</v>
      </c>
      <c r="I84">
        <f ca="1">IFERROR(IF(0=LEN(ReferenceData!$Q$84),"",ReferenceData!$Q$84),"")</f>
        <v>62.205888459999997</v>
      </c>
      <c r="J84">
        <f ca="1">IFERROR(IF(0=LEN(ReferenceData!$P$84),"",ReferenceData!$P$84),"")</f>
        <v>56.998478120000001</v>
      </c>
      <c r="K84">
        <f ca="1">IFERROR(IF(0=LEN(ReferenceData!$O$84),"",ReferenceData!$O$84),"")</f>
        <v>131.5046174</v>
      </c>
      <c r="L84">
        <f ca="1">IFERROR(IF(0=LEN(ReferenceData!$N$84),"",ReferenceData!$N$84),"")</f>
        <v>156.65103400000001</v>
      </c>
      <c r="M84">
        <f ca="1">IFERROR(IF(0=LEN(ReferenceData!$M$84),"",ReferenceData!$M$84),"")</f>
        <v>154.6478453</v>
      </c>
      <c r="N84">
        <f ca="1">IFERROR(IF(0=LEN(ReferenceData!$L$84),"",ReferenceData!$L$84),"")</f>
        <v>214.31724320000001</v>
      </c>
      <c r="O84">
        <f ca="1">IFERROR(IF(0=LEN(ReferenceData!$K$84),"",ReferenceData!$K$84),"")</f>
        <v>210.06336580000001</v>
      </c>
      <c r="P84">
        <f ca="1">IFERROR(IF(0=LEN(ReferenceData!$J$84),"",ReferenceData!$J$84),"")</f>
        <v>248.15777700000001</v>
      </c>
      <c r="Q84">
        <f ca="1">IFERROR(IF(0=LEN(ReferenceData!$I$84),"",ReferenceData!$I$84),"")</f>
        <v>325.176312</v>
      </c>
      <c r="R84">
        <f ca="1">IFERROR(IF(0=LEN(ReferenceData!$H$84),"",ReferenceData!$H$84),"")</f>
        <v>346.05993030000002</v>
      </c>
      <c r="S84">
        <f ca="1">IFERROR(IF(0=LEN(ReferenceData!$G$84),"",ReferenceData!$G$84),"")</f>
        <v>292.99950740000003</v>
      </c>
      <c r="T84">
        <f ca="1">IFERROR(IF(0=LEN(ReferenceData!$F$84),"",ReferenceData!$F$84),"")</f>
        <v>333.68933140000001</v>
      </c>
    </row>
    <row r="85" spans="1:20" x14ac:dyDescent="0.25">
      <c r="A85" t="str">
        <f>IFERROR(IF(0=LEN(ReferenceData!$A$85),"",ReferenceData!$A$85),"")</f>
        <v xml:space="preserve">        Rest of World</v>
      </c>
      <c r="B85" t="str">
        <f>IFERROR(IF(0=LEN(ReferenceData!$B$85),"",ReferenceData!$B$85),"")</f>
        <v>INFY US Equity</v>
      </c>
      <c r="C85" t="str">
        <f>IFERROR(IF(0=LEN(ReferenceData!$C$85),"",ReferenceData!$C$85),"")</f>
        <v>BI047</v>
      </c>
      <c r="D85" t="str">
        <f>IFERROR(IF(0=LEN(ReferenceData!$D$85),"",ReferenceData!$D$85),"")</f>
        <v>BICS_SEGMENT_DATA</v>
      </c>
      <c r="E85" t="str">
        <f>IFERROR(IF(0=LEN(ReferenceData!$E$85),"",ReferenceData!$E$85),"")</f>
        <v>Dynamic</v>
      </c>
      <c r="F85">
        <f ca="1">IFERROR(IF(0=LEN(ReferenceData!$T$85),"",ReferenceData!$T$85),"")</f>
        <v>192.29512009999999</v>
      </c>
      <c r="G85">
        <f ca="1">IFERROR(IF(0=LEN(ReferenceData!$S$85),"",ReferenceData!$S$85),"")</f>
        <v>267.92637439999999</v>
      </c>
      <c r="H85">
        <f ca="1">IFERROR(IF(0=LEN(ReferenceData!$R$85),"",ReferenceData!$R$85),"")</f>
        <v>358.28914730000002</v>
      </c>
      <c r="I85">
        <f ca="1">IFERROR(IF(0=LEN(ReferenceData!$Q$85),"",ReferenceData!$Q$85),"")</f>
        <v>431.0605228</v>
      </c>
      <c r="J85">
        <f ca="1">IFERROR(IF(0=LEN(ReferenceData!$P$85),"",ReferenceData!$P$85),"")</f>
        <v>477.73168879999997</v>
      </c>
      <c r="K85">
        <f ca="1">IFERROR(IF(0=LEN(ReferenceData!$O$85),"",ReferenceData!$O$85),"")</f>
        <v>662.35297279999997</v>
      </c>
      <c r="L85">
        <f ca="1">IFERROR(IF(0=LEN(ReferenceData!$N$85),"",ReferenceData!$N$85),"")</f>
        <v>847.75853710000001</v>
      </c>
      <c r="M85">
        <f ca="1">IFERROR(IF(0=LEN(ReferenceData!$M$85),"",ReferenceData!$M$85),"")</f>
        <v>932.3003281</v>
      </c>
      <c r="N85">
        <f ca="1">IFERROR(IF(0=LEN(ReferenceData!$L$85),"",ReferenceData!$L$85),"")</f>
        <v>1022.8928079999999</v>
      </c>
      <c r="O85">
        <f ca="1">IFERROR(IF(0=LEN(ReferenceData!$K$85),"",ReferenceData!$K$85),"")</f>
        <v>1049.0080230000001</v>
      </c>
      <c r="P85">
        <f ca="1">IFERROR(IF(0=LEN(ReferenceData!$J$85),"",ReferenceData!$J$85),"")</f>
        <v>1117.0922479999999</v>
      </c>
      <c r="Q85">
        <f ca="1">IFERROR(IF(0=LEN(ReferenceData!$I$85),"",ReferenceData!$I$85),"")</f>
        <v>1268.485944</v>
      </c>
      <c r="R85">
        <f ca="1">IFERROR(IF(0=LEN(ReferenceData!$H$85),"",ReferenceData!$H$85),"")</f>
        <v>1392.615892</v>
      </c>
      <c r="S85">
        <f ca="1">IFERROR(IF(0=LEN(ReferenceData!$G$85),"",ReferenceData!$G$85),"")</f>
        <v>1523.225467</v>
      </c>
      <c r="T85">
        <f ca="1">IFERROR(IF(0=LEN(ReferenceData!$F$85),"",ReferenceData!$F$85),"")</f>
        <v>1510.13823</v>
      </c>
    </row>
    <row r="86" spans="1:20" x14ac:dyDescent="0.25">
      <c r="A86" t="str">
        <f>IFERROR(IF(0=LEN(ReferenceData!$A$86),"",ReferenceData!$A$86),"")</f>
        <v/>
      </c>
      <c r="B86" t="str">
        <f>IFERROR(IF(0=LEN(ReferenceData!$B$86),"",ReferenceData!$B$86),"")</f>
        <v/>
      </c>
      <c r="C86" t="str">
        <f>IFERROR(IF(0=LEN(ReferenceData!$C$86),"",ReferenceData!$C$86),"")</f>
        <v/>
      </c>
      <c r="D86" t="str">
        <f>IFERROR(IF(0=LEN(ReferenceData!$D$86),"",ReferenceData!$D$86),"")</f>
        <v/>
      </c>
      <c r="E86" t="str">
        <f>IFERROR(IF(0=LEN(ReferenceData!$E$86),"",ReferenceData!$E$86),"")</f>
        <v>Static</v>
      </c>
      <c r="F86" t="str">
        <f ca="1">IFERROR(IF(0=LEN(ReferenceData!$T$86),"",ReferenceData!$T$86),"")</f>
        <v/>
      </c>
      <c r="G86" t="str">
        <f ca="1">IFERROR(IF(0=LEN(ReferenceData!$S$86),"",ReferenceData!$S$86),"")</f>
        <v/>
      </c>
      <c r="H86" t="str">
        <f ca="1">IFERROR(IF(0=LEN(ReferenceData!$R$86),"",ReferenceData!$R$86),"")</f>
        <v/>
      </c>
      <c r="I86" t="str">
        <f ca="1">IFERROR(IF(0=LEN(ReferenceData!$Q$86),"",ReferenceData!$Q$86),"")</f>
        <v/>
      </c>
      <c r="J86" t="str">
        <f ca="1">IFERROR(IF(0=LEN(ReferenceData!$P$86),"",ReferenceData!$P$86),"")</f>
        <v/>
      </c>
      <c r="K86" t="str">
        <f ca="1">IFERROR(IF(0=LEN(ReferenceData!$O$86),"",ReferenceData!$O$86),"")</f>
        <v/>
      </c>
      <c r="L86" t="str">
        <f ca="1">IFERROR(IF(0=LEN(ReferenceData!$N$86),"",ReferenceData!$N$86),"")</f>
        <v/>
      </c>
      <c r="M86" t="str">
        <f ca="1">IFERROR(IF(0=LEN(ReferenceData!$M$86),"",ReferenceData!$M$86),"")</f>
        <v/>
      </c>
      <c r="N86" t="str">
        <f ca="1">IFERROR(IF(0=LEN(ReferenceData!$L$86),"",ReferenceData!$L$86),"")</f>
        <v/>
      </c>
      <c r="O86" t="str">
        <f ca="1">IFERROR(IF(0=LEN(ReferenceData!$K$86),"",ReferenceData!$K$86),"")</f>
        <v/>
      </c>
      <c r="P86" t="str">
        <f ca="1">IFERROR(IF(0=LEN(ReferenceData!$J$86),"",ReferenceData!$J$86),"")</f>
        <v/>
      </c>
      <c r="Q86" t="str">
        <f ca="1">IFERROR(IF(0=LEN(ReferenceData!$I$86),"",ReferenceData!$I$86),"")</f>
        <v/>
      </c>
      <c r="R86" t="str">
        <f ca="1">IFERROR(IF(0=LEN(ReferenceData!$H$86),"",ReferenceData!$H$86),"")</f>
        <v/>
      </c>
      <c r="S86" t="str">
        <f ca="1">IFERROR(IF(0=LEN(ReferenceData!$G$86),"",ReferenceData!$G$86),"")</f>
        <v/>
      </c>
      <c r="T86" t="str">
        <f ca="1">IFERROR(IF(0=LEN(ReferenceData!$F$86),"",ReferenceData!$F$86),"")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BB81-382F-465B-912E-E7F76C031954}">
  <dimension ref="A2:T86"/>
  <sheetViews>
    <sheetView workbookViewId="0">
      <selection sqref="A1:XFD1048576"/>
    </sheetView>
  </sheetViews>
  <sheetFormatPr defaultRowHeight="15" x14ac:dyDescent="0.25"/>
  <sheetData>
    <row r="2" spans="1:20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</row>
    <row r="3" spans="1:20" x14ac:dyDescent="0.25">
      <c r="A3" t="s">
        <v>48</v>
      </c>
      <c r="B3" t="s">
        <v>49</v>
      </c>
      <c r="C3" t="s">
        <v>49</v>
      </c>
      <c r="D3" t="s">
        <v>49</v>
      </c>
      <c r="E3" t="s">
        <v>50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49</v>
      </c>
      <c r="T3" t="s">
        <v>49</v>
      </c>
    </row>
    <row r="4" spans="1:20" x14ac:dyDescent="0.25">
      <c r="A4" t="s">
        <v>49</v>
      </c>
      <c r="B4" t="s">
        <v>49</v>
      </c>
      <c r="C4" t="s">
        <v>49</v>
      </c>
      <c r="D4" t="s">
        <v>49</v>
      </c>
      <c r="E4" t="s">
        <v>50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  <c r="S4" t="s">
        <v>49</v>
      </c>
      <c r="T4" t="s">
        <v>49</v>
      </c>
    </row>
    <row r="5" spans="1:20" x14ac:dyDescent="0.25">
      <c r="A5" t="s">
        <v>51</v>
      </c>
      <c r="B5" t="s">
        <v>49</v>
      </c>
      <c r="C5" t="s">
        <v>49</v>
      </c>
      <c r="D5" t="s">
        <v>49</v>
      </c>
      <c r="E5" t="s">
        <v>52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49</v>
      </c>
    </row>
    <row r="6" spans="1:20" x14ac:dyDescent="0.25">
      <c r="A6" t="s">
        <v>53</v>
      </c>
      <c r="B6" t="s">
        <v>49</v>
      </c>
      <c r="C6" t="s">
        <v>49</v>
      </c>
      <c r="D6" t="s">
        <v>49</v>
      </c>
      <c r="E6" t="s">
        <v>50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49</v>
      </c>
    </row>
    <row r="7" spans="1:20" x14ac:dyDescent="0.25">
      <c r="A7" t="s">
        <v>54</v>
      </c>
      <c r="B7" t="s">
        <v>49</v>
      </c>
      <c r="C7" t="s">
        <v>49</v>
      </c>
      <c r="D7" t="s">
        <v>49</v>
      </c>
      <c r="E7" t="s">
        <v>52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</row>
    <row r="8" spans="1:20" x14ac:dyDescent="0.25">
      <c r="A8" t="s">
        <v>55</v>
      </c>
      <c r="B8" t="s">
        <v>56</v>
      </c>
      <c r="C8" t="s">
        <v>57</v>
      </c>
      <c r="D8" t="s">
        <v>58</v>
      </c>
      <c r="E8" t="s">
        <v>59</v>
      </c>
      <c r="F8">
        <v>33.540917159999999</v>
      </c>
      <c r="G8">
        <v>45.919546269999998</v>
      </c>
      <c r="H8">
        <v>20.146836539999999</v>
      </c>
      <c r="I8">
        <v>29.960460099999999</v>
      </c>
      <c r="J8">
        <v>4.8356612730000004</v>
      </c>
      <c r="K8">
        <v>20.926039930000002</v>
      </c>
      <c r="L8">
        <v>22.664630379999998</v>
      </c>
      <c r="M8">
        <v>19.618189359999999</v>
      </c>
      <c r="N8">
        <v>24.239195079999998</v>
      </c>
      <c r="O8">
        <v>6.355095446</v>
      </c>
      <c r="P8">
        <v>17.108347869999999</v>
      </c>
      <c r="Q8">
        <v>9.6779359720000002</v>
      </c>
      <c r="R8">
        <v>2.9758775769999999</v>
      </c>
      <c r="S8">
        <v>17.23292022</v>
      </c>
      <c r="T8">
        <v>9.8167523439999993</v>
      </c>
    </row>
    <row r="9" spans="1:20" x14ac:dyDescent="0.25">
      <c r="A9" t="s">
        <v>60</v>
      </c>
      <c r="B9" t="s">
        <v>49</v>
      </c>
      <c r="C9" t="s">
        <v>49</v>
      </c>
      <c r="D9" t="s">
        <v>49</v>
      </c>
      <c r="E9" t="s">
        <v>50</v>
      </c>
      <c r="F9" t="s">
        <v>49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49</v>
      </c>
      <c r="S9" t="s">
        <v>49</v>
      </c>
      <c r="T9" t="s">
        <v>49</v>
      </c>
    </row>
    <row r="10" spans="1:20" x14ac:dyDescent="0.25">
      <c r="A10" t="s">
        <v>61</v>
      </c>
      <c r="B10" t="s">
        <v>62</v>
      </c>
      <c r="C10" t="s">
        <v>63</v>
      </c>
      <c r="D10" t="s">
        <v>64</v>
      </c>
      <c r="E10" t="s">
        <v>59</v>
      </c>
      <c r="F10" t="s">
        <v>49</v>
      </c>
      <c r="G10" t="s">
        <v>49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>
        <v>7.1</v>
      </c>
      <c r="S10" t="s">
        <v>49</v>
      </c>
      <c r="T10" t="s">
        <v>49</v>
      </c>
    </row>
    <row r="11" spans="1:20" x14ac:dyDescent="0.25">
      <c r="A11" t="s">
        <v>65</v>
      </c>
      <c r="B11" t="s">
        <v>62</v>
      </c>
      <c r="C11" t="s">
        <v>63</v>
      </c>
      <c r="D11" t="s">
        <v>64</v>
      </c>
      <c r="E11" t="s">
        <v>59</v>
      </c>
      <c r="F11" t="s">
        <v>49</v>
      </c>
      <c r="G11" t="s">
        <v>49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>
        <v>3.3</v>
      </c>
      <c r="S11" t="s">
        <v>49</v>
      </c>
      <c r="T11" t="s">
        <v>49</v>
      </c>
    </row>
    <row r="12" spans="1:20" x14ac:dyDescent="0.25">
      <c r="A12" t="s">
        <v>66</v>
      </c>
      <c r="B12" t="s">
        <v>62</v>
      </c>
      <c r="C12" t="s">
        <v>63</v>
      </c>
      <c r="D12" t="s">
        <v>64</v>
      </c>
      <c r="E12" t="s">
        <v>59</v>
      </c>
      <c r="F12" t="s">
        <v>49</v>
      </c>
      <c r="G12" t="s">
        <v>49</v>
      </c>
      <c r="H12" t="s">
        <v>49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>
        <v>4.2</v>
      </c>
      <c r="S12" t="s">
        <v>49</v>
      </c>
      <c r="T12" t="s">
        <v>49</v>
      </c>
    </row>
    <row r="13" spans="1:20" x14ac:dyDescent="0.25">
      <c r="A13" t="s">
        <v>67</v>
      </c>
      <c r="B13" t="s">
        <v>62</v>
      </c>
      <c r="C13" t="s">
        <v>68</v>
      </c>
      <c r="D13" t="s">
        <v>69</v>
      </c>
      <c r="E13" t="s">
        <v>59</v>
      </c>
      <c r="F13" t="s">
        <v>49</v>
      </c>
      <c r="G13" t="s">
        <v>49</v>
      </c>
      <c r="H13" t="s">
        <v>49</v>
      </c>
      <c r="I13">
        <v>5.9</v>
      </c>
      <c r="J13" t="s">
        <v>49</v>
      </c>
      <c r="K13">
        <v>22.3</v>
      </c>
      <c r="L13">
        <v>22.3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  <c r="S13">
        <v>9</v>
      </c>
      <c r="T13">
        <v>9.8000000000000007</v>
      </c>
    </row>
    <row r="14" spans="1:20" x14ac:dyDescent="0.25">
      <c r="A14" t="s">
        <v>60</v>
      </c>
      <c r="B14" t="s">
        <v>49</v>
      </c>
      <c r="C14" t="s">
        <v>49</v>
      </c>
      <c r="D14" t="s">
        <v>49</v>
      </c>
      <c r="E14" t="s">
        <v>50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</row>
    <row r="15" spans="1:20" x14ac:dyDescent="0.25">
      <c r="A15" t="s">
        <v>61</v>
      </c>
      <c r="B15" t="s">
        <v>62</v>
      </c>
      <c r="C15" t="s">
        <v>63</v>
      </c>
      <c r="D15" t="s">
        <v>64</v>
      </c>
      <c r="E15" t="s">
        <v>59</v>
      </c>
      <c r="F15" t="s">
        <v>49</v>
      </c>
      <c r="G15" t="s">
        <v>49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>
        <v>5.9</v>
      </c>
      <c r="S15" t="s">
        <v>49</v>
      </c>
      <c r="T15" t="s">
        <v>49</v>
      </c>
    </row>
    <row r="16" spans="1:20" x14ac:dyDescent="0.25">
      <c r="A16" t="s">
        <v>65</v>
      </c>
      <c r="B16" t="s">
        <v>62</v>
      </c>
      <c r="C16" t="s">
        <v>63</v>
      </c>
      <c r="D16" t="s">
        <v>64</v>
      </c>
      <c r="E16" t="s">
        <v>59</v>
      </c>
      <c r="F16" t="s">
        <v>49</v>
      </c>
      <c r="G16" t="s">
        <v>49</v>
      </c>
      <c r="H16" t="s">
        <v>49</v>
      </c>
      <c r="I16" t="s">
        <v>49</v>
      </c>
      <c r="J16" t="s">
        <v>49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>
        <v>2</v>
      </c>
      <c r="S16" t="s">
        <v>49</v>
      </c>
      <c r="T16" t="s">
        <v>49</v>
      </c>
    </row>
    <row r="17" spans="1:20" x14ac:dyDescent="0.25">
      <c r="A17" t="s">
        <v>66</v>
      </c>
      <c r="B17" t="s">
        <v>62</v>
      </c>
      <c r="C17" t="s">
        <v>63</v>
      </c>
      <c r="D17" t="s">
        <v>64</v>
      </c>
      <c r="E17" t="s">
        <v>59</v>
      </c>
      <c r="F17" t="s">
        <v>49</v>
      </c>
      <c r="G17" t="s">
        <v>49</v>
      </c>
      <c r="H17" t="s">
        <v>49</v>
      </c>
      <c r="I17" t="s">
        <v>49</v>
      </c>
      <c r="J17" t="s">
        <v>49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>
        <v>3.1</v>
      </c>
      <c r="S17" t="s">
        <v>49</v>
      </c>
      <c r="T17" t="s">
        <v>49</v>
      </c>
    </row>
    <row r="18" spans="1:20" x14ac:dyDescent="0.25">
      <c r="A18" t="s">
        <v>70</v>
      </c>
      <c r="B18" t="s">
        <v>56</v>
      </c>
      <c r="C18" t="s">
        <v>71</v>
      </c>
      <c r="D18" t="s">
        <v>72</v>
      </c>
      <c r="E18" t="s">
        <v>59</v>
      </c>
      <c r="F18">
        <v>33.540917159999999</v>
      </c>
      <c r="G18">
        <v>45.919546269999998</v>
      </c>
      <c r="H18">
        <v>20.146836539999999</v>
      </c>
      <c r="I18">
        <v>29.960460099999999</v>
      </c>
      <c r="J18">
        <v>4.8356612730000004</v>
      </c>
      <c r="K18">
        <v>20.926039930000002</v>
      </c>
      <c r="L18">
        <v>22.664630379999998</v>
      </c>
      <c r="M18">
        <v>19.618189359999999</v>
      </c>
      <c r="N18">
        <v>24.239195079999998</v>
      </c>
      <c r="O18">
        <v>6.355095446</v>
      </c>
      <c r="P18">
        <v>17.108347869999999</v>
      </c>
      <c r="Q18">
        <v>9.6779359720000002</v>
      </c>
      <c r="R18">
        <v>2.9758775769999999</v>
      </c>
      <c r="S18">
        <v>17.23292022</v>
      </c>
      <c r="T18">
        <v>9.8167523439999993</v>
      </c>
    </row>
    <row r="19" spans="1:20" x14ac:dyDescent="0.25">
      <c r="A19" t="s">
        <v>60</v>
      </c>
      <c r="B19" t="s">
        <v>49</v>
      </c>
      <c r="C19" t="s">
        <v>49</v>
      </c>
      <c r="D19" t="s">
        <v>49</v>
      </c>
      <c r="E19" t="s">
        <v>50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</row>
    <row r="20" spans="1:20" x14ac:dyDescent="0.25">
      <c r="A20" t="s">
        <v>73</v>
      </c>
      <c r="B20" t="s">
        <v>62</v>
      </c>
      <c r="C20" t="s">
        <v>74</v>
      </c>
      <c r="D20" t="s">
        <v>75</v>
      </c>
      <c r="E20" t="s">
        <v>59</v>
      </c>
      <c r="F20" t="s">
        <v>49</v>
      </c>
      <c r="G20" t="s">
        <v>49</v>
      </c>
      <c r="H20" t="s">
        <v>49</v>
      </c>
      <c r="I20" t="s">
        <v>49</v>
      </c>
      <c r="J20" t="s">
        <v>49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49</v>
      </c>
      <c r="S20" t="s">
        <v>49</v>
      </c>
      <c r="T20" t="s">
        <v>49</v>
      </c>
    </row>
    <row r="21" spans="1:20" x14ac:dyDescent="0.25">
      <c r="A21" t="s">
        <v>60</v>
      </c>
      <c r="B21" t="s">
        <v>49</v>
      </c>
      <c r="C21" t="s">
        <v>49</v>
      </c>
      <c r="D21" t="s">
        <v>49</v>
      </c>
      <c r="E21" t="s">
        <v>50</v>
      </c>
      <c r="F21" t="s">
        <v>49</v>
      </c>
      <c r="G21" t="s">
        <v>49</v>
      </c>
      <c r="H21" t="s">
        <v>49</v>
      </c>
      <c r="I21" t="s">
        <v>49</v>
      </c>
      <c r="J21" t="s">
        <v>49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49</v>
      </c>
      <c r="S21" t="s">
        <v>49</v>
      </c>
      <c r="T21" t="s">
        <v>49</v>
      </c>
    </row>
    <row r="22" spans="1:20" x14ac:dyDescent="0.25">
      <c r="A22" t="s">
        <v>53</v>
      </c>
      <c r="B22" t="s">
        <v>49</v>
      </c>
      <c r="C22" t="s">
        <v>49</v>
      </c>
      <c r="D22" t="s">
        <v>49</v>
      </c>
      <c r="E22" t="s">
        <v>50</v>
      </c>
      <c r="F22" t="s">
        <v>49</v>
      </c>
      <c r="G22" t="s">
        <v>49</v>
      </c>
      <c r="H22" t="s">
        <v>49</v>
      </c>
      <c r="I22" t="s">
        <v>49</v>
      </c>
      <c r="J22" t="s">
        <v>49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49</v>
      </c>
      <c r="S22" t="s">
        <v>49</v>
      </c>
      <c r="T22" t="s">
        <v>49</v>
      </c>
    </row>
    <row r="23" spans="1:20" x14ac:dyDescent="0.25">
      <c r="A23" t="s">
        <v>76</v>
      </c>
      <c r="B23" t="s">
        <v>49</v>
      </c>
      <c r="C23" t="s">
        <v>49</v>
      </c>
      <c r="D23" t="s">
        <v>49</v>
      </c>
      <c r="E23" t="s">
        <v>50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49</v>
      </c>
      <c r="S23" t="s">
        <v>49</v>
      </c>
      <c r="T23" t="s">
        <v>49</v>
      </c>
    </row>
    <row r="24" spans="1:20" x14ac:dyDescent="0.25">
      <c r="A24" t="s">
        <v>77</v>
      </c>
      <c r="B24" t="s">
        <v>56</v>
      </c>
      <c r="C24" t="s">
        <v>78</v>
      </c>
      <c r="D24" t="s">
        <v>79</v>
      </c>
      <c r="E24" t="s">
        <v>59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49</v>
      </c>
      <c r="S24">
        <v>3690.6778770000001</v>
      </c>
      <c r="T24">
        <v>5025.3754410000001</v>
      </c>
    </row>
    <row r="25" spans="1:20" x14ac:dyDescent="0.25">
      <c r="A25" t="s">
        <v>80</v>
      </c>
      <c r="B25" t="s">
        <v>62</v>
      </c>
      <c r="C25" t="s">
        <v>49</v>
      </c>
      <c r="D25" t="s">
        <v>49</v>
      </c>
      <c r="E25" t="s">
        <v>81</v>
      </c>
      <c r="F25" t="s">
        <v>49</v>
      </c>
      <c r="G25" t="s">
        <v>49</v>
      </c>
      <c r="H25" t="s">
        <v>49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49</v>
      </c>
      <c r="S25">
        <v>31.20290293</v>
      </c>
      <c r="T25">
        <v>39.229659329999997</v>
      </c>
    </row>
    <row r="26" spans="1:20" x14ac:dyDescent="0.25">
      <c r="A26" t="s">
        <v>82</v>
      </c>
      <c r="B26" t="s">
        <v>62</v>
      </c>
      <c r="C26" t="s">
        <v>83</v>
      </c>
      <c r="D26" t="s">
        <v>84</v>
      </c>
      <c r="E26" t="s">
        <v>59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49</v>
      </c>
      <c r="S26" t="s">
        <v>49</v>
      </c>
      <c r="T26">
        <v>37.799999999999997</v>
      </c>
    </row>
    <row r="27" spans="1:20" x14ac:dyDescent="0.25">
      <c r="A27" t="s">
        <v>53</v>
      </c>
      <c r="B27" t="s">
        <v>49</v>
      </c>
      <c r="C27" t="s">
        <v>49</v>
      </c>
      <c r="D27" t="s">
        <v>49</v>
      </c>
      <c r="E27" t="s">
        <v>50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49</v>
      </c>
      <c r="S27" t="s">
        <v>49</v>
      </c>
      <c r="T27" t="s">
        <v>49</v>
      </c>
    </row>
    <row r="28" spans="1:20" x14ac:dyDescent="0.25">
      <c r="A28" t="s">
        <v>85</v>
      </c>
      <c r="B28" t="s">
        <v>49</v>
      </c>
      <c r="C28" t="s">
        <v>49</v>
      </c>
      <c r="D28" t="s">
        <v>49</v>
      </c>
      <c r="E28" t="s">
        <v>50</v>
      </c>
      <c r="F28" t="s">
        <v>49</v>
      </c>
      <c r="G28" t="s">
        <v>49</v>
      </c>
      <c r="H28" t="s">
        <v>49</v>
      </c>
      <c r="I28" t="s">
        <v>49</v>
      </c>
      <c r="J28" t="s">
        <v>49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49</v>
      </c>
      <c r="S28" t="s">
        <v>49</v>
      </c>
      <c r="T28" t="s">
        <v>49</v>
      </c>
    </row>
    <row r="29" spans="1:20" x14ac:dyDescent="0.25">
      <c r="A29" t="s">
        <v>86</v>
      </c>
      <c r="B29" t="s">
        <v>62</v>
      </c>
      <c r="C29" t="s">
        <v>87</v>
      </c>
      <c r="D29" t="s">
        <v>88</v>
      </c>
      <c r="E29" t="s">
        <v>59</v>
      </c>
      <c r="F29">
        <v>52715</v>
      </c>
      <c r="G29">
        <v>59831</v>
      </c>
      <c r="H29">
        <v>73490</v>
      </c>
      <c r="I29">
        <v>85851</v>
      </c>
      <c r="J29">
        <v>113800</v>
      </c>
      <c r="K29">
        <v>130820</v>
      </c>
      <c r="L29">
        <v>149994</v>
      </c>
      <c r="M29">
        <v>156688</v>
      </c>
      <c r="N29">
        <v>160405</v>
      </c>
      <c r="O29">
        <v>176187</v>
      </c>
      <c r="P29">
        <v>194044</v>
      </c>
      <c r="Q29">
        <v>200364</v>
      </c>
      <c r="R29">
        <v>204107</v>
      </c>
      <c r="S29">
        <v>228123</v>
      </c>
      <c r="T29">
        <v>242371</v>
      </c>
    </row>
    <row r="30" spans="1:20" x14ac:dyDescent="0.25">
      <c r="A30" t="s">
        <v>89</v>
      </c>
      <c r="B30" t="s">
        <v>62</v>
      </c>
      <c r="C30" t="s">
        <v>90</v>
      </c>
      <c r="D30" t="s">
        <v>91</v>
      </c>
      <c r="E30" t="s">
        <v>59</v>
      </c>
      <c r="F30">
        <v>3293</v>
      </c>
      <c r="G30">
        <v>2809</v>
      </c>
      <c r="H30">
        <v>18946</v>
      </c>
      <c r="I30">
        <v>13663</v>
      </c>
      <c r="J30">
        <v>8946</v>
      </c>
      <c r="K30">
        <v>17024</v>
      </c>
      <c r="L30">
        <v>17024</v>
      </c>
      <c r="M30">
        <v>6694</v>
      </c>
      <c r="N30">
        <v>3717</v>
      </c>
      <c r="O30">
        <v>15782</v>
      </c>
      <c r="P30">
        <v>17857</v>
      </c>
      <c r="Q30">
        <v>6320</v>
      </c>
      <c r="R30">
        <v>3743</v>
      </c>
      <c r="S30" t="s">
        <v>49</v>
      </c>
      <c r="T30" t="s">
        <v>49</v>
      </c>
    </row>
    <row r="31" spans="1:20" x14ac:dyDescent="0.25">
      <c r="A31" t="s">
        <v>92</v>
      </c>
      <c r="B31" t="s">
        <v>62</v>
      </c>
      <c r="C31" t="s">
        <v>93</v>
      </c>
      <c r="D31" t="s">
        <v>94</v>
      </c>
      <c r="E31" t="s">
        <v>59</v>
      </c>
      <c r="F31">
        <v>11.2</v>
      </c>
      <c r="G31">
        <v>13.7</v>
      </c>
      <c r="H31">
        <v>13.4</v>
      </c>
      <c r="I31">
        <v>11.1</v>
      </c>
      <c r="J31">
        <v>13.4</v>
      </c>
      <c r="K31">
        <v>17</v>
      </c>
      <c r="L31">
        <v>17</v>
      </c>
      <c r="M31">
        <v>16.3</v>
      </c>
      <c r="N31">
        <v>18.7</v>
      </c>
      <c r="O31">
        <v>18.899999999999999</v>
      </c>
      <c r="P31">
        <v>18.7</v>
      </c>
      <c r="Q31">
        <v>19.2</v>
      </c>
      <c r="R31">
        <v>20</v>
      </c>
      <c r="S31" t="s">
        <v>49</v>
      </c>
      <c r="T31" t="s">
        <v>49</v>
      </c>
    </row>
    <row r="32" spans="1:20" x14ac:dyDescent="0.25">
      <c r="A32" t="s">
        <v>95</v>
      </c>
      <c r="B32" t="s">
        <v>62</v>
      </c>
      <c r="C32" t="s">
        <v>96</v>
      </c>
      <c r="D32" t="s">
        <v>97</v>
      </c>
      <c r="E32" t="s">
        <v>59</v>
      </c>
      <c r="F32">
        <v>77</v>
      </c>
      <c r="G32">
        <v>75.5</v>
      </c>
      <c r="H32">
        <v>75.900000000000006</v>
      </c>
      <c r="I32">
        <v>73.7</v>
      </c>
      <c r="J32">
        <v>74.400000000000006</v>
      </c>
      <c r="K32">
        <v>78.900000000000006</v>
      </c>
      <c r="L32">
        <v>78.900000000000006</v>
      </c>
      <c r="M32">
        <v>73</v>
      </c>
      <c r="N32">
        <v>77.400000000000006</v>
      </c>
      <c r="O32">
        <v>80.900000000000006</v>
      </c>
      <c r="P32">
        <v>80.599999999999994</v>
      </c>
      <c r="Q32">
        <v>81.7</v>
      </c>
      <c r="R32">
        <v>84.6</v>
      </c>
      <c r="S32">
        <v>84.3</v>
      </c>
      <c r="T32">
        <v>84</v>
      </c>
    </row>
    <row r="33" spans="1:20" x14ac:dyDescent="0.25">
      <c r="A33" t="s">
        <v>53</v>
      </c>
      <c r="B33" t="s">
        <v>49</v>
      </c>
      <c r="C33" t="s">
        <v>49</v>
      </c>
      <c r="D33" t="s">
        <v>49</v>
      </c>
      <c r="E33" t="s">
        <v>50</v>
      </c>
      <c r="F33" t="s">
        <v>49</v>
      </c>
      <c r="G33" t="s">
        <v>49</v>
      </c>
      <c r="H33" t="s">
        <v>49</v>
      </c>
      <c r="I33" t="s">
        <v>49</v>
      </c>
      <c r="J33" t="s">
        <v>49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49</v>
      </c>
      <c r="S33" t="s">
        <v>49</v>
      </c>
      <c r="T33" t="s">
        <v>49</v>
      </c>
    </row>
    <row r="34" spans="1:20" x14ac:dyDescent="0.25">
      <c r="A34" t="s">
        <v>98</v>
      </c>
      <c r="B34" t="s">
        <v>49</v>
      </c>
      <c r="C34" t="s">
        <v>49</v>
      </c>
      <c r="D34" t="s">
        <v>49</v>
      </c>
      <c r="E34" t="s">
        <v>50</v>
      </c>
      <c r="F34" t="s">
        <v>49</v>
      </c>
      <c r="G34" t="s">
        <v>49</v>
      </c>
      <c r="H34" t="s">
        <v>49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</row>
    <row r="35" spans="1:20" x14ac:dyDescent="0.25">
      <c r="A35" t="s">
        <v>99</v>
      </c>
      <c r="B35" t="s">
        <v>62</v>
      </c>
      <c r="C35" t="s">
        <v>100</v>
      </c>
      <c r="D35" t="s">
        <v>101</v>
      </c>
      <c r="E35" t="s">
        <v>59</v>
      </c>
      <c r="F35">
        <v>460</v>
      </c>
      <c r="G35">
        <v>500</v>
      </c>
      <c r="H35">
        <v>538</v>
      </c>
      <c r="I35">
        <v>579</v>
      </c>
      <c r="J35">
        <v>575</v>
      </c>
      <c r="K35">
        <v>620</v>
      </c>
      <c r="L35">
        <v>620</v>
      </c>
      <c r="M35">
        <v>798</v>
      </c>
      <c r="N35">
        <v>890</v>
      </c>
      <c r="O35">
        <v>950</v>
      </c>
      <c r="P35">
        <v>1092</v>
      </c>
      <c r="Q35">
        <v>1162</v>
      </c>
      <c r="R35">
        <v>1204</v>
      </c>
      <c r="S35">
        <v>1279</v>
      </c>
      <c r="T35">
        <v>1411</v>
      </c>
    </row>
    <row r="36" spans="1:20" x14ac:dyDescent="0.25">
      <c r="A36" t="s">
        <v>102</v>
      </c>
      <c r="B36" t="s">
        <v>62</v>
      </c>
      <c r="C36" t="s">
        <v>103</v>
      </c>
      <c r="D36" t="s">
        <v>104</v>
      </c>
      <c r="E36" t="s">
        <v>59</v>
      </c>
      <c r="F36">
        <v>144</v>
      </c>
      <c r="G36">
        <v>160</v>
      </c>
      <c r="H36">
        <v>170</v>
      </c>
      <c r="I36">
        <v>156</v>
      </c>
      <c r="J36">
        <v>141</v>
      </c>
      <c r="K36">
        <v>139</v>
      </c>
      <c r="L36">
        <v>139</v>
      </c>
      <c r="M36">
        <v>235</v>
      </c>
      <c r="N36">
        <v>238</v>
      </c>
      <c r="O36">
        <v>221</v>
      </c>
      <c r="P36">
        <v>325</v>
      </c>
      <c r="Q36">
        <v>321</v>
      </c>
      <c r="R36">
        <v>283</v>
      </c>
      <c r="S36" t="s">
        <v>49</v>
      </c>
      <c r="T36" t="s">
        <v>49</v>
      </c>
    </row>
    <row r="37" spans="1:20" x14ac:dyDescent="0.25">
      <c r="A37" t="s">
        <v>105</v>
      </c>
      <c r="B37" t="s">
        <v>49</v>
      </c>
      <c r="C37" t="s">
        <v>49</v>
      </c>
      <c r="D37" t="s">
        <v>49</v>
      </c>
      <c r="E37" t="s">
        <v>50</v>
      </c>
      <c r="F37" t="s">
        <v>49</v>
      </c>
      <c r="G37" t="s">
        <v>49</v>
      </c>
      <c r="H37" t="s">
        <v>49</v>
      </c>
      <c r="I37" t="s">
        <v>49</v>
      </c>
      <c r="J37" t="s">
        <v>49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49</v>
      </c>
      <c r="S37" t="s">
        <v>49</v>
      </c>
      <c r="T37" t="s">
        <v>49</v>
      </c>
    </row>
    <row r="38" spans="1:20" x14ac:dyDescent="0.25">
      <c r="A38" t="s">
        <v>106</v>
      </c>
      <c r="B38" t="s">
        <v>56</v>
      </c>
      <c r="C38" t="s">
        <v>107</v>
      </c>
      <c r="D38" t="s">
        <v>108</v>
      </c>
      <c r="E38" t="s">
        <v>59</v>
      </c>
      <c r="F38">
        <v>221</v>
      </c>
      <c r="G38">
        <v>275</v>
      </c>
      <c r="H38">
        <v>310</v>
      </c>
      <c r="I38">
        <v>327</v>
      </c>
      <c r="J38">
        <v>338</v>
      </c>
      <c r="K38">
        <v>366</v>
      </c>
      <c r="L38">
        <v>366</v>
      </c>
      <c r="M38">
        <v>448</v>
      </c>
      <c r="N38">
        <v>501</v>
      </c>
      <c r="O38">
        <v>529</v>
      </c>
      <c r="P38">
        <v>558</v>
      </c>
      <c r="Q38">
        <v>598</v>
      </c>
      <c r="R38">
        <v>634</v>
      </c>
      <c r="S38">
        <v>662</v>
      </c>
      <c r="T38">
        <v>718</v>
      </c>
    </row>
    <row r="39" spans="1:20" x14ac:dyDescent="0.25">
      <c r="A39" t="s">
        <v>109</v>
      </c>
      <c r="B39" t="s">
        <v>56</v>
      </c>
      <c r="C39" t="s">
        <v>110</v>
      </c>
      <c r="D39" t="s">
        <v>111</v>
      </c>
      <c r="E39" t="s">
        <v>59</v>
      </c>
      <c r="F39">
        <v>81</v>
      </c>
      <c r="G39">
        <v>107</v>
      </c>
      <c r="H39">
        <v>141</v>
      </c>
      <c r="I39">
        <v>151</v>
      </c>
      <c r="J39">
        <v>159</v>
      </c>
      <c r="K39">
        <v>187</v>
      </c>
      <c r="L39">
        <v>187</v>
      </c>
      <c r="M39">
        <v>213</v>
      </c>
      <c r="N39">
        <v>232</v>
      </c>
      <c r="O39">
        <v>244</v>
      </c>
      <c r="P39">
        <v>268</v>
      </c>
      <c r="Q39">
        <v>282</v>
      </c>
      <c r="R39">
        <v>295</v>
      </c>
      <c r="S39" t="s">
        <v>49</v>
      </c>
      <c r="T39" t="s">
        <v>49</v>
      </c>
    </row>
    <row r="40" spans="1:20" x14ac:dyDescent="0.25">
      <c r="A40" t="s">
        <v>112</v>
      </c>
      <c r="B40" t="s">
        <v>56</v>
      </c>
      <c r="C40" t="s">
        <v>113</v>
      </c>
      <c r="D40" t="s">
        <v>114</v>
      </c>
      <c r="E40" t="s">
        <v>59</v>
      </c>
      <c r="F40">
        <v>54</v>
      </c>
      <c r="G40">
        <v>71</v>
      </c>
      <c r="H40">
        <v>89</v>
      </c>
      <c r="I40">
        <v>101</v>
      </c>
      <c r="J40">
        <v>97</v>
      </c>
      <c r="K40">
        <v>126</v>
      </c>
      <c r="L40">
        <v>126</v>
      </c>
      <c r="M40">
        <v>137</v>
      </c>
      <c r="N40">
        <v>148</v>
      </c>
      <c r="O40">
        <v>159</v>
      </c>
      <c r="P40">
        <v>177</v>
      </c>
      <c r="Q40">
        <v>189</v>
      </c>
      <c r="R40">
        <v>198</v>
      </c>
      <c r="S40">
        <v>222</v>
      </c>
      <c r="T40">
        <v>234</v>
      </c>
    </row>
    <row r="41" spans="1:20" x14ac:dyDescent="0.25">
      <c r="A41" t="s">
        <v>115</v>
      </c>
      <c r="B41" t="s">
        <v>56</v>
      </c>
      <c r="C41" t="s">
        <v>116</v>
      </c>
      <c r="D41" t="s">
        <v>117</v>
      </c>
      <c r="E41" t="s">
        <v>59</v>
      </c>
      <c r="F41">
        <v>26</v>
      </c>
      <c r="G41">
        <v>36</v>
      </c>
      <c r="H41">
        <v>47</v>
      </c>
      <c r="I41">
        <v>59</v>
      </c>
      <c r="J41">
        <v>59</v>
      </c>
      <c r="K41">
        <v>73</v>
      </c>
      <c r="L41">
        <v>73</v>
      </c>
      <c r="M41">
        <v>80</v>
      </c>
      <c r="N41">
        <v>91</v>
      </c>
      <c r="O41">
        <v>83</v>
      </c>
      <c r="P41">
        <v>88</v>
      </c>
      <c r="Q41">
        <v>91</v>
      </c>
      <c r="R41">
        <v>105</v>
      </c>
      <c r="S41" t="s">
        <v>49</v>
      </c>
      <c r="T41" t="s">
        <v>49</v>
      </c>
    </row>
    <row r="42" spans="1:20" x14ac:dyDescent="0.25">
      <c r="A42" t="s">
        <v>118</v>
      </c>
      <c r="B42" t="s">
        <v>56</v>
      </c>
      <c r="C42" t="s">
        <v>119</v>
      </c>
      <c r="D42" t="s">
        <v>120</v>
      </c>
      <c r="E42" t="s">
        <v>59</v>
      </c>
      <c r="F42">
        <v>14</v>
      </c>
      <c r="G42">
        <v>28</v>
      </c>
      <c r="H42">
        <v>41</v>
      </c>
      <c r="I42">
        <v>65</v>
      </c>
      <c r="J42">
        <v>72</v>
      </c>
      <c r="K42">
        <v>97</v>
      </c>
      <c r="L42">
        <v>97</v>
      </c>
      <c r="M42">
        <v>137</v>
      </c>
      <c r="N42">
        <v>147</v>
      </c>
      <c r="O42">
        <v>76</v>
      </c>
      <c r="P42">
        <v>83</v>
      </c>
      <c r="Q42">
        <v>87</v>
      </c>
      <c r="R42">
        <v>92</v>
      </c>
      <c r="S42">
        <v>60</v>
      </c>
      <c r="T42">
        <v>61</v>
      </c>
    </row>
    <row r="43" spans="1:20" x14ac:dyDescent="0.25">
      <c r="A43" t="s">
        <v>121</v>
      </c>
      <c r="B43" t="s">
        <v>56</v>
      </c>
      <c r="C43" t="s">
        <v>122</v>
      </c>
      <c r="D43" t="s">
        <v>123</v>
      </c>
      <c r="E43" t="s">
        <v>59</v>
      </c>
      <c r="F43">
        <v>0</v>
      </c>
      <c r="G43">
        <v>4</v>
      </c>
      <c r="H43">
        <v>8</v>
      </c>
      <c r="I43">
        <v>6</v>
      </c>
      <c r="J43">
        <v>7</v>
      </c>
      <c r="K43">
        <v>13</v>
      </c>
      <c r="L43">
        <v>13</v>
      </c>
      <c r="M43">
        <v>15</v>
      </c>
      <c r="N43">
        <v>17</v>
      </c>
      <c r="O43">
        <v>19</v>
      </c>
      <c r="P43">
        <v>21</v>
      </c>
      <c r="Q43">
        <v>26</v>
      </c>
      <c r="R43">
        <v>20</v>
      </c>
      <c r="S43">
        <v>25</v>
      </c>
      <c r="T43">
        <v>28</v>
      </c>
    </row>
    <row r="44" spans="1:20" x14ac:dyDescent="0.25">
      <c r="A44" t="s">
        <v>124</v>
      </c>
      <c r="B44" t="s">
        <v>49</v>
      </c>
      <c r="C44" t="s">
        <v>49</v>
      </c>
      <c r="D44" t="s">
        <v>49</v>
      </c>
      <c r="E44" t="s">
        <v>50</v>
      </c>
      <c r="F44" t="s">
        <v>49</v>
      </c>
      <c r="G44" t="s">
        <v>49</v>
      </c>
      <c r="H44" t="s">
        <v>49</v>
      </c>
      <c r="I44" t="s">
        <v>49</v>
      </c>
      <c r="J44" t="s">
        <v>49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49</v>
      </c>
      <c r="S44" t="s">
        <v>49</v>
      </c>
      <c r="T44" t="s">
        <v>49</v>
      </c>
    </row>
    <row r="45" spans="1:20" x14ac:dyDescent="0.25">
      <c r="A45" t="s">
        <v>125</v>
      </c>
      <c r="B45" t="s">
        <v>56</v>
      </c>
      <c r="C45" t="s">
        <v>126</v>
      </c>
      <c r="D45" t="s">
        <v>127</v>
      </c>
      <c r="E45" t="s">
        <v>59</v>
      </c>
      <c r="F45">
        <v>4.7</v>
      </c>
      <c r="G45">
        <v>8.5</v>
      </c>
      <c r="H45">
        <v>9.1</v>
      </c>
      <c r="I45">
        <v>6.9</v>
      </c>
      <c r="J45">
        <v>4.5999999999999996</v>
      </c>
      <c r="K45">
        <v>4.7</v>
      </c>
      <c r="L45">
        <v>4.7</v>
      </c>
      <c r="M45">
        <v>3.8</v>
      </c>
      <c r="N45">
        <v>3.8</v>
      </c>
      <c r="O45">
        <v>3.3</v>
      </c>
      <c r="P45">
        <v>3.6</v>
      </c>
      <c r="Q45">
        <v>3.4</v>
      </c>
      <c r="R45">
        <v>3.4</v>
      </c>
      <c r="S45" t="s">
        <v>49</v>
      </c>
      <c r="T45">
        <v>3.1</v>
      </c>
    </row>
    <row r="46" spans="1:20" x14ac:dyDescent="0.25">
      <c r="A46" t="s">
        <v>128</v>
      </c>
      <c r="B46" t="s">
        <v>56</v>
      </c>
      <c r="C46" t="s">
        <v>129</v>
      </c>
      <c r="D46" t="s">
        <v>130</v>
      </c>
      <c r="E46" t="s">
        <v>59</v>
      </c>
      <c r="F46">
        <v>31</v>
      </c>
      <c r="G46">
        <v>33.4</v>
      </c>
      <c r="H46">
        <v>31.4</v>
      </c>
      <c r="I46">
        <v>27.7</v>
      </c>
      <c r="J46">
        <v>26.2</v>
      </c>
      <c r="K46">
        <v>25.7</v>
      </c>
      <c r="L46">
        <v>25.7</v>
      </c>
      <c r="M46">
        <v>24.6</v>
      </c>
      <c r="N46">
        <v>23.8</v>
      </c>
      <c r="O46">
        <v>22.7</v>
      </c>
      <c r="P46">
        <v>22.5</v>
      </c>
      <c r="Q46">
        <v>21</v>
      </c>
      <c r="R46">
        <v>19.3</v>
      </c>
      <c r="S46" t="s">
        <v>49</v>
      </c>
      <c r="T46" t="s">
        <v>49</v>
      </c>
    </row>
    <row r="47" spans="1:20" x14ac:dyDescent="0.25">
      <c r="A47" t="s">
        <v>131</v>
      </c>
      <c r="B47" t="s">
        <v>56</v>
      </c>
      <c r="C47" t="s">
        <v>132</v>
      </c>
      <c r="D47" t="s">
        <v>133</v>
      </c>
      <c r="E47" t="s">
        <v>59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>
        <v>35.4</v>
      </c>
      <c r="S47" t="s">
        <v>49</v>
      </c>
      <c r="T47">
        <v>18.7</v>
      </c>
    </row>
    <row r="48" spans="1:20" x14ac:dyDescent="0.25">
      <c r="A48" t="s">
        <v>49</v>
      </c>
      <c r="B48" t="s">
        <v>49</v>
      </c>
      <c r="C48" t="s">
        <v>49</v>
      </c>
      <c r="D48" t="s">
        <v>49</v>
      </c>
      <c r="E48" t="s">
        <v>50</v>
      </c>
      <c r="F48" t="s">
        <v>49</v>
      </c>
      <c r="G48" t="s">
        <v>49</v>
      </c>
      <c r="H48" t="s">
        <v>49</v>
      </c>
      <c r="I48" t="s">
        <v>49</v>
      </c>
      <c r="J48" t="s">
        <v>49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49</v>
      </c>
      <c r="S48" t="s">
        <v>49</v>
      </c>
      <c r="T48" t="s">
        <v>49</v>
      </c>
    </row>
    <row r="49" spans="1:20" x14ac:dyDescent="0.25">
      <c r="A49" t="s">
        <v>134</v>
      </c>
      <c r="B49" t="s">
        <v>49</v>
      </c>
      <c r="C49" t="s">
        <v>49</v>
      </c>
      <c r="D49" t="s">
        <v>49</v>
      </c>
      <c r="E49" t="s">
        <v>52</v>
      </c>
      <c r="F49" t="s">
        <v>49</v>
      </c>
      <c r="G49" t="s">
        <v>49</v>
      </c>
      <c r="H49" t="s">
        <v>49</v>
      </c>
      <c r="I49" t="s">
        <v>49</v>
      </c>
      <c r="J49" t="s">
        <v>49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49</v>
      </c>
      <c r="S49" t="s">
        <v>49</v>
      </c>
      <c r="T49" t="s">
        <v>49</v>
      </c>
    </row>
    <row r="50" spans="1:20" x14ac:dyDescent="0.25">
      <c r="A50" t="s">
        <v>53</v>
      </c>
      <c r="B50" t="s">
        <v>49</v>
      </c>
      <c r="C50" t="s">
        <v>49</v>
      </c>
      <c r="D50" t="s">
        <v>49</v>
      </c>
      <c r="E50" t="s">
        <v>50</v>
      </c>
      <c r="F50" t="s">
        <v>49</v>
      </c>
      <c r="G50" t="s">
        <v>49</v>
      </c>
      <c r="H50" t="s">
        <v>49</v>
      </c>
      <c r="I50" t="s">
        <v>49</v>
      </c>
      <c r="J50" t="s">
        <v>49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49</v>
      </c>
      <c r="S50" t="s">
        <v>49</v>
      </c>
      <c r="T50" t="s">
        <v>49</v>
      </c>
    </row>
    <row r="51" spans="1:20" x14ac:dyDescent="0.25">
      <c r="A51" t="s">
        <v>135</v>
      </c>
      <c r="B51" t="s">
        <v>49</v>
      </c>
      <c r="C51" t="s">
        <v>49</v>
      </c>
      <c r="D51" t="s">
        <v>49</v>
      </c>
      <c r="E51" t="s">
        <v>50</v>
      </c>
      <c r="F51" t="s">
        <v>49</v>
      </c>
      <c r="G51" t="s">
        <v>49</v>
      </c>
      <c r="H51" t="s">
        <v>49</v>
      </c>
      <c r="I51" t="s">
        <v>49</v>
      </c>
      <c r="J51" t="s">
        <v>49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49</v>
      </c>
      <c r="S51" t="s">
        <v>49</v>
      </c>
      <c r="T51" t="s">
        <v>49</v>
      </c>
    </row>
    <row r="52" spans="1:20" x14ac:dyDescent="0.25">
      <c r="A52" t="s">
        <v>77</v>
      </c>
      <c r="B52" t="s">
        <v>62</v>
      </c>
      <c r="C52" t="s">
        <v>63</v>
      </c>
      <c r="D52" t="s">
        <v>64</v>
      </c>
      <c r="E52" t="s">
        <v>59</v>
      </c>
      <c r="F52">
        <v>774.37764570000002</v>
      </c>
      <c r="G52">
        <v>1151.50865</v>
      </c>
      <c r="H52">
        <v>1484.8735509999999</v>
      </c>
      <c r="I52">
        <v>1611.658195</v>
      </c>
      <c r="J52">
        <v>1632.056423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>
        <v>2602.9808969999999</v>
      </c>
      <c r="Q52">
        <v>2767.727738</v>
      </c>
      <c r="R52">
        <v>2891.019714</v>
      </c>
      <c r="S52">
        <v>3787.9628699999998</v>
      </c>
      <c r="T52">
        <v>4038.8402160000001</v>
      </c>
    </row>
    <row r="53" spans="1:20" x14ac:dyDescent="0.25">
      <c r="A53" t="s">
        <v>136</v>
      </c>
      <c r="B53" t="s">
        <v>62</v>
      </c>
      <c r="C53" t="s">
        <v>63</v>
      </c>
      <c r="D53" t="s">
        <v>64</v>
      </c>
      <c r="E53" t="s">
        <v>59</v>
      </c>
      <c r="F53">
        <v>242.6850282</v>
      </c>
      <c r="G53">
        <v>345.73997489999999</v>
      </c>
      <c r="H53">
        <v>458.49076170000001</v>
      </c>
      <c r="I53">
        <v>519.98865920000003</v>
      </c>
      <c r="J53">
        <v>572.0958359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>
        <v>739.88631099999998</v>
      </c>
      <c r="Q53">
        <v>776.99238960000002</v>
      </c>
      <c r="R53">
        <v>807.67998980000004</v>
      </c>
      <c r="S53">
        <v>984.00908790000005</v>
      </c>
      <c r="T53">
        <v>1030.839009</v>
      </c>
    </row>
    <row r="54" spans="1:20" x14ac:dyDescent="0.25">
      <c r="A54" t="s">
        <v>137</v>
      </c>
      <c r="B54" t="s">
        <v>49</v>
      </c>
      <c r="C54" t="s">
        <v>49</v>
      </c>
      <c r="D54" t="s">
        <v>49</v>
      </c>
      <c r="E54" t="s">
        <v>50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49</v>
      </c>
      <c r="S54" t="s">
        <v>49</v>
      </c>
      <c r="T54" t="s">
        <v>49</v>
      </c>
    </row>
    <row r="55" spans="1:20" x14ac:dyDescent="0.25">
      <c r="A55" t="s">
        <v>77</v>
      </c>
      <c r="B55" t="s">
        <v>62</v>
      </c>
      <c r="C55" t="s">
        <v>63</v>
      </c>
      <c r="D55" t="s">
        <v>64</v>
      </c>
      <c r="E55" t="s">
        <v>59</v>
      </c>
      <c r="F55" t="s">
        <v>49</v>
      </c>
      <c r="G55" t="s">
        <v>49</v>
      </c>
      <c r="H55" t="s">
        <v>49</v>
      </c>
      <c r="I55" t="s">
        <v>49</v>
      </c>
      <c r="J55" t="s">
        <v>49</v>
      </c>
      <c r="K55">
        <v>1236.4507599999999</v>
      </c>
      <c r="L55">
        <v>1620.542381</v>
      </c>
      <c r="M55">
        <v>1775.4161079999999</v>
      </c>
      <c r="N55">
        <v>1382.2965320000001</v>
      </c>
      <c r="O55">
        <v>1418.254921</v>
      </c>
      <c r="P55">
        <v>1563.5621860000001</v>
      </c>
      <c r="Q55">
        <v>1674.35968</v>
      </c>
      <c r="R55">
        <v>1722.3888240000001</v>
      </c>
      <c r="S55">
        <v>1939.404943</v>
      </c>
      <c r="T55">
        <v>1980.266286</v>
      </c>
    </row>
    <row r="56" spans="1:20" x14ac:dyDescent="0.25">
      <c r="A56" t="s">
        <v>136</v>
      </c>
      <c r="B56" t="s">
        <v>62</v>
      </c>
      <c r="C56" t="s">
        <v>63</v>
      </c>
      <c r="D56" t="s">
        <v>64</v>
      </c>
      <c r="E56" t="s">
        <v>59</v>
      </c>
      <c r="F56" t="s">
        <v>49</v>
      </c>
      <c r="G56" t="s">
        <v>49</v>
      </c>
      <c r="H56" t="s">
        <v>49</v>
      </c>
      <c r="I56" t="s">
        <v>49</v>
      </c>
      <c r="J56" t="s">
        <v>49</v>
      </c>
      <c r="K56">
        <v>395.83109380000002</v>
      </c>
      <c r="L56">
        <v>521.05317200000002</v>
      </c>
      <c r="M56">
        <v>525.91300560000002</v>
      </c>
      <c r="N56">
        <v>367.85053879999998</v>
      </c>
      <c r="O56">
        <v>430.43357900000001</v>
      </c>
      <c r="P56">
        <v>434.23788450000001</v>
      </c>
      <c r="Q56">
        <v>484.63203570000002</v>
      </c>
      <c r="R56">
        <v>503.96625449999999</v>
      </c>
      <c r="S56">
        <v>577.12891260000004</v>
      </c>
      <c r="T56">
        <v>594.29152810000005</v>
      </c>
    </row>
    <row r="57" spans="1:20" x14ac:dyDescent="0.25">
      <c r="A57" t="s">
        <v>138</v>
      </c>
      <c r="B57" t="s">
        <v>49</v>
      </c>
      <c r="C57" t="s">
        <v>49</v>
      </c>
      <c r="D57" t="s">
        <v>49</v>
      </c>
      <c r="E57" t="s">
        <v>50</v>
      </c>
      <c r="F57" t="s">
        <v>49</v>
      </c>
      <c r="G57" t="s">
        <v>49</v>
      </c>
      <c r="H57" t="s">
        <v>49</v>
      </c>
      <c r="I57" t="s">
        <v>49</v>
      </c>
      <c r="J57" t="s">
        <v>49</v>
      </c>
      <c r="K57" t="s">
        <v>49</v>
      </c>
      <c r="L57" t="s">
        <v>49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49</v>
      </c>
      <c r="S57" t="s">
        <v>49</v>
      </c>
      <c r="T57" t="s">
        <v>49</v>
      </c>
    </row>
    <row r="58" spans="1:20" x14ac:dyDescent="0.25">
      <c r="A58" t="s">
        <v>77</v>
      </c>
      <c r="B58" t="s">
        <v>62</v>
      </c>
      <c r="C58" t="s">
        <v>63</v>
      </c>
      <c r="D58" t="s">
        <v>64</v>
      </c>
      <c r="E58" t="s">
        <v>59</v>
      </c>
      <c r="F58" t="s">
        <v>49</v>
      </c>
      <c r="G58" t="s">
        <v>49</v>
      </c>
      <c r="H58" t="s">
        <v>49</v>
      </c>
      <c r="I58" t="s">
        <v>49</v>
      </c>
      <c r="J58" t="s">
        <v>49</v>
      </c>
      <c r="K58" t="s">
        <v>49</v>
      </c>
      <c r="L58" t="s">
        <v>49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49</v>
      </c>
      <c r="S58">
        <v>1491.6078440000001</v>
      </c>
      <c r="T58">
        <v>1690.8807389999999</v>
      </c>
    </row>
    <row r="59" spans="1:20" x14ac:dyDescent="0.25">
      <c r="A59" t="s">
        <v>136</v>
      </c>
      <c r="B59" t="s">
        <v>62</v>
      </c>
      <c r="C59" t="s">
        <v>63</v>
      </c>
      <c r="D59" t="s">
        <v>64</v>
      </c>
      <c r="E59" t="s">
        <v>59</v>
      </c>
      <c r="F59" t="s">
        <v>49</v>
      </c>
      <c r="G59" t="s">
        <v>49</v>
      </c>
      <c r="H59" t="s">
        <v>49</v>
      </c>
      <c r="I59" t="s">
        <v>49</v>
      </c>
      <c r="J59" t="s">
        <v>49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49</v>
      </c>
      <c r="S59">
        <v>360.09753910000001</v>
      </c>
      <c r="T59">
        <v>342.0139279</v>
      </c>
    </row>
    <row r="60" spans="1:20" x14ac:dyDescent="0.25">
      <c r="A60" t="s">
        <v>139</v>
      </c>
      <c r="B60" t="s">
        <v>49</v>
      </c>
      <c r="C60" t="s">
        <v>49</v>
      </c>
      <c r="D60" t="s">
        <v>49</v>
      </c>
      <c r="E60" t="s">
        <v>50</v>
      </c>
      <c r="F60" t="s">
        <v>49</v>
      </c>
      <c r="G60" t="s">
        <v>49</v>
      </c>
      <c r="H60" t="s">
        <v>49</v>
      </c>
      <c r="I60" t="s">
        <v>49</v>
      </c>
      <c r="J60" t="s">
        <v>49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49</v>
      </c>
      <c r="S60" t="s">
        <v>49</v>
      </c>
      <c r="T60" t="s">
        <v>49</v>
      </c>
    </row>
    <row r="61" spans="1:20" x14ac:dyDescent="0.25">
      <c r="A61" t="s">
        <v>77</v>
      </c>
      <c r="B61" t="s">
        <v>62</v>
      </c>
      <c r="C61" t="s">
        <v>63</v>
      </c>
      <c r="D61" t="s">
        <v>64</v>
      </c>
      <c r="E61" t="s">
        <v>59</v>
      </c>
      <c r="F61" t="s">
        <v>49</v>
      </c>
      <c r="G61" t="s">
        <v>49</v>
      </c>
      <c r="H61" t="s">
        <v>49</v>
      </c>
      <c r="I61" t="s">
        <v>49</v>
      </c>
      <c r="J61" t="s">
        <v>49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49</v>
      </c>
      <c r="S61">
        <v>1486.4574620000001</v>
      </c>
      <c r="T61">
        <v>1655.8892149999999</v>
      </c>
    </row>
    <row r="62" spans="1:20" x14ac:dyDescent="0.25">
      <c r="A62" t="s">
        <v>136</v>
      </c>
      <c r="B62" t="s">
        <v>62</v>
      </c>
      <c r="C62" t="s">
        <v>63</v>
      </c>
      <c r="D62" t="s">
        <v>64</v>
      </c>
      <c r="E62" t="s">
        <v>59</v>
      </c>
      <c r="F62" t="s">
        <v>49</v>
      </c>
      <c r="G62" t="s">
        <v>49</v>
      </c>
      <c r="H62" t="s">
        <v>49</v>
      </c>
      <c r="I62" t="s">
        <v>49</v>
      </c>
      <c r="J62" t="s">
        <v>49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49</v>
      </c>
      <c r="S62">
        <v>363.67419330000001</v>
      </c>
      <c r="T62">
        <v>453.76105280000002</v>
      </c>
    </row>
    <row r="63" spans="1:20" x14ac:dyDescent="0.25">
      <c r="A63" t="s">
        <v>140</v>
      </c>
      <c r="B63" t="s">
        <v>49</v>
      </c>
      <c r="C63" t="s">
        <v>49</v>
      </c>
      <c r="D63" t="s">
        <v>49</v>
      </c>
      <c r="E63" t="s">
        <v>50</v>
      </c>
      <c r="F63" t="s">
        <v>49</v>
      </c>
      <c r="G63" t="s">
        <v>49</v>
      </c>
      <c r="H63" t="s">
        <v>49</v>
      </c>
      <c r="I63" t="s">
        <v>49</v>
      </c>
      <c r="J63" t="s">
        <v>49</v>
      </c>
      <c r="K63" t="s">
        <v>49</v>
      </c>
      <c r="L63" t="s">
        <v>49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49</v>
      </c>
      <c r="S63" t="s">
        <v>49</v>
      </c>
      <c r="T63" t="s">
        <v>49</v>
      </c>
    </row>
    <row r="64" spans="1:20" x14ac:dyDescent="0.25">
      <c r="A64" t="s">
        <v>77</v>
      </c>
      <c r="B64" t="s">
        <v>62</v>
      </c>
      <c r="C64" t="s">
        <v>63</v>
      </c>
      <c r="D64" t="s">
        <v>64</v>
      </c>
      <c r="E64" t="s">
        <v>59</v>
      </c>
      <c r="F64">
        <v>299.17595649999998</v>
      </c>
      <c r="G64">
        <v>414.93218209999998</v>
      </c>
      <c r="H64">
        <v>610.16069909999999</v>
      </c>
      <c r="I64">
        <v>939.44033660000002</v>
      </c>
      <c r="J64">
        <v>951.24126809999996</v>
      </c>
      <c r="K64">
        <v>1183.9806369999999</v>
      </c>
      <c r="L64">
        <v>1451.9540360000001</v>
      </c>
      <c r="M64">
        <v>1634.375802</v>
      </c>
      <c r="N64">
        <v>1797.5154869999999</v>
      </c>
      <c r="O64">
        <v>1919.8548269999999</v>
      </c>
      <c r="P64">
        <v>1062.3538100000001</v>
      </c>
      <c r="Q64">
        <v>1119.769988</v>
      </c>
      <c r="R64">
        <v>1194.2247440000001</v>
      </c>
      <c r="S64">
        <v>1166.2753829999999</v>
      </c>
      <c r="T64">
        <v>1288.3371179999999</v>
      </c>
    </row>
    <row r="65" spans="1:20" x14ac:dyDescent="0.25">
      <c r="A65" t="s">
        <v>136</v>
      </c>
      <c r="B65" t="s">
        <v>62</v>
      </c>
      <c r="C65" t="s">
        <v>63</v>
      </c>
      <c r="D65" t="s">
        <v>64</v>
      </c>
      <c r="E65" t="s">
        <v>59</v>
      </c>
      <c r="F65">
        <v>90.83741277</v>
      </c>
      <c r="G65">
        <v>127.5524076</v>
      </c>
      <c r="H65">
        <v>170.81515909999999</v>
      </c>
      <c r="I65">
        <v>290.4401694</v>
      </c>
      <c r="J65">
        <v>290.058922</v>
      </c>
      <c r="K65">
        <v>375.85292989999999</v>
      </c>
      <c r="L65">
        <v>434.76944739999999</v>
      </c>
      <c r="M65">
        <v>423.67257510000002</v>
      </c>
      <c r="N65">
        <v>406.10964480000001</v>
      </c>
      <c r="O65">
        <v>474.2785806</v>
      </c>
      <c r="P65">
        <v>238.52503519999999</v>
      </c>
      <c r="Q65">
        <v>275.65404799999999</v>
      </c>
      <c r="R65">
        <v>282.15285219999998</v>
      </c>
      <c r="S65">
        <v>265.10160509999997</v>
      </c>
      <c r="T65">
        <v>290.51430590000001</v>
      </c>
    </row>
    <row r="66" spans="1:20" x14ac:dyDescent="0.25">
      <c r="A66" t="s">
        <v>141</v>
      </c>
      <c r="B66" t="s">
        <v>49</v>
      </c>
      <c r="C66" t="s">
        <v>49</v>
      </c>
      <c r="D66" t="s">
        <v>49</v>
      </c>
      <c r="E66" t="s">
        <v>50</v>
      </c>
      <c r="F66" t="s">
        <v>49</v>
      </c>
      <c r="G66" t="s">
        <v>49</v>
      </c>
      <c r="H66" t="s">
        <v>49</v>
      </c>
      <c r="I66" t="s">
        <v>49</v>
      </c>
      <c r="J66" t="s">
        <v>49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49</v>
      </c>
      <c r="S66" t="s">
        <v>49</v>
      </c>
      <c r="T66" t="s">
        <v>49</v>
      </c>
    </row>
    <row r="67" spans="1:20" x14ac:dyDescent="0.25">
      <c r="A67" t="s">
        <v>77</v>
      </c>
      <c r="B67" t="s">
        <v>62</v>
      </c>
      <c r="C67" t="s">
        <v>63</v>
      </c>
      <c r="D67" t="s">
        <v>64</v>
      </c>
      <c r="E67" t="s">
        <v>59</v>
      </c>
      <c r="F67" t="s">
        <v>49</v>
      </c>
      <c r="G67" t="s">
        <v>49</v>
      </c>
      <c r="H67" t="s">
        <v>49</v>
      </c>
      <c r="I67" t="s">
        <v>49</v>
      </c>
      <c r="J67" t="s">
        <v>49</v>
      </c>
      <c r="K67" t="s">
        <v>49</v>
      </c>
      <c r="L67" t="s">
        <v>49</v>
      </c>
      <c r="M67" t="s">
        <v>49</v>
      </c>
      <c r="N67" t="s">
        <v>49</v>
      </c>
      <c r="O67" t="s">
        <v>49</v>
      </c>
      <c r="P67">
        <v>747.83714550000002</v>
      </c>
      <c r="Q67">
        <v>764.01516979999997</v>
      </c>
      <c r="R67">
        <v>782.86170709999999</v>
      </c>
      <c r="S67">
        <v>883.71970569999996</v>
      </c>
      <c r="T67">
        <v>983.71332710000001</v>
      </c>
    </row>
    <row r="68" spans="1:20" x14ac:dyDescent="0.25">
      <c r="A68" t="s">
        <v>136</v>
      </c>
      <c r="B68" t="s">
        <v>62</v>
      </c>
      <c r="C68" t="s">
        <v>63</v>
      </c>
      <c r="D68" t="s">
        <v>64</v>
      </c>
      <c r="E68" t="s">
        <v>59</v>
      </c>
      <c r="F68" t="s">
        <v>49</v>
      </c>
      <c r="G68" t="s">
        <v>49</v>
      </c>
      <c r="H68" t="s">
        <v>49</v>
      </c>
      <c r="I68" t="s">
        <v>49</v>
      </c>
      <c r="J68" t="s">
        <v>49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>
        <v>198.92376329999999</v>
      </c>
      <c r="Q68">
        <v>190.4817204</v>
      </c>
      <c r="R68">
        <v>189.85986320000001</v>
      </c>
      <c r="S68">
        <v>221.46642449999999</v>
      </c>
      <c r="T68">
        <v>226.316147</v>
      </c>
    </row>
    <row r="69" spans="1:20" x14ac:dyDescent="0.25">
      <c r="A69" t="s">
        <v>142</v>
      </c>
      <c r="B69" t="s">
        <v>49</v>
      </c>
      <c r="C69" t="s">
        <v>49</v>
      </c>
      <c r="D69" t="s">
        <v>49</v>
      </c>
      <c r="E69" t="s">
        <v>50</v>
      </c>
      <c r="F69" t="s">
        <v>49</v>
      </c>
      <c r="G69" t="s">
        <v>49</v>
      </c>
      <c r="H69" t="s">
        <v>49</v>
      </c>
      <c r="I69" t="s">
        <v>49</v>
      </c>
      <c r="J69" t="s">
        <v>49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49</v>
      </c>
      <c r="S69" t="s">
        <v>49</v>
      </c>
      <c r="T69" t="s">
        <v>49</v>
      </c>
    </row>
    <row r="70" spans="1:20" x14ac:dyDescent="0.25">
      <c r="A70" t="s">
        <v>77</v>
      </c>
      <c r="B70" t="s">
        <v>62</v>
      </c>
      <c r="C70" t="s">
        <v>63</v>
      </c>
      <c r="D70" t="s">
        <v>64</v>
      </c>
      <c r="E70" t="s">
        <v>59</v>
      </c>
      <c r="F70" t="s">
        <v>49</v>
      </c>
      <c r="G70" t="s">
        <v>49</v>
      </c>
      <c r="H70" t="s">
        <v>49</v>
      </c>
      <c r="I70" t="s">
        <v>49</v>
      </c>
      <c r="J70" t="s">
        <v>49</v>
      </c>
      <c r="K70" t="s">
        <v>49</v>
      </c>
      <c r="L70" t="s">
        <v>49</v>
      </c>
      <c r="M70" t="s">
        <v>49</v>
      </c>
      <c r="N70">
        <v>562.95541700000001</v>
      </c>
      <c r="O70">
        <v>586.34509590000005</v>
      </c>
      <c r="P70" t="s">
        <v>49</v>
      </c>
      <c r="Q70" t="s">
        <v>49</v>
      </c>
      <c r="R70" t="s">
        <v>49</v>
      </c>
      <c r="S70">
        <v>744.37326029999997</v>
      </c>
      <c r="T70">
        <v>823.57066699999996</v>
      </c>
    </row>
    <row r="71" spans="1:20" x14ac:dyDescent="0.25">
      <c r="A71" t="s">
        <v>136</v>
      </c>
      <c r="B71" t="s">
        <v>62</v>
      </c>
      <c r="C71" t="s">
        <v>63</v>
      </c>
      <c r="D71" t="s">
        <v>64</v>
      </c>
      <c r="E71" t="s">
        <v>59</v>
      </c>
      <c r="F71" t="s">
        <v>49</v>
      </c>
      <c r="G71" t="s">
        <v>49</v>
      </c>
      <c r="H71" t="s">
        <v>49</v>
      </c>
      <c r="I71" t="s">
        <v>49</v>
      </c>
      <c r="J71" t="s">
        <v>49</v>
      </c>
      <c r="K71" t="s">
        <v>49</v>
      </c>
      <c r="L71" t="s">
        <v>49</v>
      </c>
      <c r="M71" t="s">
        <v>49</v>
      </c>
      <c r="N71">
        <v>124.05225280000001</v>
      </c>
      <c r="O71">
        <v>150.3490913</v>
      </c>
      <c r="P71" t="s">
        <v>49</v>
      </c>
      <c r="Q71" t="s">
        <v>49</v>
      </c>
      <c r="R71" t="s">
        <v>49</v>
      </c>
      <c r="S71">
        <v>203.01088920000001</v>
      </c>
      <c r="T71">
        <v>201.90673709999999</v>
      </c>
    </row>
    <row r="72" spans="1:20" x14ac:dyDescent="0.25">
      <c r="A72" t="s">
        <v>143</v>
      </c>
      <c r="B72" t="s">
        <v>49</v>
      </c>
      <c r="C72" t="s">
        <v>49</v>
      </c>
      <c r="D72" t="s">
        <v>49</v>
      </c>
      <c r="E72" t="s">
        <v>50</v>
      </c>
      <c r="F72" t="s">
        <v>49</v>
      </c>
      <c r="G72" t="s">
        <v>49</v>
      </c>
      <c r="H72" t="s">
        <v>49</v>
      </c>
      <c r="I72" t="s">
        <v>49</v>
      </c>
      <c r="J72" t="s">
        <v>49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49</v>
      </c>
      <c r="S72" t="s">
        <v>49</v>
      </c>
      <c r="T72" t="s">
        <v>49</v>
      </c>
    </row>
    <row r="73" spans="1:20" x14ac:dyDescent="0.25">
      <c r="A73" t="s">
        <v>77</v>
      </c>
      <c r="B73" t="s">
        <v>62</v>
      </c>
      <c r="C73" t="s">
        <v>63</v>
      </c>
      <c r="D73" t="s">
        <v>64</v>
      </c>
      <c r="E73" t="s">
        <v>59</v>
      </c>
      <c r="F73" t="s">
        <v>49</v>
      </c>
      <c r="G73" t="s">
        <v>49</v>
      </c>
      <c r="H73" t="s">
        <v>49</v>
      </c>
      <c r="I73" t="s">
        <v>49</v>
      </c>
      <c r="J73" t="s">
        <v>49</v>
      </c>
      <c r="K73" t="s">
        <v>49</v>
      </c>
      <c r="L73" t="s">
        <v>49</v>
      </c>
      <c r="M73" t="s">
        <v>49</v>
      </c>
      <c r="N73" t="s">
        <v>49</v>
      </c>
      <c r="O73" t="s">
        <v>49</v>
      </c>
      <c r="P73">
        <v>262.22463800000003</v>
      </c>
      <c r="Q73">
        <v>329.35288850000001</v>
      </c>
      <c r="R73">
        <v>311.15922019999999</v>
      </c>
      <c r="S73">
        <v>328.19378419999998</v>
      </c>
      <c r="T73">
        <v>348.64538599999997</v>
      </c>
    </row>
    <row r="74" spans="1:20" x14ac:dyDescent="0.25">
      <c r="A74" t="s">
        <v>136</v>
      </c>
      <c r="B74" t="s">
        <v>62</v>
      </c>
      <c r="C74" t="s">
        <v>63</v>
      </c>
      <c r="D74" t="s">
        <v>64</v>
      </c>
      <c r="E74" t="s">
        <v>59</v>
      </c>
      <c r="F74" t="s">
        <v>49</v>
      </c>
      <c r="G74" t="s">
        <v>49</v>
      </c>
      <c r="H74" t="s">
        <v>49</v>
      </c>
      <c r="I74" t="s">
        <v>49</v>
      </c>
      <c r="J74" t="s">
        <v>49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>
        <v>39.601271859999997</v>
      </c>
      <c r="Q74">
        <v>43.555726200000002</v>
      </c>
      <c r="R74">
        <v>60.339449979999998</v>
      </c>
      <c r="S74">
        <v>16.59567522</v>
      </c>
      <c r="T74">
        <v>9.0300707019999997</v>
      </c>
    </row>
    <row r="75" spans="1:20" x14ac:dyDescent="0.25">
      <c r="A75" t="s">
        <v>53</v>
      </c>
      <c r="B75" t="s">
        <v>49</v>
      </c>
      <c r="C75" t="s">
        <v>49</v>
      </c>
      <c r="D75" t="s">
        <v>49</v>
      </c>
      <c r="E75" t="s">
        <v>50</v>
      </c>
      <c r="F75" t="s">
        <v>49</v>
      </c>
      <c r="G75" t="s">
        <v>49</v>
      </c>
      <c r="H75" t="s">
        <v>49</v>
      </c>
      <c r="I75" t="s">
        <v>49</v>
      </c>
      <c r="J75" t="s">
        <v>49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49</v>
      </c>
      <c r="S75" t="s">
        <v>49</v>
      </c>
      <c r="T75" t="s">
        <v>49</v>
      </c>
    </row>
    <row r="76" spans="1:20" x14ac:dyDescent="0.25">
      <c r="A76" t="s">
        <v>144</v>
      </c>
      <c r="B76" t="s">
        <v>49</v>
      </c>
      <c r="C76" t="s">
        <v>49</v>
      </c>
      <c r="D76" t="s">
        <v>49</v>
      </c>
      <c r="E76" t="s">
        <v>50</v>
      </c>
      <c r="F76" t="s">
        <v>49</v>
      </c>
      <c r="G76" t="s">
        <v>49</v>
      </c>
      <c r="H76" t="s">
        <v>49</v>
      </c>
      <c r="I76" t="s">
        <v>49</v>
      </c>
      <c r="J76" t="s">
        <v>49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49</v>
      </c>
      <c r="S76" t="s">
        <v>49</v>
      </c>
      <c r="T76" t="s">
        <v>49</v>
      </c>
    </row>
    <row r="77" spans="1:20" x14ac:dyDescent="0.25">
      <c r="A77" t="s">
        <v>145</v>
      </c>
      <c r="B77" t="s">
        <v>49</v>
      </c>
      <c r="C77" t="s">
        <v>49</v>
      </c>
      <c r="D77" t="s">
        <v>49</v>
      </c>
      <c r="E77" t="s">
        <v>50</v>
      </c>
      <c r="F77" t="s">
        <v>49</v>
      </c>
      <c r="G77" t="s">
        <v>49</v>
      </c>
      <c r="H77" t="s">
        <v>49</v>
      </c>
      <c r="I77" t="s">
        <v>49</v>
      </c>
      <c r="J77" t="s">
        <v>49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49</v>
      </c>
      <c r="S77" t="s">
        <v>49</v>
      </c>
      <c r="T77" t="s">
        <v>49</v>
      </c>
    </row>
    <row r="78" spans="1:20" x14ac:dyDescent="0.25">
      <c r="A78" t="s">
        <v>49</v>
      </c>
      <c r="B78" t="s">
        <v>49</v>
      </c>
      <c r="C78" t="s">
        <v>49</v>
      </c>
      <c r="D78" t="s">
        <v>49</v>
      </c>
      <c r="E78" t="s">
        <v>50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49</v>
      </c>
      <c r="S78" t="s">
        <v>49</v>
      </c>
      <c r="T78" t="s">
        <v>49</v>
      </c>
    </row>
    <row r="79" spans="1:20" x14ac:dyDescent="0.25">
      <c r="A79" t="s">
        <v>146</v>
      </c>
      <c r="B79" t="s">
        <v>49</v>
      </c>
      <c r="C79" t="s">
        <v>49</v>
      </c>
      <c r="D79" t="s">
        <v>49</v>
      </c>
      <c r="E79" t="s">
        <v>52</v>
      </c>
      <c r="F79" t="s">
        <v>49</v>
      </c>
      <c r="G79" t="s">
        <v>49</v>
      </c>
      <c r="H79" t="s">
        <v>49</v>
      </c>
      <c r="I79" t="s">
        <v>49</v>
      </c>
      <c r="J79" t="s">
        <v>49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49</v>
      </c>
      <c r="S79" t="s">
        <v>49</v>
      </c>
      <c r="T79" t="s">
        <v>49</v>
      </c>
    </row>
    <row r="80" spans="1:20" x14ac:dyDescent="0.25">
      <c r="A80" t="s">
        <v>53</v>
      </c>
      <c r="B80" t="s">
        <v>49</v>
      </c>
      <c r="C80" t="s">
        <v>49</v>
      </c>
      <c r="D80" t="s">
        <v>49</v>
      </c>
      <c r="E80" t="s">
        <v>50</v>
      </c>
      <c r="F80" t="s">
        <v>49</v>
      </c>
      <c r="G80" t="s">
        <v>49</v>
      </c>
      <c r="H80" t="s">
        <v>49</v>
      </c>
      <c r="I80" t="s">
        <v>49</v>
      </c>
      <c r="J80" t="s">
        <v>49</v>
      </c>
      <c r="K80" t="s">
        <v>49</v>
      </c>
      <c r="L80" t="s">
        <v>49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49</v>
      </c>
      <c r="S80" t="s">
        <v>49</v>
      </c>
      <c r="T80" t="s">
        <v>49</v>
      </c>
    </row>
    <row r="81" spans="1:20" x14ac:dyDescent="0.25">
      <c r="A81" t="s">
        <v>147</v>
      </c>
      <c r="B81" t="s">
        <v>49</v>
      </c>
      <c r="C81" t="s">
        <v>49</v>
      </c>
      <c r="D81" t="s">
        <v>49</v>
      </c>
      <c r="E81" t="s">
        <v>50</v>
      </c>
      <c r="F81" t="s">
        <v>49</v>
      </c>
      <c r="G81" t="s">
        <v>49</v>
      </c>
      <c r="H81" t="s">
        <v>49</v>
      </c>
      <c r="I81" t="s">
        <v>49</v>
      </c>
      <c r="J81" t="s">
        <v>49</v>
      </c>
      <c r="K81" t="s">
        <v>49</v>
      </c>
      <c r="L81" t="s">
        <v>49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49</v>
      </c>
      <c r="S81" t="s">
        <v>49</v>
      </c>
      <c r="T81" t="s">
        <v>49</v>
      </c>
    </row>
    <row r="82" spans="1:20" x14ac:dyDescent="0.25">
      <c r="A82" t="s">
        <v>148</v>
      </c>
      <c r="B82" t="s">
        <v>62</v>
      </c>
      <c r="C82" t="s">
        <v>63</v>
      </c>
      <c r="D82" t="s">
        <v>64</v>
      </c>
      <c r="E82" t="s">
        <v>59</v>
      </c>
      <c r="F82">
        <v>1393.7441839999999</v>
      </c>
      <c r="G82">
        <v>1945.7821349999999</v>
      </c>
      <c r="H82">
        <v>2573.167512</v>
      </c>
      <c r="I82">
        <v>3008.6622670000002</v>
      </c>
      <c r="J82">
        <v>3160.6711639999999</v>
      </c>
      <c r="K82">
        <v>3942.5040389999999</v>
      </c>
      <c r="L82">
        <v>4510.4188770000001</v>
      </c>
      <c r="M82">
        <v>4616.0818810000001</v>
      </c>
      <c r="N82">
        <v>5037.1177109999999</v>
      </c>
      <c r="O82">
        <v>5365.1230679999999</v>
      </c>
      <c r="P82">
        <v>5984.3790710000003</v>
      </c>
      <c r="Q82">
        <v>6325.7234129999997</v>
      </c>
      <c r="R82">
        <v>6603.9899299999997</v>
      </c>
      <c r="S82">
        <v>7158.7448009999998</v>
      </c>
      <c r="T82">
        <v>7874.0805579999997</v>
      </c>
    </row>
    <row r="83" spans="1:20" x14ac:dyDescent="0.25">
      <c r="A83" t="s">
        <v>149</v>
      </c>
      <c r="B83" t="s">
        <v>62</v>
      </c>
      <c r="C83" t="s">
        <v>63</v>
      </c>
      <c r="D83" t="s">
        <v>64</v>
      </c>
      <c r="E83" t="s">
        <v>59</v>
      </c>
      <c r="F83">
        <v>528.07719810000003</v>
      </c>
      <c r="G83">
        <v>809.96884139999997</v>
      </c>
      <c r="H83">
        <v>1164.377569</v>
      </c>
      <c r="I83">
        <v>1249.5936400000001</v>
      </c>
      <c r="J83">
        <v>1105.5593699999999</v>
      </c>
      <c r="K83">
        <v>1301.215138</v>
      </c>
      <c r="L83">
        <v>1549.9656460000001</v>
      </c>
      <c r="M83">
        <v>1717.124352</v>
      </c>
      <c r="N83">
        <v>2028.8919860000001</v>
      </c>
      <c r="O83">
        <v>2098.8340499999999</v>
      </c>
      <c r="P83">
        <v>2197.6412369999998</v>
      </c>
      <c r="Q83">
        <v>2295.9237589999998</v>
      </c>
      <c r="R83">
        <v>2596.3026060000002</v>
      </c>
      <c r="S83">
        <v>2853.0254770000001</v>
      </c>
      <c r="T83">
        <v>3092.2348360000001</v>
      </c>
    </row>
    <row r="84" spans="1:20" x14ac:dyDescent="0.25">
      <c r="A84" t="s">
        <v>150</v>
      </c>
      <c r="B84" t="s">
        <v>62</v>
      </c>
      <c r="C84" t="s">
        <v>63</v>
      </c>
      <c r="D84" t="s">
        <v>64</v>
      </c>
      <c r="E84" t="s">
        <v>59</v>
      </c>
      <c r="F84">
        <v>37.284012709999999</v>
      </c>
      <c r="G84">
        <v>47.528193479999999</v>
      </c>
      <c r="H84">
        <v>54.45199393</v>
      </c>
      <c r="I84">
        <v>62.205888459999997</v>
      </c>
      <c r="J84">
        <v>56.998478120000001</v>
      </c>
      <c r="K84">
        <v>131.5046174</v>
      </c>
      <c r="L84">
        <v>156.65103400000001</v>
      </c>
      <c r="M84">
        <v>154.6478453</v>
      </c>
      <c r="N84">
        <v>214.31724320000001</v>
      </c>
      <c r="O84">
        <v>210.06336580000001</v>
      </c>
      <c r="P84">
        <v>248.15777700000001</v>
      </c>
      <c r="Q84">
        <v>325.176312</v>
      </c>
      <c r="R84">
        <v>346.05993030000002</v>
      </c>
      <c r="S84">
        <v>292.99950740000003</v>
      </c>
      <c r="T84">
        <v>333.68933140000001</v>
      </c>
    </row>
    <row r="85" spans="1:20" x14ac:dyDescent="0.25">
      <c r="A85" t="s">
        <v>151</v>
      </c>
      <c r="B85" t="s">
        <v>62</v>
      </c>
      <c r="C85" t="s">
        <v>63</v>
      </c>
      <c r="D85" t="s">
        <v>64</v>
      </c>
      <c r="E85" t="s">
        <v>59</v>
      </c>
      <c r="F85">
        <v>192.29512009999999</v>
      </c>
      <c r="G85">
        <v>267.92637439999999</v>
      </c>
      <c r="H85">
        <v>358.28914730000002</v>
      </c>
      <c r="I85">
        <v>431.0605228</v>
      </c>
      <c r="J85">
        <v>477.73168879999997</v>
      </c>
      <c r="K85">
        <v>662.35297279999997</v>
      </c>
      <c r="L85">
        <v>847.75853710000001</v>
      </c>
      <c r="M85">
        <v>932.3003281</v>
      </c>
      <c r="N85">
        <v>1022.8928079999999</v>
      </c>
      <c r="O85">
        <v>1049.0080230000001</v>
      </c>
      <c r="P85">
        <v>1117.0922479999999</v>
      </c>
      <c r="Q85">
        <v>1268.485944</v>
      </c>
      <c r="R85">
        <v>1392.615892</v>
      </c>
      <c r="S85">
        <v>1523.225467</v>
      </c>
      <c r="T85">
        <v>1510.13823</v>
      </c>
    </row>
    <row r="86" spans="1:20" x14ac:dyDescent="0.25">
      <c r="A86" t="s">
        <v>49</v>
      </c>
      <c r="B86" t="s">
        <v>49</v>
      </c>
      <c r="C86" t="s">
        <v>49</v>
      </c>
      <c r="D86" t="s">
        <v>49</v>
      </c>
      <c r="E86" t="s">
        <v>50</v>
      </c>
      <c r="F86" t="s">
        <v>49</v>
      </c>
      <c r="G86" t="s">
        <v>49</v>
      </c>
      <c r="H86" t="s">
        <v>49</v>
      </c>
      <c r="I86" t="s">
        <v>49</v>
      </c>
      <c r="J86" t="s">
        <v>49</v>
      </c>
      <c r="K86" t="s">
        <v>49</v>
      </c>
      <c r="L86" t="s">
        <v>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49</v>
      </c>
      <c r="S86" t="s">
        <v>49</v>
      </c>
      <c r="T8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80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35" width="9.140625" bestFit="1" customWidth="1"/>
  </cols>
  <sheetData>
    <row r="1" spans="1:3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ReferenceData!$C$171</f>
        <v>FY 2020</v>
      </c>
      <c r="G2" s="1" t="str">
        <f>ReferenceData!$D$171</f>
        <v>FY 2019</v>
      </c>
      <c r="H2" s="1" t="str">
        <f>ReferenceData!$E$171</f>
        <v>FY 2018</v>
      </c>
      <c r="I2" s="1" t="str">
        <f>ReferenceData!$F$171</f>
        <v>FY 2017</v>
      </c>
      <c r="J2" s="1" t="str">
        <f>ReferenceData!$G$171</f>
        <v>FY 2016</v>
      </c>
      <c r="K2" s="1" t="str">
        <f>ReferenceData!$H$171</f>
        <v>FY 2015</v>
      </c>
      <c r="L2" s="1" t="str">
        <f>ReferenceData!$I$171</f>
        <v>FY 2014</v>
      </c>
      <c r="M2" s="1" t="str">
        <f>ReferenceData!$J$171</f>
        <v>FY 2013</v>
      </c>
      <c r="N2" s="1" t="str">
        <f>ReferenceData!$K$171</f>
        <v>FY 2012</v>
      </c>
      <c r="O2" s="1" t="str">
        <f>ReferenceData!$L$171</f>
        <v>FY 2011</v>
      </c>
      <c r="P2" s="1" t="str">
        <f>ReferenceData!$M$171</f>
        <v>FY 2010</v>
      </c>
      <c r="Q2" s="1" t="str">
        <f>ReferenceData!$N$171</f>
        <v>FY 2009</v>
      </c>
      <c r="R2" s="1" t="str">
        <f>ReferenceData!$O$171</f>
        <v>FY 2008</v>
      </c>
      <c r="S2" s="1" t="str">
        <f>ReferenceData!$P$171</f>
        <v>FY 2007</v>
      </c>
      <c r="T2" s="1" t="str">
        <f>ReferenceData!$Q$171</f>
        <v>FY 2006</v>
      </c>
      <c r="U2" t="str">
        <f>$C$171</f>
        <v>FY 2020</v>
      </c>
      <c r="V2" t="str">
        <f>$D$171</f>
        <v>FY 2019</v>
      </c>
      <c r="W2" t="str">
        <f>$E$171</f>
        <v>FY 2018</v>
      </c>
      <c r="X2" t="str">
        <f>$F$171</f>
        <v>FY 2017</v>
      </c>
      <c r="Y2" t="str">
        <f>$G$171</f>
        <v>FY 2016</v>
      </c>
      <c r="Z2" t="str">
        <f>$H$171</f>
        <v>FY 2015</v>
      </c>
      <c r="AA2" t="str">
        <f>$I$171</f>
        <v>FY 2014</v>
      </c>
      <c r="AB2" t="str">
        <f>$J$171</f>
        <v>FY 2013</v>
      </c>
      <c r="AC2" t="str">
        <f>$K$171</f>
        <v>FY 2012</v>
      </c>
      <c r="AD2" t="str">
        <f>$L$171</f>
        <v>FY 2011</v>
      </c>
      <c r="AE2" t="str">
        <f>$M$171</f>
        <v>FY 2010</v>
      </c>
      <c r="AF2" t="str">
        <f>$N$171</f>
        <v>FY 2009</v>
      </c>
      <c r="AG2" t="str">
        <f>$O$171</f>
        <v>FY 2008</v>
      </c>
      <c r="AH2" t="str">
        <f>$P$171</f>
        <v>FY 2007</v>
      </c>
      <c r="AI2" t="str">
        <f>$Q$171</f>
        <v>FY 2006</v>
      </c>
    </row>
    <row r="3" spans="1:35" x14ac:dyDescent="0.25">
      <c r="A3" t="str">
        <f>"In Millions (except Per Share or noted otherwise)"</f>
        <v>In Millions (except Per Share or noted otherwise)</v>
      </c>
      <c r="B3" t="str">
        <f>""</f>
        <v/>
      </c>
      <c r="E3" t="str">
        <f>"Static"</f>
        <v>Static</v>
      </c>
      <c r="F3" t="str">
        <f t="shared" ref="F3:T4" ca="1" si="0">HLOOKUP(INDIRECT(ADDRESS(2,COLUMN())),OFFSET($U$2,0,0,ROW()-1,15),ROW()-1,FALSE)</f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t="str">
        <f>""</f>
        <v/>
      </c>
      <c r="AC3" t="str">
        <f>""</f>
        <v/>
      </c>
      <c r="AD3" t="str">
        <f>""</f>
        <v/>
      </c>
      <c r="AE3" t="str">
        <f>""</f>
        <v/>
      </c>
      <c r="AF3" t="str">
        <f>""</f>
        <v/>
      </c>
      <c r="AG3" t="str">
        <f>""</f>
        <v/>
      </c>
      <c r="AH3" t="str">
        <f>""</f>
        <v/>
      </c>
      <c r="AI3" t="str">
        <f>""</f>
        <v/>
      </c>
    </row>
    <row r="4" spans="1:35" x14ac:dyDescent="0.25">
      <c r="A4" t="str">
        <f>""</f>
        <v/>
      </c>
      <c r="B4" t="str">
        <f>""</f>
        <v/>
      </c>
      <c r="E4" t="str">
        <f>"Static"</f>
        <v>Static</v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>""</f>
        <v/>
      </c>
      <c r="V4" t="str">
        <f>""</f>
        <v/>
      </c>
      <c r="W4" t="str">
        <f>""</f>
        <v/>
      </c>
      <c r="X4" t="str">
        <f>""</f>
        <v/>
      </c>
      <c r="Y4" t="str">
        <f>""</f>
        <v/>
      </c>
      <c r="Z4" t="str">
        <f>""</f>
        <v/>
      </c>
      <c r="AA4" t="str">
        <f>""</f>
        <v/>
      </c>
      <c r="AB4" t="str">
        <f>""</f>
        <v/>
      </c>
      <c r="AC4" t="str">
        <f>""</f>
        <v/>
      </c>
      <c r="AD4" t="str">
        <f>""</f>
        <v/>
      </c>
      <c r="AE4" t="str">
        <f>""</f>
        <v/>
      </c>
      <c r="AF4" t="str">
        <f>""</f>
        <v/>
      </c>
      <c r="AG4" t="str">
        <f>""</f>
        <v/>
      </c>
      <c r="AH4" t="str">
        <f>""</f>
        <v/>
      </c>
      <c r="AI4" t="str">
        <f>""</f>
        <v/>
      </c>
    </row>
    <row r="5" spans="1:35" x14ac:dyDescent="0.25">
      <c r="A5" t="str">
        <f>"Key Performance Indicators"</f>
        <v>Key Performance Indicators</v>
      </c>
      <c r="B5" t="str">
        <f>""</f>
        <v/>
      </c>
      <c r="E5" t="str">
        <f>"Heading"</f>
        <v>Heading</v>
      </c>
      <c r="U5" t="str">
        <f>""</f>
        <v/>
      </c>
      <c r="V5" t="str">
        <f>""</f>
        <v/>
      </c>
      <c r="W5" t="str">
        <f>""</f>
        <v/>
      </c>
      <c r="X5" t="str">
        <f>""</f>
        <v/>
      </c>
      <c r="Y5" t="str">
        <f>""</f>
        <v/>
      </c>
      <c r="Z5" t="str">
        <f>""</f>
        <v/>
      </c>
      <c r="AA5" t="str">
        <f>""</f>
        <v/>
      </c>
      <c r="AB5" t="str">
        <f>""</f>
        <v/>
      </c>
      <c r="AC5" t="str">
        <f>""</f>
        <v/>
      </c>
      <c r="AD5" t="str">
        <f>""</f>
        <v/>
      </c>
      <c r="AE5" t="str">
        <f>""</f>
        <v/>
      </c>
      <c r="AF5" t="str">
        <f>""</f>
        <v/>
      </c>
      <c r="AG5" t="str">
        <f>""</f>
        <v/>
      </c>
      <c r="AH5" t="str">
        <f>""</f>
        <v/>
      </c>
      <c r="AI5" t="str">
        <f>""</f>
        <v/>
      </c>
    </row>
    <row r="6" spans="1:35" x14ac:dyDescent="0.25">
      <c r="A6" t="str">
        <f>"    "</f>
        <v xml:space="preserve">    </v>
      </c>
      <c r="B6" t="str">
        <f>""</f>
        <v/>
      </c>
      <c r="E6" t="str">
        <f>"Static"</f>
        <v>Static</v>
      </c>
      <c r="F6" t="str">
        <f t="shared" ref="F6:T6" ca="1" si="1">HLOOKUP(INDIRECT(ADDRESS(2,COLUMN())),OFFSET($U$2,0,0,ROW()-1,15),ROW()-1,FALSE)</f>
        <v/>
      </c>
      <c r="G6" t="str">
        <f t="shared" ca="1" si="1"/>
        <v/>
      </c>
      <c r="H6" t="str">
        <f t="shared" ca="1" si="1"/>
        <v/>
      </c>
      <c r="I6" t="str">
        <f t="shared" ca="1" si="1"/>
        <v/>
      </c>
      <c r="J6" t="str">
        <f t="shared" ca="1" si="1"/>
        <v/>
      </c>
      <c r="K6" t="str">
        <f t="shared" ca="1" si="1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>""</f>
        <v/>
      </c>
      <c r="V6" t="str">
        <f>""</f>
        <v/>
      </c>
      <c r="W6" t="str">
        <f>""</f>
        <v/>
      </c>
      <c r="X6" t="str">
        <f>""</f>
        <v/>
      </c>
      <c r="Y6" t="str">
        <f>""</f>
        <v/>
      </c>
      <c r="Z6" t="str">
        <f>""</f>
        <v/>
      </c>
      <c r="AA6" t="str">
        <f>""</f>
        <v/>
      </c>
      <c r="AB6" t="str">
        <f>""</f>
        <v/>
      </c>
      <c r="AC6" t="str">
        <f>""</f>
        <v/>
      </c>
      <c r="AD6" t="str">
        <f>""</f>
        <v/>
      </c>
      <c r="AE6" t="str">
        <f>""</f>
        <v/>
      </c>
      <c r="AF6" t="str">
        <f>""</f>
        <v/>
      </c>
      <c r="AG6" t="str">
        <f>""</f>
        <v/>
      </c>
      <c r="AH6" t="str">
        <f>""</f>
        <v/>
      </c>
      <c r="AI6" t="str">
        <f>""</f>
        <v/>
      </c>
    </row>
    <row r="7" spans="1:35" x14ac:dyDescent="0.25">
      <c r="A7" t="str">
        <f>"    Company-Level Industry Statistics"</f>
        <v xml:space="preserve">    Company-Level Industry Statistics</v>
      </c>
      <c r="B7" t="str">
        <f>""</f>
        <v/>
      </c>
      <c r="E7" t="str">
        <f>"Heading"</f>
        <v>Heading</v>
      </c>
      <c r="U7" t="str">
        <f>""</f>
        <v/>
      </c>
      <c r="V7" t="str">
        <f>""</f>
        <v/>
      </c>
      <c r="W7" t="str">
        <f>""</f>
        <v/>
      </c>
      <c r="X7" t="str">
        <f>""</f>
        <v/>
      </c>
      <c r="Y7" t="str">
        <f>""</f>
        <v/>
      </c>
      <c r="Z7" t="str">
        <f>""</f>
        <v/>
      </c>
      <c r="AA7" t="str">
        <f>""</f>
        <v/>
      </c>
      <c r="AB7" t="str">
        <f>""</f>
        <v/>
      </c>
      <c r="AC7" t="str">
        <f>""</f>
        <v/>
      </c>
      <c r="AD7" t="str">
        <f>""</f>
        <v/>
      </c>
      <c r="AE7" t="str">
        <f>""</f>
        <v/>
      </c>
      <c r="AF7" t="str">
        <f>""</f>
        <v/>
      </c>
      <c r="AG7" t="str">
        <f>""</f>
        <v/>
      </c>
      <c r="AH7" t="str">
        <f>""</f>
        <v/>
      </c>
      <c r="AI7" t="str">
        <f>""</f>
        <v/>
      </c>
    </row>
    <row r="8" spans="1:35" x14ac:dyDescent="0.25">
      <c r="A8" t="str">
        <f>"    Revenue Growth (%) YoY"</f>
        <v xml:space="preserve">    Revenue Growth (%) YoY</v>
      </c>
      <c r="B8" t="str">
        <f>"INFO IN Equity"</f>
        <v>INFO IN Equity</v>
      </c>
      <c r="C8" t="str">
        <f>"S6188"</f>
        <v>S6188</v>
      </c>
      <c r="D8" t="str">
        <f>"ARDR_REVENUE_GROWTH"</f>
        <v>ARDR_REVENUE_GROWTH</v>
      </c>
      <c r="E8" t="str">
        <f>"Dynamic"</f>
        <v>Dynamic</v>
      </c>
      <c r="F8">
        <f ca="1">IF(AND(ISNUMBER($F$105),$B$102=1),$F$105,HLOOKUP(INDIRECT(ADDRESS(2,COLUMN())),OFFSET($U$2,0,0,ROW()-1,15),ROW()-1,FALSE))</f>
        <v>9.8167523439999993</v>
      </c>
      <c r="G8">
        <f ca="1">IF(AND(ISNUMBER($G$105),$B$102=1),$G$105,HLOOKUP(INDIRECT(ADDRESS(2,COLUMN())),OFFSET($U$2,0,0,ROW()-1,15),ROW()-1,FALSE))</f>
        <v>17.23292022</v>
      </c>
      <c r="H8">
        <f ca="1">IF(AND(ISNUMBER($H$105),$B$102=1),$H$105,HLOOKUP(INDIRECT(ADDRESS(2,COLUMN())),OFFSET($U$2,0,0,ROW()-1,15),ROW()-1,FALSE))</f>
        <v>2.9758775769999999</v>
      </c>
      <c r="I8">
        <f ca="1">IF(AND(ISNUMBER($I$105),$B$102=1),$I$105,HLOOKUP(INDIRECT(ADDRESS(2,COLUMN())),OFFSET($U$2,0,0,ROW()-1,15),ROW()-1,FALSE))</f>
        <v>9.6779359720000002</v>
      </c>
      <c r="J8">
        <f ca="1">IF(AND(ISNUMBER($J$105),$B$102=1),$J$105,HLOOKUP(INDIRECT(ADDRESS(2,COLUMN())),OFFSET($U$2,0,0,ROW()-1,15),ROW()-1,FALSE))</f>
        <v>17.108347869999999</v>
      </c>
      <c r="K8">
        <f ca="1">IF(AND(ISNUMBER($K$105),$B$102=1),$K$105,HLOOKUP(INDIRECT(ADDRESS(2,COLUMN())),OFFSET($U$2,0,0,ROW()-1,15),ROW()-1,FALSE))</f>
        <v>6.355095446</v>
      </c>
      <c r="L8">
        <f ca="1">IF(AND(ISNUMBER($L$105),$B$102=1),$L$105,HLOOKUP(INDIRECT(ADDRESS(2,COLUMN())),OFFSET($U$2,0,0,ROW()-1,15),ROW()-1,FALSE))</f>
        <v>24.239195079999998</v>
      </c>
      <c r="M8">
        <f ca="1">IF(AND(ISNUMBER($M$105),$B$102=1),$M$105,HLOOKUP(INDIRECT(ADDRESS(2,COLUMN())),OFFSET($U$2,0,0,ROW()-1,15),ROW()-1,FALSE))</f>
        <v>19.618189359999999</v>
      </c>
      <c r="N8">
        <f ca="1">IF(AND(ISNUMBER($N$105),$B$102=1),$N$105,HLOOKUP(INDIRECT(ADDRESS(2,COLUMN())),OFFSET($U$2,0,0,ROW()-1,15),ROW()-1,FALSE))</f>
        <v>22.664630379999998</v>
      </c>
      <c r="O8">
        <f ca="1">IF(AND(ISNUMBER($O$105),$B$102=1),$O$105,HLOOKUP(INDIRECT(ADDRESS(2,COLUMN())),OFFSET($U$2,0,0,ROW()-1,15),ROW()-1,FALSE))</f>
        <v>20.926039930000002</v>
      </c>
      <c r="P8">
        <f ca="1">IF(AND(ISNUMBER($P$105),$B$102=1),$P$105,HLOOKUP(INDIRECT(ADDRESS(2,COLUMN())),OFFSET($U$2,0,0,ROW()-1,15),ROW()-1,FALSE))</f>
        <v>4.8356612730000004</v>
      </c>
      <c r="Q8">
        <f ca="1">IF(AND(ISNUMBER($Q$105),$B$102=1),$Q$105,HLOOKUP(INDIRECT(ADDRESS(2,COLUMN())),OFFSET($U$2,0,0,ROW()-1,15),ROW()-1,FALSE))</f>
        <v>29.960460099999999</v>
      </c>
      <c r="R8">
        <f ca="1">IF(AND(ISNUMBER($R$105),$B$102=1),$R$105,HLOOKUP(INDIRECT(ADDRESS(2,COLUMN())),OFFSET($U$2,0,0,ROW()-1,15),ROW()-1,FALSE))</f>
        <v>20.146836539999999</v>
      </c>
      <c r="S8">
        <f ca="1">IF(AND(ISNUMBER($S$105),$B$102=1),$S$105,HLOOKUP(INDIRECT(ADDRESS(2,COLUMN())),OFFSET($U$2,0,0,ROW()-1,15),ROW()-1,FALSE))</f>
        <v>45.919546269999998</v>
      </c>
      <c r="T8">
        <f ca="1">IF(AND(ISNUMBER($T$105),$B$102=1),$T$105,HLOOKUP(INDIRECT(ADDRESS(2,COLUMN())),OFFSET($U$2,0,0,ROW()-1,15),ROW()-1,FALSE))</f>
        <v>33.540917159999999</v>
      </c>
      <c r="U8">
        <f>9.816752344</f>
        <v>9.8167523439999993</v>
      </c>
      <c r="V8">
        <f>17.23292022</f>
        <v>17.23292022</v>
      </c>
      <c r="W8">
        <f>2.975877577</f>
        <v>2.9758775769999999</v>
      </c>
      <c r="X8">
        <f>9.677935972</f>
        <v>9.6779359720000002</v>
      </c>
      <c r="Y8">
        <f>17.10834787</f>
        <v>17.108347869999999</v>
      </c>
      <c r="Z8">
        <f>6.355095446</f>
        <v>6.355095446</v>
      </c>
      <c r="AA8">
        <f>24.23919508</f>
        <v>24.239195079999998</v>
      </c>
      <c r="AB8">
        <f>19.61818936</f>
        <v>19.618189359999999</v>
      </c>
      <c r="AC8">
        <f>22.66463038</f>
        <v>22.664630379999998</v>
      </c>
      <c r="AD8">
        <f>20.92603993</f>
        <v>20.926039930000002</v>
      </c>
      <c r="AE8">
        <f>4.835661273</f>
        <v>4.8356612730000004</v>
      </c>
      <c r="AF8">
        <f>29.9604601</f>
        <v>29.960460099999999</v>
      </c>
      <c r="AG8">
        <f>20.14683654</f>
        <v>20.146836539999999</v>
      </c>
      <c r="AH8">
        <f>45.91954627</f>
        <v>45.919546269999998</v>
      </c>
      <c r="AI8">
        <f>33.54091716</f>
        <v>33.540917159999999</v>
      </c>
    </row>
    <row r="9" spans="1:35" x14ac:dyDescent="0.25">
      <c r="A9" t="str">
        <f>"        By End-Market"</f>
        <v xml:space="preserve">        By End-Market</v>
      </c>
      <c r="B9" t="str">
        <f>""</f>
        <v/>
      </c>
      <c r="E9" t="str">
        <f>"Static"</f>
        <v>Static</v>
      </c>
      <c r="F9" t="str">
        <f t="shared" ref="F9:T9" ca="1" si="2">HLOOKUP(INDIRECT(ADDRESS(2,COLUMN())),OFFSET($U$2,0,0,ROW()-1,15),ROW()-1,FALSE)</f>
        <v/>
      </c>
      <c r="G9" t="str">
        <f t="shared" ca="1" si="2"/>
        <v/>
      </c>
      <c r="H9" t="str">
        <f t="shared" ca="1" si="2"/>
        <v/>
      </c>
      <c r="I9" t="str">
        <f t="shared" ca="1" si="2"/>
        <v/>
      </c>
      <c r="J9" t="str">
        <f t="shared" ca="1" si="2"/>
        <v/>
      </c>
      <c r="K9" t="str">
        <f t="shared" ca="1" si="2"/>
        <v/>
      </c>
      <c r="L9" t="str">
        <f t="shared" ca="1" si="2"/>
        <v/>
      </c>
      <c r="M9" t="str">
        <f t="shared" ca="1" si="2"/>
        <v/>
      </c>
      <c r="N9" t="str">
        <f t="shared" ca="1" si="2"/>
        <v/>
      </c>
      <c r="O9" t="str">
        <f t="shared" ca="1" si="2"/>
        <v/>
      </c>
      <c r="P9" t="str">
        <f t="shared" ca="1" si="2"/>
        <v/>
      </c>
      <c r="Q9" t="str">
        <f t="shared" ca="1" si="2"/>
        <v/>
      </c>
      <c r="R9" t="str">
        <f t="shared" ca="1" si="2"/>
        <v/>
      </c>
      <c r="S9" t="str">
        <f t="shared" ca="1" si="2"/>
        <v/>
      </c>
      <c r="T9" t="str">
        <f t="shared" ca="1" si="2"/>
        <v/>
      </c>
      <c r="U9" t="str">
        <f>""</f>
        <v/>
      </c>
      <c r="V9" t="str">
        <f>""</f>
        <v/>
      </c>
      <c r="W9" t="str">
        <f>""</f>
        <v/>
      </c>
      <c r="X9" t="str">
        <f>""</f>
        <v/>
      </c>
      <c r="Y9" t="str">
        <f>""</f>
        <v/>
      </c>
      <c r="Z9" t="str">
        <f>""</f>
        <v/>
      </c>
      <c r="AA9" t="str">
        <f>""</f>
        <v/>
      </c>
      <c r="AB9" t="str">
        <f>""</f>
        <v/>
      </c>
      <c r="AC9" t="str">
        <f>""</f>
        <v/>
      </c>
      <c r="AD9" t="str">
        <f>""</f>
        <v/>
      </c>
      <c r="AE9" t="str">
        <f>""</f>
        <v/>
      </c>
      <c r="AF9" t="str">
        <f>""</f>
        <v/>
      </c>
      <c r="AG9" t="str">
        <f>""</f>
        <v/>
      </c>
      <c r="AH9" t="str">
        <f>""</f>
        <v/>
      </c>
      <c r="AI9" t="str">
        <f>""</f>
        <v/>
      </c>
    </row>
    <row r="10" spans="1:35" x14ac:dyDescent="0.25">
      <c r="A10" t="str">
        <f>"            Financial Services"</f>
        <v xml:space="preserve">            Financial Services</v>
      </c>
      <c r="B10" t="str">
        <f>"INFY US Equity"</f>
        <v>INFY US Equity</v>
      </c>
      <c r="C10" t="str">
        <f>"BI047"</f>
        <v>BI047</v>
      </c>
      <c r="D10" t="str">
        <f>"BICS_SEGMENT_DATA"</f>
        <v>BICS_SEGMENT_DATA</v>
      </c>
      <c r="E10" t="str">
        <f>"Dynamic"</f>
        <v>Dynamic</v>
      </c>
      <c r="F10" t="str">
        <f ca="1">IF(AND(ISNUMBER($F$106),$B$102=1),$F$106,HLOOKUP(INDIRECT(ADDRESS(2,COLUMN())),OFFSET($U$2,0,0,ROW()-1,15),ROW()-1,FALSE))</f>
        <v/>
      </c>
      <c r="G10" t="str">
        <f ca="1">IF(AND(ISNUMBER($G$106),$B$102=1),$G$106,HLOOKUP(INDIRECT(ADDRESS(2,COLUMN())),OFFSET($U$2,0,0,ROW()-1,15),ROW()-1,FALSE))</f>
        <v/>
      </c>
      <c r="H10">
        <f ca="1">IF(AND(ISNUMBER($H$106),$B$102=1),$H$106,HLOOKUP(INDIRECT(ADDRESS(2,COLUMN())),OFFSET($U$2,0,0,ROW()-1,15),ROW()-1,FALSE))</f>
        <v>7.1</v>
      </c>
      <c r="I10" t="str">
        <f ca="1">IF(AND(ISNUMBER($I$106),$B$102=1),$I$106,HLOOKUP(INDIRECT(ADDRESS(2,COLUMN())),OFFSET($U$2,0,0,ROW()-1,15),ROW()-1,FALSE))</f>
        <v/>
      </c>
      <c r="J10" t="str">
        <f ca="1">IF(AND(ISNUMBER($J$106),$B$102=1),$J$106,HLOOKUP(INDIRECT(ADDRESS(2,COLUMN())),OFFSET($U$2,0,0,ROW()-1,15),ROW()-1,FALSE))</f>
        <v/>
      </c>
      <c r="K10" t="str">
        <f ca="1">IF(AND(ISNUMBER($K$106),$B$102=1),$K$106,HLOOKUP(INDIRECT(ADDRESS(2,COLUMN())),OFFSET($U$2,0,0,ROW()-1,15),ROW()-1,FALSE))</f>
        <v/>
      </c>
      <c r="L10" t="str">
        <f ca="1">IF(AND(ISNUMBER($L$106),$B$102=1),$L$106,HLOOKUP(INDIRECT(ADDRESS(2,COLUMN())),OFFSET($U$2,0,0,ROW()-1,15),ROW()-1,FALSE))</f>
        <v/>
      </c>
      <c r="M10" t="str">
        <f ca="1">IF(AND(ISNUMBER($M$106),$B$102=1),$M$106,HLOOKUP(INDIRECT(ADDRESS(2,COLUMN())),OFFSET($U$2,0,0,ROW()-1,15),ROW()-1,FALSE))</f>
        <v/>
      </c>
      <c r="N10" t="str">
        <f ca="1">IF(AND(ISNUMBER($N$106),$B$102=1),$N$106,HLOOKUP(INDIRECT(ADDRESS(2,COLUMN())),OFFSET($U$2,0,0,ROW()-1,15),ROW()-1,FALSE))</f>
        <v/>
      </c>
      <c r="O10" t="str">
        <f ca="1">IF(AND(ISNUMBER($O$106),$B$102=1),$O$106,HLOOKUP(INDIRECT(ADDRESS(2,COLUMN())),OFFSET($U$2,0,0,ROW()-1,15),ROW()-1,FALSE))</f>
        <v/>
      </c>
      <c r="P10" t="str">
        <f ca="1">IF(AND(ISNUMBER($P$106),$B$102=1),$P$106,HLOOKUP(INDIRECT(ADDRESS(2,COLUMN())),OFFSET($U$2,0,0,ROW()-1,15),ROW()-1,FALSE))</f>
        <v/>
      </c>
      <c r="Q10" t="str">
        <f ca="1">IF(AND(ISNUMBER($Q$106),$B$102=1),$Q$106,HLOOKUP(INDIRECT(ADDRESS(2,COLUMN())),OFFSET($U$2,0,0,ROW()-1,15),ROW()-1,FALSE))</f>
        <v/>
      </c>
      <c r="R10" t="str">
        <f ca="1">IF(AND(ISNUMBER($R$106),$B$102=1),$R$106,HLOOKUP(INDIRECT(ADDRESS(2,COLUMN())),OFFSET($U$2,0,0,ROW()-1,15),ROW()-1,FALSE))</f>
        <v/>
      </c>
      <c r="S10" t="str">
        <f ca="1">IF(AND(ISNUMBER($S$106),$B$102=1),$S$106,HLOOKUP(INDIRECT(ADDRESS(2,COLUMN())),OFFSET($U$2,0,0,ROW()-1,15),ROW()-1,FALSE))</f>
        <v/>
      </c>
      <c r="T10" t="str">
        <f ca="1">IF(AND(ISNUMBER($T$106),$B$102=1),$T$106,HLOOKUP(INDIRECT(ADDRESS(2,COLUMN())),OFFSET($U$2,0,0,ROW()-1,15),ROW()-1,FALSE))</f>
        <v/>
      </c>
      <c r="U10" t="str">
        <f>""</f>
        <v/>
      </c>
      <c r="V10" t="str">
        <f>""</f>
        <v/>
      </c>
      <c r="W10">
        <f>7.1</f>
        <v>7.1</v>
      </c>
      <c r="X10" t="str">
        <f>""</f>
        <v/>
      </c>
      <c r="Y10" t="str">
        <f>""</f>
        <v/>
      </c>
      <c r="Z10" t="str">
        <f>""</f>
        <v/>
      </c>
      <c r="AA10" t="str">
        <f>""</f>
        <v/>
      </c>
      <c r="AB10" t="str">
        <f>""</f>
        <v/>
      </c>
      <c r="AC10" t="str">
        <f>""</f>
        <v/>
      </c>
      <c r="AD10" t="str">
        <f>""</f>
        <v/>
      </c>
      <c r="AE10" t="str">
        <f>""</f>
        <v/>
      </c>
      <c r="AF10" t="str">
        <f>""</f>
        <v/>
      </c>
      <c r="AG10" t="str">
        <f>""</f>
        <v/>
      </c>
      <c r="AH10" t="str">
        <f>""</f>
        <v/>
      </c>
      <c r="AI10" t="str">
        <f>""</f>
        <v/>
      </c>
    </row>
    <row r="11" spans="1:35" x14ac:dyDescent="0.25">
      <c r="A11" t="str">
        <f>"            Retail"</f>
        <v xml:space="preserve">            Retail</v>
      </c>
      <c r="B11" t="str">
        <f>"INFY US Equity"</f>
        <v>INFY US Equity</v>
      </c>
      <c r="C11" t="str">
        <f>"BI047"</f>
        <v>BI047</v>
      </c>
      <c r="D11" t="str">
        <f>"BICS_SEGMENT_DATA"</f>
        <v>BICS_SEGMENT_DATA</v>
      </c>
      <c r="E11" t="str">
        <f>"Dynamic"</f>
        <v>Dynamic</v>
      </c>
      <c r="F11" t="str">
        <f ca="1">IF(AND(ISNUMBER($F$107),$B$102=1),$F$107,HLOOKUP(INDIRECT(ADDRESS(2,COLUMN())),OFFSET($U$2,0,0,ROW()-1,15),ROW()-1,FALSE))</f>
        <v/>
      </c>
      <c r="G11" t="str">
        <f ca="1">IF(AND(ISNUMBER($G$107),$B$102=1),$G$107,HLOOKUP(INDIRECT(ADDRESS(2,COLUMN())),OFFSET($U$2,0,0,ROW()-1,15),ROW()-1,FALSE))</f>
        <v/>
      </c>
      <c r="H11">
        <f ca="1">IF(AND(ISNUMBER($H$107),$B$102=1),$H$107,HLOOKUP(INDIRECT(ADDRESS(2,COLUMN())),OFFSET($U$2,0,0,ROW()-1,15),ROW()-1,FALSE))</f>
        <v>3.3</v>
      </c>
      <c r="I11" t="str">
        <f ca="1">IF(AND(ISNUMBER($I$107),$B$102=1),$I$107,HLOOKUP(INDIRECT(ADDRESS(2,COLUMN())),OFFSET($U$2,0,0,ROW()-1,15),ROW()-1,FALSE))</f>
        <v/>
      </c>
      <c r="J11" t="str">
        <f ca="1">IF(AND(ISNUMBER($J$107),$B$102=1),$J$107,HLOOKUP(INDIRECT(ADDRESS(2,COLUMN())),OFFSET($U$2,0,0,ROW()-1,15),ROW()-1,FALSE))</f>
        <v/>
      </c>
      <c r="K11" t="str">
        <f ca="1">IF(AND(ISNUMBER($K$107),$B$102=1),$K$107,HLOOKUP(INDIRECT(ADDRESS(2,COLUMN())),OFFSET($U$2,0,0,ROW()-1,15),ROW()-1,FALSE))</f>
        <v/>
      </c>
      <c r="L11" t="str">
        <f ca="1">IF(AND(ISNUMBER($L$107),$B$102=1),$L$107,HLOOKUP(INDIRECT(ADDRESS(2,COLUMN())),OFFSET($U$2,0,0,ROW()-1,15),ROW()-1,FALSE))</f>
        <v/>
      </c>
      <c r="M11" t="str">
        <f ca="1">IF(AND(ISNUMBER($M$107),$B$102=1),$M$107,HLOOKUP(INDIRECT(ADDRESS(2,COLUMN())),OFFSET($U$2,0,0,ROW()-1,15),ROW()-1,FALSE))</f>
        <v/>
      </c>
      <c r="N11" t="str">
        <f ca="1">IF(AND(ISNUMBER($N$107),$B$102=1),$N$107,HLOOKUP(INDIRECT(ADDRESS(2,COLUMN())),OFFSET($U$2,0,0,ROW()-1,15),ROW()-1,FALSE))</f>
        <v/>
      </c>
      <c r="O11" t="str">
        <f ca="1">IF(AND(ISNUMBER($O$107),$B$102=1),$O$107,HLOOKUP(INDIRECT(ADDRESS(2,COLUMN())),OFFSET($U$2,0,0,ROW()-1,15),ROW()-1,FALSE))</f>
        <v/>
      </c>
      <c r="P11" t="str">
        <f ca="1">IF(AND(ISNUMBER($P$107),$B$102=1),$P$107,HLOOKUP(INDIRECT(ADDRESS(2,COLUMN())),OFFSET($U$2,0,0,ROW()-1,15),ROW()-1,FALSE))</f>
        <v/>
      </c>
      <c r="Q11" t="str">
        <f ca="1">IF(AND(ISNUMBER($Q$107),$B$102=1),$Q$107,HLOOKUP(INDIRECT(ADDRESS(2,COLUMN())),OFFSET($U$2,0,0,ROW()-1,15),ROW()-1,FALSE))</f>
        <v/>
      </c>
      <c r="R11" t="str">
        <f ca="1">IF(AND(ISNUMBER($R$107),$B$102=1),$R$107,HLOOKUP(INDIRECT(ADDRESS(2,COLUMN())),OFFSET($U$2,0,0,ROW()-1,15),ROW()-1,FALSE))</f>
        <v/>
      </c>
      <c r="S11" t="str">
        <f ca="1">IF(AND(ISNUMBER($S$107),$B$102=1),$S$107,HLOOKUP(INDIRECT(ADDRESS(2,COLUMN())),OFFSET($U$2,0,0,ROW()-1,15),ROW()-1,FALSE))</f>
        <v/>
      </c>
      <c r="T11" t="str">
        <f ca="1">IF(AND(ISNUMBER($T$107),$B$102=1),$T$107,HLOOKUP(INDIRECT(ADDRESS(2,COLUMN())),OFFSET($U$2,0,0,ROW()-1,15),ROW()-1,FALSE))</f>
        <v/>
      </c>
      <c r="U11" t="str">
        <f>""</f>
        <v/>
      </c>
      <c r="V11" t="str">
        <f>""</f>
        <v/>
      </c>
      <c r="W11">
        <f>3.3</f>
        <v>3.3</v>
      </c>
      <c r="X11" t="str">
        <f>""</f>
        <v/>
      </c>
      <c r="Y11" t="str">
        <f>""</f>
        <v/>
      </c>
      <c r="Z11" t="str">
        <f>""</f>
        <v/>
      </c>
      <c r="AA11" t="str">
        <f>""</f>
        <v/>
      </c>
      <c r="AB11" t="str">
        <f>""</f>
        <v/>
      </c>
      <c r="AC11" t="str">
        <f>""</f>
        <v/>
      </c>
      <c r="AD11" t="str">
        <f>""</f>
        <v/>
      </c>
      <c r="AE11" t="str">
        <f>""</f>
        <v/>
      </c>
      <c r="AF11" t="str">
        <f>""</f>
        <v/>
      </c>
      <c r="AG11" t="str">
        <f>""</f>
        <v/>
      </c>
      <c r="AH11" t="str">
        <f>""</f>
        <v/>
      </c>
      <c r="AI11" t="str">
        <f>""</f>
        <v/>
      </c>
    </row>
    <row r="12" spans="1:35" x14ac:dyDescent="0.25">
      <c r="A12" t="str">
        <f>"            Manufacturing"</f>
        <v xml:space="preserve">            Manufacturing</v>
      </c>
      <c r="B12" t="str">
        <f>"INFY US Equity"</f>
        <v>INFY US Equity</v>
      </c>
      <c r="C12" t="str">
        <f>"BI047"</f>
        <v>BI047</v>
      </c>
      <c r="D12" t="str">
        <f>"BICS_SEGMENT_DATA"</f>
        <v>BICS_SEGMENT_DATA</v>
      </c>
      <c r="E12" t="str">
        <f>"Dynamic"</f>
        <v>Dynamic</v>
      </c>
      <c r="F12" t="str">
        <f ca="1">IF(AND(ISNUMBER($F$108),$B$102=1),$F$108,HLOOKUP(INDIRECT(ADDRESS(2,COLUMN())),OFFSET($U$2,0,0,ROW()-1,15),ROW()-1,FALSE))</f>
        <v/>
      </c>
      <c r="G12" t="str">
        <f ca="1">IF(AND(ISNUMBER($G$108),$B$102=1),$G$108,HLOOKUP(INDIRECT(ADDRESS(2,COLUMN())),OFFSET($U$2,0,0,ROW()-1,15),ROW()-1,FALSE))</f>
        <v/>
      </c>
      <c r="H12">
        <f ca="1">IF(AND(ISNUMBER($H$108),$B$102=1),$H$108,HLOOKUP(INDIRECT(ADDRESS(2,COLUMN())),OFFSET($U$2,0,0,ROW()-1,15),ROW()-1,FALSE))</f>
        <v>4.2</v>
      </c>
      <c r="I12" t="str">
        <f ca="1">IF(AND(ISNUMBER($I$108),$B$102=1),$I$108,HLOOKUP(INDIRECT(ADDRESS(2,COLUMN())),OFFSET($U$2,0,0,ROW()-1,15),ROW()-1,FALSE))</f>
        <v/>
      </c>
      <c r="J12" t="str">
        <f ca="1">IF(AND(ISNUMBER($J$108),$B$102=1),$J$108,HLOOKUP(INDIRECT(ADDRESS(2,COLUMN())),OFFSET($U$2,0,0,ROW()-1,15),ROW()-1,FALSE))</f>
        <v/>
      </c>
      <c r="K12" t="str">
        <f ca="1">IF(AND(ISNUMBER($K$108),$B$102=1),$K$108,HLOOKUP(INDIRECT(ADDRESS(2,COLUMN())),OFFSET($U$2,0,0,ROW()-1,15),ROW()-1,FALSE))</f>
        <v/>
      </c>
      <c r="L12" t="str">
        <f ca="1">IF(AND(ISNUMBER($L$108),$B$102=1),$L$108,HLOOKUP(INDIRECT(ADDRESS(2,COLUMN())),OFFSET($U$2,0,0,ROW()-1,15),ROW()-1,FALSE))</f>
        <v/>
      </c>
      <c r="M12" t="str">
        <f ca="1">IF(AND(ISNUMBER($M$108),$B$102=1),$M$108,HLOOKUP(INDIRECT(ADDRESS(2,COLUMN())),OFFSET($U$2,0,0,ROW()-1,15),ROW()-1,FALSE))</f>
        <v/>
      </c>
      <c r="N12" t="str">
        <f ca="1">IF(AND(ISNUMBER($N$108),$B$102=1),$N$108,HLOOKUP(INDIRECT(ADDRESS(2,COLUMN())),OFFSET($U$2,0,0,ROW()-1,15),ROW()-1,FALSE))</f>
        <v/>
      </c>
      <c r="O12" t="str">
        <f ca="1">IF(AND(ISNUMBER($O$108),$B$102=1),$O$108,HLOOKUP(INDIRECT(ADDRESS(2,COLUMN())),OFFSET($U$2,0,0,ROW()-1,15),ROW()-1,FALSE))</f>
        <v/>
      </c>
      <c r="P12" t="str">
        <f ca="1">IF(AND(ISNUMBER($P$108),$B$102=1),$P$108,HLOOKUP(INDIRECT(ADDRESS(2,COLUMN())),OFFSET($U$2,0,0,ROW()-1,15),ROW()-1,FALSE))</f>
        <v/>
      </c>
      <c r="Q12" t="str">
        <f ca="1">IF(AND(ISNUMBER($Q$108),$B$102=1),$Q$108,HLOOKUP(INDIRECT(ADDRESS(2,COLUMN())),OFFSET($U$2,0,0,ROW()-1,15),ROW()-1,FALSE))</f>
        <v/>
      </c>
      <c r="R12" t="str">
        <f ca="1">IF(AND(ISNUMBER($R$108),$B$102=1),$R$108,HLOOKUP(INDIRECT(ADDRESS(2,COLUMN())),OFFSET($U$2,0,0,ROW()-1,15),ROW()-1,FALSE))</f>
        <v/>
      </c>
      <c r="S12" t="str">
        <f ca="1">IF(AND(ISNUMBER($S$108),$B$102=1),$S$108,HLOOKUP(INDIRECT(ADDRESS(2,COLUMN())),OFFSET($U$2,0,0,ROW()-1,15),ROW()-1,FALSE))</f>
        <v/>
      </c>
      <c r="T12" t="str">
        <f ca="1">IF(AND(ISNUMBER($T$108),$B$102=1),$T$108,HLOOKUP(INDIRECT(ADDRESS(2,COLUMN())),OFFSET($U$2,0,0,ROW()-1,15),ROW()-1,FALSE))</f>
        <v/>
      </c>
      <c r="U12" t="str">
        <f>""</f>
        <v/>
      </c>
      <c r="V12" t="str">
        <f>""</f>
        <v/>
      </c>
      <c r="W12">
        <f>4.2</f>
        <v>4.2</v>
      </c>
      <c r="X12" t="str">
        <f>""</f>
        <v/>
      </c>
      <c r="Y12" t="str">
        <f>""</f>
        <v/>
      </c>
      <c r="Z12" t="str">
        <f>""</f>
        <v/>
      </c>
      <c r="AA12" t="str">
        <f>""</f>
        <v/>
      </c>
      <c r="AB12" t="str">
        <f>""</f>
        <v/>
      </c>
      <c r="AC12" t="str">
        <f>""</f>
        <v/>
      </c>
      <c r="AD12" t="str">
        <f>""</f>
        <v/>
      </c>
      <c r="AE12" t="str">
        <f>""</f>
        <v/>
      </c>
      <c r="AF12" t="str">
        <f>""</f>
        <v/>
      </c>
      <c r="AG12" t="str">
        <f>""</f>
        <v/>
      </c>
      <c r="AH12" t="str">
        <f>""</f>
        <v/>
      </c>
      <c r="AI12" t="str">
        <f>""</f>
        <v/>
      </c>
    </row>
    <row r="13" spans="1:35" x14ac:dyDescent="0.25">
      <c r="A13" t="str">
        <f>"    Revenue Growth in Constant Currency (%) YoY"</f>
        <v xml:space="preserve">    Revenue Growth in Constant Currency (%) YoY</v>
      </c>
      <c r="B13" t="str">
        <f>"INFY US Equity"</f>
        <v>INFY US Equity</v>
      </c>
      <c r="C13" t="str">
        <f>"M0025"</f>
        <v>M0025</v>
      </c>
      <c r="D13" t="str">
        <f>"1_YR_REVENUE_GROWTH_CC"</f>
        <v>1_YR_REVENUE_GROWTH_CC</v>
      </c>
      <c r="E13" t="str">
        <f>"Dynamic"</f>
        <v>Dynamic</v>
      </c>
      <c r="F13">
        <f ca="1">IF(AND(ISNUMBER($F$109),$B$102=1),$F$109,HLOOKUP(INDIRECT(ADDRESS(2,COLUMN())),OFFSET($U$2,0,0,ROW()-1,15),ROW()-1,FALSE))</f>
        <v>9.8000000000000007</v>
      </c>
      <c r="G13">
        <f ca="1">IF(AND(ISNUMBER($G$109),$B$102=1),$G$109,HLOOKUP(INDIRECT(ADDRESS(2,COLUMN())),OFFSET($U$2,0,0,ROW()-1,15),ROW()-1,FALSE))</f>
        <v>9</v>
      </c>
      <c r="H13" t="str">
        <f ca="1">IF(AND(ISNUMBER($H$109),$B$102=1),$H$109,HLOOKUP(INDIRECT(ADDRESS(2,COLUMN())),OFFSET($U$2,0,0,ROW()-1,15),ROW()-1,FALSE))</f>
        <v/>
      </c>
      <c r="I13" t="str">
        <f ca="1">IF(AND(ISNUMBER($I$109),$B$102=1),$I$109,HLOOKUP(INDIRECT(ADDRESS(2,COLUMN())),OFFSET($U$2,0,0,ROW()-1,15),ROW()-1,FALSE))</f>
        <v/>
      </c>
      <c r="J13" t="str">
        <f ca="1">IF(AND(ISNUMBER($J$109),$B$102=1),$J$109,HLOOKUP(INDIRECT(ADDRESS(2,COLUMN())),OFFSET($U$2,0,0,ROW()-1,15),ROW()-1,FALSE))</f>
        <v/>
      </c>
      <c r="K13" t="str">
        <f ca="1">IF(AND(ISNUMBER($K$109),$B$102=1),$K$109,HLOOKUP(INDIRECT(ADDRESS(2,COLUMN())),OFFSET($U$2,0,0,ROW()-1,15),ROW()-1,FALSE))</f>
        <v/>
      </c>
      <c r="L13" t="str">
        <f ca="1">IF(AND(ISNUMBER($L$109),$B$102=1),$L$109,HLOOKUP(INDIRECT(ADDRESS(2,COLUMN())),OFFSET($U$2,0,0,ROW()-1,15),ROW()-1,FALSE))</f>
        <v/>
      </c>
      <c r="M13" t="str">
        <f ca="1">IF(AND(ISNUMBER($M$109),$B$102=1),$M$109,HLOOKUP(INDIRECT(ADDRESS(2,COLUMN())),OFFSET($U$2,0,0,ROW()-1,15),ROW()-1,FALSE))</f>
        <v/>
      </c>
      <c r="N13">
        <f ca="1">IF(AND(ISNUMBER($N$109),$B$102=1),$N$109,HLOOKUP(INDIRECT(ADDRESS(2,COLUMN())),OFFSET($U$2,0,0,ROW()-1,15),ROW()-1,FALSE))</f>
        <v>22.3</v>
      </c>
      <c r="O13">
        <f ca="1">IF(AND(ISNUMBER($O$109),$B$102=1),$O$109,HLOOKUP(INDIRECT(ADDRESS(2,COLUMN())),OFFSET($U$2,0,0,ROW()-1,15),ROW()-1,FALSE))</f>
        <v>22.3</v>
      </c>
      <c r="P13" t="str">
        <f ca="1">IF(AND(ISNUMBER($P$109),$B$102=1),$P$109,HLOOKUP(INDIRECT(ADDRESS(2,COLUMN())),OFFSET($U$2,0,0,ROW()-1,15),ROW()-1,FALSE))</f>
        <v/>
      </c>
      <c r="Q13">
        <f ca="1">IF(AND(ISNUMBER($Q$109),$B$102=1),$Q$109,HLOOKUP(INDIRECT(ADDRESS(2,COLUMN())),OFFSET($U$2,0,0,ROW()-1,15),ROW()-1,FALSE))</f>
        <v>5.9</v>
      </c>
      <c r="R13" t="str">
        <f ca="1">IF(AND(ISNUMBER($R$109),$B$102=1),$R$109,HLOOKUP(INDIRECT(ADDRESS(2,COLUMN())),OFFSET($U$2,0,0,ROW()-1,15),ROW()-1,FALSE))</f>
        <v/>
      </c>
      <c r="S13" t="str">
        <f ca="1">IF(AND(ISNUMBER($S$109),$B$102=1),$S$109,HLOOKUP(INDIRECT(ADDRESS(2,COLUMN())),OFFSET($U$2,0,0,ROW()-1,15),ROW()-1,FALSE))</f>
        <v/>
      </c>
      <c r="T13" t="str">
        <f ca="1">IF(AND(ISNUMBER($T$109),$B$102=1),$T$109,HLOOKUP(INDIRECT(ADDRESS(2,COLUMN())),OFFSET($U$2,0,0,ROW()-1,15),ROW()-1,FALSE))</f>
        <v/>
      </c>
      <c r="U13">
        <f>9.8</f>
        <v>9.8000000000000007</v>
      </c>
      <c r="V13">
        <f>9</f>
        <v>9</v>
      </c>
      <c r="W13" t="str">
        <f>""</f>
        <v/>
      </c>
      <c r="X13" t="str">
        <f>""</f>
        <v/>
      </c>
      <c r="Y13" t="str">
        <f>""</f>
        <v/>
      </c>
      <c r="Z13" t="str">
        <f>""</f>
        <v/>
      </c>
      <c r="AA13" t="str">
        <f>""</f>
        <v/>
      </c>
      <c r="AB13" t="str">
        <f>""</f>
        <v/>
      </c>
      <c r="AC13">
        <f>22.3</f>
        <v>22.3</v>
      </c>
      <c r="AD13">
        <f>22.3</f>
        <v>22.3</v>
      </c>
      <c r="AE13" t="str">
        <f>""</f>
        <v/>
      </c>
      <c r="AF13">
        <f>5.9</f>
        <v>5.9</v>
      </c>
      <c r="AG13" t="str">
        <f>""</f>
        <v/>
      </c>
      <c r="AH13" t="str">
        <f>""</f>
        <v/>
      </c>
      <c r="AI13" t="str">
        <f>""</f>
        <v/>
      </c>
    </row>
    <row r="14" spans="1:35" x14ac:dyDescent="0.25">
      <c r="A14" t="str">
        <f>"        By End-Market"</f>
        <v xml:space="preserve">        By End-Market</v>
      </c>
      <c r="B14" t="str">
        <f>""</f>
        <v/>
      </c>
      <c r="E14" t="str">
        <f>"Static"</f>
        <v>Static</v>
      </c>
      <c r="F14" t="str">
        <f t="shared" ref="F14:T14" ca="1" si="3">HLOOKUP(INDIRECT(ADDRESS(2,COLUMN())),OFFSET($U$2,0,0,ROW()-1,15),ROW()-1,FALSE)</f>
        <v/>
      </c>
      <c r="G14" t="str">
        <f t="shared" ca="1" si="3"/>
        <v/>
      </c>
      <c r="H14" t="str">
        <f t="shared" ca="1" si="3"/>
        <v/>
      </c>
      <c r="I14" t="str">
        <f t="shared" ca="1" si="3"/>
        <v/>
      </c>
      <c r="J14" t="str">
        <f t="shared" ca="1" si="3"/>
        <v/>
      </c>
      <c r="K14" t="str">
        <f t="shared" ca="1" si="3"/>
        <v/>
      </c>
      <c r="L14" t="str">
        <f t="shared" ca="1" si="3"/>
        <v/>
      </c>
      <c r="M14" t="str">
        <f t="shared" ca="1" si="3"/>
        <v/>
      </c>
      <c r="N14" t="str">
        <f t="shared" ca="1" si="3"/>
        <v/>
      </c>
      <c r="O14" t="str">
        <f t="shared" ca="1" si="3"/>
        <v/>
      </c>
      <c r="P14" t="str">
        <f t="shared" ca="1" si="3"/>
        <v/>
      </c>
      <c r="Q14" t="str">
        <f t="shared" ca="1" si="3"/>
        <v/>
      </c>
      <c r="R14" t="str">
        <f t="shared" ca="1" si="3"/>
        <v/>
      </c>
      <c r="S14" t="str">
        <f t="shared" ca="1" si="3"/>
        <v/>
      </c>
      <c r="T14" t="str">
        <f t="shared" ca="1" si="3"/>
        <v/>
      </c>
      <c r="U14" t="str">
        <f>""</f>
        <v/>
      </c>
      <c r="V14" t="str">
        <f>""</f>
        <v/>
      </c>
      <c r="W14" t="str">
        <f>""</f>
        <v/>
      </c>
      <c r="X14" t="str">
        <f>""</f>
        <v/>
      </c>
      <c r="Y14" t="str">
        <f>""</f>
        <v/>
      </c>
      <c r="Z14" t="str">
        <f>""</f>
        <v/>
      </c>
      <c r="AA14" t="str">
        <f>""</f>
        <v/>
      </c>
      <c r="AB14" t="str">
        <f>""</f>
        <v/>
      </c>
      <c r="AC14" t="str">
        <f>""</f>
        <v/>
      </c>
      <c r="AD14" t="str">
        <f>""</f>
        <v/>
      </c>
      <c r="AE14" t="str">
        <f>""</f>
        <v/>
      </c>
      <c r="AF14" t="str">
        <f>""</f>
        <v/>
      </c>
      <c r="AG14" t="str">
        <f>""</f>
        <v/>
      </c>
      <c r="AH14" t="str">
        <f>""</f>
        <v/>
      </c>
      <c r="AI14" t="str">
        <f>""</f>
        <v/>
      </c>
    </row>
    <row r="15" spans="1:35" x14ac:dyDescent="0.25">
      <c r="A15" t="str">
        <f>"            Financial Services"</f>
        <v xml:space="preserve">            Financial Services</v>
      </c>
      <c r="B15" t="str">
        <f>"INFY US Equity"</f>
        <v>INFY US Equity</v>
      </c>
      <c r="C15" t="str">
        <f>"BI047"</f>
        <v>BI047</v>
      </c>
      <c r="D15" t="str">
        <f>"BICS_SEGMENT_DATA"</f>
        <v>BICS_SEGMENT_DATA</v>
      </c>
      <c r="E15" t="str">
        <f>"Dynamic"</f>
        <v>Dynamic</v>
      </c>
      <c r="F15" t="str">
        <f ca="1">IF(AND(ISNUMBER($F$110),$B$102=1),$F$110,HLOOKUP(INDIRECT(ADDRESS(2,COLUMN())),OFFSET($U$2,0,0,ROW()-1,15),ROW()-1,FALSE))</f>
        <v/>
      </c>
      <c r="G15" t="str">
        <f ca="1">IF(AND(ISNUMBER($G$110),$B$102=1),$G$110,HLOOKUP(INDIRECT(ADDRESS(2,COLUMN())),OFFSET($U$2,0,0,ROW()-1,15),ROW()-1,FALSE))</f>
        <v/>
      </c>
      <c r="H15">
        <f ca="1">IF(AND(ISNUMBER($H$110),$B$102=1),$H$110,HLOOKUP(INDIRECT(ADDRESS(2,COLUMN())),OFFSET($U$2,0,0,ROW()-1,15),ROW()-1,FALSE))</f>
        <v>5.9</v>
      </c>
      <c r="I15" t="str">
        <f ca="1">IF(AND(ISNUMBER($I$110),$B$102=1),$I$110,HLOOKUP(INDIRECT(ADDRESS(2,COLUMN())),OFFSET($U$2,0,0,ROW()-1,15),ROW()-1,FALSE))</f>
        <v/>
      </c>
      <c r="J15" t="str">
        <f ca="1">IF(AND(ISNUMBER($J$110),$B$102=1),$J$110,HLOOKUP(INDIRECT(ADDRESS(2,COLUMN())),OFFSET($U$2,0,0,ROW()-1,15),ROW()-1,FALSE))</f>
        <v/>
      </c>
      <c r="K15" t="str">
        <f ca="1">IF(AND(ISNUMBER($K$110),$B$102=1),$K$110,HLOOKUP(INDIRECT(ADDRESS(2,COLUMN())),OFFSET($U$2,0,0,ROW()-1,15),ROW()-1,FALSE))</f>
        <v/>
      </c>
      <c r="L15" t="str">
        <f ca="1">IF(AND(ISNUMBER($L$110),$B$102=1),$L$110,HLOOKUP(INDIRECT(ADDRESS(2,COLUMN())),OFFSET($U$2,0,0,ROW()-1,15),ROW()-1,FALSE))</f>
        <v/>
      </c>
      <c r="M15" t="str">
        <f ca="1">IF(AND(ISNUMBER($M$110),$B$102=1),$M$110,HLOOKUP(INDIRECT(ADDRESS(2,COLUMN())),OFFSET($U$2,0,0,ROW()-1,15),ROW()-1,FALSE))</f>
        <v/>
      </c>
      <c r="N15" t="str">
        <f ca="1">IF(AND(ISNUMBER($N$110),$B$102=1),$N$110,HLOOKUP(INDIRECT(ADDRESS(2,COLUMN())),OFFSET($U$2,0,0,ROW()-1,15),ROW()-1,FALSE))</f>
        <v/>
      </c>
      <c r="O15" t="str">
        <f ca="1">IF(AND(ISNUMBER($O$110),$B$102=1),$O$110,HLOOKUP(INDIRECT(ADDRESS(2,COLUMN())),OFFSET($U$2,0,0,ROW()-1,15),ROW()-1,FALSE))</f>
        <v/>
      </c>
      <c r="P15" t="str">
        <f ca="1">IF(AND(ISNUMBER($P$110),$B$102=1),$P$110,HLOOKUP(INDIRECT(ADDRESS(2,COLUMN())),OFFSET($U$2,0,0,ROW()-1,15),ROW()-1,FALSE))</f>
        <v/>
      </c>
      <c r="Q15" t="str">
        <f ca="1">IF(AND(ISNUMBER($Q$110),$B$102=1),$Q$110,HLOOKUP(INDIRECT(ADDRESS(2,COLUMN())),OFFSET($U$2,0,0,ROW()-1,15),ROW()-1,FALSE))</f>
        <v/>
      </c>
      <c r="R15" t="str">
        <f ca="1">IF(AND(ISNUMBER($R$110),$B$102=1),$R$110,HLOOKUP(INDIRECT(ADDRESS(2,COLUMN())),OFFSET($U$2,0,0,ROW()-1,15),ROW()-1,FALSE))</f>
        <v/>
      </c>
      <c r="S15" t="str">
        <f ca="1">IF(AND(ISNUMBER($S$110),$B$102=1),$S$110,HLOOKUP(INDIRECT(ADDRESS(2,COLUMN())),OFFSET($U$2,0,0,ROW()-1,15),ROW()-1,FALSE))</f>
        <v/>
      </c>
      <c r="T15" t="str">
        <f ca="1">IF(AND(ISNUMBER($T$110),$B$102=1),$T$110,HLOOKUP(INDIRECT(ADDRESS(2,COLUMN())),OFFSET($U$2,0,0,ROW()-1,15),ROW()-1,FALSE))</f>
        <v/>
      </c>
      <c r="U15" t="str">
        <f>""</f>
        <v/>
      </c>
      <c r="V15" t="str">
        <f>""</f>
        <v/>
      </c>
      <c r="W15">
        <f>5.9</f>
        <v>5.9</v>
      </c>
      <c r="X15" t="str">
        <f>""</f>
        <v/>
      </c>
      <c r="Y15" t="str">
        <f>""</f>
        <v/>
      </c>
      <c r="Z15" t="str">
        <f>""</f>
        <v/>
      </c>
      <c r="AA15" t="str">
        <f>""</f>
        <v/>
      </c>
      <c r="AB15" t="str">
        <f>""</f>
        <v/>
      </c>
      <c r="AC15" t="str">
        <f>""</f>
        <v/>
      </c>
      <c r="AD15" t="str">
        <f>""</f>
        <v/>
      </c>
      <c r="AE15" t="str">
        <f>""</f>
        <v/>
      </c>
      <c r="AF15" t="str">
        <f>""</f>
        <v/>
      </c>
      <c r="AG15" t="str">
        <f>""</f>
        <v/>
      </c>
      <c r="AH15" t="str">
        <f>""</f>
        <v/>
      </c>
      <c r="AI15" t="str">
        <f>""</f>
        <v/>
      </c>
    </row>
    <row r="16" spans="1:35" x14ac:dyDescent="0.25">
      <c r="A16" t="str">
        <f>"            Retail"</f>
        <v xml:space="preserve">            Retail</v>
      </c>
      <c r="B16" t="str">
        <f>"INFY US Equity"</f>
        <v>INFY US Equity</v>
      </c>
      <c r="C16" t="str">
        <f>"BI047"</f>
        <v>BI047</v>
      </c>
      <c r="D16" t="str">
        <f>"BICS_SEGMENT_DATA"</f>
        <v>BICS_SEGMENT_DATA</v>
      </c>
      <c r="E16" t="str">
        <f>"Dynamic"</f>
        <v>Dynamic</v>
      </c>
      <c r="F16" t="str">
        <f ca="1">IF(AND(ISNUMBER($F$111),$B$102=1),$F$111,HLOOKUP(INDIRECT(ADDRESS(2,COLUMN())),OFFSET($U$2,0,0,ROW()-1,15),ROW()-1,FALSE))</f>
        <v/>
      </c>
      <c r="G16" t="str">
        <f ca="1">IF(AND(ISNUMBER($G$111),$B$102=1),$G$111,HLOOKUP(INDIRECT(ADDRESS(2,COLUMN())),OFFSET($U$2,0,0,ROW()-1,15),ROW()-1,FALSE))</f>
        <v/>
      </c>
      <c r="H16">
        <f ca="1">IF(AND(ISNUMBER($H$111),$B$102=1),$H$111,HLOOKUP(INDIRECT(ADDRESS(2,COLUMN())),OFFSET($U$2,0,0,ROW()-1,15),ROW()-1,FALSE))</f>
        <v>2</v>
      </c>
      <c r="I16" t="str">
        <f ca="1">IF(AND(ISNUMBER($I$111),$B$102=1),$I$111,HLOOKUP(INDIRECT(ADDRESS(2,COLUMN())),OFFSET($U$2,0,0,ROW()-1,15),ROW()-1,FALSE))</f>
        <v/>
      </c>
      <c r="J16" t="str">
        <f ca="1">IF(AND(ISNUMBER($J$111),$B$102=1),$J$111,HLOOKUP(INDIRECT(ADDRESS(2,COLUMN())),OFFSET($U$2,0,0,ROW()-1,15),ROW()-1,FALSE))</f>
        <v/>
      </c>
      <c r="K16" t="str">
        <f ca="1">IF(AND(ISNUMBER($K$111),$B$102=1),$K$111,HLOOKUP(INDIRECT(ADDRESS(2,COLUMN())),OFFSET($U$2,0,0,ROW()-1,15),ROW()-1,FALSE))</f>
        <v/>
      </c>
      <c r="L16" t="str">
        <f ca="1">IF(AND(ISNUMBER($L$111),$B$102=1),$L$111,HLOOKUP(INDIRECT(ADDRESS(2,COLUMN())),OFFSET($U$2,0,0,ROW()-1,15),ROW()-1,FALSE))</f>
        <v/>
      </c>
      <c r="M16" t="str">
        <f ca="1">IF(AND(ISNUMBER($M$111),$B$102=1),$M$111,HLOOKUP(INDIRECT(ADDRESS(2,COLUMN())),OFFSET($U$2,0,0,ROW()-1,15),ROW()-1,FALSE))</f>
        <v/>
      </c>
      <c r="N16" t="str">
        <f ca="1">IF(AND(ISNUMBER($N$111),$B$102=1),$N$111,HLOOKUP(INDIRECT(ADDRESS(2,COLUMN())),OFFSET($U$2,0,0,ROW()-1,15),ROW()-1,FALSE))</f>
        <v/>
      </c>
      <c r="O16" t="str">
        <f ca="1">IF(AND(ISNUMBER($O$111),$B$102=1),$O$111,HLOOKUP(INDIRECT(ADDRESS(2,COLUMN())),OFFSET($U$2,0,0,ROW()-1,15),ROW()-1,FALSE))</f>
        <v/>
      </c>
      <c r="P16" t="str">
        <f ca="1">IF(AND(ISNUMBER($P$111),$B$102=1),$P$111,HLOOKUP(INDIRECT(ADDRESS(2,COLUMN())),OFFSET($U$2,0,0,ROW()-1,15),ROW()-1,FALSE))</f>
        <v/>
      </c>
      <c r="Q16" t="str">
        <f ca="1">IF(AND(ISNUMBER($Q$111),$B$102=1),$Q$111,HLOOKUP(INDIRECT(ADDRESS(2,COLUMN())),OFFSET($U$2,0,0,ROW()-1,15),ROW()-1,FALSE))</f>
        <v/>
      </c>
      <c r="R16" t="str">
        <f ca="1">IF(AND(ISNUMBER($R$111),$B$102=1),$R$111,HLOOKUP(INDIRECT(ADDRESS(2,COLUMN())),OFFSET($U$2,0,0,ROW()-1,15),ROW()-1,FALSE))</f>
        <v/>
      </c>
      <c r="S16" t="str">
        <f ca="1">IF(AND(ISNUMBER($S$111),$B$102=1),$S$111,HLOOKUP(INDIRECT(ADDRESS(2,COLUMN())),OFFSET($U$2,0,0,ROW()-1,15),ROW()-1,FALSE))</f>
        <v/>
      </c>
      <c r="T16" t="str">
        <f ca="1">IF(AND(ISNUMBER($T$111),$B$102=1),$T$111,HLOOKUP(INDIRECT(ADDRESS(2,COLUMN())),OFFSET($U$2,0,0,ROW()-1,15),ROW()-1,FALSE))</f>
        <v/>
      </c>
      <c r="U16" t="str">
        <f>""</f>
        <v/>
      </c>
      <c r="V16" t="str">
        <f>""</f>
        <v/>
      </c>
      <c r="W16">
        <f>2</f>
        <v>2</v>
      </c>
      <c r="X16" t="str">
        <f>""</f>
        <v/>
      </c>
      <c r="Y16" t="str">
        <f>""</f>
        <v/>
      </c>
      <c r="Z16" t="str">
        <f>""</f>
        <v/>
      </c>
      <c r="AA16" t="str">
        <f>""</f>
        <v/>
      </c>
      <c r="AB16" t="str">
        <f>""</f>
        <v/>
      </c>
      <c r="AC16" t="str">
        <f>""</f>
        <v/>
      </c>
      <c r="AD16" t="str">
        <f>""</f>
        <v/>
      </c>
      <c r="AE16" t="str">
        <f>""</f>
        <v/>
      </c>
      <c r="AF16" t="str">
        <f>""</f>
        <v/>
      </c>
      <c r="AG16" t="str">
        <f>""</f>
        <v/>
      </c>
      <c r="AH16" t="str">
        <f>""</f>
        <v/>
      </c>
      <c r="AI16" t="str">
        <f>""</f>
        <v/>
      </c>
    </row>
    <row r="17" spans="1:35" x14ac:dyDescent="0.25">
      <c r="A17" t="str">
        <f>"            Manufacturing"</f>
        <v xml:space="preserve">            Manufacturing</v>
      </c>
      <c r="B17" t="str">
        <f>"INFY US Equity"</f>
        <v>INFY US Equity</v>
      </c>
      <c r="C17" t="str">
        <f>"BI047"</f>
        <v>BI047</v>
      </c>
      <c r="D17" t="str">
        <f>"BICS_SEGMENT_DATA"</f>
        <v>BICS_SEGMENT_DATA</v>
      </c>
      <c r="E17" t="str">
        <f>"Dynamic"</f>
        <v>Dynamic</v>
      </c>
      <c r="F17" t="str">
        <f ca="1">IF(AND(ISNUMBER($F$112),$B$102=1),$F$112,HLOOKUP(INDIRECT(ADDRESS(2,COLUMN())),OFFSET($U$2,0,0,ROW()-1,15),ROW()-1,FALSE))</f>
        <v/>
      </c>
      <c r="G17" t="str">
        <f ca="1">IF(AND(ISNUMBER($G$112),$B$102=1),$G$112,HLOOKUP(INDIRECT(ADDRESS(2,COLUMN())),OFFSET($U$2,0,0,ROW()-1,15),ROW()-1,FALSE))</f>
        <v/>
      </c>
      <c r="H17">
        <f ca="1">IF(AND(ISNUMBER($H$112),$B$102=1),$H$112,HLOOKUP(INDIRECT(ADDRESS(2,COLUMN())),OFFSET($U$2,0,0,ROW()-1,15),ROW()-1,FALSE))</f>
        <v>3.1</v>
      </c>
      <c r="I17" t="str">
        <f ca="1">IF(AND(ISNUMBER($I$112),$B$102=1),$I$112,HLOOKUP(INDIRECT(ADDRESS(2,COLUMN())),OFFSET($U$2,0,0,ROW()-1,15),ROW()-1,FALSE))</f>
        <v/>
      </c>
      <c r="J17" t="str">
        <f ca="1">IF(AND(ISNUMBER($J$112),$B$102=1),$J$112,HLOOKUP(INDIRECT(ADDRESS(2,COLUMN())),OFFSET($U$2,0,0,ROW()-1,15),ROW()-1,FALSE))</f>
        <v/>
      </c>
      <c r="K17" t="str">
        <f ca="1">IF(AND(ISNUMBER($K$112),$B$102=1),$K$112,HLOOKUP(INDIRECT(ADDRESS(2,COLUMN())),OFFSET($U$2,0,0,ROW()-1,15),ROW()-1,FALSE))</f>
        <v/>
      </c>
      <c r="L17" t="str">
        <f ca="1">IF(AND(ISNUMBER($L$112),$B$102=1),$L$112,HLOOKUP(INDIRECT(ADDRESS(2,COLUMN())),OFFSET($U$2,0,0,ROW()-1,15),ROW()-1,FALSE))</f>
        <v/>
      </c>
      <c r="M17" t="str">
        <f ca="1">IF(AND(ISNUMBER($M$112),$B$102=1),$M$112,HLOOKUP(INDIRECT(ADDRESS(2,COLUMN())),OFFSET($U$2,0,0,ROW()-1,15),ROW()-1,FALSE))</f>
        <v/>
      </c>
      <c r="N17" t="str">
        <f ca="1">IF(AND(ISNUMBER($N$112),$B$102=1),$N$112,HLOOKUP(INDIRECT(ADDRESS(2,COLUMN())),OFFSET($U$2,0,0,ROW()-1,15),ROW()-1,FALSE))</f>
        <v/>
      </c>
      <c r="O17" t="str">
        <f ca="1">IF(AND(ISNUMBER($O$112),$B$102=1),$O$112,HLOOKUP(INDIRECT(ADDRESS(2,COLUMN())),OFFSET($U$2,0,0,ROW()-1,15),ROW()-1,FALSE))</f>
        <v/>
      </c>
      <c r="P17" t="str">
        <f ca="1">IF(AND(ISNUMBER($P$112),$B$102=1),$P$112,HLOOKUP(INDIRECT(ADDRESS(2,COLUMN())),OFFSET($U$2,0,0,ROW()-1,15),ROW()-1,FALSE))</f>
        <v/>
      </c>
      <c r="Q17" t="str">
        <f ca="1">IF(AND(ISNUMBER($Q$112),$B$102=1),$Q$112,HLOOKUP(INDIRECT(ADDRESS(2,COLUMN())),OFFSET($U$2,0,0,ROW()-1,15),ROW()-1,FALSE))</f>
        <v/>
      </c>
      <c r="R17" t="str">
        <f ca="1">IF(AND(ISNUMBER($R$112),$B$102=1),$R$112,HLOOKUP(INDIRECT(ADDRESS(2,COLUMN())),OFFSET($U$2,0,0,ROW()-1,15),ROW()-1,FALSE))</f>
        <v/>
      </c>
      <c r="S17" t="str">
        <f ca="1">IF(AND(ISNUMBER($S$112),$B$102=1),$S$112,HLOOKUP(INDIRECT(ADDRESS(2,COLUMN())),OFFSET($U$2,0,0,ROW()-1,15),ROW()-1,FALSE))</f>
        <v/>
      </c>
      <c r="T17" t="str">
        <f ca="1">IF(AND(ISNUMBER($T$112),$B$102=1),$T$112,HLOOKUP(INDIRECT(ADDRESS(2,COLUMN())),OFFSET($U$2,0,0,ROW()-1,15),ROW()-1,FALSE))</f>
        <v/>
      </c>
      <c r="U17" t="str">
        <f>""</f>
        <v/>
      </c>
      <c r="V17" t="str">
        <f>""</f>
        <v/>
      </c>
      <c r="W17">
        <f>3.1</f>
        <v>3.1</v>
      </c>
      <c r="X17" t="str">
        <f>""</f>
        <v/>
      </c>
      <c r="Y17" t="str">
        <f>""</f>
        <v/>
      </c>
      <c r="Z17" t="str">
        <f>""</f>
        <v/>
      </c>
      <c r="AA17" t="str">
        <f>""</f>
        <v/>
      </c>
      <c r="AB17" t="str">
        <f>""</f>
        <v/>
      </c>
      <c r="AC17" t="str">
        <f>""</f>
        <v/>
      </c>
      <c r="AD17" t="str">
        <f>""</f>
        <v/>
      </c>
      <c r="AE17" t="str">
        <f>""</f>
        <v/>
      </c>
      <c r="AF17" t="str">
        <f>""</f>
        <v/>
      </c>
      <c r="AG17" t="str">
        <f>""</f>
        <v/>
      </c>
      <c r="AH17" t="str">
        <f>""</f>
        <v/>
      </c>
      <c r="AI17" t="str">
        <f>""</f>
        <v/>
      </c>
    </row>
    <row r="18" spans="1:35" x14ac:dyDescent="0.25">
      <c r="A18" t="str">
        <f>"    Revenue Growth (%) QoQ"</f>
        <v xml:space="preserve">    Revenue Growth (%) QoQ</v>
      </c>
      <c r="B18" t="str">
        <f>"INFO IN Equity"</f>
        <v>INFO IN Equity</v>
      </c>
      <c r="C18" t="str">
        <f>"F0486"</f>
        <v>F0486</v>
      </c>
      <c r="D18" t="str">
        <f>"REVENUE_SEQUENTIAL_GROWTH"</f>
        <v>REVENUE_SEQUENTIAL_GROWTH</v>
      </c>
      <c r="E18" t="str">
        <f>"Dynamic"</f>
        <v>Dynamic</v>
      </c>
      <c r="F18">
        <f ca="1">IF(AND(ISNUMBER($F$113),$B$102=1),$F$113,HLOOKUP(INDIRECT(ADDRESS(2,COLUMN())),OFFSET($U$2,0,0,ROW()-1,15),ROW()-1,FALSE))</f>
        <v>9.8167523439999993</v>
      </c>
      <c r="G18">
        <f ca="1">IF(AND(ISNUMBER($G$113),$B$102=1),$G$113,HLOOKUP(INDIRECT(ADDRESS(2,COLUMN())),OFFSET($U$2,0,0,ROW()-1,15),ROW()-1,FALSE))</f>
        <v>17.23292022</v>
      </c>
      <c r="H18">
        <f ca="1">IF(AND(ISNUMBER($H$113),$B$102=1),$H$113,HLOOKUP(INDIRECT(ADDRESS(2,COLUMN())),OFFSET($U$2,0,0,ROW()-1,15),ROW()-1,FALSE))</f>
        <v>2.9758775769999999</v>
      </c>
      <c r="I18">
        <f ca="1">IF(AND(ISNUMBER($I$113),$B$102=1),$I$113,HLOOKUP(INDIRECT(ADDRESS(2,COLUMN())),OFFSET($U$2,0,0,ROW()-1,15),ROW()-1,FALSE))</f>
        <v>9.6779359720000002</v>
      </c>
      <c r="J18">
        <f ca="1">IF(AND(ISNUMBER($J$113),$B$102=1),$J$113,HLOOKUP(INDIRECT(ADDRESS(2,COLUMN())),OFFSET($U$2,0,0,ROW()-1,15),ROW()-1,FALSE))</f>
        <v>17.108347869999999</v>
      </c>
      <c r="K18">
        <f ca="1">IF(AND(ISNUMBER($K$113),$B$102=1),$K$113,HLOOKUP(INDIRECT(ADDRESS(2,COLUMN())),OFFSET($U$2,0,0,ROW()-1,15),ROW()-1,FALSE))</f>
        <v>6.355095446</v>
      </c>
      <c r="L18">
        <f ca="1">IF(AND(ISNUMBER($L$113),$B$102=1),$L$113,HLOOKUP(INDIRECT(ADDRESS(2,COLUMN())),OFFSET($U$2,0,0,ROW()-1,15),ROW()-1,FALSE))</f>
        <v>24.239195079999998</v>
      </c>
      <c r="M18">
        <f ca="1">IF(AND(ISNUMBER($M$113),$B$102=1),$M$113,HLOOKUP(INDIRECT(ADDRESS(2,COLUMN())),OFFSET($U$2,0,0,ROW()-1,15),ROW()-1,FALSE))</f>
        <v>19.618189359999999</v>
      </c>
      <c r="N18">
        <f ca="1">IF(AND(ISNUMBER($N$113),$B$102=1),$N$113,HLOOKUP(INDIRECT(ADDRESS(2,COLUMN())),OFFSET($U$2,0,0,ROW()-1,15),ROW()-1,FALSE))</f>
        <v>22.664630379999998</v>
      </c>
      <c r="O18">
        <f ca="1">IF(AND(ISNUMBER($O$113),$B$102=1),$O$113,HLOOKUP(INDIRECT(ADDRESS(2,COLUMN())),OFFSET($U$2,0,0,ROW()-1,15),ROW()-1,FALSE))</f>
        <v>20.926039930000002</v>
      </c>
      <c r="P18">
        <f ca="1">IF(AND(ISNUMBER($P$113),$B$102=1),$P$113,HLOOKUP(INDIRECT(ADDRESS(2,COLUMN())),OFFSET($U$2,0,0,ROW()-1,15),ROW()-1,FALSE))</f>
        <v>4.8356612730000004</v>
      </c>
      <c r="Q18">
        <f ca="1">IF(AND(ISNUMBER($Q$113),$B$102=1),$Q$113,HLOOKUP(INDIRECT(ADDRESS(2,COLUMN())),OFFSET($U$2,0,0,ROW()-1,15),ROW()-1,FALSE))</f>
        <v>29.960460099999999</v>
      </c>
      <c r="R18">
        <f ca="1">IF(AND(ISNUMBER($R$113),$B$102=1),$R$113,HLOOKUP(INDIRECT(ADDRESS(2,COLUMN())),OFFSET($U$2,0,0,ROW()-1,15),ROW()-1,FALSE))</f>
        <v>20.146836539999999</v>
      </c>
      <c r="S18">
        <f ca="1">IF(AND(ISNUMBER($S$113),$B$102=1),$S$113,HLOOKUP(INDIRECT(ADDRESS(2,COLUMN())),OFFSET($U$2,0,0,ROW()-1,15),ROW()-1,FALSE))</f>
        <v>45.919546269999998</v>
      </c>
      <c r="T18">
        <f ca="1">IF(AND(ISNUMBER($T$113),$B$102=1),$T$113,HLOOKUP(INDIRECT(ADDRESS(2,COLUMN())),OFFSET($U$2,0,0,ROW()-1,15),ROW()-1,FALSE))</f>
        <v>33.540917159999999</v>
      </c>
      <c r="U18">
        <f>9.816752344</f>
        <v>9.8167523439999993</v>
      </c>
      <c r="V18">
        <f>17.23292022</f>
        <v>17.23292022</v>
      </c>
      <c r="W18">
        <f>2.975877577</f>
        <v>2.9758775769999999</v>
      </c>
      <c r="X18">
        <f>9.677935972</f>
        <v>9.6779359720000002</v>
      </c>
      <c r="Y18">
        <f>17.10834787</f>
        <v>17.108347869999999</v>
      </c>
      <c r="Z18">
        <f>6.355095446</f>
        <v>6.355095446</v>
      </c>
      <c r="AA18">
        <f>24.23919508</f>
        <v>24.239195079999998</v>
      </c>
      <c r="AB18">
        <f>19.61818936</f>
        <v>19.618189359999999</v>
      </c>
      <c r="AC18">
        <f>22.66463038</f>
        <v>22.664630379999998</v>
      </c>
      <c r="AD18">
        <f>20.92603993</f>
        <v>20.926039930000002</v>
      </c>
      <c r="AE18">
        <f>4.835661273</f>
        <v>4.8356612730000004</v>
      </c>
      <c r="AF18">
        <f>29.9604601</f>
        <v>29.960460099999999</v>
      </c>
      <c r="AG18">
        <f>20.14683654</f>
        <v>20.146836539999999</v>
      </c>
      <c r="AH18">
        <f>45.91954627</f>
        <v>45.919546269999998</v>
      </c>
      <c r="AI18">
        <f>33.54091716</f>
        <v>33.540917159999999</v>
      </c>
    </row>
    <row r="19" spans="1:35" x14ac:dyDescent="0.25">
      <c r="A19" t="str">
        <f>"        By End-Market"</f>
        <v xml:space="preserve">        By End-Market</v>
      </c>
      <c r="B19" t="str">
        <f>""</f>
        <v/>
      </c>
      <c r="E19" t="str">
        <f>"Static"</f>
        <v>Static</v>
      </c>
      <c r="F19" t="str">
        <f t="shared" ref="F19:T19" ca="1" si="4">HLOOKUP(INDIRECT(ADDRESS(2,COLUMN())),OFFSET($U$2,0,0,ROW()-1,15),ROW()-1,FALSE)</f>
        <v/>
      </c>
      <c r="G19" t="str">
        <f t="shared" ca="1" si="4"/>
        <v/>
      </c>
      <c r="H19" t="str">
        <f t="shared" ca="1" si="4"/>
        <v/>
      </c>
      <c r="I19" t="str">
        <f t="shared" ca="1" si="4"/>
        <v/>
      </c>
      <c r="J19" t="str">
        <f t="shared" ca="1" si="4"/>
        <v/>
      </c>
      <c r="K19" t="str">
        <f t="shared" ca="1" si="4"/>
        <v/>
      </c>
      <c r="L19" t="str">
        <f t="shared" ca="1" si="4"/>
        <v/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4"/>
        <v/>
      </c>
      <c r="S19" t="str">
        <f t="shared" ca="1" si="4"/>
        <v/>
      </c>
      <c r="T19" t="str">
        <f t="shared" ca="1" si="4"/>
        <v/>
      </c>
      <c r="U19" t="str">
        <f>""</f>
        <v/>
      </c>
      <c r="V19" t="str">
        <f>""</f>
        <v/>
      </c>
      <c r="W19" t="str">
        <f>""</f>
        <v/>
      </c>
      <c r="X19" t="str">
        <f>""</f>
        <v/>
      </c>
      <c r="Y19" t="str">
        <f>""</f>
        <v/>
      </c>
      <c r="Z19" t="str">
        <f>""</f>
        <v/>
      </c>
      <c r="AA19" t="str">
        <f>""</f>
        <v/>
      </c>
      <c r="AB19" t="str">
        <f>""</f>
        <v/>
      </c>
      <c r="AC19" t="str">
        <f>""</f>
        <v/>
      </c>
      <c r="AD19" t="str">
        <f>""</f>
        <v/>
      </c>
      <c r="AE19" t="str">
        <f>""</f>
        <v/>
      </c>
      <c r="AF19" t="str">
        <f>""</f>
        <v/>
      </c>
      <c r="AG19" t="str">
        <f>""</f>
        <v/>
      </c>
      <c r="AH19" t="str">
        <f>""</f>
        <v/>
      </c>
      <c r="AI19" t="str">
        <f>""</f>
        <v/>
      </c>
    </row>
    <row r="20" spans="1:35" x14ac:dyDescent="0.25">
      <c r="A20" t="str">
        <f>"    Revenue Growth in Constant Currency (%) QoQ"</f>
        <v xml:space="preserve">    Revenue Growth in Constant Currency (%) QoQ</v>
      </c>
      <c r="B20" t="str">
        <f>"INFY US Equity"</f>
        <v>INFY US Equity</v>
      </c>
      <c r="C20" t="str">
        <f>"B5666"</f>
        <v>B5666</v>
      </c>
      <c r="D20" t="str">
        <f>"ARD_SEQUENTIAL_REVENUE_GROWTH_CC"</f>
        <v>ARD_SEQUENTIAL_REVENUE_GROWTH_CC</v>
      </c>
      <c r="E20" t="str">
        <f>"Dynamic"</f>
        <v>Dynamic</v>
      </c>
      <c r="F20" t="str">
        <f ca="1">IF(AND(ISNUMBER($F$114),$B$102=1),$F$114,HLOOKUP(INDIRECT(ADDRESS(2,COLUMN())),OFFSET($U$2,0,0,ROW()-1,15),ROW()-1,FALSE))</f>
        <v/>
      </c>
      <c r="G20" t="str">
        <f ca="1">IF(AND(ISNUMBER($G$114),$B$102=1),$G$114,HLOOKUP(INDIRECT(ADDRESS(2,COLUMN())),OFFSET($U$2,0,0,ROW()-1,15),ROW()-1,FALSE))</f>
        <v/>
      </c>
      <c r="H20" t="str">
        <f ca="1">IF(AND(ISNUMBER($H$114),$B$102=1),$H$114,HLOOKUP(INDIRECT(ADDRESS(2,COLUMN())),OFFSET($U$2,0,0,ROW()-1,15),ROW()-1,FALSE))</f>
        <v/>
      </c>
      <c r="I20" t="str">
        <f ca="1">IF(AND(ISNUMBER($I$114),$B$102=1),$I$114,HLOOKUP(INDIRECT(ADDRESS(2,COLUMN())),OFFSET($U$2,0,0,ROW()-1,15),ROW()-1,FALSE))</f>
        <v/>
      </c>
      <c r="J20" t="str">
        <f ca="1">IF(AND(ISNUMBER($J$114),$B$102=1),$J$114,HLOOKUP(INDIRECT(ADDRESS(2,COLUMN())),OFFSET($U$2,0,0,ROW()-1,15),ROW()-1,FALSE))</f>
        <v/>
      </c>
      <c r="K20" t="str">
        <f ca="1">IF(AND(ISNUMBER($K$114),$B$102=1),$K$114,HLOOKUP(INDIRECT(ADDRESS(2,COLUMN())),OFFSET($U$2,0,0,ROW()-1,15),ROW()-1,FALSE))</f>
        <v/>
      </c>
      <c r="L20" t="str">
        <f ca="1">IF(AND(ISNUMBER($L$114),$B$102=1),$L$114,HLOOKUP(INDIRECT(ADDRESS(2,COLUMN())),OFFSET($U$2,0,0,ROW()-1,15),ROW()-1,FALSE))</f>
        <v/>
      </c>
      <c r="M20" t="str">
        <f ca="1">IF(AND(ISNUMBER($M$114),$B$102=1),$M$114,HLOOKUP(INDIRECT(ADDRESS(2,COLUMN())),OFFSET($U$2,0,0,ROW()-1,15),ROW()-1,FALSE))</f>
        <v/>
      </c>
      <c r="N20" t="str">
        <f ca="1">IF(AND(ISNUMBER($N$114),$B$102=1),$N$114,HLOOKUP(INDIRECT(ADDRESS(2,COLUMN())),OFFSET($U$2,0,0,ROW()-1,15),ROW()-1,FALSE))</f>
        <v/>
      </c>
      <c r="O20" t="str">
        <f ca="1">IF(AND(ISNUMBER($O$114),$B$102=1),$O$114,HLOOKUP(INDIRECT(ADDRESS(2,COLUMN())),OFFSET($U$2,0,0,ROW()-1,15),ROW()-1,FALSE))</f>
        <v/>
      </c>
      <c r="P20" t="str">
        <f ca="1">IF(AND(ISNUMBER($P$114),$B$102=1),$P$114,HLOOKUP(INDIRECT(ADDRESS(2,COLUMN())),OFFSET($U$2,0,0,ROW()-1,15),ROW()-1,FALSE))</f>
        <v/>
      </c>
      <c r="Q20" t="str">
        <f ca="1">IF(AND(ISNUMBER($Q$114),$B$102=1),$Q$114,HLOOKUP(INDIRECT(ADDRESS(2,COLUMN())),OFFSET($U$2,0,0,ROW()-1,15),ROW()-1,FALSE))</f>
        <v/>
      </c>
      <c r="R20" t="str">
        <f ca="1">IF(AND(ISNUMBER($R$114),$B$102=1),$R$114,HLOOKUP(INDIRECT(ADDRESS(2,COLUMN())),OFFSET($U$2,0,0,ROW()-1,15),ROW()-1,FALSE))</f>
        <v/>
      </c>
      <c r="S20" t="str">
        <f ca="1">IF(AND(ISNUMBER($S$114),$B$102=1),$S$114,HLOOKUP(INDIRECT(ADDRESS(2,COLUMN())),OFFSET($U$2,0,0,ROW()-1,15),ROW()-1,FALSE))</f>
        <v/>
      </c>
      <c r="T20" t="str">
        <f ca="1">IF(AND(ISNUMBER($T$114),$B$102=1),$T$114,HLOOKUP(INDIRECT(ADDRESS(2,COLUMN())),OFFSET($U$2,0,0,ROW()-1,15),ROW()-1,FALSE))</f>
        <v/>
      </c>
      <c r="U20" t="str">
        <f>""</f>
        <v/>
      </c>
      <c r="V20" t="str">
        <f>""</f>
        <v/>
      </c>
      <c r="W20" t="str">
        <f>""</f>
        <v/>
      </c>
      <c r="X20" t="str">
        <f>""</f>
        <v/>
      </c>
      <c r="Y20" t="str">
        <f>""</f>
        <v/>
      </c>
      <c r="Z20" t="str">
        <f>""</f>
        <v/>
      </c>
      <c r="AA20" t="str">
        <f>""</f>
        <v/>
      </c>
      <c r="AB20" t="str">
        <f>""</f>
        <v/>
      </c>
      <c r="AC20" t="str">
        <f>""</f>
        <v/>
      </c>
      <c r="AD20" t="str">
        <f>""</f>
        <v/>
      </c>
      <c r="AE20" t="str">
        <f>""</f>
        <v/>
      </c>
      <c r="AF20" t="str">
        <f>""</f>
        <v/>
      </c>
      <c r="AG20" t="str">
        <f>""</f>
        <v/>
      </c>
      <c r="AH20" t="str">
        <f>""</f>
        <v/>
      </c>
      <c r="AI20" t="str">
        <f>""</f>
        <v/>
      </c>
    </row>
    <row r="21" spans="1:35" x14ac:dyDescent="0.25">
      <c r="A21" t="str">
        <f>"        By End-Market"</f>
        <v xml:space="preserve">        By End-Market</v>
      </c>
      <c r="B21" t="str">
        <f>""</f>
        <v/>
      </c>
      <c r="E21" t="str">
        <f>"Static"</f>
        <v>Static</v>
      </c>
      <c r="F21" t="str">
        <f t="shared" ref="F21:T23" ca="1" si="5">HLOOKUP(INDIRECT(ADDRESS(2,COLUMN())),OFFSET($U$2,0,0,ROW()-1,15),ROW()-1,FALSE)</f>
        <v/>
      </c>
      <c r="G21" t="str">
        <f t="shared" ca="1" si="5"/>
        <v/>
      </c>
      <c r="H21" t="str">
        <f t="shared" ca="1" si="5"/>
        <v/>
      </c>
      <c r="I21" t="str">
        <f t="shared" ca="1" si="5"/>
        <v/>
      </c>
      <c r="J21" t="str">
        <f t="shared" ca="1" si="5"/>
        <v/>
      </c>
      <c r="K21" t="str">
        <f t="shared" ca="1" si="5"/>
        <v/>
      </c>
      <c r="L21" t="str">
        <f t="shared" ca="1" si="5"/>
        <v/>
      </c>
      <c r="M21" t="str">
        <f t="shared" ca="1" si="5"/>
        <v/>
      </c>
      <c r="N21" t="str">
        <f t="shared" ca="1" si="5"/>
        <v/>
      </c>
      <c r="O21" t="str">
        <f t="shared" ca="1" si="5"/>
        <v/>
      </c>
      <c r="P21" t="str">
        <f t="shared" ca="1" si="5"/>
        <v/>
      </c>
      <c r="Q21" t="str">
        <f t="shared" ca="1" si="5"/>
        <v/>
      </c>
      <c r="R21" t="str">
        <f t="shared" ca="1" si="5"/>
        <v/>
      </c>
      <c r="S21" t="str">
        <f t="shared" ca="1" si="5"/>
        <v/>
      </c>
      <c r="T21" t="str">
        <f t="shared" ca="1" si="5"/>
        <v/>
      </c>
      <c r="U21" t="str">
        <f>""</f>
        <v/>
      </c>
      <c r="V21" t="str">
        <f>""</f>
        <v/>
      </c>
      <c r="W21" t="str">
        <f>""</f>
        <v/>
      </c>
      <c r="X21" t="str">
        <f>""</f>
        <v/>
      </c>
      <c r="Y21" t="str">
        <f>""</f>
        <v/>
      </c>
      <c r="Z21" t="str">
        <f>""</f>
        <v/>
      </c>
      <c r="AA21" t="str">
        <f>""</f>
        <v/>
      </c>
      <c r="AB21" t="str">
        <f>""</f>
        <v/>
      </c>
      <c r="AC21" t="str">
        <f>""</f>
        <v/>
      </c>
      <c r="AD21" t="str">
        <f>""</f>
        <v/>
      </c>
      <c r="AE21" t="str">
        <f>""</f>
        <v/>
      </c>
      <c r="AF21" t="str">
        <f>""</f>
        <v/>
      </c>
      <c r="AG21" t="str">
        <f>""</f>
        <v/>
      </c>
      <c r="AH21" t="str">
        <f>""</f>
        <v/>
      </c>
      <c r="AI21" t="str">
        <f>""</f>
        <v/>
      </c>
    </row>
    <row r="22" spans="1:35" x14ac:dyDescent="0.25">
      <c r="A22" t="str">
        <f>"    "</f>
        <v xml:space="preserve">    </v>
      </c>
      <c r="B22" t="str">
        <f>""</f>
        <v/>
      </c>
      <c r="E22" t="str">
        <f>"Static"</f>
        <v>Static</v>
      </c>
      <c r="F22" t="str">
        <f t="shared" ca="1" si="5"/>
        <v/>
      </c>
      <c r="G22" t="str">
        <f t="shared" ca="1" si="5"/>
        <v/>
      </c>
      <c r="H22" t="str">
        <f t="shared" ca="1" si="5"/>
        <v/>
      </c>
      <c r="I22" t="str">
        <f t="shared" ca="1" si="5"/>
        <v/>
      </c>
      <c r="J22" t="str">
        <f t="shared" ca="1" si="5"/>
        <v/>
      </c>
      <c r="K22" t="str">
        <f t="shared" ca="1" si="5"/>
        <v/>
      </c>
      <c r="L22" t="str">
        <f t="shared" ca="1" si="5"/>
        <v/>
      </c>
      <c r="M22" t="str">
        <f t="shared" ca="1" si="5"/>
        <v/>
      </c>
      <c r="N22" t="str">
        <f t="shared" ca="1" si="5"/>
        <v/>
      </c>
      <c r="O22" t="str">
        <f t="shared" ca="1" si="5"/>
        <v/>
      </c>
      <c r="P22" t="str">
        <f t="shared" ca="1" si="5"/>
        <v/>
      </c>
      <c r="Q22" t="str">
        <f t="shared" ca="1" si="5"/>
        <v/>
      </c>
      <c r="R22" t="str">
        <f t="shared" ca="1" si="5"/>
        <v/>
      </c>
      <c r="S22" t="str">
        <f t="shared" ca="1" si="5"/>
        <v/>
      </c>
      <c r="T22" t="str">
        <f t="shared" ca="1" si="5"/>
        <v/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>""</f>
        <v/>
      </c>
      <c r="AB22" t="str">
        <f>""</f>
        <v/>
      </c>
      <c r="AC22" t="str">
        <f>""</f>
        <v/>
      </c>
      <c r="AD22" t="str">
        <f>""</f>
        <v/>
      </c>
      <c r="AE22" t="str">
        <f>""</f>
        <v/>
      </c>
      <c r="AF22" t="str">
        <f>""</f>
        <v/>
      </c>
      <c r="AG22" t="str">
        <f>""</f>
        <v/>
      </c>
      <c r="AH22" t="str">
        <f>""</f>
        <v/>
      </c>
      <c r="AI22" t="str">
        <f>""</f>
        <v/>
      </c>
    </row>
    <row r="23" spans="1:35" x14ac:dyDescent="0.25">
      <c r="A23" t="str">
        <f>"    Digital"</f>
        <v xml:space="preserve">    Digital</v>
      </c>
      <c r="B23" t="str">
        <f>""</f>
        <v/>
      </c>
      <c r="E23" t="str">
        <f>"Static"</f>
        <v>Static</v>
      </c>
      <c r="F23" t="str">
        <f t="shared" ca="1" si="5"/>
        <v/>
      </c>
      <c r="G23" t="str">
        <f t="shared" ca="1" si="5"/>
        <v/>
      </c>
      <c r="H23" t="str">
        <f t="shared" ca="1" si="5"/>
        <v/>
      </c>
      <c r="I23" t="str">
        <f t="shared" ca="1" si="5"/>
        <v/>
      </c>
      <c r="J23" t="str">
        <f t="shared" ca="1" si="5"/>
        <v/>
      </c>
      <c r="K23" t="str">
        <f t="shared" ca="1" si="5"/>
        <v/>
      </c>
      <c r="L23" t="str">
        <f t="shared" ca="1" si="5"/>
        <v/>
      </c>
      <c r="M23" t="str">
        <f t="shared" ca="1" si="5"/>
        <v/>
      </c>
      <c r="N23" t="str">
        <f t="shared" ca="1" si="5"/>
        <v/>
      </c>
      <c r="O23" t="str">
        <f t="shared" ca="1" si="5"/>
        <v/>
      </c>
      <c r="P23" t="str">
        <f t="shared" ca="1" si="5"/>
        <v/>
      </c>
      <c r="Q23" t="str">
        <f t="shared" ca="1" si="5"/>
        <v/>
      </c>
      <c r="R23" t="str">
        <f t="shared" ca="1" si="5"/>
        <v/>
      </c>
      <c r="S23" t="str">
        <f t="shared" ca="1" si="5"/>
        <v/>
      </c>
      <c r="T23" t="str">
        <f t="shared" ca="1" si="5"/>
        <v/>
      </c>
      <c r="U23" t="str">
        <f>""</f>
        <v/>
      </c>
      <c r="V23" t="str">
        <f>""</f>
        <v/>
      </c>
      <c r="W23" t="str">
        <f>""</f>
        <v/>
      </c>
      <c r="X23" t="str">
        <f>""</f>
        <v/>
      </c>
      <c r="Y23" t="str">
        <f>""</f>
        <v/>
      </c>
      <c r="Z23" t="str">
        <f>""</f>
        <v/>
      </c>
      <c r="AA23" t="str">
        <f>""</f>
        <v/>
      </c>
      <c r="AB23" t="str">
        <f>""</f>
        <v/>
      </c>
      <c r="AC23" t="str">
        <f>""</f>
        <v/>
      </c>
      <c r="AD23" t="str">
        <f>""</f>
        <v/>
      </c>
      <c r="AE23" t="str">
        <f>""</f>
        <v/>
      </c>
      <c r="AF23" t="str">
        <f>""</f>
        <v/>
      </c>
      <c r="AG23" t="str">
        <f>""</f>
        <v/>
      </c>
      <c r="AH23" t="str">
        <f>""</f>
        <v/>
      </c>
      <c r="AI23" t="str">
        <f>""</f>
        <v/>
      </c>
    </row>
    <row r="24" spans="1:35" x14ac:dyDescent="0.25">
      <c r="A24" t="str">
        <f>"        Revenue"</f>
        <v xml:space="preserve">        Revenue</v>
      </c>
      <c r="B24" t="str">
        <f>"INFO IN Equity"</f>
        <v>INFO IN Equity</v>
      </c>
      <c r="C24" t="str">
        <f>"M1245"</f>
        <v>M1245</v>
      </c>
      <c r="D24" t="str">
        <f>"DIGITAL_REVENUE"</f>
        <v>DIGITAL_REVENUE</v>
      </c>
      <c r="E24" t="str">
        <f>"Dynamic"</f>
        <v>Dynamic</v>
      </c>
      <c r="F24">
        <f ca="1">IF(AND(ISNUMBER($F$115),$B$102=1),$F$115,HLOOKUP(INDIRECT(ADDRESS(2,COLUMN())),OFFSET($U$2,0,0,ROW()-1,15),ROW()-1,FALSE))</f>
        <v>5025.3754410000001</v>
      </c>
      <c r="G24">
        <f ca="1">IF(AND(ISNUMBER($G$115),$B$102=1),$G$115,HLOOKUP(INDIRECT(ADDRESS(2,COLUMN())),OFFSET($U$2,0,0,ROW()-1,15),ROW()-1,FALSE))</f>
        <v>3690.6778770000001</v>
      </c>
      <c r="H24" t="str">
        <f ca="1">IF(AND(ISNUMBER($H$115),$B$102=1),$H$115,HLOOKUP(INDIRECT(ADDRESS(2,COLUMN())),OFFSET($U$2,0,0,ROW()-1,15),ROW()-1,FALSE))</f>
        <v/>
      </c>
      <c r="I24" t="str">
        <f ca="1">IF(AND(ISNUMBER($I$115),$B$102=1),$I$115,HLOOKUP(INDIRECT(ADDRESS(2,COLUMN())),OFFSET($U$2,0,0,ROW()-1,15),ROW()-1,FALSE))</f>
        <v/>
      </c>
      <c r="J24" t="str">
        <f ca="1">IF(AND(ISNUMBER($J$115),$B$102=1),$J$115,HLOOKUP(INDIRECT(ADDRESS(2,COLUMN())),OFFSET($U$2,0,0,ROW()-1,15),ROW()-1,FALSE))</f>
        <v/>
      </c>
      <c r="K24" t="str">
        <f ca="1">IF(AND(ISNUMBER($K$115),$B$102=1),$K$115,HLOOKUP(INDIRECT(ADDRESS(2,COLUMN())),OFFSET($U$2,0,0,ROW()-1,15),ROW()-1,FALSE))</f>
        <v/>
      </c>
      <c r="L24" t="str">
        <f ca="1">IF(AND(ISNUMBER($L$115),$B$102=1),$L$115,HLOOKUP(INDIRECT(ADDRESS(2,COLUMN())),OFFSET($U$2,0,0,ROW()-1,15),ROW()-1,FALSE))</f>
        <v/>
      </c>
      <c r="M24" t="str">
        <f ca="1">IF(AND(ISNUMBER($M$115),$B$102=1),$M$115,HLOOKUP(INDIRECT(ADDRESS(2,COLUMN())),OFFSET($U$2,0,0,ROW()-1,15),ROW()-1,FALSE))</f>
        <v/>
      </c>
      <c r="N24" t="str">
        <f ca="1">IF(AND(ISNUMBER($N$115),$B$102=1),$N$115,HLOOKUP(INDIRECT(ADDRESS(2,COLUMN())),OFFSET($U$2,0,0,ROW()-1,15),ROW()-1,FALSE))</f>
        <v/>
      </c>
      <c r="O24" t="str">
        <f ca="1">IF(AND(ISNUMBER($O$115),$B$102=1),$O$115,HLOOKUP(INDIRECT(ADDRESS(2,COLUMN())),OFFSET($U$2,0,0,ROW()-1,15),ROW()-1,FALSE))</f>
        <v/>
      </c>
      <c r="P24" t="str">
        <f ca="1">IF(AND(ISNUMBER($P$115),$B$102=1),$P$115,HLOOKUP(INDIRECT(ADDRESS(2,COLUMN())),OFFSET($U$2,0,0,ROW()-1,15),ROW()-1,FALSE))</f>
        <v/>
      </c>
      <c r="Q24" t="str">
        <f ca="1">IF(AND(ISNUMBER($Q$115),$B$102=1),$Q$115,HLOOKUP(INDIRECT(ADDRESS(2,COLUMN())),OFFSET($U$2,0,0,ROW()-1,15),ROW()-1,FALSE))</f>
        <v/>
      </c>
      <c r="R24" t="str">
        <f ca="1">IF(AND(ISNUMBER($R$115),$B$102=1),$R$115,HLOOKUP(INDIRECT(ADDRESS(2,COLUMN())),OFFSET($U$2,0,0,ROW()-1,15),ROW()-1,FALSE))</f>
        <v/>
      </c>
      <c r="S24" t="str">
        <f ca="1">IF(AND(ISNUMBER($S$115),$B$102=1),$S$115,HLOOKUP(INDIRECT(ADDRESS(2,COLUMN())),OFFSET($U$2,0,0,ROW()-1,15),ROW()-1,FALSE))</f>
        <v/>
      </c>
      <c r="T24" t="str">
        <f ca="1">IF(AND(ISNUMBER($T$115),$B$102=1),$T$115,HLOOKUP(INDIRECT(ADDRESS(2,COLUMN())),OFFSET($U$2,0,0,ROW()-1,15),ROW()-1,FALSE))</f>
        <v/>
      </c>
      <c r="U24">
        <f>5025.375441</f>
        <v>5025.3754410000001</v>
      </c>
      <c r="V24">
        <f>3690.677877</f>
        <v>3690.6778770000001</v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>""</f>
        <v/>
      </c>
      <c r="AB24" t="str">
        <f>""</f>
        <v/>
      </c>
      <c r="AC24" t="str">
        <f>""</f>
        <v/>
      </c>
      <c r="AD24" t="str">
        <f>""</f>
        <v/>
      </c>
      <c r="AE24" t="str">
        <f>""</f>
        <v/>
      </c>
      <c r="AF24" t="str">
        <f>""</f>
        <v/>
      </c>
      <c r="AG24" t="str">
        <f>""</f>
        <v/>
      </c>
      <c r="AH24" t="str">
        <f>""</f>
        <v/>
      </c>
      <c r="AI24" t="str">
        <f>""</f>
        <v/>
      </c>
    </row>
    <row r="25" spans="1:35" x14ac:dyDescent="0.25">
      <c r="A25" t="str">
        <f>"            (%) of Total Revenue"</f>
        <v xml:space="preserve">            (%) of Total Revenue</v>
      </c>
      <c r="B25" t="str">
        <f>"INFY US Equity"</f>
        <v>INFY US Equity</v>
      </c>
      <c r="E25" t="str">
        <f>"Expression"</f>
        <v>Expression</v>
      </c>
      <c r="F25">
        <f ca="1">IF(AND($B$102=1,LEN($F$104)&gt;0),$F$104*1,HLOOKUP(INDIRECT(ADDRESS(2,COLUMN())),OFFSET($U$2,0,0,ROW()-1,15),ROW()-1,FALSE))</f>
        <v>39.229659329999997</v>
      </c>
      <c r="G25">
        <f ca="1">IF(AND($B$102=1,LEN($G$104)&gt;0),$G$104*1,HLOOKUP(INDIRECT(ADDRESS(2,COLUMN())),OFFSET($U$2,0,0,ROW()-1,15),ROW()-1,FALSE))</f>
        <v>31.20290293</v>
      </c>
      <c r="H25" t="str">
        <f ca="1">IF(AND($B$102=1,LEN($H$104)&gt;0),$H$104*1,HLOOKUP(INDIRECT(ADDRESS(2,COLUMN())),OFFSET($U$2,0,0,ROW()-1,15),ROW()-1,FALSE))</f>
        <v/>
      </c>
      <c r="I25" t="str">
        <f ca="1">IF(AND($B$102=1,LEN($I$104)&gt;0),$I$104*1,HLOOKUP(INDIRECT(ADDRESS(2,COLUMN())),OFFSET($U$2,0,0,ROW()-1,15),ROW()-1,FALSE))</f>
        <v/>
      </c>
      <c r="J25" t="str">
        <f ca="1">IF(AND($B$102=1,LEN($J$104)&gt;0),$J$104*1,HLOOKUP(INDIRECT(ADDRESS(2,COLUMN())),OFFSET($U$2,0,0,ROW()-1,15),ROW()-1,FALSE))</f>
        <v/>
      </c>
      <c r="K25" t="str">
        <f ca="1">IF(AND($B$102=1,LEN($K$104)&gt;0),$K$104*1,HLOOKUP(INDIRECT(ADDRESS(2,COLUMN())),OFFSET($U$2,0,0,ROW()-1,15),ROW()-1,FALSE))</f>
        <v/>
      </c>
      <c r="L25" t="str">
        <f ca="1">IF(AND($B$102=1,LEN($L$104)&gt;0),$L$104*1,HLOOKUP(INDIRECT(ADDRESS(2,COLUMN())),OFFSET($U$2,0,0,ROW()-1,15),ROW()-1,FALSE))</f>
        <v/>
      </c>
      <c r="M25" t="str">
        <f ca="1">IF(AND($B$102=1,LEN($M$104)&gt;0),$M$104*1,HLOOKUP(INDIRECT(ADDRESS(2,COLUMN())),OFFSET($U$2,0,0,ROW()-1,15),ROW()-1,FALSE))</f>
        <v/>
      </c>
      <c r="N25" t="str">
        <f ca="1">IF(AND($B$102=1,LEN($N$104)&gt;0),$N$104*1,HLOOKUP(INDIRECT(ADDRESS(2,COLUMN())),OFFSET($U$2,0,0,ROW()-1,15),ROW()-1,FALSE))</f>
        <v/>
      </c>
      <c r="O25" t="str">
        <f ca="1">IF(AND($B$102=1,LEN($O$104)&gt;0),$O$104*1,HLOOKUP(INDIRECT(ADDRESS(2,COLUMN())),OFFSET($U$2,0,0,ROW()-1,15),ROW()-1,FALSE))</f>
        <v/>
      </c>
      <c r="P25" t="str">
        <f ca="1">IF(AND($B$102=1,LEN($P$104)&gt;0),$P$104*1,HLOOKUP(INDIRECT(ADDRESS(2,COLUMN())),OFFSET($U$2,0,0,ROW()-1,15),ROW()-1,FALSE))</f>
        <v/>
      </c>
      <c r="Q25" t="str">
        <f ca="1">IF(AND($B$102=1,LEN($Q$104)&gt;0),$Q$104*1,HLOOKUP(INDIRECT(ADDRESS(2,COLUMN())),OFFSET($U$2,0,0,ROW()-1,15),ROW()-1,FALSE))</f>
        <v/>
      </c>
      <c r="R25" t="str">
        <f ca="1">IF(AND($B$102=1,LEN($R$104)&gt;0),$R$104*1,HLOOKUP(INDIRECT(ADDRESS(2,COLUMN())),OFFSET($U$2,0,0,ROW()-1,15),ROW()-1,FALSE))</f>
        <v/>
      </c>
      <c r="S25" t="str">
        <f ca="1">IF(AND($B$102=1,LEN($S$104)&gt;0),$S$104*1,HLOOKUP(INDIRECT(ADDRESS(2,COLUMN())),OFFSET($U$2,0,0,ROW()-1,15),ROW()-1,FALSE))</f>
        <v/>
      </c>
      <c r="T25" t="str">
        <f ca="1">IF(AND($B$102=1,LEN($T$104)&gt;0),$T$104*1,HLOOKUP(INDIRECT(ADDRESS(2,COLUMN())),OFFSET($U$2,0,0,ROW()-1,15),ROW()-1,FALSE))</f>
        <v/>
      </c>
      <c r="U25">
        <f>39.22965933</f>
        <v>39.229659329999997</v>
      </c>
      <c r="V25">
        <f>31.20290293</f>
        <v>31.20290293</v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t="str">
        <f>""</f>
        <v/>
      </c>
      <c r="AC25" t="str">
        <f>""</f>
        <v/>
      </c>
      <c r="AD25" t="str">
        <f>""</f>
        <v/>
      </c>
      <c r="AE25" t="str">
        <f>""</f>
        <v/>
      </c>
      <c r="AF25" t="str">
        <f>""</f>
        <v/>
      </c>
      <c r="AG25" t="str">
        <f>""</f>
        <v/>
      </c>
      <c r="AH25" t="str">
        <f>""</f>
        <v/>
      </c>
      <c r="AI25" t="str">
        <f>""</f>
        <v/>
      </c>
    </row>
    <row r="26" spans="1:35" x14ac:dyDescent="0.25">
      <c r="A26" t="str">
        <f>"            Growth in Constant Currency (%) YoY"</f>
        <v xml:space="preserve">            Growth in Constant Currency (%) YoY</v>
      </c>
      <c r="B26" t="str">
        <f>"INFY US Equity"</f>
        <v>INFY US Equity</v>
      </c>
      <c r="C26" t="str">
        <f>"M1150"</f>
        <v>M1150</v>
      </c>
      <c r="D26" t="str">
        <f>"DIGITAL_REV_PCT_GRWTH_IN_CC"</f>
        <v>DIGITAL_REV_PCT_GRWTH_IN_CC</v>
      </c>
      <c r="E26" t="str">
        <f>"Dynamic"</f>
        <v>Dynamic</v>
      </c>
      <c r="F26">
        <f ca="1">IF(AND(ISNUMBER($F$116),$B$102=1),$F$116,HLOOKUP(INDIRECT(ADDRESS(2,COLUMN())),OFFSET($U$2,0,0,ROW()-1,15),ROW()-1,FALSE))</f>
        <v>37.799999999999997</v>
      </c>
      <c r="G26" t="str">
        <f ca="1">IF(AND(ISNUMBER($G$116),$B$102=1),$G$116,HLOOKUP(INDIRECT(ADDRESS(2,COLUMN())),OFFSET($U$2,0,0,ROW()-1,15),ROW()-1,FALSE))</f>
        <v/>
      </c>
      <c r="H26" t="str">
        <f ca="1">IF(AND(ISNUMBER($H$116),$B$102=1),$H$116,HLOOKUP(INDIRECT(ADDRESS(2,COLUMN())),OFFSET($U$2,0,0,ROW()-1,15),ROW()-1,FALSE))</f>
        <v/>
      </c>
      <c r="I26" t="str">
        <f ca="1">IF(AND(ISNUMBER($I$116),$B$102=1),$I$116,HLOOKUP(INDIRECT(ADDRESS(2,COLUMN())),OFFSET($U$2,0,0,ROW()-1,15),ROW()-1,FALSE))</f>
        <v/>
      </c>
      <c r="J26" t="str">
        <f ca="1">IF(AND(ISNUMBER($J$116),$B$102=1),$J$116,HLOOKUP(INDIRECT(ADDRESS(2,COLUMN())),OFFSET($U$2,0,0,ROW()-1,15),ROW()-1,FALSE))</f>
        <v/>
      </c>
      <c r="K26" t="str">
        <f ca="1">IF(AND(ISNUMBER($K$116),$B$102=1),$K$116,HLOOKUP(INDIRECT(ADDRESS(2,COLUMN())),OFFSET($U$2,0,0,ROW()-1,15),ROW()-1,FALSE))</f>
        <v/>
      </c>
      <c r="L26" t="str">
        <f ca="1">IF(AND(ISNUMBER($L$116),$B$102=1),$L$116,HLOOKUP(INDIRECT(ADDRESS(2,COLUMN())),OFFSET($U$2,0,0,ROW()-1,15),ROW()-1,FALSE))</f>
        <v/>
      </c>
      <c r="M26" t="str">
        <f ca="1">IF(AND(ISNUMBER($M$116),$B$102=1),$M$116,HLOOKUP(INDIRECT(ADDRESS(2,COLUMN())),OFFSET($U$2,0,0,ROW()-1,15),ROW()-1,FALSE))</f>
        <v/>
      </c>
      <c r="N26" t="str">
        <f ca="1">IF(AND(ISNUMBER($N$116),$B$102=1),$N$116,HLOOKUP(INDIRECT(ADDRESS(2,COLUMN())),OFFSET($U$2,0,0,ROW()-1,15),ROW()-1,FALSE))</f>
        <v/>
      </c>
      <c r="O26" t="str">
        <f ca="1">IF(AND(ISNUMBER($O$116),$B$102=1),$O$116,HLOOKUP(INDIRECT(ADDRESS(2,COLUMN())),OFFSET($U$2,0,0,ROW()-1,15),ROW()-1,FALSE))</f>
        <v/>
      </c>
      <c r="P26" t="str">
        <f ca="1">IF(AND(ISNUMBER($P$116),$B$102=1),$P$116,HLOOKUP(INDIRECT(ADDRESS(2,COLUMN())),OFFSET($U$2,0,0,ROW()-1,15),ROW()-1,FALSE))</f>
        <v/>
      </c>
      <c r="Q26" t="str">
        <f ca="1">IF(AND(ISNUMBER($Q$116),$B$102=1),$Q$116,HLOOKUP(INDIRECT(ADDRESS(2,COLUMN())),OFFSET($U$2,0,0,ROW()-1,15),ROW()-1,FALSE))</f>
        <v/>
      </c>
      <c r="R26" t="str">
        <f ca="1">IF(AND(ISNUMBER($R$116),$B$102=1),$R$116,HLOOKUP(INDIRECT(ADDRESS(2,COLUMN())),OFFSET($U$2,0,0,ROW()-1,15),ROW()-1,FALSE))</f>
        <v/>
      </c>
      <c r="S26" t="str">
        <f ca="1">IF(AND(ISNUMBER($S$116),$B$102=1),$S$116,HLOOKUP(INDIRECT(ADDRESS(2,COLUMN())),OFFSET($U$2,0,0,ROW()-1,15),ROW()-1,FALSE))</f>
        <v/>
      </c>
      <c r="T26" t="str">
        <f ca="1">IF(AND(ISNUMBER($T$116),$B$102=1),$T$116,HLOOKUP(INDIRECT(ADDRESS(2,COLUMN())),OFFSET($U$2,0,0,ROW()-1,15),ROW()-1,FALSE))</f>
        <v/>
      </c>
      <c r="U26">
        <f>37.8</f>
        <v>37.799999999999997</v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t="str">
        <f>""</f>
        <v/>
      </c>
      <c r="AC26" t="str">
        <f>""</f>
        <v/>
      </c>
      <c r="AD26" t="str">
        <f>""</f>
        <v/>
      </c>
      <c r="AE26" t="str">
        <f>""</f>
        <v/>
      </c>
      <c r="AF26" t="str">
        <f>""</f>
        <v/>
      </c>
      <c r="AG26" t="str">
        <f>""</f>
        <v/>
      </c>
      <c r="AH26" t="str">
        <f>""</f>
        <v/>
      </c>
      <c r="AI26" t="str">
        <f>""</f>
        <v/>
      </c>
    </row>
    <row r="27" spans="1:35" x14ac:dyDescent="0.25">
      <c r="A27" t="str">
        <f>"    "</f>
        <v xml:space="preserve">    </v>
      </c>
      <c r="B27" t="str">
        <f>""</f>
        <v/>
      </c>
      <c r="E27" t="str">
        <f>"Static"</f>
        <v>Static</v>
      </c>
      <c r="F27" t="str">
        <f t="shared" ref="F27:T28" ca="1" si="6">HLOOKUP(INDIRECT(ADDRESS(2,COLUMN())),OFFSET($U$2,0,0,ROW()-1,15),ROW()-1,FALSE)</f>
        <v/>
      </c>
      <c r="G27" t="str">
        <f t="shared" ca="1" si="6"/>
        <v/>
      </c>
      <c r="H27" t="str">
        <f t="shared" ca="1" si="6"/>
        <v/>
      </c>
      <c r="I27" t="str">
        <f t="shared" ca="1" si="6"/>
        <v/>
      </c>
      <c r="J27" t="str">
        <f t="shared" ca="1" si="6"/>
        <v/>
      </c>
      <c r="K27" t="str">
        <f t="shared" ca="1" si="6"/>
        <v/>
      </c>
      <c r="L27" t="str">
        <f t="shared" ca="1" si="6"/>
        <v/>
      </c>
      <c r="M27" t="str">
        <f t="shared" ca="1" si="6"/>
        <v/>
      </c>
      <c r="N27" t="str">
        <f t="shared" ca="1" si="6"/>
        <v/>
      </c>
      <c r="O27" t="str">
        <f t="shared" ca="1" si="6"/>
        <v/>
      </c>
      <c r="P27" t="str">
        <f t="shared" ca="1" si="6"/>
        <v/>
      </c>
      <c r="Q27" t="str">
        <f t="shared" ca="1" si="6"/>
        <v/>
      </c>
      <c r="R27" t="str">
        <f t="shared" ca="1" si="6"/>
        <v/>
      </c>
      <c r="S27" t="str">
        <f t="shared" ca="1" si="6"/>
        <v/>
      </c>
      <c r="T27" t="str">
        <f t="shared" ca="1" si="6"/>
        <v/>
      </c>
      <c r="U27" t="str">
        <f>""</f>
        <v/>
      </c>
      <c r="V27" t="str">
        <f>""</f>
        <v/>
      </c>
      <c r="W27" t="str">
        <f>""</f>
        <v/>
      </c>
      <c r="X27" t="str">
        <f>""</f>
        <v/>
      </c>
      <c r="Y27" t="str">
        <f>""</f>
        <v/>
      </c>
      <c r="Z27" t="str">
        <f>""</f>
        <v/>
      </c>
      <c r="AA27" t="str">
        <f>""</f>
        <v/>
      </c>
      <c r="AB27" t="str">
        <f>""</f>
        <v/>
      </c>
      <c r="AC27" t="str">
        <f>""</f>
        <v/>
      </c>
      <c r="AD27" t="str">
        <f>""</f>
        <v/>
      </c>
      <c r="AE27" t="str">
        <f>""</f>
        <v/>
      </c>
      <c r="AF27" t="str">
        <f>""</f>
        <v/>
      </c>
      <c r="AG27" t="str">
        <f>""</f>
        <v/>
      </c>
      <c r="AH27" t="str">
        <f>""</f>
        <v/>
      </c>
      <c r="AI27" t="str">
        <f>""</f>
        <v/>
      </c>
    </row>
    <row r="28" spans="1:35" x14ac:dyDescent="0.25">
      <c r="A28" t="str">
        <f>"    Labor Metrics (Actual)"</f>
        <v xml:space="preserve">    Labor Metrics (Actual)</v>
      </c>
      <c r="B28" t="str">
        <f>""</f>
        <v/>
      </c>
      <c r="E28" t="str">
        <f>"Static"</f>
        <v>Static</v>
      </c>
      <c r="F28" t="str">
        <f t="shared" ca="1" si="6"/>
        <v/>
      </c>
      <c r="G28" t="str">
        <f t="shared" ca="1" si="6"/>
        <v/>
      </c>
      <c r="H28" t="str">
        <f t="shared" ca="1" si="6"/>
        <v/>
      </c>
      <c r="I28" t="str">
        <f t="shared" ca="1" si="6"/>
        <v/>
      </c>
      <c r="J28" t="str">
        <f t="shared" ca="1" si="6"/>
        <v/>
      </c>
      <c r="K28" t="str">
        <f t="shared" ca="1" si="6"/>
        <v/>
      </c>
      <c r="L28" t="str">
        <f t="shared" ca="1" si="6"/>
        <v/>
      </c>
      <c r="M28" t="str">
        <f t="shared" ca="1" si="6"/>
        <v/>
      </c>
      <c r="N28" t="str">
        <f t="shared" ca="1" si="6"/>
        <v/>
      </c>
      <c r="O28" t="str">
        <f t="shared" ca="1" si="6"/>
        <v/>
      </c>
      <c r="P28" t="str">
        <f t="shared" ca="1" si="6"/>
        <v/>
      </c>
      <c r="Q28" t="str">
        <f t="shared" ca="1" si="6"/>
        <v/>
      </c>
      <c r="R28" t="str">
        <f t="shared" ca="1" si="6"/>
        <v/>
      </c>
      <c r="S28" t="str">
        <f t="shared" ca="1" si="6"/>
        <v/>
      </c>
      <c r="T28" t="str">
        <f t="shared" ca="1" si="6"/>
        <v/>
      </c>
      <c r="U28" t="str">
        <f>""</f>
        <v/>
      </c>
      <c r="V28" t="str">
        <f>""</f>
        <v/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>""</f>
        <v/>
      </c>
      <c r="AB28" t="str">
        <f>""</f>
        <v/>
      </c>
      <c r="AC28" t="str">
        <f>""</f>
        <v/>
      </c>
      <c r="AD28" t="str">
        <f>""</f>
        <v/>
      </c>
      <c r="AE28" t="str">
        <f>""</f>
        <v/>
      </c>
      <c r="AF28" t="str">
        <f>""</f>
        <v/>
      </c>
      <c r="AG28" t="str">
        <f>""</f>
        <v/>
      </c>
      <c r="AH28" t="str">
        <f>""</f>
        <v/>
      </c>
      <c r="AI28" t="str">
        <f>""</f>
        <v/>
      </c>
    </row>
    <row r="29" spans="1:35" x14ac:dyDescent="0.25">
      <c r="A29" t="str">
        <f>"        Number of Employees"</f>
        <v xml:space="preserve">        Number of Employees</v>
      </c>
      <c r="B29" t="str">
        <f>"INFY US Equity"</f>
        <v>INFY US Equity</v>
      </c>
      <c r="C29" t="str">
        <f>"BM383"</f>
        <v>BM383</v>
      </c>
      <c r="D29" t="str">
        <f>"BS_NUMBER_EMPLOYEES"</f>
        <v>BS_NUMBER_EMPLOYEES</v>
      </c>
      <c r="E29" t="str">
        <f>"Dynamic"</f>
        <v>Dynamic</v>
      </c>
      <c r="F29">
        <f ca="1">IF(AND(ISNUMBER($F$117),$B$102=1),$F$117,HLOOKUP(INDIRECT(ADDRESS(2,COLUMN())),OFFSET($U$2,0,0,ROW()-1,15),ROW()-1,FALSE))</f>
        <v>242371</v>
      </c>
      <c r="G29">
        <f ca="1">IF(AND(ISNUMBER($G$117),$B$102=1),$G$117,HLOOKUP(INDIRECT(ADDRESS(2,COLUMN())),OFFSET($U$2,0,0,ROW()-1,15),ROW()-1,FALSE))</f>
        <v>228123</v>
      </c>
      <c r="H29">
        <f ca="1">IF(AND(ISNUMBER($H$117),$B$102=1),$H$117,HLOOKUP(INDIRECT(ADDRESS(2,COLUMN())),OFFSET($U$2,0,0,ROW()-1,15),ROW()-1,FALSE))</f>
        <v>204107</v>
      </c>
      <c r="I29">
        <f ca="1">IF(AND(ISNUMBER($I$117),$B$102=1),$I$117,HLOOKUP(INDIRECT(ADDRESS(2,COLUMN())),OFFSET($U$2,0,0,ROW()-1,15),ROW()-1,FALSE))</f>
        <v>200364</v>
      </c>
      <c r="J29">
        <f ca="1">IF(AND(ISNUMBER($J$117),$B$102=1),$J$117,HLOOKUP(INDIRECT(ADDRESS(2,COLUMN())),OFFSET($U$2,0,0,ROW()-1,15),ROW()-1,FALSE))</f>
        <v>194044</v>
      </c>
      <c r="K29">
        <f ca="1">IF(AND(ISNUMBER($K$117),$B$102=1),$K$117,HLOOKUP(INDIRECT(ADDRESS(2,COLUMN())),OFFSET($U$2,0,0,ROW()-1,15),ROW()-1,FALSE))</f>
        <v>176187</v>
      </c>
      <c r="L29">
        <f ca="1">IF(AND(ISNUMBER($L$117),$B$102=1),$L$117,HLOOKUP(INDIRECT(ADDRESS(2,COLUMN())),OFFSET($U$2,0,0,ROW()-1,15),ROW()-1,FALSE))</f>
        <v>160405</v>
      </c>
      <c r="M29">
        <f ca="1">IF(AND(ISNUMBER($M$117),$B$102=1),$M$117,HLOOKUP(INDIRECT(ADDRESS(2,COLUMN())),OFFSET($U$2,0,0,ROW()-1,15),ROW()-1,FALSE))</f>
        <v>156688</v>
      </c>
      <c r="N29">
        <f ca="1">IF(AND(ISNUMBER($N$117),$B$102=1),$N$117,HLOOKUP(INDIRECT(ADDRESS(2,COLUMN())),OFFSET($U$2,0,0,ROW()-1,15),ROW()-1,FALSE))</f>
        <v>149994</v>
      </c>
      <c r="O29">
        <f ca="1">IF(AND(ISNUMBER($O$117),$B$102=1),$O$117,HLOOKUP(INDIRECT(ADDRESS(2,COLUMN())),OFFSET($U$2,0,0,ROW()-1,15),ROW()-1,FALSE))</f>
        <v>130820</v>
      </c>
      <c r="P29">
        <f ca="1">IF(AND(ISNUMBER($P$117),$B$102=1),$P$117,HLOOKUP(INDIRECT(ADDRESS(2,COLUMN())),OFFSET($U$2,0,0,ROW()-1,15),ROW()-1,FALSE))</f>
        <v>113800</v>
      </c>
      <c r="Q29">
        <f ca="1">IF(AND(ISNUMBER($Q$117),$B$102=1),$Q$117,HLOOKUP(INDIRECT(ADDRESS(2,COLUMN())),OFFSET($U$2,0,0,ROW()-1,15),ROW()-1,FALSE))</f>
        <v>85851</v>
      </c>
      <c r="R29">
        <f ca="1">IF(AND(ISNUMBER($R$117),$B$102=1),$R$117,HLOOKUP(INDIRECT(ADDRESS(2,COLUMN())),OFFSET($U$2,0,0,ROW()-1,15),ROW()-1,FALSE))</f>
        <v>73490</v>
      </c>
      <c r="S29">
        <f ca="1">IF(AND(ISNUMBER($S$117),$B$102=1),$S$117,HLOOKUP(INDIRECT(ADDRESS(2,COLUMN())),OFFSET($U$2,0,0,ROW()-1,15),ROW()-1,FALSE))</f>
        <v>59831</v>
      </c>
      <c r="T29">
        <f ca="1">IF(AND(ISNUMBER($T$117),$B$102=1),$T$117,HLOOKUP(INDIRECT(ADDRESS(2,COLUMN())),OFFSET($U$2,0,0,ROW()-1,15),ROW()-1,FALSE))</f>
        <v>52715</v>
      </c>
      <c r="U29">
        <f>242371</f>
        <v>242371</v>
      </c>
      <c r="V29">
        <f>228123</f>
        <v>228123</v>
      </c>
      <c r="W29">
        <f>204107</f>
        <v>204107</v>
      </c>
      <c r="X29">
        <f>200364</f>
        <v>200364</v>
      </c>
      <c r="Y29">
        <f>194044</f>
        <v>194044</v>
      </c>
      <c r="Z29">
        <f>176187</f>
        <v>176187</v>
      </c>
      <c r="AA29">
        <f>160405</f>
        <v>160405</v>
      </c>
      <c r="AB29">
        <f>156688</f>
        <v>156688</v>
      </c>
      <c r="AC29">
        <f>149994</f>
        <v>149994</v>
      </c>
      <c r="AD29">
        <f>130820</f>
        <v>130820</v>
      </c>
      <c r="AE29">
        <f>113800</f>
        <v>113800</v>
      </c>
      <c r="AF29">
        <f>85851</f>
        <v>85851</v>
      </c>
      <c r="AG29">
        <f>73490</f>
        <v>73490</v>
      </c>
      <c r="AH29">
        <f>59831</f>
        <v>59831</v>
      </c>
      <c r="AI29">
        <f>52715</f>
        <v>52715</v>
      </c>
    </row>
    <row r="30" spans="1:35" x14ac:dyDescent="0.25">
      <c r="A30" t="str">
        <f>"        Net Employee Additions"</f>
        <v xml:space="preserve">        Net Employee Additions</v>
      </c>
      <c r="B30" t="str">
        <f>"INFY US Equity"</f>
        <v>INFY US Equity</v>
      </c>
      <c r="C30" t="str">
        <f>"M0001"</f>
        <v>M0001</v>
      </c>
      <c r="D30" t="str">
        <f>"NET_EMPLOYEE_ADDITIONS"</f>
        <v>NET_EMPLOYEE_ADDITIONS</v>
      </c>
      <c r="E30" t="str">
        <f>"Dynamic"</f>
        <v>Dynamic</v>
      </c>
      <c r="F30" t="str">
        <f ca="1">IF(AND(ISNUMBER($F$118),$B$102=1),$F$118,HLOOKUP(INDIRECT(ADDRESS(2,COLUMN())),OFFSET($U$2,0,0,ROW()-1,15),ROW()-1,FALSE))</f>
        <v/>
      </c>
      <c r="G30" t="str">
        <f ca="1">IF(AND(ISNUMBER($G$118),$B$102=1),$G$118,HLOOKUP(INDIRECT(ADDRESS(2,COLUMN())),OFFSET($U$2,0,0,ROW()-1,15),ROW()-1,FALSE))</f>
        <v/>
      </c>
      <c r="H30">
        <f ca="1">IF(AND(ISNUMBER($H$118),$B$102=1),$H$118,HLOOKUP(INDIRECT(ADDRESS(2,COLUMN())),OFFSET($U$2,0,0,ROW()-1,15),ROW()-1,FALSE))</f>
        <v>3743</v>
      </c>
      <c r="I30">
        <f ca="1">IF(AND(ISNUMBER($I$118),$B$102=1),$I$118,HLOOKUP(INDIRECT(ADDRESS(2,COLUMN())),OFFSET($U$2,0,0,ROW()-1,15),ROW()-1,FALSE))</f>
        <v>6320</v>
      </c>
      <c r="J30">
        <f ca="1">IF(AND(ISNUMBER($J$118),$B$102=1),$J$118,HLOOKUP(INDIRECT(ADDRESS(2,COLUMN())),OFFSET($U$2,0,0,ROW()-1,15),ROW()-1,FALSE))</f>
        <v>17857</v>
      </c>
      <c r="K30">
        <f ca="1">IF(AND(ISNUMBER($K$118),$B$102=1),$K$118,HLOOKUP(INDIRECT(ADDRESS(2,COLUMN())),OFFSET($U$2,0,0,ROW()-1,15),ROW()-1,FALSE))</f>
        <v>15782</v>
      </c>
      <c r="L30">
        <f ca="1">IF(AND(ISNUMBER($L$118),$B$102=1),$L$118,HLOOKUP(INDIRECT(ADDRESS(2,COLUMN())),OFFSET($U$2,0,0,ROW()-1,15),ROW()-1,FALSE))</f>
        <v>3717</v>
      </c>
      <c r="M30">
        <f ca="1">IF(AND(ISNUMBER($M$118),$B$102=1),$M$118,HLOOKUP(INDIRECT(ADDRESS(2,COLUMN())),OFFSET($U$2,0,0,ROW()-1,15),ROW()-1,FALSE))</f>
        <v>6694</v>
      </c>
      <c r="N30">
        <f ca="1">IF(AND(ISNUMBER($N$118),$B$102=1),$N$118,HLOOKUP(INDIRECT(ADDRESS(2,COLUMN())),OFFSET($U$2,0,0,ROW()-1,15),ROW()-1,FALSE))</f>
        <v>17024</v>
      </c>
      <c r="O30">
        <f ca="1">IF(AND(ISNUMBER($O$118),$B$102=1),$O$118,HLOOKUP(INDIRECT(ADDRESS(2,COLUMN())),OFFSET($U$2,0,0,ROW()-1,15),ROW()-1,FALSE))</f>
        <v>17024</v>
      </c>
      <c r="P30">
        <f ca="1">IF(AND(ISNUMBER($P$118),$B$102=1),$P$118,HLOOKUP(INDIRECT(ADDRESS(2,COLUMN())),OFFSET($U$2,0,0,ROW()-1,15),ROW()-1,FALSE))</f>
        <v>8946</v>
      </c>
      <c r="Q30">
        <f ca="1">IF(AND(ISNUMBER($Q$118),$B$102=1),$Q$118,HLOOKUP(INDIRECT(ADDRESS(2,COLUMN())),OFFSET($U$2,0,0,ROW()-1,15),ROW()-1,FALSE))</f>
        <v>13663</v>
      </c>
      <c r="R30">
        <f ca="1">IF(AND(ISNUMBER($R$118),$B$102=1),$R$118,HLOOKUP(INDIRECT(ADDRESS(2,COLUMN())),OFFSET($U$2,0,0,ROW()-1,15),ROW()-1,FALSE))</f>
        <v>18946</v>
      </c>
      <c r="S30">
        <f ca="1">IF(AND(ISNUMBER($S$118),$B$102=1),$S$118,HLOOKUP(INDIRECT(ADDRESS(2,COLUMN())),OFFSET($U$2,0,0,ROW()-1,15),ROW()-1,FALSE))</f>
        <v>2809</v>
      </c>
      <c r="T30">
        <f ca="1">IF(AND(ISNUMBER($T$118),$B$102=1),$T$118,HLOOKUP(INDIRECT(ADDRESS(2,COLUMN())),OFFSET($U$2,0,0,ROW()-1,15),ROW()-1,FALSE))</f>
        <v>3293</v>
      </c>
      <c r="U30" t="str">
        <f>""</f>
        <v/>
      </c>
      <c r="V30" t="str">
        <f>""</f>
        <v/>
      </c>
      <c r="W30">
        <f>3743</f>
        <v>3743</v>
      </c>
      <c r="X30">
        <f>6320</f>
        <v>6320</v>
      </c>
      <c r="Y30">
        <f>17857</f>
        <v>17857</v>
      </c>
      <c r="Z30">
        <f>15782</f>
        <v>15782</v>
      </c>
      <c r="AA30">
        <f>3717</f>
        <v>3717</v>
      </c>
      <c r="AB30">
        <f>6694</f>
        <v>6694</v>
      </c>
      <c r="AC30">
        <f>17024</f>
        <v>17024</v>
      </c>
      <c r="AD30">
        <f>17024</f>
        <v>17024</v>
      </c>
      <c r="AE30">
        <f>8946</f>
        <v>8946</v>
      </c>
      <c r="AF30">
        <f>13663</f>
        <v>13663</v>
      </c>
      <c r="AG30">
        <f>18946</f>
        <v>18946</v>
      </c>
      <c r="AH30">
        <f>2809</f>
        <v>2809</v>
      </c>
      <c r="AI30">
        <f>3293</f>
        <v>3293</v>
      </c>
    </row>
    <row r="31" spans="1:35" x14ac:dyDescent="0.25">
      <c r="A31" t="str">
        <f>"        Employee Attrition (%) - Annualized"</f>
        <v xml:space="preserve">        Employee Attrition (%) - Annualized</v>
      </c>
      <c r="B31" t="str">
        <f>"INFY US Equity"</f>
        <v>INFY US Equity</v>
      </c>
      <c r="C31" t="str">
        <f>"M0005"</f>
        <v>M0005</v>
      </c>
      <c r="D31" t="str">
        <f>"ATTRITION_RATE"</f>
        <v>ATTRITION_RATE</v>
      </c>
      <c r="E31" t="str">
        <f>"Dynamic"</f>
        <v>Dynamic</v>
      </c>
      <c r="F31" t="str">
        <f ca="1">IF(AND(ISNUMBER($F$119),$B$102=1),$F$119,HLOOKUP(INDIRECT(ADDRESS(2,COLUMN())),OFFSET($U$2,0,0,ROW()-1,15),ROW()-1,FALSE))</f>
        <v/>
      </c>
      <c r="G31" t="str">
        <f ca="1">IF(AND(ISNUMBER($G$119),$B$102=1),$G$119,HLOOKUP(INDIRECT(ADDRESS(2,COLUMN())),OFFSET($U$2,0,0,ROW()-1,15),ROW()-1,FALSE))</f>
        <v/>
      </c>
      <c r="H31">
        <f ca="1">IF(AND(ISNUMBER($H$119),$B$102=1),$H$119,HLOOKUP(INDIRECT(ADDRESS(2,COLUMN())),OFFSET($U$2,0,0,ROW()-1,15),ROW()-1,FALSE))</f>
        <v>20</v>
      </c>
      <c r="I31">
        <f ca="1">IF(AND(ISNUMBER($I$119),$B$102=1),$I$119,HLOOKUP(INDIRECT(ADDRESS(2,COLUMN())),OFFSET($U$2,0,0,ROW()-1,15),ROW()-1,FALSE))</f>
        <v>19.2</v>
      </c>
      <c r="J31">
        <f ca="1">IF(AND(ISNUMBER($J$119),$B$102=1),$J$119,HLOOKUP(INDIRECT(ADDRESS(2,COLUMN())),OFFSET($U$2,0,0,ROW()-1,15),ROW()-1,FALSE))</f>
        <v>18.7</v>
      </c>
      <c r="K31">
        <f ca="1">IF(AND(ISNUMBER($K$119),$B$102=1),$K$119,HLOOKUP(INDIRECT(ADDRESS(2,COLUMN())),OFFSET($U$2,0,0,ROW()-1,15),ROW()-1,FALSE))</f>
        <v>18.899999999999999</v>
      </c>
      <c r="L31">
        <f ca="1">IF(AND(ISNUMBER($L$119),$B$102=1),$L$119,HLOOKUP(INDIRECT(ADDRESS(2,COLUMN())),OFFSET($U$2,0,0,ROW()-1,15),ROW()-1,FALSE))</f>
        <v>18.7</v>
      </c>
      <c r="M31">
        <f ca="1">IF(AND(ISNUMBER($M$119),$B$102=1),$M$119,HLOOKUP(INDIRECT(ADDRESS(2,COLUMN())),OFFSET($U$2,0,0,ROW()-1,15),ROW()-1,FALSE))</f>
        <v>16.3</v>
      </c>
      <c r="N31">
        <f ca="1">IF(AND(ISNUMBER($N$119),$B$102=1),$N$119,HLOOKUP(INDIRECT(ADDRESS(2,COLUMN())),OFFSET($U$2,0,0,ROW()-1,15),ROW()-1,FALSE))</f>
        <v>17</v>
      </c>
      <c r="O31">
        <f ca="1">IF(AND(ISNUMBER($O$119),$B$102=1),$O$119,HLOOKUP(INDIRECT(ADDRESS(2,COLUMN())),OFFSET($U$2,0,0,ROW()-1,15),ROW()-1,FALSE))</f>
        <v>17</v>
      </c>
      <c r="P31">
        <f ca="1">IF(AND(ISNUMBER($P$119),$B$102=1),$P$119,HLOOKUP(INDIRECT(ADDRESS(2,COLUMN())),OFFSET($U$2,0,0,ROW()-1,15),ROW()-1,FALSE))</f>
        <v>13.4</v>
      </c>
      <c r="Q31">
        <f ca="1">IF(AND(ISNUMBER($Q$119),$B$102=1),$Q$119,HLOOKUP(INDIRECT(ADDRESS(2,COLUMN())),OFFSET($U$2,0,0,ROW()-1,15),ROW()-1,FALSE))</f>
        <v>11.1</v>
      </c>
      <c r="R31">
        <f ca="1">IF(AND(ISNUMBER($R$119),$B$102=1),$R$119,HLOOKUP(INDIRECT(ADDRESS(2,COLUMN())),OFFSET($U$2,0,0,ROW()-1,15),ROW()-1,FALSE))</f>
        <v>13.4</v>
      </c>
      <c r="S31">
        <f ca="1">IF(AND(ISNUMBER($S$119),$B$102=1),$S$119,HLOOKUP(INDIRECT(ADDRESS(2,COLUMN())),OFFSET($U$2,0,0,ROW()-1,15),ROW()-1,FALSE))</f>
        <v>13.7</v>
      </c>
      <c r="T31">
        <f ca="1">IF(AND(ISNUMBER($T$119),$B$102=1),$T$119,HLOOKUP(INDIRECT(ADDRESS(2,COLUMN())),OFFSET($U$2,0,0,ROW()-1,15),ROW()-1,FALSE))</f>
        <v>11.2</v>
      </c>
      <c r="U31" t="str">
        <f>""</f>
        <v/>
      </c>
      <c r="V31" t="str">
        <f>""</f>
        <v/>
      </c>
      <c r="W31">
        <f>20</f>
        <v>20</v>
      </c>
      <c r="X31">
        <f>19.2</f>
        <v>19.2</v>
      </c>
      <c r="Y31">
        <f>18.7</f>
        <v>18.7</v>
      </c>
      <c r="Z31">
        <f>18.9</f>
        <v>18.899999999999999</v>
      </c>
      <c r="AA31">
        <f>18.7</f>
        <v>18.7</v>
      </c>
      <c r="AB31">
        <f>16.3</f>
        <v>16.3</v>
      </c>
      <c r="AC31">
        <f>17</f>
        <v>17</v>
      </c>
      <c r="AD31">
        <f>17</f>
        <v>17</v>
      </c>
      <c r="AE31">
        <f>13.4</f>
        <v>13.4</v>
      </c>
      <c r="AF31">
        <f>11.1</f>
        <v>11.1</v>
      </c>
      <c r="AG31">
        <f>13.4</f>
        <v>13.4</v>
      </c>
      <c r="AH31">
        <f>13.7</f>
        <v>13.7</v>
      </c>
      <c r="AI31">
        <f>11.2</f>
        <v>11.2</v>
      </c>
    </row>
    <row r="32" spans="1:35" x14ac:dyDescent="0.25">
      <c r="A32" t="str">
        <f>"        Employee Utilization Excluding Trainees (%)"</f>
        <v xml:space="preserve">        Employee Utilization Excluding Trainees (%)</v>
      </c>
      <c r="B32" t="str">
        <f>"INFY US Equity"</f>
        <v>INFY US Equity</v>
      </c>
      <c r="C32" t="str">
        <f>"M0006"</f>
        <v>M0006</v>
      </c>
      <c r="D32" t="str">
        <f>"UTILIZATION_RATE"</f>
        <v>UTILIZATION_RATE</v>
      </c>
      <c r="E32" t="str">
        <f>"Dynamic"</f>
        <v>Dynamic</v>
      </c>
      <c r="F32">
        <f ca="1">IF(AND(ISNUMBER($F$120),$B$102=1),$F$120,HLOOKUP(INDIRECT(ADDRESS(2,COLUMN())),OFFSET($U$2,0,0,ROW()-1,15),ROW()-1,FALSE))</f>
        <v>84</v>
      </c>
      <c r="G32">
        <f ca="1">IF(AND(ISNUMBER($G$120),$B$102=1),$G$120,HLOOKUP(INDIRECT(ADDRESS(2,COLUMN())),OFFSET($U$2,0,0,ROW()-1,15),ROW()-1,FALSE))</f>
        <v>84.3</v>
      </c>
      <c r="H32">
        <f ca="1">IF(AND(ISNUMBER($H$120),$B$102=1),$H$120,HLOOKUP(INDIRECT(ADDRESS(2,COLUMN())),OFFSET($U$2,0,0,ROW()-1,15),ROW()-1,FALSE))</f>
        <v>84.6</v>
      </c>
      <c r="I32">
        <f ca="1">IF(AND(ISNUMBER($I$120),$B$102=1),$I$120,HLOOKUP(INDIRECT(ADDRESS(2,COLUMN())),OFFSET($U$2,0,0,ROW()-1,15),ROW()-1,FALSE))</f>
        <v>81.7</v>
      </c>
      <c r="J32">
        <f ca="1">IF(AND(ISNUMBER($J$120),$B$102=1),$J$120,HLOOKUP(INDIRECT(ADDRESS(2,COLUMN())),OFFSET($U$2,0,0,ROW()-1,15),ROW()-1,FALSE))</f>
        <v>80.599999999999994</v>
      </c>
      <c r="K32">
        <f ca="1">IF(AND(ISNUMBER($K$120),$B$102=1),$K$120,HLOOKUP(INDIRECT(ADDRESS(2,COLUMN())),OFFSET($U$2,0,0,ROW()-1,15),ROW()-1,FALSE))</f>
        <v>80.900000000000006</v>
      </c>
      <c r="L32">
        <f ca="1">IF(AND(ISNUMBER($L$120),$B$102=1),$L$120,HLOOKUP(INDIRECT(ADDRESS(2,COLUMN())),OFFSET($U$2,0,0,ROW()-1,15),ROW()-1,FALSE))</f>
        <v>77.400000000000006</v>
      </c>
      <c r="M32">
        <f ca="1">IF(AND(ISNUMBER($M$120),$B$102=1),$M$120,HLOOKUP(INDIRECT(ADDRESS(2,COLUMN())),OFFSET($U$2,0,0,ROW()-1,15),ROW()-1,FALSE))</f>
        <v>73</v>
      </c>
      <c r="N32">
        <f ca="1">IF(AND(ISNUMBER($N$120),$B$102=1),$N$120,HLOOKUP(INDIRECT(ADDRESS(2,COLUMN())),OFFSET($U$2,0,0,ROW()-1,15),ROW()-1,FALSE))</f>
        <v>78.900000000000006</v>
      </c>
      <c r="O32">
        <f ca="1">IF(AND(ISNUMBER($O$120),$B$102=1),$O$120,HLOOKUP(INDIRECT(ADDRESS(2,COLUMN())),OFFSET($U$2,0,0,ROW()-1,15),ROW()-1,FALSE))</f>
        <v>78.900000000000006</v>
      </c>
      <c r="P32">
        <f ca="1">IF(AND(ISNUMBER($P$120),$B$102=1),$P$120,HLOOKUP(INDIRECT(ADDRESS(2,COLUMN())),OFFSET($U$2,0,0,ROW()-1,15),ROW()-1,FALSE))</f>
        <v>74.400000000000006</v>
      </c>
      <c r="Q32">
        <f ca="1">IF(AND(ISNUMBER($Q$120),$B$102=1),$Q$120,HLOOKUP(INDIRECT(ADDRESS(2,COLUMN())),OFFSET($U$2,0,0,ROW()-1,15),ROW()-1,FALSE))</f>
        <v>73.7</v>
      </c>
      <c r="R32">
        <f ca="1">IF(AND(ISNUMBER($R$120),$B$102=1),$R$120,HLOOKUP(INDIRECT(ADDRESS(2,COLUMN())),OFFSET($U$2,0,0,ROW()-1,15),ROW()-1,FALSE))</f>
        <v>75.900000000000006</v>
      </c>
      <c r="S32">
        <f ca="1">IF(AND(ISNUMBER($S$120),$B$102=1),$S$120,HLOOKUP(INDIRECT(ADDRESS(2,COLUMN())),OFFSET($U$2,0,0,ROW()-1,15),ROW()-1,FALSE))</f>
        <v>75.5</v>
      </c>
      <c r="T32">
        <f ca="1">IF(AND(ISNUMBER($T$120),$B$102=1),$T$120,HLOOKUP(INDIRECT(ADDRESS(2,COLUMN())),OFFSET($U$2,0,0,ROW()-1,15),ROW()-1,FALSE))</f>
        <v>77</v>
      </c>
      <c r="U32">
        <f>84</f>
        <v>84</v>
      </c>
      <c r="V32">
        <f>84.3</f>
        <v>84.3</v>
      </c>
      <c r="W32">
        <f>84.6</f>
        <v>84.6</v>
      </c>
      <c r="X32">
        <f>81.7</f>
        <v>81.7</v>
      </c>
      <c r="Y32">
        <f>80.6</f>
        <v>80.599999999999994</v>
      </c>
      <c r="Z32">
        <f>80.9</f>
        <v>80.900000000000006</v>
      </c>
      <c r="AA32">
        <f>77.4</f>
        <v>77.400000000000006</v>
      </c>
      <c r="AB32">
        <f>73</f>
        <v>73</v>
      </c>
      <c r="AC32">
        <f>78.9</f>
        <v>78.900000000000006</v>
      </c>
      <c r="AD32">
        <f>78.9</f>
        <v>78.900000000000006</v>
      </c>
      <c r="AE32">
        <f>74.4</f>
        <v>74.400000000000006</v>
      </c>
      <c r="AF32">
        <f>73.7</f>
        <v>73.7</v>
      </c>
      <c r="AG32">
        <f>75.9</f>
        <v>75.900000000000006</v>
      </c>
      <c r="AH32">
        <f>75.5</f>
        <v>75.5</v>
      </c>
      <c r="AI32">
        <f>77</f>
        <v>77</v>
      </c>
    </row>
    <row r="33" spans="1:35" x14ac:dyDescent="0.25">
      <c r="A33" t="str">
        <f>"    "</f>
        <v xml:space="preserve">    </v>
      </c>
      <c r="B33" t="str">
        <f>""</f>
        <v/>
      </c>
      <c r="E33" t="str">
        <f>"Static"</f>
        <v>Static</v>
      </c>
      <c r="F33" t="str">
        <f t="shared" ref="F33:T34" ca="1" si="7">HLOOKUP(INDIRECT(ADDRESS(2,COLUMN())),OFFSET($U$2,0,0,ROW()-1,15),ROW()-1,FALSE)</f>
        <v/>
      </c>
      <c r="G33" t="str">
        <f t="shared" ca="1" si="7"/>
        <v/>
      </c>
      <c r="H33" t="str">
        <f t="shared" ca="1" si="7"/>
        <v/>
      </c>
      <c r="I33" t="str">
        <f t="shared" ca="1" si="7"/>
        <v/>
      </c>
      <c r="J33" t="str">
        <f t="shared" ca="1" si="7"/>
        <v/>
      </c>
      <c r="K33" t="str">
        <f t="shared" ca="1" si="7"/>
        <v/>
      </c>
      <c r="L33" t="str">
        <f t="shared" ca="1" si="7"/>
        <v/>
      </c>
      <c r="M33" t="str">
        <f t="shared" ca="1" si="7"/>
        <v/>
      </c>
      <c r="N33" t="str">
        <f t="shared" ca="1" si="7"/>
        <v/>
      </c>
      <c r="O33" t="str">
        <f t="shared" ca="1" si="7"/>
        <v/>
      </c>
      <c r="P33" t="str">
        <f t="shared" ca="1" si="7"/>
        <v/>
      </c>
      <c r="Q33" t="str">
        <f t="shared" ca="1" si="7"/>
        <v/>
      </c>
      <c r="R33" t="str">
        <f t="shared" ca="1" si="7"/>
        <v/>
      </c>
      <c r="S33" t="str">
        <f t="shared" ca="1" si="7"/>
        <v/>
      </c>
      <c r="T33" t="str">
        <f t="shared" ca="1" si="7"/>
        <v/>
      </c>
      <c r="U33" t="str">
        <f>""</f>
        <v/>
      </c>
      <c r="V33" t="str">
        <f>""</f>
        <v/>
      </c>
      <c r="W33" t="str">
        <f>""</f>
        <v/>
      </c>
      <c r="X33" t="str">
        <f>""</f>
        <v/>
      </c>
      <c r="Y33" t="str">
        <f>""</f>
        <v/>
      </c>
      <c r="Z33" t="str">
        <f>""</f>
        <v/>
      </c>
      <c r="AA33" t="str">
        <f>""</f>
        <v/>
      </c>
      <c r="AB33" t="str">
        <f>""</f>
        <v/>
      </c>
      <c r="AC33" t="str">
        <f>""</f>
        <v/>
      </c>
      <c r="AD33" t="str">
        <f>""</f>
        <v/>
      </c>
      <c r="AE33" t="str">
        <f>""</f>
        <v/>
      </c>
      <c r="AF33" t="str">
        <f>""</f>
        <v/>
      </c>
      <c r="AG33" t="str">
        <f>""</f>
        <v/>
      </c>
      <c r="AH33" t="str">
        <f>""</f>
        <v/>
      </c>
      <c r="AI33" t="str">
        <f>""</f>
        <v/>
      </c>
    </row>
    <row r="34" spans="1:35" x14ac:dyDescent="0.25">
      <c r="A34" t="str">
        <f>"    Client Metrics (Actual)"</f>
        <v xml:space="preserve">    Client Metrics (Actual)</v>
      </c>
      <c r="B34" t="str">
        <f>""</f>
        <v/>
      </c>
      <c r="E34" t="str">
        <f>"Static"</f>
        <v>Static</v>
      </c>
      <c r="F34" t="str">
        <f t="shared" ca="1" si="7"/>
        <v/>
      </c>
      <c r="G34" t="str">
        <f t="shared" ca="1" si="7"/>
        <v/>
      </c>
      <c r="H34" t="str">
        <f t="shared" ca="1" si="7"/>
        <v/>
      </c>
      <c r="I34" t="str">
        <f t="shared" ca="1" si="7"/>
        <v/>
      </c>
      <c r="J34" t="str">
        <f t="shared" ca="1" si="7"/>
        <v/>
      </c>
      <c r="K34" t="str">
        <f t="shared" ca="1" si="7"/>
        <v/>
      </c>
      <c r="L34" t="str">
        <f t="shared" ca="1" si="7"/>
        <v/>
      </c>
      <c r="M34" t="str">
        <f t="shared" ca="1" si="7"/>
        <v/>
      </c>
      <c r="N34" t="str">
        <f t="shared" ca="1" si="7"/>
        <v/>
      </c>
      <c r="O34" t="str">
        <f t="shared" ca="1" si="7"/>
        <v/>
      </c>
      <c r="P34" t="str">
        <f t="shared" ca="1" si="7"/>
        <v/>
      </c>
      <c r="Q34" t="str">
        <f t="shared" ca="1" si="7"/>
        <v/>
      </c>
      <c r="R34" t="str">
        <f t="shared" ca="1" si="7"/>
        <v/>
      </c>
      <c r="S34" t="str">
        <f t="shared" ca="1" si="7"/>
        <v/>
      </c>
      <c r="T34" t="str">
        <f t="shared" ca="1" si="7"/>
        <v/>
      </c>
      <c r="U34" t="str">
        <f>""</f>
        <v/>
      </c>
      <c r="V34" t="str">
        <f>""</f>
        <v/>
      </c>
      <c r="W34" t="str">
        <f>""</f>
        <v/>
      </c>
      <c r="X34" t="str">
        <f>""</f>
        <v/>
      </c>
      <c r="Y34" t="str">
        <f>""</f>
        <v/>
      </c>
      <c r="Z34" t="str">
        <f>""</f>
        <v/>
      </c>
      <c r="AA34" t="str">
        <f>""</f>
        <v/>
      </c>
      <c r="AB34" t="str">
        <f>""</f>
        <v/>
      </c>
      <c r="AC34" t="str">
        <f>""</f>
        <v/>
      </c>
      <c r="AD34" t="str">
        <f>""</f>
        <v/>
      </c>
      <c r="AE34" t="str">
        <f>""</f>
        <v/>
      </c>
      <c r="AF34" t="str">
        <f>""</f>
        <v/>
      </c>
      <c r="AG34" t="str">
        <f>""</f>
        <v/>
      </c>
      <c r="AH34" t="str">
        <f>""</f>
        <v/>
      </c>
      <c r="AI34" t="str">
        <f>""</f>
        <v/>
      </c>
    </row>
    <row r="35" spans="1:35" x14ac:dyDescent="0.25">
      <c r="A35" t="str">
        <f>"        Active Clients"</f>
        <v xml:space="preserve">        Active Clients</v>
      </c>
      <c r="B35" t="str">
        <f>"INFY US Equity"</f>
        <v>INFY US Equity</v>
      </c>
      <c r="C35" t="str">
        <f>"M0008"</f>
        <v>M0008</v>
      </c>
      <c r="D35" t="str">
        <f>"NUMBER_OF_ACTIVE_CLIENTS"</f>
        <v>NUMBER_OF_ACTIVE_CLIENTS</v>
      </c>
      <c r="E35" t="str">
        <f>"Dynamic"</f>
        <v>Dynamic</v>
      </c>
      <c r="F35">
        <f ca="1">IF(AND(ISNUMBER($F$121),$B$102=1),$F$121,HLOOKUP(INDIRECT(ADDRESS(2,COLUMN())),OFFSET($U$2,0,0,ROW()-1,15),ROW()-1,FALSE))</f>
        <v>1411</v>
      </c>
      <c r="G35">
        <f ca="1">IF(AND(ISNUMBER($G$121),$B$102=1),$G$121,HLOOKUP(INDIRECT(ADDRESS(2,COLUMN())),OFFSET($U$2,0,0,ROW()-1,15),ROW()-1,FALSE))</f>
        <v>1279</v>
      </c>
      <c r="H35">
        <f ca="1">IF(AND(ISNUMBER($H$121),$B$102=1),$H$121,HLOOKUP(INDIRECT(ADDRESS(2,COLUMN())),OFFSET($U$2,0,0,ROW()-1,15),ROW()-1,FALSE))</f>
        <v>1204</v>
      </c>
      <c r="I35">
        <f ca="1">IF(AND(ISNUMBER($I$121),$B$102=1),$I$121,HLOOKUP(INDIRECT(ADDRESS(2,COLUMN())),OFFSET($U$2,0,0,ROW()-1,15),ROW()-1,FALSE))</f>
        <v>1162</v>
      </c>
      <c r="J35">
        <f ca="1">IF(AND(ISNUMBER($J$121),$B$102=1),$J$121,HLOOKUP(INDIRECT(ADDRESS(2,COLUMN())),OFFSET($U$2,0,0,ROW()-1,15),ROW()-1,FALSE))</f>
        <v>1092</v>
      </c>
      <c r="K35">
        <f ca="1">IF(AND(ISNUMBER($K$121),$B$102=1),$K$121,HLOOKUP(INDIRECT(ADDRESS(2,COLUMN())),OFFSET($U$2,0,0,ROW()-1,15),ROW()-1,FALSE))</f>
        <v>950</v>
      </c>
      <c r="L35">
        <f ca="1">IF(AND(ISNUMBER($L$121),$B$102=1),$L$121,HLOOKUP(INDIRECT(ADDRESS(2,COLUMN())),OFFSET($U$2,0,0,ROW()-1,15),ROW()-1,FALSE))</f>
        <v>890</v>
      </c>
      <c r="M35">
        <f ca="1">IF(AND(ISNUMBER($M$121),$B$102=1),$M$121,HLOOKUP(INDIRECT(ADDRESS(2,COLUMN())),OFFSET($U$2,0,0,ROW()-1,15),ROW()-1,FALSE))</f>
        <v>798</v>
      </c>
      <c r="N35">
        <f ca="1">IF(AND(ISNUMBER($N$121),$B$102=1),$N$121,HLOOKUP(INDIRECT(ADDRESS(2,COLUMN())),OFFSET($U$2,0,0,ROW()-1,15),ROW()-1,FALSE))</f>
        <v>620</v>
      </c>
      <c r="O35">
        <f ca="1">IF(AND(ISNUMBER($O$121),$B$102=1),$O$121,HLOOKUP(INDIRECT(ADDRESS(2,COLUMN())),OFFSET($U$2,0,0,ROW()-1,15),ROW()-1,FALSE))</f>
        <v>620</v>
      </c>
      <c r="P35">
        <f ca="1">IF(AND(ISNUMBER($P$121),$B$102=1),$P$121,HLOOKUP(INDIRECT(ADDRESS(2,COLUMN())),OFFSET($U$2,0,0,ROW()-1,15),ROW()-1,FALSE))</f>
        <v>575</v>
      </c>
      <c r="Q35">
        <f ca="1">IF(AND(ISNUMBER($Q$121),$B$102=1),$Q$121,HLOOKUP(INDIRECT(ADDRESS(2,COLUMN())),OFFSET($U$2,0,0,ROW()-1,15),ROW()-1,FALSE))</f>
        <v>579</v>
      </c>
      <c r="R35">
        <f ca="1">IF(AND(ISNUMBER($R$121),$B$102=1),$R$121,HLOOKUP(INDIRECT(ADDRESS(2,COLUMN())),OFFSET($U$2,0,0,ROW()-1,15),ROW()-1,FALSE))</f>
        <v>538</v>
      </c>
      <c r="S35">
        <f ca="1">IF(AND(ISNUMBER($S$121),$B$102=1),$S$121,HLOOKUP(INDIRECT(ADDRESS(2,COLUMN())),OFFSET($U$2,0,0,ROW()-1,15),ROW()-1,FALSE))</f>
        <v>500</v>
      </c>
      <c r="T35">
        <f ca="1">IF(AND(ISNUMBER($T$121),$B$102=1),$T$121,HLOOKUP(INDIRECT(ADDRESS(2,COLUMN())),OFFSET($U$2,0,0,ROW()-1,15),ROW()-1,FALSE))</f>
        <v>460</v>
      </c>
      <c r="U35">
        <f>1411</f>
        <v>1411</v>
      </c>
      <c r="V35">
        <f>1279</f>
        <v>1279</v>
      </c>
      <c r="W35">
        <f>1204</f>
        <v>1204</v>
      </c>
      <c r="X35">
        <f>1162</f>
        <v>1162</v>
      </c>
      <c r="Y35">
        <f>1092</f>
        <v>1092</v>
      </c>
      <c r="Z35">
        <f>950</f>
        <v>950</v>
      </c>
      <c r="AA35">
        <f>890</f>
        <v>890</v>
      </c>
      <c r="AB35">
        <f>798</f>
        <v>798</v>
      </c>
      <c r="AC35">
        <f>620</f>
        <v>620</v>
      </c>
      <c r="AD35">
        <f>620</f>
        <v>620</v>
      </c>
      <c r="AE35">
        <f>575</f>
        <v>575</v>
      </c>
      <c r="AF35">
        <f>579</f>
        <v>579</v>
      </c>
      <c r="AG35">
        <f>538</f>
        <v>538</v>
      </c>
      <c r="AH35">
        <f>500</f>
        <v>500</v>
      </c>
      <c r="AI35">
        <f>460</f>
        <v>460</v>
      </c>
    </row>
    <row r="36" spans="1:35" x14ac:dyDescent="0.25">
      <c r="A36" t="str">
        <f>"        Clients Added (Gross)"</f>
        <v xml:space="preserve">        Clients Added (Gross)</v>
      </c>
      <c r="B36" t="str">
        <f>"INFY US Equity"</f>
        <v>INFY US Equity</v>
      </c>
      <c r="C36" t="str">
        <f>"B2806"</f>
        <v>B2806</v>
      </c>
      <c r="D36" t="str">
        <f>"ARD_NUMBER_OF_CLIENTS_ADDED"</f>
        <v>ARD_NUMBER_OF_CLIENTS_ADDED</v>
      </c>
      <c r="E36" t="str">
        <f>"Dynamic"</f>
        <v>Dynamic</v>
      </c>
      <c r="F36" t="str">
        <f ca="1">IF(AND(ISNUMBER($F$122),$B$102=1),$F$122,HLOOKUP(INDIRECT(ADDRESS(2,COLUMN())),OFFSET($U$2,0,0,ROW()-1,15),ROW()-1,FALSE))</f>
        <v/>
      </c>
      <c r="G36" t="str">
        <f ca="1">IF(AND(ISNUMBER($G$122),$B$102=1),$G$122,HLOOKUP(INDIRECT(ADDRESS(2,COLUMN())),OFFSET($U$2,0,0,ROW()-1,15),ROW()-1,FALSE))</f>
        <v/>
      </c>
      <c r="H36">
        <f ca="1">IF(AND(ISNUMBER($H$122),$B$102=1),$H$122,HLOOKUP(INDIRECT(ADDRESS(2,COLUMN())),OFFSET($U$2,0,0,ROW()-1,15),ROW()-1,FALSE))</f>
        <v>283</v>
      </c>
      <c r="I36">
        <f ca="1">IF(AND(ISNUMBER($I$122),$B$102=1),$I$122,HLOOKUP(INDIRECT(ADDRESS(2,COLUMN())),OFFSET($U$2,0,0,ROW()-1,15),ROW()-1,FALSE))</f>
        <v>321</v>
      </c>
      <c r="J36">
        <f ca="1">IF(AND(ISNUMBER($J$122),$B$102=1),$J$122,HLOOKUP(INDIRECT(ADDRESS(2,COLUMN())),OFFSET($U$2,0,0,ROW()-1,15),ROW()-1,FALSE))</f>
        <v>325</v>
      </c>
      <c r="K36">
        <f ca="1">IF(AND(ISNUMBER($K$122),$B$102=1),$K$122,HLOOKUP(INDIRECT(ADDRESS(2,COLUMN())),OFFSET($U$2,0,0,ROW()-1,15),ROW()-1,FALSE))</f>
        <v>221</v>
      </c>
      <c r="L36">
        <f ca="1">IF(AND(ISNUMBER($L$122),$B$102=1),$L$122,HLOOKUP(INDIRECT(ADDRESS(2,COLUMN())),OFFSET($U$2,0,0,ROW()-1,15),ROW()-1,FALSE))</f>
        <v>238</v>
      </c>
      <c r="M36">
        <f ca="1">IF(AND(ISNUMBER($M$122),$B$102=1),$M$122,HLOOKUP(INDIRECT(ADDRESS(2,COLUMN())),OFFSET($U$2,0,0,ROW()-1,15),ROW()-1,FALSE))</f>
        <v>235</v>
      </c>
      <c r="N36">
        <f ca="1">IF(AND(ISNUMBER($N$122),$B$102=1),$N$122,HLOOKUP(INDIRECT(ADDRESS(2,COLUMN())),OFFSET($U$2,0,0,ROW()-1,15),ROW()-1,FALSE))</f>
        <v>139</v>
      </c>
      <c r="O36">
        <f ca="1">IF(AND(ISNUMBER($O$122),$B$102=1),$O$122,HLOOKUP(INDIRECT(ADDRESS(2,COLUMN())),OFFSET($U$2,0,0,ROW()-1,15),ROW()-1,FALSE))</f>
        <v>139</v>
      </c>
      <c r="P36">
        <f ca="1">IF(AND(ISNUMBER($P$122),$B$102=1),$P$122,HLOOKUP(INDIRECT(ADDRESS(2,COLUMN())),OFFSET($U$2,0,0,ROW()-1,15),ROW()-1,FALSE))</f>
        <v>141</v>
      </c>
      <c r="Q36">
        <f ca="1">IF(AND(ISNUMBER($Q$122),$B$102=1),$Q$122,HLOOKUP(INDIRECT(ADDRESS(2,COLUMN())),OFFSET($U$2,0,0,ROW()-1,15),ROW()-1,FALSE))</f>
        <v>156</v>
      </c>
      <c r="R36">
        <f ca="1">IF(AND(ISNUMBER($R$122),$B$102=1),$R$122,HLOOKUP(INDIRECT(ADDRESS(2,COLUMN())),OFFSET($U$2,0,0,ROW()-1,15),ROW()-1,FALSE))</f>
        <v>170</v>
      </c>
      <c r="S36">
        <f ca="1">IF(AND(ISNUMBER($S$122),$B$102=1),$S$122,HLOOKUP(INDIRECT(ADDRESS(2,COLUMN())),OFFSET($U$2,0,0,ROW()-1,15),ROW()-1,FALSE))</f>
        <v>160</v>
      </c>
      <c r="T36">
        <f ca="1">IF(AND(ISNUMBER($T$122),$B$102=1),$T$122,HLOOKUP(INDIRECT(ADDRESS(2,COLUMN())),OFFSET($U$2,0,0,ROW()-1,15),ROW()-1,FALSE))</f>
        <v>144</v>
      </c>
      <c r="U36" t="str">
        <f>""</f>
        <v/>
      </c>
      <c r="V36" t="str">
        <f>""</f>
        <v/>
      </c>
      <c r="W36">
        <f>283</f>
        <v>283</v>
      </c>
      <c r="X36">
        <f>321</f>
        <v>321</v>
      </c>
      <c r="Y36">
        <f>325</f>
        <v>325</v>
      </c>
      <c r="Z36">
        <f>221</f>
        <v>221</v>
      </c>
      <c r="AA36">
        <f>238</f>
        <v>238</v>
      </c>
      <c r="AB36">
        <f>235</f>
        <v>235</v>
      </c>
      <c r="AC36">
        <f>139</f>
        <v>139</v>
      </c>
      <c r="AD36">
        <f>139</f>
        <v>139</v>
      </c>
      <c r="AE36">
        <f>141</f>
        <v>141</v>
      </c>
      <c r="AF36">
        <f>156</f>
        <v>156</v>
      </c>
      <c r="AG36">
        <f>170</f>
        <v>170</v>
      </c>
      <c r="AH36">
        <f>160</f>
        <v>160</v>
      </c>
      <c r="AI36">
        <f>144</f>
        <v>144</v>
      </c>
    </row>
    <row r="37" spans="1:35" x14ac:dyDescent="0.25">
      <c r="A37" t="str">
        <f>"        Number of Clients by LTM Contribution (USD)"</f>
        <v xml:space="preserve">        Number of Clients by LTM Contribution (USD)</v>
      </c>
      <c r="B37" t="str">
        <f>""</f>
        <v/>
      </c>
      <c r="E37" t="str">
        <f>"Static"</f>
        <v>Static</v>
      </c>
      <c r="F37" t="str">
        <f t="shared" ref="F37:T37" ca="1" si="8">HLOOKUP(INDIRECT(ADDRESS(2,COLUMN())),OFFSET($U$2,0,0,ROW()-1,15),ROW()-1,FALSE)</f>
        <v/>
      </c>
      <c r="G37" t="str">
        <f t="shared" ca="1" si="8"/>
        <v/>
      </c>
      <c r="H37" t="str">
        <f t="shared" ca="1" si="8"/>
        <v/>
      </c>
      <c r="I37" t="str">
        <f t="shared" ca="1" si="8"/>
        <v/>
      </c>
      <c r="J37" t="str">
        <f t="shared" ca="1" si="8"/>
        <v/>
      </c>
      <c r="K37" t="str">
        <f t="shared" ca="1" si="8"/>
        <v/>
      </c>
      <c r="L37" t="str">
        <f t="shared" ca="1" si="8"/>
        <v/>
      </c>
      <c r="M37" t="str">
        <f t="shared" ca="1" si="8"/>
        <v/>
      </c>
      <c r="N37" t="str">
        <f t="shared" ca="1" si="8"/>
        <v/>
      </c>
      <c r="O37" t="str">
        <f t="shared" ca="1" si="8"/>
        <v/>
      </c>
      <c r="P37" t="str">
        <f t="shared" ca="1" si="8"/>
        <v/>
      </c>
      <c r="Q37" t="str">
        <f t="shared" ca="1" si="8"/>
        <v/>
      </c>
      <c r="R37" t="str">
        <f t="shared" ca="1" si="8"/>
        <v/>
      </c>
      <c r="S37" t="str">
        <f t="shared" ca="1" si="8"/>
        <v/>
      </c>
      <c r="T37" t="str">
        <f t="shared" ca="1" si="8"/>
        <v/>
      </c>
      <c r="U37" t="str">
        <f>""</f>
        <v/>
      </c>
      <c r="V37" t="str">
        <f>""</f>
        <v/>
      </c>
      <c r="W37" t="str">
        <f>""</f>
        <v/>
      </c>
      <c r="X37" t="str">
        <f>""</f>
        <v/>
      </c>
      <c r="Y37" t="str">
        <f>""</f>
        <v/>
      </c>
      <c r="Z37" t="str">
        <f>""</f>
        <v/>
      </c>
      <c r="AA37" t="str">
        <f>""</f>
        <v/>
      </c>
      <c r="AB37" t="str">
        <f>""</f>
        <v/>
      </c>
      <c r="AC37" t="str">
        <f>""</f>
        <v/>
      </c>
      <c r="AD37" t="str">
        <f>""</f>
        <v/>
      </c>
      <c r="AE37" t="str">
        <f>""</f>
        <v/>
      </c>
      <c r="AF37" t="str">
        <f>""</f>
        <v/>
      </c>
      <c r="AG37" t="str">
        <f>""</f>
        <v/>
      </c>
      <c r="AH37" t="str">
        <f>""</f>
        <v/>
      </c>
      <c r="AI37" t="str">
        <f>""</f>
        <v/>
      </c>
    </row>
    <row r="38" spans="1:35" x14ac:dyDescent="0.25">
      <c r="A38" t="str">
        <f>"            $1+ Million"</f>
        <v xml:space="preserve">            $1+ Million</v>
      </c>
      <c r="B38" t="str">
        <f t="shared" ref="B38:B43" si="9">"INFO IN Equity"</f>
        <v>INFO IN Equity</v>
      </c>
      <c r="C38" t="str">
        <f>"M0010"</f>
        <v>M0010</v>
      </c>
      <c r="D38" t="str">
        <f>"NUMBER_OF_CLIENTS_0_TO_5MM"</f>
        <v>NUMBER_OF_CLIENTS_0_TO_5MM</v>
      </c>
      <c r="E38" t="str">
        <f t="shared" ref="E38:E43" si="10">"Dynamic"</f>
        <v>Dynamic</v>
      </c>
      <c r="F38">
        <f ca="1">IF(AND(ISNUMBER($F$123),$B$102=1),$F$123,HLOOKUP(INDIRECT(ADDRESS(2,COLUMN())),OFFSET($U$2,0,0,ROW()-1,15),ROW()-1,FALSE))</f>
        <v>718</v>
      </c>
      <c r="G38">
        <f ca="1">IF(AND(ISNUMBER($G$123),$B$102=1),$G$123,HLOOKUP(INDIRECT(ADDRESS(2,COLUMN())),OFFSET($U$2,0,0,ROW()-1,15),ROW()-1,FALSE))</f>
        <v>662</v>
      </c>
      <c r="H38">
        <f ca="1">IF(AND(ISNUMBER($H$123),$B$102=1),$H$123,HLOOKUP(INDIRECT(ADDRESS(2,COLUMN())),OFFSET($U$2,0,0,ROW()-1,15),ROW()-1,FALSE))</f>
        <v>634</v>
      </c>
      <c r="I38">
        <f ca="1">IF(AND(ISNUMBER($I$123),$B$102=1),$I$123,HLOOKUP(INDIRECT(ADDRESS(2,COLUMN())),OFFSET($U$2,0,0,ROW()-1,15),ROW()-1,FALSE))</f>
        <v>598</v>
      </c>
      <c r="J38">
        <f ca="1">IF(AND(ISNUMBER($J$123),$B$102=1),$J$123,HLOOKUP(INDIRECT(ADDRESS(2,COLUMN())),OFFSET($U$2,0,0,ROW()-1,15),ROW()-1,FALSE))</f>
        <v>558</v>
      </c>
      <c r="K38">
        <f ca="1">IF(AND(ISNUMBER($K$123),$B$102=1),$K$123,HLOOKUP(INDIRECT(ADDRESS(2,COLUMN())),OFFSET($U$2,0,0,ROW()-1,15),ROW()-1,FALSE))</f>
        <v>529</v>
      </c>
      <c r="L38">
        <f ca="1">IF(AND(ISNUMBER($L$123),$B$102=1),$L$123,HLOOKUP(INDIRECT(ADDRESS(2,COLUMN())),OFFSET($U$2,0,0,ROW()-1,15),ROW()-1,FALSE))</f>
        <v>501</v>
      </c>
      <c r="M38">
        <f ca="1">IF(AND(ISNUMBER($M$123),$B$102=1),$M$123,HLOOKUP(INDIRECT(ADDRESS(2,COLUMN())),OFFSET($U$2,0,0,ROW()-1,15),ROW()-1,FALSE))</f>
        <v>448</v>
      </c>
      <c r="N38">
        <f ca="1">IF(AND(ISNUMBER($N$123),$B$102=1),$N$123,HLOOKUP(INDIRECT(ADDRESS(2,COLUMN())),OFFSET($U$2,0,0,ROW()-1,15),ROW()-1,FALSE))</f>
        <v>366</v>
      </c>
      <c r="O38">
        <f ca="1">IF(AND(ISNUMBER($O$123),$B$102=1),$O$123,HLOOKUP(INDIRECT(ADDRESS(2,COLUMN())),OFFSET($U$2,0,0,ROW()-1,15),ROW()-1,FALSE))</f>
        <v>366</v>
      </c>
      <c r="P38">
        <f ca="1">IF(AND(ISNUMBER($P$123),$B$102=1),$P$123,HLOOKUP(INDIRECT(ADDRESS(2,COLUMN())),OFFSET($U$2,0,0,ROW()-1,15),ROW()-1,FALSE))</f>
        <v>338</v>
      </c>
      <c r="Q38">
        <f ca="1">IF(AND(ISNUMBER($Q$123),$B$102=1),$Q$123,HLOOKUP(INDIRECT(ADDRESS(2,COLUMN())),OFFSET($U$2,0,0,ROW()-1,15),ROW()-1,FALSE))</f>
        <v>327</v>
      </c>
      <c r="R38">
        <f ca="1">IF(AND(ISNUMBER($R$123),$B$102=1),$R$123,HLOOKUP(INDIRECT(ADDRESS(2,COLUMN())),OFFSET($U$2,0,0,ROW()-1,15),ROW()-1,FALSE))</f>
        <v>310</v>
      </c>
      <c r="S38">
        <f ca="1">IF(AND(ISNUMBER($S$123),$B$102=1),$S$123,HLOOKUP(INDIRECT(ADDRESS(2,COLUMN())),OFFSET($U$2,0,0,ROW()-1,15),ROW()-1,FALSE))</f>
        <v>275</v>
      </c>
      <c r="T38">
        <f ca="1">IF(AND(ISNUMBER($T$123),$B$102=1),$T$123,HLOOKUP(INDIRECT(ADDRESS(2,COLUMN())),OFFSET($U$2,0,0,ROW()-1,15),ROW()-1,FALSE))</f>
        <v>221</v>
      </c>
      <c r="U38">
        <f>718</f>
        <v>718</v>
      </c>
      <c r="V38">
        <f>662</f>
        <v>662</v>
      </c>
      <c r="W38">
        <f>634</f>
        <v>634</v>
      </c>
      <c r="X38">
        <f>598</f>
        <v>598</v>
      </c>
      <c r="Y38">
        <f>558</f>
        <v>558</v>
      </c>
      <c r="Z38">
        <f>529</f>
        <v>529</v>
      </c>
      <c r="AA38">
        <f>501</f>
        <v>501</v>
      </c>
      <c r="AB38">
        <f>448</f>
        <v>448</v>
      </c>
      <c r="AC38">
        <f>366</f>
        <v>366</v>
      </c>
      <c r="AD38">
        <f>366</f>
        <v>366</v>
      </c>
      <c r="AE38">
        <f>338</f>
        <v>338</v>
      </c>
      <c r="AF38">
        <f>327</f>
        <v>327</v>
      </c>
      <c r="AG38">
        <f>310</f>
        <v>310</v>
      </c>
      <c r="AH38">
        <f>275</f>
        <v>275</v>
      </c>
      <c r="AI38">
        <f>221</f>
        <v>221</v>
      </c>
    </row>
    <row r="39" spans="1:35" x14ac:dyDescent="0.25">
      <c r="A39" t="str">
        <f>"            $5+ Million"</f>
        <v xml:space="preserve">            $5+ Million</v>
      </c>
      <c r="B39" t="str">
        <f t="shared" si="9"/>
        <v>INFO IN Equity</v>
      </c>
      <c r="C39" t="str">
        <f>"M0011"</f>
        <v>M0011</v>
      </c>
      <c r="D39" t="str">
        <f>"NUM_CLIENTS_5MM_TO_10MM"</f>
        <v>NUM_CLIENTS_5MM_TO_10MM</v>
      </c>
      <c r="E39" t="str">
        <f t="shared" si="10"/>
        <v>Dynamic</v>
      </c>
      <c r="F39" t="str">
        <f ca="1">IF(AND(ISNUMBER($F$124),$B$102=1),$F$124,HLOOKUP(INDIRECT(ADDRESS(2,COLUMN())),OFFSET($U$2,0,0,ROW()-1,15),ROW()-1,FALSE))</f>
        <v/>
      </c>
      <c r="G39" t="str">
        <f ca="1">IF(AND(ISNUMBER($G$124),$B$102=1),$G$124,HLOOKUP(INDIRECT(ADDRESS(2,COLUMN())),OFFSET($U$2,0,0,ROW()-1,15),ROW()-1,FALSE))</f>
        <v/>
      </c>
      <c r="H39">
        <f ca="1">IF(AND(ISNUMBER($H$124),$B$102=1),$H$124,HLOOKUP(INDIRECT(ADDRESS(2,COLUMN())),OFFSET($U$2,0,0,ROW()-1,15),ROW()-1,FALSE))</f>
        <v>295</v>
      </c>
      <c r="I39">
        <f ca="1">IF(AND(ISNUMBER($I$124),$B$102=1),$I$124,HLOOKUP(INDIRECT(ADDRESS(2,COLUMN())),OFFSET($U$2,0,0,ROW()-1,15),ROW()-1,FALSE))</f>
        <v>282</v>
      </c>
      <c r="J39">
        <f ca="1">IF(AND(ISNUMBER($J$124),$B$102=1),$J$124,HLOOKUP(INDIRECT(ADDRESS(2,COLUMN())),OFFSET($U$2,0,0,ROW()-1,15),ROW()-1,FALSE))</f>
        <v>268</v>
      </c>
      <c r="K39">
        <f ca="1">IF(AND(ISNUMBER($K$124),$B$102=1),$K$124,HLOOKUP(INDIRECT(ADDRESS(2,COLUMN())),OFFSET($U$2,0,0,ROW()-1,15),ROW()-1,FALSE))</f>
        <v>244</v>
      </c>
      <c r="L39">
        <f ca="1">IF(AND(ISNUMBER($L$124),$B$102=1),$L$124,HLOOKUP(INDIRECT(ADDRESS(2,COLUMN())),OFFSET($U$2,0,0,ROW()-1,15),ROW()-1,FALSE))</f>
        <v>232</v>
      </c>
      <c r="M39">
        <f ca="1">IF(AND(ISNUMBER($M$124),$B$102=1),$M$124,HLOOKUP(INDIRECT(ADDRESS(2,COLUMN())),OFFSET($U$2,0,0,ROW()-1,15),ROW()-1,FALSE))</f>
        <v>213</v>
      </c>
      <c r="N39">
        <f ca="1">IF(AND(ISNUMBER($N$124),$B$102=1),$N$124,HLOOKUP(INDIRECT(ADDRESS(2,COLUMN())),OFFSET($U$2,0,0,ROW()-1,15),ROW()-1,FALSE))</f>
        <v>187</v>
      </c>
      <c r="O39">
        <f ca="1">IF(AND(ISNUMBER($O$124),$B$102=1),$O$124,HLOOKUP(INDIRECT(ADDRESS(2,COLUMN())),OFFSET($U$2,0,0,ROW()-1,15),ROW()-1,FALSE))</f>
        <v>187</v>
      </c>
      <c r="P39">
        <f ca="1">IF(AND(ISNUMBER($P$124),$B$102=1),$P$124,HLOOKUP(INDIRECT(ADDRESS(2,COLUMN())),OFFSET($U$2,0,0,ROW()-1,15),ROW()-1,FALSE))</f>
        <v>159</v>
      </c>
      <c r="Q39">
        <f ca="1">IF(AND(ISNUMBER($Q$124),$B$102=1),$Q$124,HLOOKUP(INDIRECT(ADDRESS(2,COLUMN())),OFFSET($U$2,0,0,ROW()-1,15),ROW()-1,FALSE))</f>
        <v>151</v>
      </c>
      <c r="R39">
        <f ca="1">IF(AND(ISNUMBER($R$124),$B$102=1),$R$124,HLOOKUP(INDIRECT(ADDRESS(2,COLUMN())),OFFSET($U$2,0,0,ROW()-1,15),ROW()-1,FALSE))</f>
        <v>141</v>
      </c>
      <c r="S39">
        <f ca="1">IF(AND(ISNUMBER($S$124),$B$102=1),$S$124,HLOOKUP(INDIRECT(ADDRESS(2,COLUMN())),OFFSET($U$2,0,0,ROW()-1,15),ROW()-1,FALSE))</f>
        <v>107</v>
      </c>
      <c r="T39">
        <f ca="1">IF(AND(ISNUMBER($T$124),$B$102=1),$T$124,HLOOKUP(INDIRECT(ADDRESS(2,COLUMN())),OFFSET($U$2,0,0,ROW()-1,15),ROW()-1,FALSE))</f>
        <v>81</v>
      </c>
      <c r="U39" t="str">
        <f>""</f>
        <v/>
      </c>
      <c r="V39" t="str">
        <f>""</f>
        <v/>
      </c>
      <c r="W39">
        <f>295</f>
        <v>295</v>
      </c>
      <c r="X39">
        <f>282</f>
        <v>282</v>
      </c>
      <c r="Y39">
        <f>268</f>
        <v>268</v>
      </c>
      <c r="Z39">
        <f>244</f>
        <v>244</v>
      </c>
      <c r="AA39">
        <f>232</f>
        <v>232</v>
      </c>
      <c r="AB39">
        <f>213</f>
        <v>213</v>
      </c>
      <c r="AC39">
        <f>187</f>
        <v>187</v>
      </c>
      <c r="AD39">
        <f>187</f>
        <v>187</v>
      </c>
      <c r="AE39">
        <f>159</f>
        <v>159</v>
      </c>
      <c r="AF39">
        <f>151</f>
        <v>151</v>
      </c>
      <c r="AG39">
        <f>141</f>
        <v>141</v>
      </c>
      <c r="AH39">
        <f>107</f>
        <v>107</v>
      </c>
      <c r="AI39">
        <f>81</f>
        <v>81</v>
      </c>
    </row>
    <row r="40" spans="1:35" x14ac:dyDescent="0.25">
      <c r="A40" t="str">
        <f>"            $10+ Million"</f>
        <v xml:space="preserve">            $10+ Million</v>
      </c>
      <c r="B40" t="str">
        <f t="shared" si="9"/>
        <v>INFO IN Equity</v>
      </c>
      <c r="C40" t="str">
        <f>"M0012"</f>
        <v>M0012</v>
      </c>
      <c r="D40" t="str">
        <f>"NUM_CLIENTS_10MM_TO_20MM"</f>
        <v>NUM_CLIENTS_10MM_TO_20MM</v>
      </c>
      <c r="E40" t="str">
        <f t="shared" si="10"/>
        <v>Dynamic</v>
      </c>
      <c r="F40">
        <f ca="1">IF(AND(ISNUMBER($F$125),$B$102=1),$F$125,HLOOKUP(INDIRECT(ADDRESS(2,COLUMN())),OFFSET($U$2,0,0,ROW()-1,15),ROW()-1,FALSE))</f>
        <v>234</v>
      </c>
      <c r="G40">
        <f ca="1">IF(AND(ISNUMBER($G$125),$B$102=1),$G$125,HLOOKUP(INDIRECT(ADDRESS(2,COLUMN())),OFFSET($U$2,0,0,ROW()-1,15),ROW()-1,FALSE))</f>
        <v>222</v>
      </c>
      <c r="H40">
        <f ca="1">IF(AND(ISNUMBER($H$125),$B$102=1),$H$125,HLOOKUP(INDIRECT(ADDRESS(2,COLUMN())),OFFSET($U$2,0,0,ROW()-1,15),ROW()-1,FALSE))</f>
        <v>198</v>
      </c>
      <c r="I40">
        <f ca="1">IF(AND(ISNUMBER($I$125),$B$102=1),$I$125,HLOOKUP(INDIRECT(ADDRESS(2,COLUMN())),OFFSET($U$2,0,0,ROW()-1,15),ROW()-1,FALSE))</f>
        <v>189</v>
      </c>
      <c r="J40">
        <f ca="1">IF(AND(ISNUMBER($J$125),$B$102=1),$J$125,HLOOKUP(INDIRECT(ADDRESS(2,COLUMN())),OFFSET($U$2,0,0,ROW()-1,15),ROW()-1,FALSE))</f>
        <v>177</v>
      </c>
      <c r="K40">
        <f ca="1">IF(AND(ISNUMBER($K$125),$B$102=1),$K$125,HLOOKUP(INDIRECT(ADDRESS(2,COLUMN())),OFFSET($U$2,0,0,ROW()-1,15),ROW()-1,FALSE))</f>
        <v>159</v>
      </c>
      <c r="L40">
        <f ca="1">IF(AND(ISNUMBER($L$125),$B$102=1),$L$125,HLOOKUP(INDIRECT(ADDRESS(2,COLUMN())),OFFSET($U$2,0,0,ROW()-1,15),ROW()-1,FALSE))</f>
        <v>148</v>
      </c>
      <c r="M40">
        <f ca="1">IF(AND(ISNUMBER($M$125),$B$102=1),$M$125,HLOOKUP(INDIRECT(ADDRESS(2,COLUMN())),OFFSET($U$2,0,0,ROW()-1,15),ROW()-1,FALSE))</f>
        <v>137</v>
      </c>
      <c r="N40">
        <f ca="1">IF(AND(ISNUMBER($N$125),$B$102=1),$N$125,HLOOKUP(INDIRECT(ADDRESS(2,COLUMN())),OFFSET($U$2,0,0,ROW()-1,15),ROW()-1,FALSE))</f>
        <v>126</v>
      </c>
      <c r="O40">
        <f ca="1">IF(AND(ISNUMBER($O$125),$B$102=1),$O$125,HLOOKUP(INDIRECT(ADDRESS(2,COLUMN())),OFFSET($U$2,0,0,ROW()-1,15),ROW()-1,FALSE))</f>
        <v>126</v>
      </c>
      <c r="P40">
        <f ca="1">IF(AND(ISNUMBER($P$125),$B$102=1),$P$125,HLOOKUP(INDIRECT(ADDRESS(2,COLUMN())),OFFSET($U$2,0,0,ROW()-1,15),ROW()-1,FALSE))</f>
        <v>97</v>
      </c>
      <c r="Q40">
        <f ca="1">IF(AND(ISNUMBER($Q$125),$B$102=1),$Q$125,HLOOKUP(INDIRECT(ADDRESS(2,COLUMN())),OFFSET($U$2,0,0,ROW()-1,15),ROW()-1,FALSE))</f>
        <v>101</v>
      </c>
      <c r="R40">
        <f ca="1">IF(AND(ISNUMBER($R$125),$B$102=1),$R$125,HLOOKUP(INDIRECT(ADDRESS(2,COLUMN())),OFFSET($U$2,0,0,ROW()-1,15),ROW()-1,FALSE))</f>
        <v>89</v>
      </c>
      <c r="S40">
        <f ca="1">IF(AND(ISNUMBER($S$125),$B$102=1),$S$125,HLOOKUP(INDIRECT(ADDRESS(2,COLUMN())),OFFSET($U$2,0,0,ROW()-1,15),ROW()-1,FALSE))</f>
        <v>71</v>
      </c>
      <c r="T40">
        <f ca="1">IF(AND(ISNUMBER($T$125),$B$102=1),$T$125,HLOOKUP(INDIRECT(ADDRESS(2,COLUMN())),OFFSET($U$2,0,0,ROW()-1,15),ROW()-1,FALSE))</f>
        <v>54</v>
      </c>
      <c r="U40">
        <f>234</f>
        <v>234</v>
      </c>
      <c r="V40">
        <f>222</f>
        <v>222</v>
      </c>
      <c r="W40">
        <f>198</f>
        <v>198</v>
      </c>
      <c r="X40">
        <f>189</f>
        <v>189</v>
      </c>
      <c r="Y40">
        <f>177</f>
        <v>177</v>
      </c>
      <c r="Z40">
        <f>159</f>
        <v>159</v>
      </c>
      <c r="AA40">
        <f>148</f>
        <v>148</v>
      </c>
      <c r="AB40">
        <f>137</f>
        <v>137</v>
      </c>
      <c r="AC40">
        <f>126</f>
        <v>126</v>
      </c>
      <c r="AD40">
        <f>126</f>
        <v>126</v>
      </c>
      <c r="AE40">
        <f>97</f>
        <v>97</v>
      </c>
      <c r="AF40">
        <f>101</f>
        <v>101</v>
      </c>
      <c r="AG40">
        <f>89</f>
        <v>89</v>
      </c>
      <c r="AH40">
        <f>71</f>
        <v>71</v>
      </c>
      <c r="AI40">
        <f>54</f>
        <v>54</v>
      </c>
    </row>
    <row r="41" spans="1:35" x14ac:dyDescent="0.25">
      <c r="A41" t="str">
        <f>"            $20+ Million"</f>
        <v xml:space="preserve">            $20+ Million</v>
      </c>
      <c r="B41" t="str">
        <f t="shared" si="9"/>
        <v>INFO IN Equity</v>
      </c>
      <c r="C41" t="str">
        <f>"M0013"</f>
        <v>M0013</v>
      </c>
      <c r="D41" t="str">
        <f>"NUM_CLIENTS_20MM_TO_30MM"</f>
        <v>NUM_CLIENTS_20MM_TO_30MM</v>
      </c>
      <c r="E41" t="str">
        <f t="shared" si="10"/>
        <v>Dynamic</v>
      </c>
      <c r="F41" t="str">
        <f ca="1">IF(AND(ISNUMBER($F$126),$B$102=1),$F$126,HLOOKUP(INDIRECT(ADDRESS(2,COLUMN())),OFFSET($U$2,0,0,ROW()-1,15),ROW()-1,FALSE))</f>
        <v/>
      </c>
      <c r="G41" t="str">
        <f ca="1">IF(AND(ISNUMBER($G$126),$B$102=1),$G$126,HLOOKUP(INDIRECT(ADDRESS(2,COLUMN())),OFFSET($U$2,0,0,ROW()-1,15),ROW()-1,FALSE))</f>
        <v/>
      </c>
      <c r="H41">
        <f ca="1">IF(AND(ISNUMBER($H$126),$B$102=1),$H$126,HLOOKUP(INDIRECT(ADDRESS(2,COLUMN())),OFFSET($U$2,0,0,ROW()-1,15),ROW()-1,FALSE))</f>
        <v>105</v>
      </c>
      <c r="I41">
        <f ca="1">IF(AND(ISNUMBER($I$126),$B$102=1),$I$126,HLOOKUP(INDIRECT(ADDRESS(2,COLUMN())),OFFSET($U$2,0,0,ROW()-1,15),ROW()-1,FALSE))</f>
        <v>91</v>
      </c>
      <c r="J41">
        <f ca="1">IF(AND(ISNUMBER($J$126),$B$102=1),$J$126,HLOOKUP(INDIRECT(ADDRESS(2,COLUMN())),OFFSET($U$2,0,0,ROW()-1,15),ROW()-1,FALSE))</f>
        <v>88</v>
      </c>
      <c r="K41">
        <f ca="1">IF(AND(ISNUMBER($K$126),$B$102=1),$K$126,HLOOKUP(INDIRECT(ADDRESS(2,COLUMN())),OFFSET($U$2,0,0,ROW()-1,15),ROW()-1,FALSE))</f>
        <v>83</v>
      </c>
      <c r="L41">
        <f ca="1">IF(AND(ISNUMBER($L$126),$B$102=1),$L$126,HLOOKUP(INDIRECT(ADDRESS(2,COLUMN())),OFFSET($U$2,0,0,ROW()-1,15),ROW()-1,FALSE))</f>
        <v>91</v>
      </c>
      <c r="M41">
        <f ca="1">IF(AND(ISNUMBER($M$126),$B$102=1),$M$126,HLOOKUP(INDIRECT(ADDRESS(2,COLUMN())),OFFSET($U$2,0,0,ROW()-1,15),ROW()-1,FALSE))</f>
        <v>80</v>
      </c>
      <c r="N41">
        <f ca="1">IF(AND(ISNUMBER($N$126),$B$102=1),$N$126,HLOOKUP(INDIRECT(ADDRESS(2,COLUMN())),OFFSET($U$2,0,0,ROW()-1,15),ROW()-1,FALSE))</f>
        <v>73</v>
      </c>
      <c r="O41">
        <f ca="1">IF(AND(ISNUMBER($O$126),$B$102=1),$O$126,HLOOKUP(INDIRECT(ADDRESS(2,COLUMN())),OFFSET($U$2,0,0,ROW()-1,15),ROW()-1,FALSE))</f>
        <v>73</v>
      </c>
      <c r="P41">
        <f ca="1">IF(AND(ISNUMBER($P$126),$B$102=1),$P$126,HLOOKUP(INDIRECT(ADDRESS(2,COLUMN())),OFFSET($U$2,0,0,ROW()-1,15),ROW()-1,FALSE))</f>
        <v>59</v>
      </c>
      <c r="Q41">
        <f ca="1">IF(AND(ISNUMBER($Q$126),$B$102=1),$Q$126,HLOOKUP(INDIRECT(ADDRESS(2,COLUMN())),OFFSET($U$2,0,0,ROW()-1,15),ROW()-1,FALSE))</f>
        <v>59</v>
      </c>
      <c r="R41">
        <f ca="1">IF(AND(ISNUMBER($R$126),$B$102=1),$R$126,HLOOKUP(INDIRECT(ADDRESS(2,COLUMN())),OFFSET($U$2,0,0,ROW()-1,15),ROW()-1,FALSE))</f>
        <v>47</v>
      </c>
      <c r="S41">
        <f ca="1">IF(AND(ISNUMBER($S$126),$B$102=1),$S$126,HLOOKUP(INDIRECT(ADDRESS(2,COLUMN())),OFFSET($U$2,0,0,ROW()-1,15),ROW()-1,FALSE))</f>
        <v>36</v>
      </c>
      <c r="T41">
        <f ca="1">IF(AND(ISNUMBER($T$126),$B$102=1),$T$126,HLOOKUP(INDIRECT(ADDRESS(2,COLUMN())),OFFSET($U$2,0,0,ROW()-1,15),ROW()-1,FALSE))</f>
        <v>26</v>
      </c>
      <c r="U41" t="str">
        <f>""</f>
        <v/>
      </c>
      <c r="V41" t="str">
        <f>""</f>
        <v/>
      </c>
      <c r="W41">
        <f>105</f>
        <v>105</v>
      </c>
      <c r="X41">
        <f>91</f>
        <v>91</v>
      </c>
      <c r="Y41">
        <f>88</f>
        <v>88</v>
      </c>
      <c r="Z41">
        <f>83</f>
        <v>83</v>
      </c>
      <c r="AA41">
        <f>91</f>
        <v>91</v>
      </c>
      <c r="AB41">
        <f>80</f>
        <v>80</v>
      </c>
      <c r="AC41">
        <f>73</f>
        <v>73</v>
      </c>
      <c r="AD41">
        <f>73</f>
        <v>73</v>
      </c>
      <c r="AE41">
        <f>59</f>
        <v>59</v>
      </c>
      <c r="AF41">
        <f>59</f>
        <v>59</v>
      </c>
      <c r="AG41">
        <f>47</f>
        <v>47</v>
      </c>
      <c r="AH41">
        <f>36</f>
        <v>36</v>
      </c>
      <c r="AI41">
        <f>26</f>
        <v>26</v>
      </c>
    </row>
    <row r="42" spans="1:35" x14ac:dyDescent="0.25">
      <c r="A42" t="str">
        <f>"            $50+ Million"</f>
        <v xml:space="preserve">            $50+ Million</v>
      </c>
      <c r="B42" t="str">
        <f t="shared" si="9"/>
        <v>INFO IN Equity</v>
      </c>
      <c r="C42" t="str">
        <f>"M0016"</f>
        <v>M0016</v>
      </c>
      <c r="D42" t="str">
        <f>"NUM_CLIENTS_50MM_TO_100MM"</f>
        <v>NUM_CLIENTS_50MM_TO_100MM</v>
      </c>
      <c r="E42" t="str">
        <f t="shared" si="10"/>
        <v>Dynamic</v>
      </c>
      <c r="F42">
        <f ca="1">IF(AND(ISNUMBER($F$127),$B$102=1),$F$127,HLOOKUP(INDIRECT(ADDRESS(2,COLUMN())),OFFSET($U$2,0,0,ROW()-1,15),ROW()-1,FALSE))</f>
        <v>61</v>
      </c>
      <c r="G42">
        <f ca="1">IF(AND(ISNUMBER($G$127),$B$102=1),$G$127,HLOOKUP(INDIRECT(ADDRESS(2,COLUMN())),OFFSET($U$2,0,0,ROW()-1,15),ROW()-1,FALSE))</f>
        <v>60</v>
      </c>
      <c r="H42">
        <f ca="1">IF(AND(ISNUMBER($H$127),$B$102=1),$H$127,HLOOKUP(INDIRECT(ADDRESS(2,COLUMN())),OFFSET($U$2,0,0,ROW()-1,15),ROW()-1,FALSE))</f>
        <v>92</v>
      </c>
      <c r="I42">
        <f ca="1">IF(AND(ISNUMBER($I$127),$B$102=1),$I$127,HLOOKUP(INDIRECT(ADDRESS(2,COLUMN())),OFFSET($U$2,0,0,ROW()-1,15),ROW()-1,FALSE))</f>
        <v>87</v>
      </c>
      <c r="J42">
        <f ca="1">IF(AND(ISNUMBER($J$127),$B$102=1),$J$127,HLOOKUP(INDIRECT(ADDRESS(2,COLUMN())),OFFSET($U$2,0,0,ROW()-1,15),ROW()-1,FALSE))</f>
        <v>83</v>
      </c>
      <c r="K42">
        <f ca="1">IF(AND(ISNUMBER($K$127),$B$102=1),$K$127,HLOOKUP(INDIRECT(ADDRESS(2,COLUMN())),OFFSET($U$2,0,0,ROW()-1,15),ROW()-1,FALSE))</f>
        <v>76</v>
      </c>
      <c r="L42">
        <f ca="1">IF(AND(ISNUMBER($L$127),$B$102=1),$L$127,HLOOKUP(INDIRECT(ADDRESS(2,COLUMN())),OFFSET($U$2,0,0,ROW()-1,15),ROW()-1,FALSE))</f>
        <v>147</v>
      </c>
      <c r="M42">
        <f ca="1">IF(AND(ISNUMBER($M$127),$B$102=1),$M$127,HLOOKUP(INDIRECT(ADDRESS(2,COLUMN())),OFFSET($U$2,0,0,ROW()-1,15),ROW()-1,FALSE))</f>
        <v>137</v>
      </c>
      <c r="N42">
        <f ca="1">IF(AND(ISNUMBER($N$127),$B$102=1),$N$127,HLOOKUP(INDIRECT(ADDRESS(2,COLUMN())),OFFSET($U$2,0,0,ROW()-1,15),ROW()-1,FALSE))</f>
        <v>97</v>
      </c>
      <c r="O42">
        <f ca="1">IF(AND(ISNUMBER($O$127),$B$102=1),$O$127,HLOOKUP(INDIRECT(ADDRESS(2,COLUMN())),OFFSET($U$2,0,0,ROW()-1,15),ROW()-1,FALSE))</f>
        <v>97</v>
      </c>
      <c r="P42">
        <f ca="1">IF(AND(ISNUMBER($P$127),$B$102=1),$P$127,HLOOKUP(INDIRECT(ADDRESS(2,COLUMN())),OFFSET($U$2,0,0,ROW()-1,15),ROW()-1,FALSE))</f>
        <v>72</v>
      </c>
      <c r="Q42">
        <f ca="1">IF(AND(ISNUMBER($Q$127),$B$102=1),$Q$127,HLOOKUP(INDIRECT(ADDRESS(2,COLUMN())),OFFSET($U$2,0,0,ROW()-1,15),ROW()-1,FALSE))</f>
        <v>65</v>
      </c>
      <c r="R42">
        <f ca="1">IF(AND(ISNUMBER($R$127),$B$102=1),$R$127,HLOOKUP(INDIRECT(ADDRESS(2,COLUMN())),OFFSET($U$2,0,0,ROW()-1,15),ROW()-1,FALSE))</f>
        <v>41</v>
      </c>
      <c r="S42">
        <f ca="1">IF(AND(ISNUMBER($S$127),$B$102=1),$S$127,HLOOKUP(INDIRECT(ADDRESS(2,COLUMN())),OFFSET($U$2,0,0,ROW()-1,15),ROW()-1,FALSE))</f>
        <v>28</v>
      </c>
      <c r="T42">
        <f ca="1">IF(AND(ISNUMBER($T$127),$B$102=1),$T$127,HLOOKUP(INDIRECT(ADDRESS(2,COLUMN())),OFFSET($U$2,0,0,ROW()-1,15),ROW()-1,FALSE))</f>
        <v>14</v>
      </c>
      <c r="U42">
        <f>61</f>
        <v>61</v>
      </c>
      <c r="V42">
        <f>60</f>
        <v>60</v>
      </c>
      <c r="W42">
        <f>92</f>
        <v>92</v>
      </c>
      <c r="X42">
        <f>87</f>
        <v>87</v>
      </c>
      <c r="Y42">
        <f>83</f>
        <v>83</v>
      </c>
      <c r="Z42">
        <f>76</f>
        <v>76</v>
      </c>
      <c r="AA42">
        <f>147</f>
        <v>147</v>
      </c>
      <c r="AB42">
        <f>137</f>
        <v>137</v>
      </c>
      <c r="AC42">
        <f>97</f>
        <v>97</v>
      </c>
      <c r="AD42">
        <f>97</f>
        <v>97</v>
      </c>
      <c r="AE42">
        <f>72</f>
        <v>72</v>
      </c>
      <c r="AF42">
        <f>65</f>
        <v>65</v>
      </c>
      <c r="AG42">
        <f>41</f>
        <v>41</v>
      </c>
      <c r="AH42">
        <f>28</f>
        <v>28</v>
      </c>
      <c r="AI42">
        <f>14</f>
        <v>14</v>
      </c>
    </row>
    <row r="43" spans="1:35" x14ac:dyDescent="0.25">
      <c r="A43" t="str">
        <f>"            $100+ Million"</f>
        <v xml:space="preserve">            $100+ Million</v>
      </c>
      <c r="B43" t="str">
        <f t="shared" si="9"/>
        <v>INFO IN Equity</v>
      </c>
      <c r="C43" t="str">
        <f>"M0017"</f>
        <v>M0017</v>
      </c>
      <c r="D43" t="str">
        <f>"NUM_OF_CLIENTS_OVER_100MM"</f>
        <v>NUM_OF_CLIENTS_OVER_100MM</v>
      </c>
      <c r="E43" t="str">
        <f t="shared" si="10"/>
        <v>Dynamic</v>
      </c>
      <c r="F43">
        <f ca="1">IF(AND(ISNUMBER($F$128),$B$102=1),$F$128,HLOOKUP(INDIRECT(ADDRESS(2,COLUMN())),OFFSET($U$2,0,0,ROW()-1,15),ROW()-1,FALSE))</f>
        <v>28</v>
      </c>
      <c r="G43">
        <f ca="1">IF(AND(ISNUMBER($G$128),$B$102=1),$G$128,HLOOKUP(INDIRECT(ADDRESS(2,COLUMN())),OFFSET($U$2,0,0,ROW()-1,15),ROW()-1,FALSE))</f>
        <v>25</v>
      </c>
      <c r="H43">
        <f ca="1">IF(AND(ISNUMBER($H$128),$B$102=1),$H$128,HLOOKUP(INDIRECT(ADDRESS(2,COLUMN())),OFFSET($U$2,0,0,ROW()-1,15),ROW()-1,FALSE))</f>
        <v>20</v>
      </c>
      <c r="I43">
        <f ca="1">IF(AND(ISNUMBER($I$128),$B$102=1),$I$128,HLOOKUP(INDIRECT(ADDRESS(2,COLUMN())),OFFSET($U$2,0,0,ROW()-1,15),ROW()-1,FALSE))</f>
        <v>26</v>
      </c>
      <c r="J43">
        <f ca="1">IF(AND(ISNUMBER($J$128),$B$102=1),$J$128,HLOOKUP(INDIRECT(ADDRESS(2,COLUMN())),OFFSET($U$2,0,0,ROW()-1,15),ROW()-1,FALSE))</f>
        <v>21</v>
      </c>
      <c r="K43">
        <f ca="1">IF(AND(ISNUMBER($K$128),$B$102=1),$K$128,HLOOKUP(INDIRECT(ADDRESS(2,COLUMN())),OFFSET($U$2,0,0,ROW()-1,15),ROW()-1,FALSE))</f>
        <v>19</v>
      </c>
      <c r="L43">
        <f ca="1">IF(AND(ISNUMBER($L$128),$B$102=1),$L$128,HLOOKUP(INDIRECT(ADDRESS(2,COLUMN())),OFFSET($U$2,0,0,ROW()-1,15),ROW()-1,FALSE))</f>
        <v>17</v>
      </c>
      <c r="M43">
        <f ca="1">IF(AND(ISNUMBER($M$128),$B$102=1),$M$128,HLOOKUP(INDIRECT(ADDRESS(2,COLUMN())),OFFSET($U$2,0,0,ROW()-1,15),ROW()-1,FALSE))</f>
        <v>15</v>
      </c>
      <c r="N43">
        <f ca="1">IF(AND(ISNUMBER($N$128),$B$102=1),$N$128,HLOOKUP(INDIRECT(ADDRESS(2,COLUMN())),OFFSET($U$2,0,0,ROW()-1,15),ROW()-1,FALSE))</f>
        <v>13</v>
      </c>
      <c r="O43">
        <f ca="1">IF(AND(ISNUMBER($O$128),$B$102=1),$O$128,HLOOKUP(INDIRECT(ADDRESS(2,COLUMN())),OFFSET($U$2,0,0,ROW()-1,15),ROW()-1,FALSE))</f>
        <v>13</v>
      </c>
      <c r="P43">
        <f ca="1">IF(AND(ISNUMBER($P$128),$B$102=1),$P$128,HLOOKUP(INDIRECT(ADDRESS(2,COLUMN())),OFFSET($U$2,0,0,ROW()-1,15),ROW()-1,FALSE))</f>
        <v>7</v>
      </c>
      <c r="Q43">
        <f ca="1">IF(AND(ISNUMBER($Q$128),$B$102=1),$Q$128,HLOOKUP(INDIRECT(ADDRESS(2,COLUMN())),OFFSET($U$2,0,0,ROW()-1,15),ROW()-1,FALSE))</f>
        <v>6</v>
      </c>
      <c r="R43">
        <f ca="1">IF(AND(ISNUMBER($R$128),$B$102=1),$R$128,HLOOKUP(INDIRECT(ADDRESS(2,COLUMN())),OFFSET($U$2,0,0,ROW()-1,15),ROW()-1,FALSE))</f>
        <v>8</v>
      </c>
      <c r="S43">
        <f ca="1">IF(AND(ISNUMBER($S$128),$B$102=1),$S$128,HLOOKUP(INDIRECT(ADDRESS(2,COLUMN())),OFFSET($U$2,0,0,ROW()-1,15),ROW()-1,FALSE))</f>
        <v>4</v>
      </c>
      <c r="T43">
        <f ca="1">IF(AND(ISNUMBER($T$128),$B$102=1),$T$128,HLOOKUP(INDIRECT(ADDRESS(2,COLUMN())),OFFSET($U$2,0,0,ROW()-1,15),ROW()-1,FALSE))</f>
        <v>0</v>
      </c>
      <c r="U43">
        <f>28</f>
        <v>28</v>
      </c>
      <c r="V43">
        <f>25</f>
        <v>25</v>
      </c>
      <c r="W43">
        <f>20</f>
        <v>20</v>
      </c>
      <c r="X43">
        <f>26</f>
        <v>26</v>
      </c>
      <c r="Y43">
        <f>21</f>
        <v>21</v>
      </c>
      <c r="Z43">
        <f>19</f>
        <v>19</v>
      </c>
      <c r="AA43">
        <f>17</f>
        <v>17</v>
      </c>
      <c r="AB43">
        <f>15</f>
        <v>15</v>
      </c>
      <c r="AC43">
        <f>13</f>
        <v>13</v>
      </c>
      <c r="AD43">
        <f>13</f>
        <v>13</v>
      </c>
      <c r="AE43">
        <f>7</f>
        <v>7</v>
      </c>
      <c r="AF43">
        <f>6</f>
        <v>6</v>
      </c>
      <c r="AG43">
        <f>8</f>
        <v>8</v>
      </c>
      <c r="AH43">
        <f>4</f>
        <v>4</v>
      </c>
      <c r="AI43">
        <f>0</f>
        <v>0</v>
      </c>
    </row>
    <row r="44" spans="1:35" x14ac:dyDescent="0.25">
      <c r="A44" t="str">
        <f>"        Client Contribution to Revenue (%)"</f>
        <v xml:space="preserve">        Client Contribution to Revenue (%)</v>
      </c>
      <c r="B44" t="str">
        <f>""</f>
        <v/>
      </c>
      <c r="E44" t="str">
        <f>"Static"</f>
        <v>Static</v>
      </c>
      <c r="F44" t="str">
        <f t="shared" ref="F44:T44" ca="1" si="11">HLOOKUP(INDIRECT(ADDRESS(2,COLUMN())),OFFSET($U$2,0,0,ROW()-1,15),ROW()-1,FALSE)</f>
        <v/>
      </c>
      <c r="G44" t="str">
        <f t="shared" ca="1" si="11"/>
        <v/>
      </c>
      <c r="H44" t="str">
        <f t="shared" ca="1" si="11"/>
        <v/>
      </c>
      <c r="I44" t="str">
        <f t="shared" ca="1" si="11"/>
        <v/>
      </c>
      <c r="J44" t="str">
        <f t="shared" ca="1" si="11"/>
        <v/>
      </c>
      <c r="K44" t="str">
        <f t="shared" ca="1" si="11"/>
        <v/>
      </c>
      <c r="L44" t="str">
        <f t="shared" ca="1" si="11"/>
        <v/>
      </c>
      <c r="M44" t="str">
        <f t="shared" ca="1" si="11"/>
        <v/>
      </c>
      <c r="N44" t="str">
        <f t="shared" ca="1" si="11"/>
        <v/>
      </c>
      <c r="O44" t="str">
        <f t="shared" ca="1" si="11"/>
        <v/>
      </c>
      <c r="P44" t="str">
        <f t="shared" ca="1" si="11"/>
        <v/>
      </c>
      <c r="Q44" t="str">
        <f t="shared" ca="1" si="11"/>
        <v/>
      </c>
      <c r="R44" t="str">
        <f t="shared" ca="1" si="11"/>
        <v/>
      </c>
      <c r="S44" t="str">
        <f t="shared" ca="1" si="11"/>
        <v/>
      </c>
      <c r="T44" t="str">
        <f t="shared" ca="1" si="11"/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t="str">
        <f>""</f>
        <v/>
      </c>
      <c r="AC44" t="str">
        <f>""</f>
        <v/>
      </c>
      <c r="AD44" t="str">
        <f>""</f>
        <v/>
      </c>
      <c r="AE44" t="str">
        <f>""</f>
        <v/>
      </c>
      <c r="AF44" t="str">
        <f>""</f>
        <v/>
      </c>
      <c r="AG44" t="str">
        <f>""</f>
        <v/>
      </c>
      <c r="AH44" t="str">
        <f>""</f>
        <v/>
      </c>
      <c r="AI44" t="str">
        <f>""</f>
        <v/>
      </c>
    </row>
    <row r="45" spans="1:35" x14ac:dyDescent="0.25">
      <c r="A45" t="str">
        <f>"            Top Client"</f>
        <v xml:space="preserve">            Top Client</v>
      </c>
      <c r="B45" t="str">
        <f>"INFO IN Equity"</f>
        <v>INFO IN Equity</v>
      </c>
      <c r="C45" t="str">
        <f>"M0018"</f>
        <v>M0018</v>
      </c>
      <c r="D45" t="str">
        <f>"TOP_CLIENTS_CONTRIB_TO_REVENUE"</f>
        <v>TOP_CLIENTS_CONTRIB_TO_REVENUE</v>
      </c>
      <c r="E45" t="str">
        <f>"Dynamic"</f>
        <v>Dynamic</v>
      </c>
      <c r="F45">
        <f ca="1">IF(AND(ISNUMBER($F$129),$B$102=1),$F$129,HLOOKUP(INDIRECT(ADDRESS(2,COLUMN())),OFFSET($U$2,0,0,ROW()-1,15),ROW()-1,FALSE))</f>
        <v>3.1</v>
      </c>
      <c r="G45" t="str">
        <f ca="1">IF(AND(ISNUMBER($G$129),$B$102=1),$G$129,HLOOKUP(INDIRECT(ADDRESS(2,COLUMN())),OFFSET($U$2,0,0,ROW()-1,15),ROW()-1,FALSE))</f>
        <v/>
      </c>
      <c r="H45">
        <f ca="1">IF(AND(ISNUMBER($H$129),$B$102=1),$H$129,HLOOKUP(INDIRECT(ADDRESS(2,COLUMN())),OFFSET($U$2,0,0,ROW()-1,15),ROW()-1,FALSE))</f>
        <v>3.4</v>
      </c>
      <c r="I45">
        <f ca="1">IF(AND(ISNUMBER($I$129),$B$102=1),$I$129,HLOOKUP(INDIRECT(ADDRESS(2,COLUMN())),OFFSET($U$2,0,0,ROW()-1,15),ROW()-1,FALSE))</f>
        <v>3.4</v>
      </c>
      <c r="J45">
        <f ca="1">IF(AND(ISNUMBER($J$129),$B$102=1),$J$129,HLOOKUP(INDIRECT(ADDRESS(2,COLUMN())),OFFSET($U$2,0,0,ROW()-1,15),ROW()-1,FALSE))</f>
        <v>3.6</v>
      </c>
      <c r="K45">
        <f ca="1">IF(AND(ISNUMBER($K$129),$B$102=1),$K$129,HLOOKUP(INDIRECT(ADDRESS(2,COLUMN())),OFFSET($U$2,0,0,ROW()-1,15),ROW()-1,FALSE))</f>
        <v>3.3</v>
      </c>
      <c r="L45">
        <f ca="1">IF(AND(ISNUMBER($L$129),$B$102=1),$L$129,HLOOKUP(INDIRECT(ADDRESS(2,COLUMN())),OFFSET($U$2,0,0,ROW()-1,15),ROW()-1,FALSE))</f>
        <v>3.8</v>
      </c>
      <c r="M45">
        <f ca="1">IF(AND(ISNUMBER($M$129),$B$102=1),$M$129,HLOOKUP(INDIRECT(ADDRESS(2,COLUMN())),OFFSET($U$2,0,0,ROW()-1,15),ROW()-1,FALSE))</f>
        <v>3.8</v>
      </c>
      <c r="N45">
        <f ca="1">IF(AND(ISNUMBER($N$129),$B$102=1),$N$129,HLOOKUP(INDIRECT(ADDRESS(2,COLUMN())),OFFSET($U$2,0,0,ROW()-1,15),ROW()-1,FALSE))</f>
        <v>4.7</v>
      </c>
      <c r="O45">
        <f ca="1">IF(AND(ISNUMBER($O$129),$B$102=1),$O$129,HLOOKUP(INDIRECT(ADDRESS(2,COLUMN())),OFFSET($U$2,0,0,ROW()-1,15),ROW()-1,FALSE))</f>
        <v>4.7</v>
      </c>
      <c r="P45">
        <f ca="1">IF(AND(ISNUMBER($P$129),$B$102=1),$P$129,HLOOKUP(INDIRECT(ADDRESS(2,COLUMN())),OFFSET($U$2,0,0,ROW()-1,15),ROW()-1,FALSE))</f>
        <v>4.5999999999999996</v>
      </c>
      <c r="Q45">
        <f ca="1">IF(AND(ISNUMBER($Q$129),$B$102=1),$Q$129,HLOOKUP(INDIRECT(ADDRESS(2,COLUMN())),OFFSET($U$2,0,0,ROW()-1,15),ROW()-1,FALSE))</f>
        <v>6.9</v>
      </c>
      <c r="R45">
        <f ca="1">IF(AND(ISNUMBER($R$129),$B$102=1),$R$129,HLOOKUP(INDIRECT(ADDRESS(2,COLUMN())),OFFSET($U$2,0,0,ROW()-1,15),ROW()-1,FALSE))</f>
        <v>9.1</v>
      </c>
      <c r="S45">
        <f ca="1">IF(AND(ISNUMBER($S$129),$B$102=1),$S$129,HLOOKUP(INDIRECT(ADDRESS(2,COLUMN())),OFFSET($U$2,0,0,ROW()-1,15),ROW()-1,FALSE))</f>
        <v>8.5</v>
      </c>
      <c r="T45">
        <f ca="1">IF(AND(ISNUMBER($T$129),$B$102=1),$T$129,HLOOKUP(INDIRECT(ADDRESS(2,COLUMN())),OFFSET($U$2,0,0,ROW()-1,15),ROW()-1,FALSE))</f>
        <v>4.7</v>
      </c>
      <c r="U45">
        <f>3.1</f>
        <v>3.1</v>
      </c>
      <c r="V45" t="str">
        <f>""</f>
        <v/>
      </c>
      <c r="W45">
        <f>3.4</f>
        <v>3.4</v>
      </c>
      <c r="X45">
        <f>3.4</f>
        <v>3.4</v>
      </c>
      <c r="Y45">
        <f>3.6</f>
        <v>3.6</v>
      </c>
      <c r="Z45">
        <f>3.3</f>
        <v>3.3</v>
      </c>
      <c r="AA45">
        <f>3.8</f>
        <v>3.8</v>
      </c>
      <c r="AB45">
        <f>3.8</f>
        <v>3.8</v>
      </c>
      <c r="AC45">
        <f>4.7</f>
        <v>4.7</v>
      </c>
      <c r="AD45">
        <f>4.7</f>
        <v>4.7</v>
      </c>
      <c r="AE45">
        <f>4.6</f>
        <v>4.5999999999999996</v>
      </c>
      <c r="AF45">
        <f>6.9</f>
        <v>6.9</v>
      </c>
      <c r="AG45">
        <f>9.1</f>
        <v>9.1</v>
      </c>
      <c r="AH45">
        <f>8.5</f>
        <v>8.5</v>
      </c>
      <c r="AI45">
        <f>4.7</f>
        <v>4.7</v>
      </c>
    </row>
    <row r="46" spans="1:35" x14ac:dyDescent="0.25">
      <c r="A46" t="str">
        <f>"            Top 10 Clients"</f>
        <v xml:space="preserve">            Top 10 Clients</v>
      </c>
      <c r="B46" t="str">
        <f>"INFO IN Equity"</f>
        <v>INFO IN Equity</v>
      </c>
      <c r="C46" t="str">
        <f>"M0020"</f>
        <v>M0020</v>
      </c>
      <c r="D46" t="str">
        <f>"TOP_10_CLIENTS_CONTRIB_TO_REV"</f>
        <v>TOP_10_CLIENTS_CONTRIB_TO_REV</v>
      </c>
      <c r="E46" t="str">
        <f>"Dynamic"</f>
        <v>Dynamic</v>
      </c>
      <c r="F46" t="str">
        <f ca="1">IF(AND(ISNUMBER($F$130),$B$102=1),$F$130,HLOOKUP(INDIRECT(ADDRESS(2,COLUMN())),OFFSET($U$2,0,0,ROW()-1,15),ROW()-1,FALSE))</f>
        <v/>
      </c>
      <c r="G46" t="str">
        <f ca="1">IF(AND(ISNUMBER($G$130),$B$102=1),$G$130,HLOOKUP(INDIRECT(ADDRESS(2,COLUMN())),OFFSET($U$2,0,0,ROW()-1,15),ROW()-1,FALSE))</f>
        <v/>
      </c>
      <c r="H46">
        <f ca="1">IF(AND(ISNUMBER($H$130),$B$102=1),$H$130,HLOOKUP(INDIRECT(ADDRESS(2,COLUMN())),OFFSET($U$2,0,0,ROW()-1,15),ROW()-1,FALSE))</f>
        <v>19.3</v>
      </c>
      <c r="I46">
        <f ca="1">IF(AND(ISNUMBER($I$130),$B$102=1),$I$130,HLOOKUP(INDIRECT(ADDRESS(2,COLUMN())),OFFSET($U$2,0,0,ROW()-1,15),ROW()-1,FALSE))</f>
        <v>21</v>
      </c>
      <c r="J46">
        <f ca="1">IF(AND(ISNUMBER($J$130),$B$102=1),$J$130,HLOOKUP(INDIRECT(ADDRESS(2,COLUMN())),OFFSET($U$2,0,0,ROW()-1,15),ROW()-1,FALSE))</f>
        <v>22.5</v>
      </c>
      <c r="K46">
        <f ca="1">IF(AND(ISNUMBER($K$130),$B$102=1),$K$130,HLOOKUP(INDIRECT(ADDRESS(2,COLUMN())),OFFSET($U$2,0,0,ROW()-1,15),ROW()-1,FALSE))</f>
        <v>22.7</v>
      </c>
      <c r="L46">
        <f ca="1">IF(AND(ISNUMBER($L$130),$B$102=1),$L$130,HLOOKUP(INDIRECT(ADDRESS(2,COLUMN())),OFFSET($U$2,0,0,ROW()-1,15),ROW()-1,FALSE))</f>
        <v>23.8</v>
      </c>
      <c r="M46">
        <f ca="1">IF(AND(ISNUMBER($M$130),$B$102=1),$M$130,HLOOKUP(INDIRECT(ADDRESS(2,COLUMN())),OFFSET($U$2,0,0,ROW()-1,15),ROW()-1,FALSE))</f>
        <v>24.6</v>
      </c>
      <c r="N46">
        <f ca="1">IF(AND(ISNUMBER($N$130),$B$102=1),$N$130,HLOOKUP(INDIRECT(ADDRESS(2,COLUMN())),OFFSET($U$2,0,0,ROW()-1,15),ROW()-1,FALSE))</f>
        <v>25.7</v>
      </c>
      <c r="O46">
        <f ca="1">IF(AND(ISNUMBER($O$130),$B$102=1),$O$130,HLOOKUP(INDIRECT(ADDRESS(2,COLUMN())),OFFSET($U$2,0,0,ROW()-1,15),ROW()-1,FALSE))</f>
        <v>25.7</v>
      </c>
      <c r="P46">
        <f ca="1">IF(AND(ISNUMBER($P$130),$B$102=1),$P$130,HLOOKUP(INDIRECT(ADDRESS(2,COLUMN())),OFFSET($U$2,0,0,ROW()-1,15),ROW()-1,FALSE))</f>
        <v>26.2</v>
      </c>
      <c r="Q46">
        <f ca="1">IF(AND(ISNUMBER($Q$130),$B$102=1),$Q$130,HLOOKUP(INDIRECT(ADDRESS(2,COLUMN())),OFFSET($U$2,0,0,ROW()-1,15),ROW()-1,FALSE))</f>
        <v>27.7</v>
      </c>
      <c r="R46">
        <f ca="1">IF(AND(ISNUMBER($R$130),$B$102=1),$R$130,HLOOKUP(INDIRECT(ADDRESS(2,COLUMN())),OFFSET($U$2,0,0,ROW()-1,15),ROW()-1,FALSE))</f>
        <v>31.4</v>
      </c>
      <c r="S46">
        <f ca="1">IF(AND(ISNUMBER($S$130),$B$102=1),$S$130,HLOOKUP(INDIRECT(ADDRESS(2,COLUMN())),OFFSET($U$2,0,0,ROW()-1,15),ROW()-1,FALSE))</f>
        <v>33.4</v>
      </c>
      <c r="T46">
        <f ca="1">IF(AND(ISNUMBER($T$130),$B$102=1),$T$130,HLOOKUP(INDIRECT(ADDRESS(2,COLUMN())),OFFSET($U$2,0,0,ROW()-1,15),ROW()-1,FALSE))</f>
        <v>31</v>
      </c>
      <c r="U46" t="str">
        <f>""</f>
        <v/>
      </c>
      <c r="V46" t="str">
        <f>""</f>
        <v/>
      </c>
      <c r="W46">
        <f>19.3</f>
        <v>19.3</v>
      </c>
      <c r="X46">
        <f>21</f>
        <v>21</v>
      </c>
      <c r="Y46">
        <f>22.5</f>
        <v>22.5</v>
      </c>
      <c r="Z46">
        <f>22.7</f>
        <v>22.7</v>
      </c>
      <c r="AA46">
        <f>23.8</f>
        <v>23.8</v>
      </c>
      <c r="AB46">
        <f>24.6</f>
        <v>24.6</v>
      </c>
      <c r="AC46">
        <f>25.7</f>
        <v>25.7</v>
      </c>
      <c r="AD46">
        <f>25.7</f>
        <v>25.7</v>
      </c>
      <c r="AE46">
        <f>26.2</f>
        <v>26.2</v>
      </c>
      <c r="AF46">
        <f>27.7</f>
        <v>27.7</v>
      </c>
      <c r="AG46">
        <f>31.4</f>
        <v>31.4</v>
      </c>
      <c r="AH46">
        <f>33.4</f>
        <v>33.4</v>
      </c>
      <c r="AI46">
        <f>31</f>
        <v>31</v>
      </c>
    </row>
    <row r="47" spans="1:35" x14ac:dyDescent="0.25">
      <c r="A47" t="str">
        <f>"            Top 25 Clients"</f>
        <v xml:space="preserve">            Top 25 Clients</v>
      </c>
      <c r="B47" t="str">
        <f>"INFO IN Equity"</f>
        <v>INFO IN Equity</v>
      </c>
      <c r="C47" t="str">
        <f>"M1145"</f>
        <v>M1145</v>
      </c>
      <c r="D47" t="str">
        <f>"TOP_TWENTY_FIVE_CLIENTS_CONT_REV"</f>
        <v>TOP_TWENTY_FIVE_CLIENTS_CONT_REV</v>
      </c>
      <c r="E47" t="str">
        <f>"Dynamic"</f>
        <v>Dynamic</v>
      </c>
      <c r="F47">
        <f ca="1">IF(AND(ISNUMBER($F$131),$B$102=1),$F$131,HLOOKUP(INDIRECT(ADDRESS(2,COLUMN())),OFFSET($U$2,0,0,ROW()-1,15),ROW()-1,FALSE))</f>
        <v>18.7</v>
      </c>
      <c r="G47" t="str">
        <f ca="1">IF(AND(ISNUMBER($G$131),$B$102=1),$G$131,HLOOKUP(INDIRECT(ADDRESS(2,COLUMN())),OFFSET($U$2,0,0,ROW()-1,15),ROW()-1,FALSE))</f>
        <v/>
      </c>
      <c r="H47">
        <f ca="1">IF(AND(ISNUMBER($H$131),$B$102=1),$H$131,HLOOKUP(INDIRECT(ADDRESS(2,COLUMN())),OFFSET($U$2,0,0,ROW()-1,15),ROW()-1,FALSE))</f>
        <v>35.4</v>
      </c>
      <c r="I47" t="str">
        <f ca="1">IF(AND(ISNUMBER($I$131),$B$102=1),$I$131,HLOOKUP(INDIRECT(ADDRESS(2,COLUMN())),OFFSET($U$2,0,0,ROW()-1,15),ROW()-1,FALSE))</f>
        <v/>
      </c>
      <c r="J47" t="str">
        <f ca="1">IF(AND(ISNUMBER($J$131),$B$102=1),$J$131,HLOOKUP(INDIRECT(ADDRESS(2,COLUMN())),OFFSET($U$2,0,0,ROW()-1,15),ROW()-1,FALSE))</f>
        <v/>
      </c>
      <c r="K47" t="str">
        <f ca="1">IF(AND(ISNUMBER($K$131),$B$102=1),$K$131,HLOOKUP(INDIRECT(ADDRESS(2,COLUMN())),OFFSET($U$2,0,0,ROW()-1,15),ROW()-1,FALSE))</f>
        <v/>
      </c>
      <c r="L47" t="str">
        <f ca="1">IF(AND(ISNUMBER($L$131),$B$102=1),$L$131,HLOOKUP(INDIRECT(ADDRESS(2,COLUMN())),OFFSET($U$2,0,0,ROW()-1,15),ROW()-1,FALSE))</f>
        <v/>
      </c>
      <c r="M47" t="str">
        <f ca="1">IF(AND(ISNUMBER($M$131),$B$102=1),$M$131,HLOOKUP(INDIRECT(ADDRESS(2,COLUMN())),OFFSET($U$2,0,0,ROW()-1,15),ROW()-1,FALSE))</f>
        <v/>
      </c>
      <c r="N47" t="str">
        <f ca="1">IF(AND(ISNUMBER($N$131),$B$102=1),$N$131,HLOOKUP(INDIRECT(ADDRESS(2,COLUMN())),OFFSET($U$2,0,0,ROW()-1,15),ROW()-1,FALSE))</f>
        <v/>
      </c>
      <c r="O47" t="str">
        <f ca="1">IF(AND(ISNUMBER($O$131),$B$102=1),$O$131,HLOOKUP(INDIRECT(ADDRESS(2,COLUMN())),OFFSET($U$2,0,0,ROW()-1,15),ROW()-1,FALSE))</f>
        <v/>
      </c>
      <c r="P47" t="str">
        <f ca="1">IF(AND(ISNUMBER($P$131),$B$102=1),$P$131,HLOOKUP(INDIRECT(ADDRESS(2,COLUMN())),OFFSET($U$2,0,0,ROW()-1,15),ROW()-1,FALSE))</f>
        <v/>
      </c>
      <c r="Q47" t="str">
        <f ca="1">IF(AND(ISNUMBER($Q$131),$B$102=1),$Q$131,HLOOKUP(INDIRECT(ADDRESS(2,COLUMN())),OFFSET($U$2,0,0,ROW()-1,15),ROW()-1,FALSE))</f>
        <v/>
      </c>
      <c r="R47" t="str">
        <f ca="1">IF(AND(ISNUMBER($R$131),$B$102=1),$R$131,HLOOKUP(INDIRECT(ADDRESS(2,COLUMN())),OFFSET($U$2,0,0,ROW()-1,15),ROW()-1,FALSE))</f>
        <v/>
      </c>
      <c r="S47" t="str">
        <f ca="1">IF(AND(ISNUMBER($S$131),$B$102=1),$S$131,HLOOKUP(INDIRECT(ADDRESS(2,COLUMN())),OFFSET($U$2,0,0,ROW()-1,15),ROW()-1,FALSE))</f>
        <v/>
      </c>
      <c r="T47" t="str">
        <f ca="1">IF(AND(ISNUMBER($T$131),$B$102=1),$T$131,HLOOKUP(INDIRECT(ADDRESS(2,COLUMN())),OFFSET($U$2,0,0,ROW()-1,15),ROW()-1,FALSE))</f>
        <v/>
      </c>
      <c r="U47">
        <f>18.7</f>
        <v>18.7</v>
      </c>
      <c r="V47" t="str">
        <f>""</f>
        <v/>
      </c>
      <c r="W47">
        <f>35.4</f>
        <v>35.4</v>
      </c>
      <c r="X47" t="str">
        <f>""</f>
        <v/>
      </c>
      <c r="Y47" t="str">
        <f>""</f>
        <v/>
      </c>
      <c r="Z47" t="str">
        <f>""</f>
        <v/>
      </c>
      <c r="AA47" t="str">
        <f>""</f>
        <v/>
      </c>
      <c r="AB47" t="str">
        <f>""</f>
        <v/>
      </c>
      <c r="AC47" t="str">
        <f>""</f>
        <v/>
      </c>
      <c r="AD47" t="str">
        <f>""</f>
        <v/>
      </c>
      <c r="AE47" t="str">
        <f>""</f>
        <v/>
      </c>
      <c r="AF47" t="str">
        <f>""</f>
        <v/>
      </c>
      <c r="AG47" t="str">
        <f>""</f>
        <v/>
      </c>
      <c r="AH47" t="str">
        <f>""</f>
        <v/>
      </c>
      <c r="AI47" t="str">
        <f>""</f>
        <v/>
      </c>
    </row>
    <row r="48" spans="1:35" x14ac:dyDescent="0.25">
      <c r="A48" t="str">
        <f>""</f>
        <v/>
      </c>
      <c r="B48" t="str">
        <f>""</f>
        <v/>
      </c>
      <c r="E48" t="str">
        <f>"Static"</f>
        <v>Static</v>
      </c>
      <c r="F48" t="str">
        <f t="shared" ref="F48:T48" ca="1" si="12">HLOOKUP(INDIRECT(ADDRESS(2,COLUMN())),OFFSET($U$2,0,0,ROW()-1,15),ROW()-1,FALSE)</f>
        <v/>
      </c>
      <c r="G48" t="str">
        <f t="shared" ca="1" si="12"/>
        <v/>
      </c>
      <c r="H48" t="str">
        <f t="shared" ca="1" si="12"/>
        <v/>
      </c>
      <c r="I48" t="str">
        <f t="shared" ca="1" si="12"/>
        <v/>
      </c>
      <c r="J48" t="str">
        <f t="shared" ca="1" si="12"/>
        <v/>
      </c>
      <c r="K48" t="str">
        <f t="shared" ca="1" si="12"/>
        <v/>
      </c>
      <c r="L48" t="str">
        <f t="shared" ca="1" si="12"/>
        <v/>
      </c>
      <c r="M48" t="str">
        <f t="shared" ca="1" si="12"/>
        <v/>
      </c>
      <c r="N48" t="str">
        <f t="shared" ca="1" si="12"/>
        <v/>
      </c>
      <c r="O48" t="str">
        <f t="shared" ca="1" si="12"/>
        <v/>
      </c>
      <c r="P48" t="str">
        <f t="shared" ca="1" si="12"/>
        <v/>
      </c>
      <c r="Q48" t="str">
        <f t="shared" ca="1" si="12"/>
        <v/>
      </c>
      <c r="R48" t="str">
        <f t="shared" ca="1" si="12"/>
        <v/>
      </c>
      <c r="S48" t="str">
        <f t="shared" ca="1" si="12"/>
        <v/>
      </c>
      <c r="T48" t="str">
        <f t="shared" ca="1" si="12"/>
        <v/>
      </c>
      <c r="U48" t="str">
        <f>""</f>
        <v/>
      </c>
      <c r="V48" t="str">
        <f>""</f>
        <v/>
      </c>
      <c r="W48" t="str">
        <f>""</f>
        <v/>
      </c>
      <c r="X48" t="str">
        <f>""</f>
        <v/>
      </c>
      <c r="Y48" t="str">
        <f>""</f>
        <v/>
      </c>
      <c r="Z48" t="str">
        <f>""</f>
        <v/>
      </c>
      <c r="AA48" t="str">
        <f>""</f>
        <v/>
      </c>
      <c r="AB48" t="str">
        <f>""</f>
        <v/>
      </c>
      <c r="AC48" t="str">
        <f>""</f>
        <v/>
      </c>
      <c r="AD48" t="str">
        <f>""</f>
        <v/>
      </c>
      <c r="AE48" t="str">
        <f>""</f>
        <v/>
      </c>
      <c r="AF48" t="str">
        <f>""</f>
        <v/>
      </c>
      <c r="AG48" t="str">
        <f>""</f>
        <v/>
      </c>
      <c r="AH48" t="str">
        <f>""</f>
        <v/>
      </c>
      <c r="AI48" t="str">
        <f>""</f>
        <v/>
      </c>
    </row>
    <row r="49" spans="1:35" x14ac:dyDescent="0.25">
      <c r="A49" t="str">
        <f>"End Market Breakdown"</f>
        <v>End Market Breakdown</v>
      </c>
      <c r="B49" t="str">
        <f>""</f>
        <v/>
      </c>
      <c r="E49" t="str">
        <f>"Heading"</f>
        <v>Heading</v>
      </c>
      <c r="U49" t="str">
        <f>""</f>
        <v/>
      </c>
      <c r="V49" t="str">
        <f>""</f>
        <v/>
      </c>
      <c r="W49" t="str">
        <f>""</f>
        <v/>
      </c>
      <c r="X49" t="str">
        <f>""</f>
        <v/>
      </c>
      <c r="Y49" t="str">
        <f>""</f>
        <v/>
      </c>
      <c r="Z49" t="str">
        <f>""</f>
        <v/>
      </c>
      <c r="AA49" t="str">
        <f>""</f>
        <v/>
      </c>
      <c r="AB49" t="str">
        <f>""</f>
        <v/>
      </c>
      <c r="AC49" t="str">
        <f>""</f>
        <v/>
      </c>
      <c r="AD49" t="str">
        <f>""</f>
        <v/>
      </c>
      <c r="AE49" t="str">
        <f>""</f>
        <v/>
      </c>
      <c r="AF49" t="str">
        <f>""</f>
        <v/>
      </c>
      <c r="AG49" t="str">
        <f>""</f>
        <v/>
      </c>
      <c r="AH49" t="str">
        <f>""</f>
        <v/>
      </c>
      <c r="AI49" t="str">
        <f>""</f>
        <v/>
      </c>
    </row>
    <row r="50" spans="1:35" x14ac:dyDescent="0.25">
      <c r="A50" t="str">
        <f>"    "</f>
        <v xml:space="preserve">    </v>
      </c>
      <c r="B50" t="str">
        <f>""</f>
        <v/>
      </c>
      <c r="E50" t="str">
        <f>"Static"</f>
        <v>Static</v>
      </c>
      <c r="F50" t="str">
        <f t="shared" ref="F50:T51" ca="1" si="13">HLOOKUP(INDIRECT(ADDRESS(2,COLUMN())),OFFSET($U$2,0,0,ROW()-1,15),ROW()-1,FALSE)</f>
        <v/>
      </c>
      <c r="G50" t="str">
        <f t="shared" ca="1" si="13"/>
        <v/>
      </c>
      <c r="H50" t="str">
        <f t="shared" ca="1" si="13"/>
        <v/>
      </c>
      <c r="I50" t="str">
        <f t="shared" ca="1" si="13"/>
        <v/>
      </c>
      <c r="J50" t="str">
        <f t="shared" ca="1" si="13"/>
        <v/>
      </c>
      <c r="K50" t="str">
        <f t="shared" ca="1" si="13"/>
        <v/>
      </c>
      <c r="L50" t="str">
        <f t="shared" ca="1" si="13"/>
        <v/>
      </c>
      <c r="M50" t="str">
        <f t="shared" ca="1" si="13"/>
        <v/>
      </c>
      <c r="N50" t="str">
        <f t="shared" ca="1" si="13"/>
        <v/>
      </c>
      <c r="O50" t="str">
        <f t="shared" ca="1" si="13"/>
        <v/>
      </c>
      <c r="P50" t="str">
        <f t="shared" ca="1" si="13"/>
        <v/>
      </c>
      <c r="Q50" t="str">
        <f t="shared" ca="1" si="13"/>
        <v/>
      </c>
      <c r="R50" t="str">
        <f t="shared" ca="1" si="13"/>
        <v/>
      </c>
      <c r="S50" t="str">
        <f t="shared" ca="1" si="13"/>
        <v/>
      </c>
      <c r="T50" t="str">
        <f t="shared" ca="1" si="13"/>
        <v/>
      </c>
      <c r="U50" t="str">
        <f>""</f>
        <v/>
      </c>
      <c r="V50" t="str">
        <f>""</f>
        <v/>
      </c>
      <c r="W50" t="str">
        <f>""</f>
        <v/>
      </c>
      <c r="X50" t="str">
        <f>""</f>
        <v/>
      </c>
      <c r="Y50" t="str">
        <f>""</f>
        <v/>
      </c>
      <c r="Z50" t="str">
        <f>""</f>
        <v/>
      </c>
      <c r="AA50" t="str">
        <f>""</f>
        <v/>
      </c>
      <c r="AB50" t="str">
        <f>""</f>
        <v/>
      </c>
      <c r="AC50" t="str">
        <f>""</f>
        <v/>
      </c>
      <c r="AD50" t="str">
        <f>""</f>
        <v/>
      </c>
      <c r="AE50" t="str">
        <f>""</f>
        <v/>
      </c>
      <c r="AF50" t="str">
        <f>""</f>
        <v/>
      </c>
      <c r="AG50" t="str">
        <f>""</f>
        <v/>
      </c>
      <c r="AH50" t="str">
        <f>""</f>
        <v/>
      </c>
      <c r="AI50" t="str">
        <f>""</f>
        <v/>
      </c>
    </row>
    <row r="51" spans="1:35" x14ac:dyDescent="0.25">
      <c r="A51" t="str">
        <f>"    Financial Services"</f>
        <v xml:space="preserve">    Financial Services</v>
      </c>
      <c r="B51" t="str">
        <f>""</f>
        <v/>
      </c>
      <c r="E51" t="str">
        <f>"Static"</f>
        <v>Static</v>
      </c>
      <c r="F51" t="str">
        <f t="shared" ca="1" si="13"/>
        <v/>
      </c>
      <c r="G51" t="str">
        <f t="shared" ca="1" si="13"/>
        <v/>
      </c>
      <c r="H51" t="str">
        <f t="shared" ca="1" si="13"/>
        <v/>
      </c>
      <c r="I51" t="str">
        <f t="shared" ca="1" si="13"/>
        <v/>
      </c>
      <c r="J51" t="str">
        <f t="shared" ca="1" si="13"/>
        <v/>
      </c>
      <c r="K51" t="str">
        <f t="shared" ca="1" si="13"/>
        <v/>
      </c>
      <c r="L51" t="str">
        <f t="shared" ca="1" si="13"/>
        <v/>
      </c>
      <c r="M51" t="str">
        <f t="shared" ca="1" si="13"/>
        <v/>
      </c>
      <c r="N51" t="str">
        <f t="shared" ca="1" si="13"/>
        <v/>
      </c>
      <c r="O51" t="str">
        <f t="shared" ca="1" si="13"/>
        <v/>
      </c>
      <c r="P51" t="str">
        <f t="shared" ca="1" si="13"/>
        <v/>
      </c>
      <c r="Q51" t="str">
        <f t="shared" ca="1" si="13"/>
        <v/>
      </c>
      <c r="R51" t="str">
        <f t="shared" ca="1" si="13"/>
        <v/>
      </c>
      <c r="S51" t="str">
        <f t="shared" ca="1" si="13"/>
        <v/>
      </c>
      <c r="T51" t="str">
        <f t="shared" ca="1" si="13"/>
        <v/>
      </c>
      <c r="U51" t="str">
        <f>""</f>
        <v/>
      </c>
      <c r="V51" t="str">
        <f>""</f>
        <v/>
      </c>
      <c r="W51" t="str">
        <f>""</f>
        <v/>
      </c>
      <c r="X51" t="str">
        <f>""</f>
        <v/>
      </c>
      <c r="Y51" t="str">
        <f>""</f>
        <v/>
      </c>
      <c r="Z51" t="str">
        <f>""</f>
        <v/>
      </c>
      <c r="AA51" t="str">
        <f>""</f>
        <v/>
      </c>
      <c r="AB51" t="str">
        <f>""</f>
        <v/>
      </c>
      <c r="AC51" t="str">
        <f>""</f>
        <v/>
      </c>
      <c r="AD51" t="str">
        <f>""</f>
        <v/>
      </c>
      <c r="AE51" t="str">
        <f>""</f>
        <v/>
      </c>
      <c r="AF51" t="str">
        <f>""</f>
        <v/>
      </c>
      <c r="AG51" t="str">
        <f>""</f>
        <v/>
      </c>
      <c r="AH51" t="str">
        <f>""</f>
        <v/>
      </c>
      <c r="AI51" t="str">
        <f>""</f>
        <v/>
      </c>
    </row>
    <row r="52" spans="1:35" x14ac:dyDescent="0.25">
      <c r="A52" t="str">
        <f>"        Revenue"</f>
        <v xml:space="preserve">        Revenue</v>
      </c>
      <c r="B52" t="str">
        <f>"INFY US Equity"</f>
        <v>INFY US Equity</v>
      </c>
      <c r="C52" t="str">
        <f>"BI047"</f>
        <v>BI047</v>
      </c>
      <c r="D52" t="str">
        <f>"BICS_SEGMENT_DATA"</f>
        <v>BICS_SEGMENT_DATA</v>
      </c>
      <c r="E52" t="str">
        <f>"Dynamic"</f>
        <v>Dynamic</v>
      </c>
      <c r="F52">
        <f ca="1">IF(AND(ISNUMBER($F$132),$B$102=1),$F$132,HLOOKUP(INDIRECT(ADDRESS(2,COLUMN())),OFFSET($U$2,0,0,ROW()-1,15),ROW()-1,FALSE))</f>
        <v>4038.8402160000001</v>
      </c>
      <c r="G52">
        <f ca="1">IF(AND(ISNUMBER($G$132),$B$102=1),$G$132,HLOOKUP(INDIRECT(ADDRESS(2,COLUMN())),OFFSET($U$2,0,0,ROW()-1,15),ROW()-1,FALSE))</f>
        <v>3787.9628699999998</v>
      </c>
      <c r="H52">
        <f ca="1">IF(AND(ISNUMBER($H$132),$B$102=1),$H$132,HLOOKUP(INDIRECT(ADDRESS(2,COLUMN())),OFFSET($U$2,0,0,ROW()-1,15),ROW()-1,FALSE))</f>
        <v>2891.019714</v>
      </c>
      <c r="I52">
        <f ca="1">IF(AND(ISNUMBER($I$132),$B$102=1),$I$132,HLOOKUP(INDIRECT(ADDRESS(2,COLUMN())),OFFSET($U$2,0,0,ROW()-1,15),ROW()-1,FALSE))</f>
        <v>2767.727738</v>
      </c>
      <c r="J52">
        <f ca="1">IF(AND(ISNUMBER($J$132),$B$102=1),$J$132,HLOOKUP(INDIRECT(ADDRESS(2,COLUMN())),OFFSET($U$2,0,0,ROW()-1,15),ROW()-1,FALSE))</f>
        <v>2602.9808969999999</v>
      </c>
      <c r="K52" t="str">
        <f ca="1">IF(AND(ISNUMBER($K$132),$B$102=1),$K$132,HLOOKUP(INDIRECT(ADDRESS(2,COLUMN())),OFFSET($U$2,0,0,ROW()-1,15),ROW()-1,FALSE))</f>
        <v/>
      </c>
      <c r="L52" t="str">
        <f ca="1">IF(AND(ISNUMBER($L$132),$B$102=1),$L$132,HLOOKUP(INDIRECT(ADDRESS(2,COLUMN())),OFFSET($U$2,0,0,ROW()-1,15),ROW()-1,FALSE))</f>
        <v/>
      </c>
      <c r="M52" t="str">
        <f ca="1">IF(AND(ISNUMBER($M$132),$B$102=1),$M$132,HLOOKUP(INDIRECT(ADDRESS(2,COLUMN())),OFFSET($U$2,0,0,ROW()-1,15),ROW()-1,FALSE))</f>
        <v/>
      </c>
      <c r="N52" t="str">
        <f ca="1">IF(AND(ISNUMBER($N$132),$B$102=1),$N$132,HLOOKUP(INDIRECT(ADDRESS(2,COLUMN())),OFFSET($U$2,0,0,ROW()-1,15),ROW()-1,FALSE))</f>
        <v/>
      </c>
      <c r="O52" t="str">
        <f ca="1">IF(AND(ISNUMBER($O$132),$B$102=1),$O$132,HLOOKUP(INDIRECT(ADDRESS(2,COLUMN())),OFFSET($U$2,0,0,ROW()-1,15),ROW()-1,FALSE))</f>
        <v/>
      </c>
      <c r="P52">
        <f ca="1">IF(AND(ISNUMBER($P$132),$B$102=1),$P$132,HLOOKUP(INDIRECT(ADDRESS(2,COLUMN())),OFFSET($U$2,0,0,ROW()-1,15),ROW()-1,FALSE))</f>
        <v>1632.056423</v>
      </c>
      <c r="Q52">
        <f ca="1">IF(AND(ISNUMBER($Q$132),$B$102=1),$Q$132,HLOOKUP(INDIRECT(ADDRESS(2,COLUMN())),OFFSET($U$2,0,0,ROW()-1,15),ROW()-1,FALSE))</f>
        <v>1611.658195</v>
      </c>
      <c r="R52">
        <f ca="1">IF(AND(ISNUMBER($R$132),$B$102=1),$R$132,HLOOKUP(INDIRECT(ADDRESS(2,COLUMN())),OFFSET($U$2,0,0,ROW()-1,15),ROW()-1,FALSE))</f>
        <v>1484.8735509999999</v>
      </c>
      <c r="S52">
        <f ca="1">IF(AND(ISNUMBER($S$132),$B$102=1),$S$132,HLOOKUP(INDIRECT(ADDRESS(2,COLUMN())),OFFSET($U$2,0,0,ROW()-1,15),ROW()-1,FALSE))</f>
        <v>1151.50865</v>
      </c>
      <c r="T52">
        <f ca="1">IF(AND(ISNUMBER($T$132),$B$102=1),$T$132,HLOOKUP(INDIRECT(ADDRESS(2,COLUMN())),OFFSET($U$2,0,0,ROW()-1,15),ROW()-1,FALSE))</f>
        <v>774.37764570000002</v>
      </c>
      <c r="U52">
        <f>4038.840216</f>
        <v>4038.8402160000001</v>
      </c>
      <c r="V52">
        <f>3787.96287</f>
        <v>3787.9628699999998</v>
      </c>
      <c r="W52">
        <f>2891.019714</f>
        <v>2891.019714</v>
      </c>
      <c r="X52">
        <f>2767.727738</f>
        <v>2767.727738</v>
      </c>
      <c r="Y52">
        <f>2602.980897</f>
        <v>2602.9808969999999</v>
      </c>
      <c r="Z52" t="str">
        <f>""</f>
        <v/>
      </c>
      <c r="AA52" t="str">
        <f>""</f>
        <v/>
      </c>
      <c r="AB52" t="str">
        <f>""</f>
        <v/>
      </c>
      <c r="AC52" t="str">
        <f>""</f>
        <v/>
      </c>
      <c r="AD52" t="str">
        <f>""</f>
        <v/>
      </c>
      <c r="AE52">
        <f>1632.056423</f>
        <v>1632.056423</v>
      </c>
      <c r="AF52">
        <f>1611.658195</f>
        <v>1611.658195</v>
      </c>
      <c r="AG52">
        <f>1484.873551</f>
        <v>1484.8735509999999</v>
      </c>
      <c r="AH52">
        <f>1151.50865</f>
        <v>1151.50865</v>
      </c>
      <c r="AI52">
        <f>774.3776457</f>
        <v>774.37764570000002</v>
      </c>
    </row>
    <row r="53" spans="1:35" x14ac:dyDescent="0.25">
      <c r="A53" t="str">
        <f>"        Operating Income"</f>
        <v xml:space="preserve">        Operating Income</v>
      </c>
      <c r="B53" t="str">
        <f>"INFY US Equity"</f>
        <v>INFY US Equity</v>
      </c>
      <c r="C53" t="str">
        <f>"BI047"</f>
        <v>BI047</v>
      </c>
      <c r="D53" t="str">
        <f>"BICS_SEGMENT_DATA"</f>
        <v>BICS_SEGMENT_DATA</v>
      </c>
      <c r="E53" t="str">
        <f>"Dynamic"</f>
        <v>Dynamic</v>
      </c>
      <c r="F53">
        <f ca="1">IF(AND(ISNUMBER($F$133),$B$102=1),$F$133,HLOOKUP(INDIRECT(ADDRESS(2,COLUMN())),OFFSET($U$2,0,0,ROW()-1,15),ROW()-1,FALSE))</f>
        <v>1030.839009</v>
      </c>
      <c r="G53">
        <f ca="1">IF(AND(ISNUMBER($G$133),$B$102=1),$G$133,HLOOKUP(INDIRECT(ADDRESS(2,COLUMN())),OFFSET($U$2,0,0,ROW()-1,15),ROW()-1,FALSE))</f>
        <v>984.00908790000005</v>
      </c>
      <c r="H53">
        <f ca="1">IF(AND(ISNUMBER($H$133),$B$102=1),$H$133,HLOOKUP(INDIRECT(ADDRESS(2,COLUMN())),OFFSET($U$2,0,0,ROW()-1,15),ROW()-1,FALSE))</f>
        <v>807.67998980000004</v>
      </c>
      <c r="I53">
        <f ca="1">IF(AND(ISNUMBER($I$133),$B$102=1),$I$133,HLOOKUP(INDIRECT(ADDRESS(2,COLUMN())),OFFSET($U$2,0,0,ROW()-1,15),ROW()-1,FALSE))</f>
        <v>776.99238960000002</v>
      </c>
      <c r="J53">
        <f ca="1">IF(AND(ISNUMBER($J$133),$B$102=1),$J$133,HLOOKUP(INDIRECT(ADDRESS(2,COLUMN())),OFFSET($U$2,0,0,ROW()-1,15),ROW()-1,FALSE))</f>
        <v>739.88631099999998</v>
      </c>
      <c r="K53" t="str">
        <f ca="1">IF(AND(ISNUMBER($K$133),$B$102=1),$K$133,HLOOKUP(INDIRECT(ADDRESS(2,COLUMN())),OFFSET($U$2,0,0,ROW()-1,15),ROW()-1,FALSE))</f>
        <v/>
      </c>
      <c r="L53" t="str">
        <f ca="1">IF(AND(ISNUMBER($L$133),$B$102=1),$L$133,HLOOKUP(INDIRECT(ADDRESS(2,COLUMN())),OFFSET($U$2,0,0,ROW()-1,15),ROW()-1,FALSE))</f>
        <v/>
      </c>
      <c r="M53" t="str">
        <f ca="1">IF(AND(ISNUMBER($M$133),$B$102=1),$M$133,HLOOKUP(INDIRECT(ADDRESS(2,COLUMN())),OFFSET($U$2,0,0,ROW()-1,15),ROW()-1,FALSE))</f>
        <v/>
      </c>
      <c r="N53" t="str">
        <f ca="1">IF(AND(ISNUMBER($N$133),$B$102=1),$N$133,HLOOKUP(INDIRECT(ADDRESS(2,COLUMN())),OFFSET($U$2,0,0,ROW()-1,15),ROW()-1,FALSE))</f>
        <v/>
      </c>
      <c r="O53" t="str">
        <f ca="1">IF(AND(ISNUMBER($O$133),$B$102=1),$O$133,HLOOKUP(INDIRECT(ADDRESS(2,COLUMN())),OFFSET($U$2,0,0,ROW()-1,15),ROW()-1,FALSE))</f>
        <v/>
      </c>
      <c r="P53">
        <f ca="1">IF(AND(ISNUMBER($P$133),$B$102=1),$P$133,HLOOKUP(INDIRECT(ADDRESS(2,COLUMN())),OFFSET($U$2,0,0,ROW()-1,15),ROW()-1,FALSE))</f>
        <v>572.0958359</v>
      </c>
      <c r="Q53">
        <f ca="1">IF(AND(ISNUMBER($Q$133),$B$102=1),$Q$133,HLOOKUP(INDIRECT(ADDRESS(2,COLUMN())),OFFSET($U$2,0,0,ROW()-1,15),ROW()-1,FALSE))</f>
        <v>519.98865920000003</v>
      </c>
      <c r="R53">
        <f ca="1">IF(AND(ISNUMBER($R$133),$B$102=1),$R$133,HLOOKUP(INDIRECT(ADDRESS(2,COLUMN())),OFFSET($U$2,0,0,ROW()-1,15),ROW()-1,FALSE))</f>
        <v>458.49076170000001</v>
      </c>
      <c r="S53">
        <f ca="1">IF(AND(ISNUMBER($S$133),$B$102=1),$S$133,HLOOKUP(INDIRECT(ADDRESS(2,COLUMN())),OFFSET($U$2,0,0,ROW()-1,15),ROW()-1,FALSE))</f>
        <v>345.73997489999999</v>
      </c>
      <c r="T53">
        <f ca="1">IF(AND(ISNUMBER($T$133),$B$102=1),$T$133,HLOOKUP(INDIRECT(ADDRESS(2,COLUMN())),OFFSET($U$2,0,0,ROW()-1,15),ROW()-1,FALSE))</f>
        <v>242.6850282</v>
      </c>
      <c r="U53">
        <f>1030.839009</f>
        <v>1030.839009</v>
      </c>
      <c r="V53">
        <f>984.0090879</f>
        <v>984.00908790000005</v>
      </c>
      <c r="W53">
        <f>807.6799898</f>
        <v>807.67998980000004</v>
      </c>
      <c r="X53">
        <f>776.9923896</f>
        <v>776.99238960000002</v>
      </c>
      <c r="Y53">
        <f>739.886311</f>
        <v>739.88631099999998</v>
      </c>
      <c r="Z53" t="str">
        <f>""</f>
        <v/>
      </c>
      <c r="AA53" t="str">
        <f>""</f>
        <v/>
      </c>
      <c r="AB53" t="str">
        <f>""</f>
        <v/>
      </c>
      <c r="AC53" t="str">
        <f>""</f>
        <v/>
      </c>
      <c r="AD53" t="str">
        <f>""</f>
        <v/>
      </c>
      <c r="AE53">
        <f>572.0958359</f>
        <v>572.0958359</v>
      </c>
      <c r="AF53">
        <f>519.9886592</f>
        <v>519.98865920000003</v>
      </c>
      <c r="AG53">
        <f>458.4907617</f>
        <v>458.49076170000001</v>
      </c>
      <c r="AH53">
        <f>345.7399749</f>
        <v>345.73997489999999</v>
      </c>
      <c r="AI53">
        <f>242.6850282</f>
        <v>242.6850282</v>
      </c>
    </row>
    <row r="54" spans="1:35" x14ac:dyDescent="0.25">
      <c r="A54" t="str">
        <f>"    Retail"</f>
        <v xml:space="preserve">    Retail</v>
      </c>
      <c r="B54" t="str">
        <f>""</f>
        <v/>
      </c>
      <c r="E54" t="str">
        <f>"Static"</f>
        <v>Static</v>
      </c>
      <c r="F54" t="str">
        <f t="shared" ref="F54:T54" ca="1" si="14">HLOOKUP(INDIRECT(ADDRESS(2,COLUMN())),OFFSET($U$2,0,0,ROW()-1,15),ROW()-1,FALSE)</f>
        <v/>
      </c>
      <c r="G54" t="str">
        <f t="shared" ca="1" si="14"/>
        <v/>
      </c>
      <c r="H54" t="str">
        <f t="shared" ca="1" si="14"/>
        <v/>
      </c>
      <c r="I54" t="str">
        <f t="shared" ca="1" si="14"/>
        <v/>
      </c>
      <c r="J54" t="str">
        <f t="shared" ca="1" si="14"/>
        <v/>
      </c>
      <c r="K54" t="str">
        <f t="shared" ca="1" si="14"/>
        <v/>
      </c>
      <c r="L54" t="str">
        <f t="shared" ca="1" si="14"/>
        <v/>
      </c>
      <c r="M54" t="str">
        <f t="shared" ca="1" si="14"/>
        <v/>
      </c>
      <c r="N54" t="str">
        <f t="shared" ca="1" si="14"/>
        <v/>
      </c>
      <c r="O54" t="str">
        <f t="shared" ca="1" si="14"/>
        <v/>
      </c>
      <c r="P54" t="str">
        <f t="shared" ca="1" si="14"/>
        <v/>
      </c>
      <c r="Q54" t="str">
        <f t="shared" ca="1" si="14"/>
        <v/>
      </c>
      <c r="R54" t="str">
        <f t="shared" ca="1" si="14"/>
        <v/>
      </c>
      <c r="S54" t="str">
        <f t="shared" ca="1" si="14"/>
        <v/>
      </c>
      <c r="T54" t="str">
        <f t="shared" ca="1" si="14"/>
        <v/>
      </c>
      <c r="U54" t="str">
        <f>""</f>
        <v/>
      </c>
      <c r="V54" t="str">
        <f>""</f>
        <v/>
      </c>
      <c r="W54" t="str">
        <f>""</f>
        <v/>
      </c>
      <c r="X54" t="str">
        <f>""</f>
        <v/>
      </c>
      <c r="Y54" t="str">
        <f>""</f>
        <v/>
      </c>
      <c r="Z54" t="str">
        <f>""</f>
        <v/>
      </c>
      <c r="AA54" t="str">
        <f>""</f>
        <v/>
      </c>
      <c r="AB54" t="str">
        <f>""</f>
        <v/>
      </c>
      <c r="AC54" t="str">
        <f>""</f>
        <v/>
      </c>
      <c r="AD54" t="str">
        <f>""</f>
        <v/>
      </c>
      <c r="AE54" t="str">
        <f>""</f>
        <v/>
      </c>
      <c r="AF54" t="str">
        <f>""</f>
        <v/>
      </c>
      <c r="AG54" t="str">
        <f>""</f>
        <v/>
      </c>
      <c r="AH54" t="str">
        <f>""</f>
        <v/>
      </c>
      <c r="AI54" t="str">
        <f>""</f>
        <v/>
      </c>
    </row>
    <row r="55" spans="1:35" x14ac:dyDescent="0.25">
      <c r="A55" t="str">
        <f>"        Revenue"</f>
        <v xml:space="preserve">        Revenue</v>
      </c>
      <c r="B55" t="str">
        <f>"INFY US Equity"</f>
        <v>INFY US Equity</v>
      </c>
      <c r="C55" t="str">
        <f>"BI047"</f>
        <v>BI047</v>
      </c>
      <c r="D55" t="str">
        <f>"BICS_SEGMENT_DATA"</f>
        <v>BICS_SEGMENT_DATA</v>
      </c>
      <c r="E55" t="str">
        <f>"Dynamic"</f>
        <v>Dynamic</v>
      </c>
      <c r="F55">
        <f ca="1">IF(AND(ISNUMBER($F$134),$B$102=1),$F$134,HLOOKUP(INDIRECT(ADDRESS(2,COLUMN())),OFFSET($U$2,0,0,ROW()-1,15),ROW()-1,FALSE))</f>
        <v>1980.266286</v>
      </c>
      <c r="G55">
        <f ca="1">IF(AND(ISNUMBER($G$134),$B$102=1),$G$134,HLOOKUP(INDIRECT(ADDRESS(2,COLUMN())),OFFSET($U$2,0,0,ROW()-1,15),ROW()-1,FALSE))</f>
        <v>1939.404943</v>
      </c>
      <c r="H55">
        <f ca="1">IF(AND(ISNUMBER($H$134),$B$102=1),$H$134,HLOOKUP(INDIRECT(ADDRESS(2,COLUMN())),OFFSET($U$2,0,0,ROW()-1,15),ROW()-1,FALSE))</f>
        <v>1722.3888240000001</v>
      </c>
      <c r="I55">
        <f ca="1">IF(AND(ISNUMBER($I$134),$B$102=1),$I$134,HLOOKUP(INDIRECT(ADDRESS(2,COLUMN())),OFFSET($U$2,0,0,ROW()-1,15),ROW()-1,FALSE))</f>
        <v>1674.35968</v>
      </c>
      <c r="J55">
        <f ca="1">IF(AND(ISNUMBER($J$134),$B$102=1),$J$134,HLOOKUP(INDIRECT(ADDRESS(2,COLUMN())),OFFSET($U$2,0,0,ROW()-1,15),ROW()-1,FALSE))</f>
        <v>1563.5621860000001</v>
      </c>
      <c r="K55">
        <f ca="1">IF(AND(ISNUMBER($K$134),$B$102=1),$K$134,HLOOKUP(INDIRECT(ADDRESS(2,COLUMN())),OFFSET($U$2,0,0,ROW()-1,15),ROW()-1,FALSE))</f>
        <v>1418.254921</v>
      </c>
      <c r="L55">
        <f ca="1">IF(AND(ISNUMBER($L$134),$B$102=1),$L$134,HLOOKUP(INDIRECT(ADDRESS(2,COLUMN())),OFFSET($U$2,0,0,ROW()-1,15),ROW()-1,FALSE))</f>
        <v>1382.2965320000001</v>
      </c>
      <c r="M55">
        <f ca="1">IF(AND(ISNUMBER($M$134),$B$102=1),$M$134,HLOOKUP(INDIRECT(ADDRESS(2,COLUMN())),OFFSET($U$2,0,0,ROW()-1,15),ROW()-1,FALSE))</f>
        <v>1775.4161079999999</v>
      </c>
      <c r="N55">
        <f ca="1">IF(AND(ISNUMBER($N$134),$B$102=1),$N$134,HLOOKUP(INDIRECT(ADDRESS(2,COLUMN())),OFFSET($U$2,0,0,ROW()-1,15),ROW()-1,FALSE))</f>
        <v>1620.542381</v>
      </c>
      <c r="O55">
        <f ca="1">IF(AND(ISNUMBER($O$134),$B$102=1),$O$134,HLOOKUP(INDIRECT(ADDRESS(2,COLUMN())),OFFSET($U$2,0,0,ROW()-1,15),ROW()-1,FALSE))</f>
        <v>1236.4507599999999</v>
      </c>
      <c r="P55" t="str">
        <f ca="1">IF(AND(ISNUMBER($P$134),$B$102=1),$P$134,HLOOKUP(INDIRECT(ADDRESS(2,COLUMN())),OFFSET($U$2,0,0,ROW()-1,15),ROW()-1,FALSE))</f>
        <v/>
      </c>
      <c r="Q55" t="str">
        <f ca="1">IF(AND(ISNUMBER($Q$134),$B$102=1),$Q$134,HLOOKUP(INDIRECT(ADDRESS(2,COLUMN())),OFFSET($U$2,0,0,ROW()-1,15),ROW()-1,FALSE))</f>
        <v/>
      </c>
      <c r="R55" t="str">
        <f ca="1">IF(AND(ISNUMBER($R$134),$B$102=1),$R$134,HLOOKUP(INDIRECT(ADDRESS(2,COLUMN())),OFFSET($U$2,0,0,ROW()-1,15),ROW()-1,FALSE))</f>
        <v/>
      </c>
      <c r="S55" t="str">
        <f ca="1">IF(AND(ISNUMBER($S$134),$B$102=1),$S$134,HLOOKUP(INDIRECT(ADDRESS(2,COLUMN())),OFFSET($U$2,0,0,ROW()-1,15),ROW()-1,FALSE))</f>
        <v/>
      </c>
      <c r="T55" t="str">
        <f ca="1">IF(AND(ISNUMBER($T$134),$B$102=1),$T$134,HLOOKUP(INDIRECT(ADDRESS(2,COLUMN())),OFFSET($U$2,0,0,ROW()-1,15),ROW()-1,FALSE))</f>
        <v/>
      </c>
      <c r="U55">
        <f>1980.266286</f>
        <v>1980.266286</v>
      </c>
      <c r="V55">
        <f>1939.404943</f>
        <v>1939.404943</v>
      </c>
      <c r="W55">
        <f>1722.388824</f>
        <v>1722.3888240000001</v>
      </c>
      <c r="X55">
        <f>1674.35968</f>
        <v>1674.35968</v>
      </c>
      <c r="Y55">
        <f>1563.562186</f>
        <v>1563.5621860000001</v>
      </c>
      <c r="Z55">
        <f>1418.254921</f>
        <v>1418.254921</v>
      </c>
      <c r="AA55">
        <f>1382.296532</f>
        <v>1382.2965320000001</v>
      </c>
      <c r="AB55">
        <f>1775.416108</f>
        <v>1775.4161079999999</v>
      </c>
      <c r="AC55">
        <f>1620.542381</f>
        <v>1620.542381</v>
      </c>
      <c r="AD55">
        <f>1236.45076</f>
        <v>1236.4507599999999</v>
      </c>
      <c r="AE55" t="str">
        <f>""</f>
        <v/>
      </c>
      <c r="AF55" t="str">
        <f>""</f>
        <v/>
      </c>
      <c r="AG55" t="str">
        <f>""</f>
        <v/>
      </c>
      <c r="AH55" t="str">
        <f>""</f>
        <v/>
      </c>
      <c r="AI55" t="str">
        <f>""</f>
        <v/>
      </c>
    </row>
    <row r="56" spans="1:35" x14ac:dyDescent="0.25">
      <c r="A56" t="str">
        <f>"        Operating Income"</f>
        <v xml:space="preserve">        Operating Income</v>
      </c>
      <c r="B56" t="str">
        <f>"INFY US Equity"</f>
        <v>INFY US Equity</v>
      </c>
      <c r="C56" t="str">
        <f>"BI047"</f>
        <v>BI047</v>
      </c>
      <c r="D56" t="str">
        <f>"BICS_SEGMENT_DATA"</f>
        <v>BICS_SEGMENT_DATA</v>
      </c>
      <c r="E56" t="str">
        <f>"Dynamic"</f>
        <v>Dynamic</v>
      </c>
      <c r="F56">
        <f ca="1">IF(AND(ISNUMBER($F$135),$B$102=1),$F$135,HLOOKUP(INDIRECT(ADDRESS(2,COLUMN())),OFFSET($U$2,0,0,ROW()-1,15),ROW()-1,FALSE))</f>
        <v>594.29152810000005</v>
      </c>
      <c r="G56">
        <f ca="1">IF(AND(ISNUMBER($G$135),$B$102=1),$G$135,HLOOKUP(INDIRECT(ADDRESS(2,COLUMN())),OFFSET($U$2,0,0,ROW()-1,15),ROW()-1,FALSE))</f>
        <v>577.12891260000004</v>
      </c>
      <c r="H56">
        <f ca="1">IF(AND(ISNUMBER($H$135),$B$102=1),$H$135,HLOOKUP(INDIRECT(ADDRESS(2,COLUMN())),OFFSET($U$2,0,0,ROW()-1,15),ROW()-1,FALSE))</f>
        <v>503.96625449999999</v>
      </c>
      <c r="I56">
        <f ca="1">IF(AND(ISNUMBER($I$135),$B$102=1),$I$135,HLOOKUP(INDIRECT(ADDRESS(2,COLUMN())),OFFSET($U$2,0,0,ROW()-1,15),ROW()-1,FALSE))</f>
        <v>484.63203570000002</v>
      </c>
      <c r="J56">
        <f ca="1">IF(AND(ISNUMBER($J$135),$B$102=1),$J$135,HLOOKUP(INDIRECT(ADDRESS(2,COLUMN())),OFFSET($U$2,0,0,ROW()-1,15),ROW()-1,FALSE))</f>
        <v>434.23788450000001</v>
      </c>
      <c r="K56">
        <f ca="1">IF(AND(ISNUMBER($K$135),$B$102=1),$K$135,HLOOKUP(INDIRECT(ADDRESS(2,COLUMN())),OFFSET($U$2,0,0,ROW()-1,15),ROW()-1,FALSE))</f>
        <v>430.43357900000001</v>
      </c>
      <c r="L56">
        <f ca="1">IF(AND(ISNUMBER($L$135),$B$102=1),$L$135,HLOOKUP(INDIRECT(ADDRESS(2,COLUMN())),OFFSET($U$2,0,0,ROW()-1,15),ROW()-1,FALSE))</f>
        <v>367.85053879999998</v>
      </c>
      <c r="M56">
        <f ca="1">IF(AND(ISNUMBER($M$135),$B$102=1),$M$135,HLOOKUP(INDIRECT(ADDRESS(2,COLUMN())),OFFSET($U$2,0,0,ROW()-1,15),ROW()-1,FALSE))</f>
        <v>525.91300560000002</v>
      </c>
      <c r="N56">
        <f ca="1">IF(AND(ISNUMBER($N$135),$B$102=1),$N$135,HLOOKUP(INDIRECT(ADDRESS(2,COLUMN())),OFFSET($U$2,0,0,ROW()-1,15),ROW()-1,FALSE))</f>
        <v>521.05317200000002</v>
      </c>
      <c r="O56">
        <f ca="1">IF(AND(ISNUMBER($O$135),$B$102=1),$O$135,HLOOKUP(INDIRECT(ADDRESS(2,COLUMN())),OFFSET($U$2,0,0,ROW()-1,15),ROW()-1,FALSE))</f>
        <v>395.83109380000002</v>
      </c>
      <c r="P56" t="str">
        <f ca="1">IF(AND(ISNUMBER($P$135),$B$102=1),$P$135,HLOOKUP(INDIRECT(ADDRESS(2,COLUMN())),OFFSET($U$2,0,0,ROW()-1,15),ROW()-1,FALSE))</f>
        <v/>
      </c>
      <c r="Q56" t="str">
        <f ca="1">IF(AND(ISNUMBER($Q$135),$B$102=1),$Q$135,HLOOKUP(INDIRECT(ADDRESS(2,COLUMN())),OFFSET($U$2,0,0,ROW()-1,15),ROW()-1,FALSE))</f>
        <v/>
      </c>
      <c r="R56" t="str">
        <f ca="1">IF(AND(ISNUMBER($R$135),$B$102=1),$R$135,HLOOKUP(INDIRECT(ADDRESS(2,COLUMN())),OFFSET($U$2,0,0,ROW()-1,15),ROW()-1,FALSE))</f>
        <v/>
      </c>
      <c r="S56" t="str">
        <f ca="1">IF(AND(ISNUMBER($S$135),$B$102=1),$S$135,HLOOKUP(INDIRECT(ADDRESS(2,COLUMN())),OFFSET($U$2,0,0,ROW()-1,15),ROW()-1,FALSE))</f>
        <v/>
      </c>
      <c r="T56" t="str">
        <f ca="1">IF(AND(ISNUMBER($T$135),$B$102=1),$T$135,HLOOKUP(INDIRECT(ADDRESS(2,COLUMN())),OFFSET($U$2,0,0,ROW()-1,15),ROW()-1,FALSE))</f>
        <v/>
      </c>
      <c r="U56">
        <f>594.2915281</f>
        <v>594.29152810000005</v>
      </c>
      <c r="V56">
        <f>577.1289126</f>
        <v>577.12891260000004</v>
      </c>
      <c r="W56">
        <f>503.9662545</f>
        <v>503.96625449999999</v>
      </c>
      <c r="X56">
        <f>484.6320357</f>
        <v>484.63203570000002</v>
      </c>
      <c r="Y56">
        <f>434.2378845</f>
        <v>434.23788450000001</v>
      </c>
      <c r="Z56">
        <f>430.433579</f>
        <v>430.43357900000001</v>
      </c>
      <c r="AA56">
        <f>367.8505388</f>
        <v>367.85053879999998</v>
      </c>
      <c r="AB56">
        <f>525.9130056</f>
        <v>525.91300560000002</v>
      </c>
      <c r="AC56">
        <f>521.053172</f>
        <v>521.05317200000002</v>
      </c>
      <c r="AD56">
        <f>395.8310938</f>
        <v>395.83109380000002</v>
      </c>
      <c r="AE56" t="str">
        <f>""</f>
        <v/>
      </c>
      <c r="AF56" t="str">
        <f>""</f>
        <v/>
      </c>
      <c r="AG56" t="str">
        <f>""</f>
        <v/>
      </c>
      <c r="AH56" t="str">
        <f>""</f>
        <v/>
      </c>
      <c r="AI56" t="str">
        <f>""</f>
        <v/>
      </c>
    </row>
    <row r="57" spans="1:35" x14ac:dyDescent="0.25">
      <c r="A57" t="str">
        <f>"    Communication"</f>
        <v xml:space="preserve">    Communication</v>
      </c>
      <c r="B57" t="str">
        <f>""</f>
        <v/>
      </c>
      <c r="E57" t="str">
        <f>"Static"</f>
        <v>Static</v>
      </c>
      <c r="F57" t="str">
        <f t="shared" ref="F57:T57" ca="1" si="15">HLOOKUP(INDIRECT(ADDRESS(2,COLUMN())),OFFSET($U$2,0,0,ROW()-1,15),ROW()-1,FALSE)</f>
        <v/>
      </c>
      <c r="G57" t="str">
        <f t="shared" ca="1" si="15"/>
        <v/>
      </c>
      <c r="H57" t="str">
        <f t="shared" ca="1" si="15"/>
        <v/>
      </c>
      <c r="I57" t="str">
        <f t="shared" ca="1" si="15"/>
        <v/>
      </c>
      <c r="J57" t="str">
        <f t="shared" ca="1" si="15"/>
        <v/>
      </c>
      <c r="K57" t="str">
        <f t="shared" ca="1" si="15"/>
        <v/>
      </c>
      <c r="L57" t="str">
        <f t="shared" ca="1" si="15"/>
        <v/>
      </c>
      <c r="M57" t="str">
        <f t="shared" ca="1" si="15"/>
        <v/>
      </c>
      <c r="N57" t="str">
        <f t="shared" ca="1" si="15"/>
        <v/>
      </c>
      <c r="O57" t="str">
        <f t="shared" ca="1" si="15"/>
        <v/>
      </c>
      <c r="P57" t="str">
        <f t="shared" ca="1" si="15"/>
        <v/>
      </c>
      <c r="Q57" t="str">
        <f t="shared" ca="1" si="15"/>
        <v/>
      </c>
      <c r="R57" t="str">
        <f t="shared" ca="1" si="15"/>
        <v/>
      </c>
      <c r="S57" t="str">
        <f t="shared" ca="1" si="15"/>
        <v/>
      </c>
      <c r="T57" t="str">
        <f t="shared" ca="1" si="15"/>
        <v/>
      </c>
      <c r="U57" t="str">
        <f>""</f>
        <v/>
      </c>
      <c r="V57" t="str">
        <f>""</f>
        <v/>
      </c>
      <c r="W57" t="str">
        <f>""</f>
        <v/>
      </c>
      <c r="X57" t="str">
        <f>""</f>
        <v/>
      </c>
      <c r="Y57" t="str">
        <f>""</f>
        <v/>
      </c>
      <c r="Z57" t="str">
        <f>""</f>
        <v/>
      </c>
      <c r="AA57" t="str">
        <f>""</f>
        <v/>
      </c>
      <c r="AB57" t="str">
        <f>""</f>
        <v/>
      </c>
      <c r="AC57" t="str">
        <f>""</f>
        <v/>
      </c>
      <c r="AD57" t="str">
        <f>""</f>
        <v/>
      </c>
      <c r="AE57" t="str">
        <f>""</f>
        <v/>
      </c>
      <c r="AF57" t="str">
        <f>""</f>
        <v/>
      </c>
      <c r="AG57" t="str">
        <f>""</f>
        <v/>
      </c>
      <c r="AH57" t="str">
        <f>""</f>
        <v/>
      </c>
      <c r="AI57" t="str">
        <f>""</f>
        <v/>
      </c>
    </row>
    <row r="58" spans="1:35" x14ac:dyDescent="0.25">
      <c r="A58" t="str">
        <f>"        Revenue"</f>
        <v xml:space="preserve">        Revenue</v>
      </c>
      <c r="B58" t="str">
        <f>"INFY US Equity"</f>
        <v>INFY US Equity</v>
      </c>
      <c r="C58" t="str">
        <f>"BI047"</f>
        <v>BI047</v>
      </c>
      <c r="D58" t="str">
        <f>"BICS_SEGMENT_DATA"</f>
        <v>BICS_SEGMENT_DATA</v>
      </c>
      <c r="E58" t="str">
        <f>"Dynamic"</f>
        <v>Dynamic</v>
      </c>
      <c r="F58">
        <f ca="1">IF(AND(ISNUMBER($F$136),$B$102=1),$F$136,HLOOKUP(INDIRECT(ADDRESS(2,COLUMN())),OFFSET($U$2,0,0,ROW()-1,15),ROW()-1,FALSE))</f>
        <v>1690.8807389999999</v>
      </c>
      <c r="G58">
        <f ca="1">IF(AND(ISNUMBER($G$136),$B$102=1),$G$136,HLOOKUP(INDIRECT(ADDRESS(2,COLUMN())),OFFSET($U$2,0,0,ROW()-1,15),ROW()-1,FALSE))</f>
        <v>1491.6078440000001</v>
      </c>
      <c r="H58" t="str">
        <f ca="1">IF(AND(ISNUMBER($H$136),$B$102=1),$H$136,HLOOKUP(INDIRECT(ADDRESS(2,COLUMN())),OFFSET($U$2,0,0,ROW()-1,15),ROW()-1,FALSE))</f>
        <v/>
      </c>
      <c r="I58" t="str">
        <f ca="1">IF(AND(ISNUMBER($I$136),$B$102=1),$I$136,HLOOKUP(INDIRECT(ADDRESS(2,COLUMN())),OFFSET($U$2,0,0,ROW()-1,15),ROW()-1,FALSE))</f>
        <v/>
      </c>
      <c r="J58" t="str">
        <f ca="1">IF(AND(ISNUMBER($J$136),$B$102=1),$J$136,HLOOKUP(INDIRECT(ADDRESS(2,COLUMN())),OFFSET($U$2,0,0,ROW()-1,15),ROW()-1,FALSE))</f>
        <v/>
      </c>
      <c r="K58" t="str">
        <f ca="1">IF(AND(ISNUMBER($K$136),$B$102=1),$K$136,HLOOKUP(INDIRECT(ADDRESS(2,COLUMN())),OFFSET($U$2,0,0,ROW()-1,15),ROW()-1,FALSE))</f>
        <v/>
      </c>
      <c r="L58" t="str">
        <f ca="1">IF(AND(ISNUMBER($L$136),$B$102=1),$L$136,HLOOKUP(INDIRECT(ADDRESS(2,COLUMN())),OFFSET($U$2,0,0,ROW()-1,15),ROW()-1,FALSE))</f>
        <v/>
      </c>
      <c r="M58" t="str">
        <f ca="1">IF(AND(ISNUMBER($M$136),$B$102=1),$M$136,HLOOKUP(INDIRECT(ADDRESS(2,COLUMN())),OFFSET($U$2,0,0,ROW()-1,15),ROW()-1,FALSE))</f>
        <v/>
      </c>
      <c r="N58" t="str">
        <f ca="1">IF(AND(ISNUMBER($N$136),$B$102=1),$N$136,HLOOKUP(INDIRECT(ADDRESS(2,COLUMN())),OFFSET($U$2,0,0,ROW()-1,15),ROW()-1,FALSE))</f>
        <v/>
      </c>
      <c r="O58" t="str">
        <f ca="1">IF(AND(ISNUMBER($O$136),$B$102=1),$O$136,HLOOKUP(INDIRECT(ADDRESS(2,COLUMN())),OFFSET($U$2,0,0,ROW()-1,15),ROW()-1,FALSE))</f>
        <v/>
      </c>
      <c r="P58" t="str">
        <f ca="1">IF(AND(ISNUMBER($P$136),$B$102=1),$P$136,HLOOKUP(INDIRECT(ADDRESS(2,COLUMN())),OFFSET($U$2,0,0,ROW()-1,15),ROW()-1,FALSE))</f>
        <v/>
      </c>
      <c r="Q58" t="str">
        <f ca="1">IF(AND(ISNUMBER($Q$136),$B$102=1),$Q$136,HLOOKUP(INDIRECT(ADDRESS(2,COLUMN())),OFFSET($U$2,0,0,ROW()-1,15),ROW()-1,FALSE))</f>
        <v/>
      </c>
      <c r="R58" t="str">
        <f ca="1">IF(AND(ISNUMBER($R$136),$B$102=1),$R$136,HLOOKUP(INDIRECT(ADDRESS(2,COLUMN())),OFFSET($U$2,0,0,ROW()-1,15),ROW()-1,FALSE))</f>
        <v/>
      </c>
      <c r="S58" t="str">
        <f ca="1">IF(AND(ISNUMBER($S$136),$B$102=1),$S$136,HLOOKUP(INDIRECT(ADDRESS(2,COLUMN())),OFFSET($U$2,0,0,ROW()-1,15),ROW()-1,FALSE))</f>
        <v/>
      </c>
      <c r="T58" t="str">
        <f ca="1">IF(AND(ISNUMBER($T$136),$B$102=1),$T$136,HLOOKUP(INDIRECT(ADDRESS(2,COLUMN())),OFFSET($U$2,0,0,ROW()-1,15),ROW()-1,FALSE))</f>
        <v/>
      </c>
      <c r="U58">
        <f>1690.880739</f>
        <v>1690.8807389999999</v>
      </c>
      <c r="V58">
        <f>1491.607844</f>
        <v>1491.6078440000001</v>
      </c>
      <c r="W58" t="str">
        <f>""</f>
        <v/>
      </c>
      <c r="X58" t="str">
        <f>""</f>
        <v/>
      </c>
      <c r="Y58" t="str">
        <f>""</f>
        <v/>
      </c>
      <c r="Z58" t="str">
        <f>""</f>
        <v/>
      </c>
      <c r="AA58" t="str">
        <f>""</f>
        <v/>
      </c>
      <c r="AB58" t="str">
        <f>""</f>
        <v/>
      </c>
      <c r="AC58" t="str">
        <f>""</f>
        <v/>
      </c>
      <c r="AD58" t="str">
        <f>""</f>
        <v/>
      </c>
      <c r="AE58" t="str">
        <f>""</f>
        <v/>
      </c>
      <c r="AF58" t="str">
        <f>""</f>
        <v/>
      </c>
      <c r="AG58" t="str">
        <f>""</f>
        <v/>
      </c>
      <c r="AH58" t="str">
        <f>""</f>
        <v/>
      </c>
      <c r="AI58" t="str">
        <f>""</f>
        <v/>
      </c>
    </row>
    <row r="59" spans="1:35" x14ac:dyDescent="0.25">
      <c r="A59" t="str">
        <f>"        Operating Income"</f>
        <v xml:space="preserve">        Operating Income</v>
      </c>
      <c r="B59" t="str">
        <f>"INFY US Equity"</f>
        <v>INFY US Equity</v>
      </c>
      <c r="C59" t="str">
        <f>"BI047"</f>
        <v>BI047</v>
      </c>
      <c r="D59" t="str">
        <f>"BICS_SEGMENT_DATA"</f>
        <v>BICS_SEGMENT_DATA</v>
      </c>
      <c r="E59" t="str">
        <f>"Dynamic"</f>
        <v>Dynamic</v>
      </c>
      <c r="F59">
        <f ca="1">IF(AND(ISNUMBER($F$137),$B$102=1),$F$137,HLOOKUP(INDIRECT(ADDRESS(2,COLUMN())),OFFSET($U$2,0,0,ROW()-1,15),ROW()-1,FALSE))</f>
        <v>342.0139279</v>
      </c>
      <c r="G59">
        <f ca="1">IF(AND(ISNUMBER($G$137),$B$102=1),$G$137,HLOOKUP(INDIRECT(ADDRESS(2,COLUMN())),OFFSET($U$2,0,0,ROW()-1,15),ROW()-1,FALSE))</f>
        <v>360.09753910000001</v>
      </c>
      <c r="H59" t="str">
        <f ca="1">IF(AND(ISNUMBER($H$137),$B$102=1),$H$137,HLOOKUP(INDIRECT(ADDRESS(2,COLUMN())),OFFSET($U$2,0,0,ROW()-1,15),ROW()-1,FALSE))</f>
        <v/>
      </c>
      <c r="I59" t="str">
        <f ca="1">IF(AND(ISNUMBER($I$137),$B$102=1),$I$137,HLOOKUP(INDIRECT(ADDRESS(2,COLUMN())),OFFSET($U$2,0,0,ROW()-1,15),ROW()-1,FALSE))</f>
        <v/>
      </c>
      <c r="J59" t="str">
        <f ca="1">IF(AND(ISNUMBER($J$137),$B$102=1),$J$137,HLOOKUP(INDIRECT(ADDRESS(2,COLUMN())),OFFSET($U$2,0,0,ROW()-1,15),ROW()-1,FALSE))</f>
        <v/>
      </c>
      <c r="K59" t="str">
        <f ca="1">IF(AND(ISNUMBER($K$137),$B$102=1),$K$137,HLOOKUP(INDIRECT(ADDRESS(2,COLUMN())),OFFSET($U$2,0,0,ROW()-1,15),ROW()-1,FALSE))</f>
        <v/>
      </c>
      <c r="L59" t="str">
        <f ca="1">IF(AND(ISNUMBER($L$137),$B$102=1),$L$137,HLOOKUP(INDIRECT(ADDRESS(2,COLUMN())),OFFSET($U$2,0,0,ROW()-1,15),ROW()-1,FALSE))</f>
        <v/>
      </c>
      <c r="M59" t="str">
        <f ca="1">IF(AND(ISNUMBER($M$137),$B$102=1),$M$137,HLOOKUP(INDIRECT(ADDRESS(2,COLUMN())),OFFSET($U$2,0,0,ROW()-1,15),ROW()-1,FALSE))</f>
        <v/>
      </c>
      <c r="N59" t="str">
        <f ca="1">IF(AND(ISNUMBER($N$137),$B$102=1),$N$137,HLOOKUP(INDIRECT(ADDRESS(2,COLUMN())),OFFSET($U$2,0,0,ROW()-1,15),ROW()-1,FALSE))</f>
        <v/>
      </c>
      <c r="O59" t="str">
        <f ca="1">IF(AND(ISNUMBER($O$137),$B$102=1),$O$137,HLOOKUP(INDIRECT(ADDRESS(2,COLUMN())),OFFSET($U$2,0,0,ROW()-1,15),ROW()-1,FALSE))</f>
        <v/>
      </c>
      <c r="P59" t="str">
        <f ca="1">IF(AND(ISNUMBER($P$137),$B$102=1),$P$137,HLOOKUP(INDIRECT(ADDRESS(2,COLUMN())),OFFSET($U$2,0,0,ROW()-1,15),ROW()-1,FALSE))</f>
        <v/>
      </c>
      <c r="Q59" t="str">
        <f ca="1">IF(AND(ISNUMBER($Q$137),$B$102=1),$Q$137,HLOOKUP(INDIRECT(ADDRESS(2,COLUMN())),OFFSET($U$2,0,0,ROW()-1,15),ROW()-1,FALSE))</f>
        <v/>
      </c>
      <c r="R59" t="str">
        <f ca="1">IF(AND(ISNUMBER($R$137),$B$102=1),$R$137,HLOOKUP(INDIRECT(ADDRESS(2,COLUMN())),OFFSET($U$2,0,0,ROW()-1,15),ROW()-1,FALSE))</f>
        <v/>
      </c>
      <c r="S59" t="str">
        <f ca="1">IF(AND(ISNUMBER($S$137),$B$102=1),$S$137,HLOOKUP(INDIRECT(ADDRESS(2,COLUMN())),OFFSET($U$2,0,0,ROW()-1,15),ROW()-1,FALSE))</f>
        <v/>
      </c>
      <c r="T59" t="str">
        <f ca="1">IF(AND(ISNUMBER($T$137),$B$102=1),$T$137,HLOOKUP(INDIRECT(ADDRESS(2,COLUMN())),OFFSET($U$2,0,0,ROW()-1,15),ROW()-1,FALSE))</f>
        <v/>
      </c>
      <c r="U59">
        <f>342.0139279</f>
        <v>342.0139279</v>
      </c>
      <c r="V59">
        <f>360.0975391</f>
        <v>360.09753910000001</v>
      </c>
      <c r="W59" t="str">
        <f>""</f>
        <v/>
      </c>
      <c r="X59" t="str">
        <f>""</f>
        <v/>
      </c>
      <c r="Y59" t="str">
        <f>""</f>
        <v/>
      </c>
      <c r="Z59" t="str">
        <f>""</f>
        <v/>
      </c>
      <c r="AA59" t="str">
        <f>""</f>
        <v/>
      </c>
      <c r="AB59" t="str">
        <f>""</f>
        <v/>
      </c>
      <c r="AC59" t="str">
        <f>""</f>
        <v/>
      </c>
      <c r="AD59" t="str">
        <f>""</f>
        <v/>
      </c>
      <c r="AE59" t="str">
        <f>""</f>
        <v/>
      </c>
      <c r="AF59" t="str">
        <f>""</f>
        <v/>
      </c>
      <c r="AG59" t="str">
        <f>""</f>
        <v/>
      </c>
      <c r="AH59" t="str">
        <f>""</f>
        <v/>
      </c>
      <c r="AI59" t="str">
        <f>""</f>
        <v/>
      </c>
    </row>
    <row r="60" spans="1:35" x14ac:dyDescent="0.25">
      <c r="A60" t="str">
        <f>"    Energy, Utilities, Resources and Services"</f>
        <v xml:space="preserve">    Energy, Utilities, Resources and Services</v>
      </c>
      <c r="B60" t="str">
        <f>""</f>
        <v/>
      </c>
      <c r="E60" t="str">
        <f>"Static"</f>
        <v>Static</v>
      </c>
      <c r="F60" t="str">
        <f t="shared" ref="F60:T60" ca="1" si="16">HLOOKUP(INDIRECT(ADDRESS(2,COLUMN())),OFFSET($U$2,0,0,ROW()-1,15),ROW()-1,FALSE)</f>
        <v/>
      </c>
      <c r="G60" t="str">
        <f t="shared" ca="1" si="16"/>
        <v/>
      </c>
      <c r="H60" t="str">
        <f t="shared" ca="1" si="16"/>
        <v/>
      </c>
      <c r="I60" t="str">
        <f t="shared" ca="1" si="16"/>
        <v/>
      </c>
      <c r="J60" t="str">
        <f t="shared" ca="1" si="16"/>
        <v/>
      </c>
      <c r="K60" t="str">
        <f t="shared" ca="1" si="16"/>
        <v/>
      </c>
      <c r="L60" t="str">
        <f t="shared" ca="1" si="16"/>
        <v/>
      </c>
      <c r="M60" t="str">
        <f t="shared" ca="1" si="16"/>
        <v/>
      </c>
      <c r="N60" t="str">
        <f t="shared" ca="1" si="16"/>
        <v/>
      </c>
      <c r="O60" t="str">
        <f t="shared" ca="1" si="16"/>
        <v/>
      </c>
      <c r="P60" t="str">
        <f t="shared" ca="1" si="16"/>
        <v/>
      </c>
      <c r="Q60" t="str">
        <f t="shared" ca="1" si="16"/>
        <v/>
      </c>
      <c r="R60" t="str">
        <f t="shared" ca="1" si="16"/>
        <v/>
      </c>
      <c r="S60" t="str">
        <f t="shared" ca="1" si="16"/>
        <v/>
      </c>
      <c r="T60" t="str">
        <f t="shared" ca="1" si="16"/>
        <v/>
      </c>
      <c r="U60" t="str">
        <f>""</f>
        <v/>
      </c>
      <c r="V60" t="str">
        <f>""</f>
        <v/>
      </c>
      <c r="W60" t="str">
        <f>""</f>
        <v/>
      </c>
      <c r="X60" t="str">
        <f>""</f>
        <v/>
      </c>
      <c r="Y60" t="str">
        <f>""</f>
        <v/>
      </c>
      <c r="Z60" t="str">
        <f>""</f>
        <v/>
      </c>
      <c r="AA60" t="str">
        <f>""</f>
        <v/>
      </c>
      <c r="AB60" t="str">
        <f>""</f>
        <v/>
      </c>
      <c r="AC60" t="str">
        <f>""</f>
        <v/>
      </c>
      <c r="AD60" t="str">
        <f>""</f>
        <v/>
      </c>
      <c r="AE60" t="str">
        <f>""</f>
        <v/>
      </c>
      <c r="AF60" t="str">
        <f>""</f>
        <v/>
      </c>
      <c r="AG60" t="str">
        <f>""</f>
        <v/>
      </c>
      <c r="AH60" t="str">
        <f>""</f>
        <v/>
      </c>
      <c r="AI60" t="str">
        <f>""</f>
        <v/>
      </c>
    </row>
    <row r="61" spans="1:35" x14ac:dyDescent="0.25">
      <c r="A61" t="str">
        <f>"        Revenue"</f>
        <v xml:space="preserve">        Revenue</v>
      </c>
      <c r="B61" t="str">
        <f>"INFY US Equity"</f>
        <v>INFY US Equity</v>
      </c>
      <c r="C61" t="str">
        <f>"BI047"</f>
        <v>BI047</v>
      </c>
      <c r="D61" t="str">
        <f>"BICS_SEGMENT_DATA"</f>
        <v>BICS_SEGMENT_DATA</v>
      </c>
      <c r="E61" t="str">
        <f>"Dynamic"</f>
        <v>Dynamic</v>
      </c>
      <c r="F61">
        <f ca="1">IF(AND(ISNUMBER($F$138),$B$102=1),$F$138,HLOOKUP(INDIRECT(ADDRESS(2,COLUMN())),OFFSET($U$2,0,0,ROW()-1,15),ROW()-1,FALSE))</f>
        <v>1655.8892149999999</v>
      </c>
      <c r="G61">
        <f ca="1">IF(AND(ISNUMBER($G$138),$B$102=1),$G$138,HLOOKUP(INDIRECT(ADDRESS(2,COLUMN())),OFFSET($U$2,0,0,ROW()-1,15),ROW()-1,FALSE))</f>
        <v>1486.4574620000001</v>
      </c>
      <c r="H61" t="str">
        <f ca="1">IF(AND(ISNUMBER($H$138),$B$102=1),$H$138,HLOOKUP(INDIRECT(ADDRESS(2,COLUMN())),OFFSET($U$2,0,0,ROW()-1,15),ROW()-1,FALSE))</f>
        <v/>
      </c>
      <c r="I61" t="str">
        <f ca="1">IF(AND(ISNUMBER($I$138),$B$102=1),$I$138,HLOOKUP(INDIRECT(ADDRESS(2,COLUMN())),OFFSET($U$2,0,0,ROW()-1,15),ROW()-1,FALSE))</f>
        <v/>
      </c>
      <c r="J61" t="str">
        <f ca="1">IF(AND(ISNUMBER($J$138),$B$102=1),$J$138,HLOOKUP(INDIRECT(ADDRESS(2,COLUMN())),OFFSET($U$2,0,0,ROW()-1,15),ROW()-1,FALSE))</f>
        <v/>
      </c>
      <c r="K61" t="str">
        <f ca="1">IF(AND(ISNUMBER($K$138),$B$102=1),$K$138,HLOOKUP(INDIRECT(ADDRESS(2,COLUMN())),OFFSET($U$2,0,0,ROW()-1,15),ROW()-1,FALSE))</f>
        <v/>
      </c>
      <c r="L61" t="str">
        <f ca="1">IF(AND(ISNUMBER($L$138),$B$102=1),$L$138,HLOOKUP(INDIRECT(ADDRESS(2,COLUMN())),OFFSET($U$2,0,0,ROW()-1,15),ROW()-1,FALSE))</f>
        <v/>
      </c>
      <c r="M61" t="str">
        <f ca="1">IF(AND(ISNUMBER($M$138),$B$102=1),$M$138,HLOOKUP(INDIRECT(ADDRESS(2,COLUMN())),OFFSET($U$2,0,0,ROW()-1,15),ROW()-1,FALSE))</f>
        <v/>
      </c>
      <c r="N61" t="str">
        <f ca="1">IF(AND(ISNUMBER($N$138),$B$102=1),$N$138,HLOOKUP(INDIRECT(ADDRESS(2,COLUMN())),OFFSET($U$2,0,0,ROW()-1,15),ROW()-1,FALSE))</f>
        <v/>
      </c>
      <c r="O61" t="str">
        <f ca="1">IF(AND(ISNUMBER($O$138),$B$102=1),$O$138,HLOOKUP(INDIRECT(ADDRESS(2,COLUMN())),OFFSET($U$2,0,0,ROW()-1,15),ROW()-1,FALSE))</f>
        <v/>
      </c>
      <c r="P61" t="str">
        <f ca="1">IF(AND(ISNUMBER($P$138),$B$102=1),$P$138,HLOOKUP(INDIRECT(ADDRESS(2,COLUMN())),OFFSET($U$2,0,0,ROW()-1,15),ROW()-1,FALSE))</f>
        <v/>
      </c>
      <c r="Q61" t="str">
        <f ca="1">IF(AND(ISNUMBER($Q$138),$B$102=1),$Q$138,HLOOKUP(INDIRECT(ADDRESS(2,COLUMN())),OFFSET($U$2,0,0,ROW()-1,15),ROW()-1,FALSE))</f>
        <v/>
      </c>
      <c r="R61" t="str">
        <f ca="1">IF(AND(ISNUMBER($R$138),$B$102=1),$R$138,HLOOKUP(INDIRECT(ADDRESS(2,COLUMN())),OFFSET($U$2,0,0,ROW()-1,15),ROW()-1,FALSE))</f>
        <v/>
      </c>
      <c r="S61" t="str">
        <f ca="1">IF(AND(ISNUMBER($S$138),$B$102=1),$S$138,HLOOKUP(INDIRECT(ADDRESS(2,COLUMN())),OFFSET($U$2,0,0,ROW()-1,15),ROW()-1,FALSE))</f>
        <v/>
      </c>
      <c r="T61" t="str">
        <f ca="1">IF(AND(ISNUMBER($T$138),$B$102=1),$T$138,HLOOKUP(INDIRECT(ADDRESS(2,COLUMN())),OFFSET($U$2,0,0,ROW()-1,15),ROW()-1,FALSE))</f>
        <v/>
      </c>
      <c r="U61">
        <f>1655.889215</f>
        <v>1655.8892149999999</v>
      </c>
      <c r="V61">
        <f>1486.457462</f>
        <v>1486.4574620000001</v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t="str">
        <f>""</f>
        <v/>
      </c>
      <c r="AC61" t="str">
        <f>""</f>
        <v/>
      </c>
      <c r="AD61" t="str">
        <f>""</f>
        <v/>
      </c>
      <c r="AE61" t="str">
        <f>""</f>
        <v/>
      </c>
      <c r="AF61" t="str">
        <f>""</f>
        <v/>
      </c>
      <c r="AG61" t="str">
        <f>""</f>
        <v/>
      </c>
      <c r="AH61" t="str">
        <f>""</f>
        <v/>
      </c>
      <c r="AI61" t="str">
        <f>""</f>
        <v/>
      </c>
    </row>
    <row r="62" spans="1:35" x14ac:dyDescent="0.25">
      <c r="A62" t="str">
        <f>"        Operating Income"</f>
        <v xml:space="preserve">        Operating Income</v>
      </c>
      <c r="B62" t="str">
        <f>"INFY US Equity"</f>
        <v>INFY US Equity</v>
      </c>
      <c r="C62" t="str">
        <f>"BI047"</f>
        <v>BI047</v>
      </c>
      <c r="D62" t="str">
        <f>"BICS_SEGMENT_DATA"</f>
        <v>BICS_SEGMENT_DATA</v>
      </c>
      <c r="E62" t="str">
        <f>"Dynamic"</f>
        <v>Dynamic</v>
      </c>
      <c r="F62">
        <f ca="1">IF(AND(ISNUMBER($F$139),$B$102=1),$F$139,HLOOKUP(INDIRECT(ADDRESS(2,COLUMN())),OFFSET($U$2,0,0,ROW()-1,15),ROW()-1,FALSE))</f>
        <v>453.76105280000002</v>
      </c>
      <c r="G62">
        <f ca="1">IF(AND(ISNUMBER($G$139),$B$102=1),$G$139,HLOOKUP(INDIRECT(ADDRESS(2,COLUMN())),OFFSET($U$2,0,0,ROW()-1,15),ROW()-1,FALSE))</f>
        <v>363.67419330000001</v>
      </c>
      <c r="H62" t="str">
        <f ca="1">IF(AND(ISNUMBER($H$139),$B$102=1),$H$139,HLOOKUP(INDIRECT(ADDRESS(2,COLUMN())),OFFSET($U$2,0,0,ROW()-1,15),ROW()-1,FALSE))</f>
        <v/>
      </c>
      <c r="I62" t="str">
        <f ca="1">IF(AND(ISNUMBER($I$139),$B$102=1),$I$139,HLOOKUP(INDIRECT(ADDRESS(2,COLUMN())),OFFSET($U$2,0,0,ROW()-1,15),ROW()-1,FALSE))</f>
        <v/>
      </c>
      <c r="J62" t="str">
        <f ca="1">IF(AND(ISNUMBER($J$139),$B$102=1),$J$139,HLOOKUP(INDIRECT(ADDRESS(2,COLUMN())),OFFSET($U$2,0,0,ROW()-1,15),ROW()-1,FALSE))</f>
        <v/>
      </c>
      <c r="K62" t="str">
        <f ca="1">IF(AND(ISNUMBER($K$139),$B$102=1),$K$139,HLOOKUP(INDIRECT(ADDRESS(2,COLUMN())),OFFSET($U$2,0,0,ROW()-1,15),ROW()-1,FALSE))</f>
        <v/>
      </c>
      <c r="L62" t="str">
        <f ca="1">IF(AND(ISNUMBER($L$139),$B$102=1),$L$139,HLOOKUP(INDIRECT(ADDRESS(2,COLUMN())),OFFSET($U$2,0,0,ROW()-1,15),ROW()-1,FALSE))</f>
        <v/>
      </c>
      <c r="M62" t="str">
        <f ca="1">IF(AND(ISNUMBER($M$139),$B$102=1),$M$139,HLOOKUP(INDIRECT(ADDRESS(2,COLUMN())),OFFSET($U$2,0,0,ROW()-1,15),ROW()-1,FALSE))</f>
        <v/>
      </c>
      <c r="N62" t="str">
        <f ca="1">IF(AND(ISNUMBER($N$139),$B$102=1),$N$139,HLOOKUP(INDIRECT(ADDRESS(2,COLUMN())),OFFSET($U$2,0,0,ROW()-1,15),ROW()-1,FALSE))</f>
        <v/>
      </c>
      <c r="O62" t="str">
        <f ca="1">IF(AND(ISNUMBER($O$139),$B$102=1),$O$139,HLOOKUP(INDIRECT(ADDRESS(2,COLUMN())),OFFSET($U$2,0,0,ROW()-1,15),ROW()-1,FALSE))</f>
        <v/>
      </c>
      <c r="P62" t="str">
        <f ca="1">IF(AND(ISNUMBER($P$139),$B$102=1),$P$139,HLOOKUP(INDIRECT(ADDRESS(2,COLUMN())),OFFSET($U$2,0,0,ROW()-1,15),ROW()-1,FALSE))</f>
        <v/>
      </c>
      <c r="Q62" t="str">
        <f ca="1">IF(AND(ISNUMBER($Q$139),$B$102=1),$Q$139,HLOOKUP(INDIRECT(ADDRESS(2,COLUMN())),OFFSET($U$2,0,0,ROW()-1,15),ROW()-1,FALSE))</f>
        <v/>
      </c>
      <c r="R62" t="str">
        <f ca="1">IF(AND(ISNUMBER($R$139),$B$102=1),$R$139,HLOOKUP(INDIRECT(ADDRESS(2,COLUMN())),OFFSET($U$2,0,0,ROW()-1,15),ROW()-1,FALSE))</f>
        <v/>
      </c>
      <c r="S62" t="str">
        <f ca="1">IF(AND(ISNUMBER($S$139),$B$102=1),$S$139,HLOOKUP(INDIRECT(ADDRESS(2,COLUMN())),OFFSET($U$2,0,0,ROW()-1,15),ROW()-1,FALSE))</f>
        <v/>
      </c>
      <c r="T62" t="str">
        <f ca="1">IF(AND(ISNUMBER($T$139),$B$102=1),$T$139,HLOOKUP(INDIRECT(ADDRESS(2,COLUMN())),OFFSET($U$2,0,0,ROW()-1,15),ROW()-1,FALSE))</f>
        <v/>
      </c>
      <c r="U62">
        <f>453.7610528</f>
        <v>453.76105280000002</v>
      </c>
      <c r="V62">
        <f>363.6741933</f>
        <v>363.67419330000001</v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t="str">
        <f>""</f>
        <v/>
      </c>
      <c r="AC62" t="str">
        <f>""</f>
        <v/>
      </c>
      <c r="AD62" t="str">
        <f>""</f>
        <v/>
      </c>
      <c r="AE62" t="str">
        <f>""</f>
        <v/>
      </c>
      <c r="AF62" t="str">
        <f>""</f>
        <v/>
      </c>
      <c r="AG62" t="str">
        <f>""</f>
        <v/>
      </c>
      <c r="AH62" t="str">
        <f>""</f>
        <v/>
      </c>
      <c r="AI62" t="str">
        <f>""</f>
        <v/>
      </c>
    </row>
    <row r="63" spans="1:35" x14ac:dyDescent="0.25">
      <c r="A63" t="str">
        <f>"    Manufacturing"</f>
        <v xml:space="preserve">    Manufacturing</v>
      </c>
      <c r="B63" t="str">
        <f>""</f>
        <v/>
      </c>
      <c r="E63" t="str">
        <f>"Static"</f>
        <v>Static</v>
      </c>
      <c r="F63" t="str">
        <f t="shared" ref="F63:T63" ca="1" si="17">HLOOKUP(INDIRECT(ADDRESS(2,COLUMN())),OFFSET($U$2,0,0,ROW()-1,15),ROW()-1,FALSE)</f>
        <v/>
      </c>
      <c r="G63" t="str">
        <f t="shared" ca="1" si="17"/>
        <v/>
      </c>
      <c r="H63" t="str">
        <f t="shared" ca="1" si="17"/>
        <v/>
      </c>
      <c r="I63" t="str">
        <f t="shared" ca="1" si="17"/>
        <v/>
      </c>
      <c r="J63" t="str">
        <f t="shared" ca="1" si="17"/>
        <v/>
      </c>
      <c r="K63" t="str">
        <f t="shared" ca="1" si="17"/>
        <v/>
      </c>
      <c r="L63" t="str">
        <f t="shared" ca="1" si="17"/>
        <v/>
      </c>
      <c r="M63" t="str">
        <f t="shared" ca="1" si="17"/>
        <v/>
      </c>
      <c r="N63" t="str">
        <f t="shared" ca="1" si="17"/>
        <v/>
      </c>
      <c r="O63" t="str">
        <f t="shared" ca="1" si="17"/>
        <v/>
      </c>
      <c r="P63" t="str">
        <f t="shared" ca="1" si="17"/>
        <v/>
      </c>
      <c r="Q63" t="str">
        <f t="shared" ca="1" si="17"/>
        <v/>
      </c>
      <c r="R63" t="str">
        <f t="shared" ca="1" si="17"/>
        <v/>
      </c>
      <c r="S63" t="str">
        <f t="shared" ca="1" si="17"/>
        <v/>
      </c>
      <c r="T63" t="str">
        <f t="shared" ca="1" si="17"/>
        <v/>
      </c>
      <c r="U63" t="str">
        <f>""</f>
        <v/>
      </c>
      <c r="V63" t="str">
        <f>""</f>
        <v/>
      </c>
      <c r="W63" t="str">
        <f>""</f>
        <v/>
      </c>
      <c r="X63" t="str">
        <f>""</f>
        <v/>
      </c>
      <c r="Y63" t="str">
        <f>""</f>
        <v/>
      </c>
      <c r="Z63" t="str">
        <f>""</f>
        <v/>
      </c>
      <c r="AA63" t="str">
        <f>""</f>
        <v/>
      </c>
      <c r="AB63" t="str">
        <f>""</f>
        <v/>
      </c>
      <c r="AC63" t="str">
        <f>""</f>
        <v/>
      </c>
      <c r="AD63" t="str">
        <f>""</f>
        <v/>
      </c>
      <c r="AE63" t="str">
        <f>""</f>
        <v/>
      </c>
      <c r="AF63" t="str">
        <f>""</f>
        <v/>
      </c>
      <c r="AG63" t="str">
        <f>""</f>
        <v/>
      </c>
      <c r="AH63" t="str">
        <f>""</f>
        <v/>
      </c>
      <c r="AI63" t="str">
        <f>""</f>
        <v/>
      </c>
    </row>
    <row r="64" spans="1:35" x14ac:dyDescent="0.25">
      <c r="A64" t="str">
        <f>"        Revenue"</f>
        <v xml:space="preserve">        Revenue</v>
      </c>
      <c r="B64" t="str">
        <f>"INFY US Equity"</f>
        <v>INFY US Equity</v>
      </c>
      <c r="C64" t="str">
        <f>"BI047"</f>
        <v>BI047</v>
      </c>
      <c r="D64" t="str">
        <f>"BICS_SEGMENT_DATA"</f>
        <v>BICS_SEGMENT_DATA</v>
      </c>
      <c r="E64" t="str">
        <f>"Dynamic"</f>
        <v>Dynamic</v>
      </c>
      <c r="F64">
        <f ca="1">IF(AND(ISNUMBER($F$140),$B$102=1),$F$140,HLOOKUP(INDIRECT(ADDRESS(2,COLUMN())),OFFSET($U$2,0,0,ROW()-1,15),ROW()-1,FALSE))</f>
        <v>1288.3371179999999</v>
      </c>
      <c r="G64">
        <f ca="1">IF(AND(ISNUMBER($G$140),$B$102=1),$G$140,HLOOKUP(INDIRECT(ADDRESS(2,COLUMN())),OFFSET($U$2,0,0,ROW()-1,15),ROW()-1,FALSE))</f>
        <v>1166.2753829999999</v>
      </c>
      <c r="H64">
        <f ca="1">IF(AND(ISNUMBER($H$140),$B$102=1),$H$140,HLOOKUP(INDIRECT(ADDRESS(2,COLUMN())),OFFSET($U$2,0,0,ROW()-1,15),ROW()-1,FALSE))</f>
        <v>1194.2247440000001</v>
      </c>
      <c r="I64">
        <f ca="1">IF(AND(ISNUMBER($I$140),$B$102=1),$I$140,HLOOKUP(INDIRECT(ADDRESS(2,COLUMN())),OFFSET($U$2,0,0,ROW()-1,15),ROW()-1,FALSE))</f>
        <v>1119.769988</v>
      </c>
      <c r="J64">
        <f ca="1">IF(AND(ISNUMBER($J$140),$B$102=1),$J$140,HLOOKUP(INDIRECT(ADDRESS(2,COLUMN())),OFFSET($U$2,0,0,ROW()-1,15),ROW()-1,FALSE))</f>
        <v>1062.3538100000001</v>
      </c>
      <c r="K64">
        <f ca="1">IF(AND(ISNUMBER($K$140),$B$102=1),$K$140,HLOOKUP(INDIRECT(ADDRESS(2,COLUMN())),OFFSET($U$2,0,0,ROW()-1,15),ROW()-1,FALSE))</f>
        <v>1919.8548269999999</v>
      </c>
      <c r="L64">
        <f ca="1">IF(AND(ISNUMBER($L$140),$B$102=1),$L$140,HLOOKUP(INDIRECT(ADDRESS(2,COLUMN())),OFFSET($U$2,0,0,ROW()-1,15),ROW()-1,FALSE))</f>
        <v>1797.5154869999999</v>
      </c>
      <c r="M64">
        <f ca="1">IF(AND(ISNUMBER($M$140),$B$102=1),$M$140,HLOOKUP(INDIRECT(ADDRESS(2,COLUMN())),OFFSET($U$2,0,0,ROW()-1,15),ROW()-1,FALSE))</f>
        <v>1634.375802</v>
      </c>
      <c r="N64">
        <f ca="1">IF(AND(ISNUMBER($N$140),$B$102=1),$N$140,HLOOKUP(INDIRECT(ADDRESS(2,COLUMN())),OFFSET($U$2,0,0,ROW()-1,15),ROW()-1,FALSE))</f>
        <v>1451.9540360000001</v>
      </c>
      <c r="O64">
        <f ca="1">IF(AND(ISNUMBER($O$140),$B$102=1),$O$140,HLOOKUP(INDIRECT(ADDRESS(2,COLUMN())),OFFSET($U$2,0,0,ROW()-1,15),ROW()-1,FALSE))</f>
        <v>1183.9806369999999</v>
      </c>
      <c r="P64">
        <f ca="1">IF(AND(ISNUMBER($P$140),$B$102=1),$P$140,HLOOKUP(INDIRECT(ADDRESS(2,COLUMN())),OFFSET($U$2,0,0,ROW()-1,15),ROW()-1,FALSE))</f>
        <v>951.24126809999996</v>
      </c>
      <c r="Q64">
        <f ca="1">IF(AND(ISNUMBER($Q$140),$B$102=1),$Q$140,HLOOKUP(INDIRECT(ADDRESS(2,COLUMN())),OFFSET($U$2,0,0,ROW()-1,15),ROW()-1,FALSE))</f>
        <v>939.44033660000002</v>
      </c>
      <c r="R64">
        <f ca="1">IF(AND(ISNUMBER($R$140),$B$102=1),$R$140,HLOOKUP(INDIRECT(ADDRESS(2,COLUMN())),OFFSET($U$2,0,0,ROW()-1,15),ROW()-1,FALSE))</f>
        <v>610.16069909999999</v>
      </c>
      <c r="S64">
        <f ca="1">IF(AND(ISNUMBER($S$140),$B$102=1),$S$140,HLOOKUP(INDIRECT(ADDRESS(2,COLUMN())),OFFSET($U$2,0,0,ROW()-1,15),ROW()-1,FALSE))</f>
        <v>414.93218209999998</v>
      </c>
      <c r="T64">
        <f ca="1">IF(AND(ISNUMBER($T$140),$B$102=1),$T$140,HLOOKUP(INDIRECT(ADDRESS(2,COLUMN())),OFFSET($U$2,0,0,ROW()-1,15),ROW()-1,FALSE))</f>
        <v>299.17595649999998</v>
      </c>
      <c r="U64">
        <f>1288.337118</f>
        <v>1288.3371179999999</v>
      </c>
      <c r="V64">
        <f>1166.275383</f>
        <v>1166.2753829999999</v>
      </c>
      <c r="W64">
        <f>1194.224744</f>
        <v>1194.2247440000001</v>
      </c>
      <c r="X64">
        <f>1119.769988</f>
        <v>1119.769988</v>
      </c>
      <c r="Y64">
        <f>1062.35381</f>
        <v>1062.3538100000001</v>
      </c>
      <c r="Z64">
        <f>1919.854827</f>
        <v>1919.8548269999999</v>
      </c>
      <c r="AA64">
        <f>1797.515487</f>
        <v>1797.5154869999999</v>
      </c>
      <c r="AB64">
        <f>1634.375802</f>
        <v>1634.375802</v>
      </c>
      <c r="AC64">
        <f>1451.954036</f>
        <v>1451.9540360000001</v>
      </c>
      <c r="AD64">
        <f>1183.980637</f>
        <v>1183.9806369999999</v>
      </c>
      <c r="AE64">
        <f>951.2412681</f>
        <v>951.24126809999996</v>
      </c>
      <c r="AF64">
        <f>939.4403366</f>
        <v>939.44033660000002</v>
      </c>
      <c r="AG64">
        <f>610.1606991</f>
        <v>610.16069909999999</v>
      </c>
      <c r="AH64">
        <f>414.9321821</f>
        <v>414.93218209999998</v>
      </c>
      <c r="AI64">
        <f>299.1759565</f>
        <v>299.17595649999998</v>
      </c>
    </row>
    <row r="65" spans="1:35" x14ac:dyDescent="0.25">
      <c r="A65" t="str">
        <f>"        Operating Income"</f>
        <v xml:space="preserve">        Operating Income</v>
      </c>
      <c r="B65" t="str">
        <f>"INFY US Equity"</f>
        <v>INFY US Equity</v>
      </c>
      <c r="C65" t="str">
        <f>"BI047"</f>
        <v>BI047</v>
      </c>
      <c r="D65" t="str">
        <f>"BICS_SEGMENT_DATA"</f>
        <v>BICS_SEGMENT_DATA</v>
      </c>
      <c r="E65" t="str">
        <f>"Dynamic"</f>
        <v>Dynamic</v>
      </c>
      <c r="F65">
        <f ca="1">IF(AND(ISNUMBER($F$141),$B$102=1),$F$141,HLOOKUP(INDIRECT(ADDRESS(2,COLUMN())),OFFSET($U$2,0,0,ROW()-1,15),ROW()-1,FALSE))</f>
        <v>290.51430590000001</v>
      </c>
      <c r="G65">
        <f ca="1">IF(AND(ISNUMBER($G$141),$B$102=1),$G$141,HLOOKUP(INDIRECT(ADDRESS(2,COLUMN())),OFFSET($U$2,0,0,ROW()-1,15),ROW()-1,FALSE))</f>
        <v>265.10160509999997</v>
      </c>
      <c r="H65">
        <f ca="1">IF(AND(ISNUMBER($H$141),$B$102=1),$H$141,HLOOKUP(INDIRECT(ADDRESS(2,COLUMN())),OFFSET($U$2,0,0,ROW()-1,15),ROW()-1,FALSE))</f>
        <v>282.15285219999998</v>
      </c>
      <c r="I65">
        <f ca="1">IF(AND(ISNUMBER($I$141),$B$102=1),$I$141,HLOOKUP(INDIRECT(ADDRESS(2,COLUMN())),OFFSET($U$2,0,0,ROW()-1,15),ROW()-1,FALSE))</f>
        <v>275.65404799999999</v>
      </c>
      <c r="J65">
        <f ca="1">IF(AND(ISNUMBER($J$141),$B$102=1),$J$141,HLOOKUP(INDIRECT(ADDRESS(2,COLUMN())),OFFSET($U$2,0,0,ROW()-1,15),ROW()-1,FALSE))</f>
        <v>238.52503519999999</v>
      </c>
      <c r="K65">
        <f ca="1">IF(AND(ISNUMBER($K$141),$B$102=1),$K$141,HLOOKUP(INDIRECT(ADDRESS(2,COLUMN())),OFFSET($U$2,0,0,ROW()-1,15),ROW()-1,FALSE))</f>
        <v>474.2785806</v>
      </c>
      <c r="L65">
        <f ca="1">IF(AND(ISNUMBER($L$141),$B$102=1),$L$141,HLOOKUP(INDIRECT(ADDRESS(2,COLUMN())),OFFSET($U$2,0,0,ROW()-1,15),ROW()-1,FALSE))</f>
        <v>406.10964480000001</v>
      </c>
      <c r="M65">
        <f ca="1">IF(AND(ISNUMBER($M$141),$B$102=1),$M$141,HLOOKUP(INDIRECT(ADDRESS(2,COLUMN())),OFFSET($U$2,0,0,ROW()-1,15),ROW()-1,FALSE))</f>
        <v>423.67257510000002</v>
      </c>
      <c r="N65">
        <f ca="1">IF(AND(ISNUMBER($N$141),$B$102=1),$N$141,HLOOKUP(INDIRECT(ADDRESS(2,COLUMN())),OFFSET($U$2,0,0,ROW()-1,15),ROW()-1,FALSE))</f>
        <v>434.76944739999999</v>
      </c>
      <c r="O65">
        <f ca="1">IF(AND(ISNUMBER($O$141),$B$102=1),$O$141,HLOOKUP(INDIRECT(ADDRESS(2,COLUMN())),OFFSET($U$2,0,0,ROW()-1,15),ROW()-1,FALSE))</f>
        <v>375.85292989999999</v>
      </c>
      <c r="P65">
        <f ca="1">IF(AND(ISNUMBER($P$141),$B$102=1),$P$141,HLOOKUP(INDIRECT(ADDRESS(2,COLUMN())),OFFSET($U$2,0,0,ROW()-1,15),ROW()-1,FALSE))</f>
        <v>290.058922</v>
      </c>
      <c r="Q65">
        <f ca="1">IF(AND(ISNUMBER($Q$141),$B$102=1),$Q$141,HLOOKUP(INDIRECT(ADDRESS(2,COLUMN())),OFFSET($U$2,0,0,ROW()-1,15),ROW()-1,FALSE))</f>
        <v>290.4401694</v>
      </c>
      <c r="R65">
        <f ca="1">IF(AND(ISNUMBER($R$141),$B$102=1),$R$141,HLOOKUP(INDIRECT(ADDRESS(2,COLUMN())),OFFSET($U$2,0,0,ROW()-1,15),ROW()-1,FALSE))</f>
        <v>170.81515909999999</v>
      </c>
      <c r="S65">
        <f ca="1">IF(AND(ISNUMBER($S$141),$B$102=1),$S$141,HLOOKUP(INDIRECT(ADDRESS(2,COLUMN())),OFFSET($U$2,0,0,ROW()-1,15),ROW()-1,FALSE))</f>
        <v>127.5524076</v>
      </c>
      <c r="T65">
        <f ca="1">IF(AND(ISNUMBER($T$141),$B$102=1),$T$141,HLOOKUP(INDIRECT(ADDRESS(2,COLUMN())),OFFSET($U$2,0,0,ROW()-1,15),ROW()-1,FALSE))</f>
        <v>90.83741277</v>
      </c>
      <c r="U65">
        <f>290.5143059</f>
        <v>290.51430590000001</v>
      </c>
      <c r="V65">
        <f>265.1016051</f>
        <v>265.10160509999997</v>
      </c>
      <c r="W65">
        <f>282.1528522</f>
        <v>282.15285219999998</v>
      </c>
      <c r="X65">
        <f>275.654048</f>
        <v>275.65404799999999</v>
      </c>
      <c r="Y65">
        <f>238.5250352</f>
        <v>238.52503519999999</v>
      </c>
      <c r="Z65">
        <f>474.2785806</f>
        <v>474.2785806</v>
      </c>
      <c r="AA65">
        <f>406.1096448</f>
        <v>406.10964480000001</v>
      </c>
      <c r="AB65">
        <f>423.6725751</f>
        <v>423.67257510000002</v>
      </c>
      <c r="AC65">
        <f>434.7694474</f>
        <v>434.76944739999999</v>
      </c>
      <c r="AD65">
        <f>375.8529299</f>
        <v>375.85292989999999</v>
      </c>
      <c r="AE65">
        <f>290.058922</f>
        <v>290.058922</v>
      </c>
      <c r="AF65">
        <f>290.4401694</f>
        <v>290.4401694</v>
      </c>
      <c r="AG65">
        <f>170.8151591</f>
        <v>170.81515909999999</v>
      </c>
      <c r="AH65">
        <f>127.5524076</f>
        <v>127.5524076</v>
      </c>
      <c r="AI65">
        <f>90.83741277</f>
        <v>90.83741277</v>
      </c>
    </row>
    <row r="66" spans="1:35" x14ac:dyDescent="0.25">
      <c r="A66" t="str">
        <f>"    Hi-Tech"</f>
        <v xml:space="preserve">    Hi-Tech</v>
      </c>
      <c r="B66" t="str">
        <f>""</f>
        <v/>
      </c>
      <c r="E66" t="str">
        <f>"Static"</f>
        <v>Static</v>
      </c>
      <c r="F66" t="str">
        <f t="shared" ref="F66:T66" ca="1" si="18">HLOOKUP(INDIRECT(ADDRESS(2,COLUMN())),OFFSET($U$2,0,0,ROW()-1,15),ROW()-1,FALSE)</f>
        <v/>
      </c>
      <c r="G66" t="str">
        <f t="shared" ca="1" si="18"/>
        <v/>
      </c>
      <c r="H66" t="str">
        <f t="shared" ca="1" si="18"/>
        <v/>
      </c>
      <c r="I66" t="str">
        <f t="shared" ca="1" si="18"/>
        <v/>
      </c>
      <c r="J66" t="str">
        <f t="shared" ca="1" si="18"/>
        <v/>
      </c>
      <c r="K66" t="str">
        <f t="shared" ca="1" si="18"/>
        <v/>
      </c>
      <c r="L66" t="str">
        <f t="shared" ca="1" si="18"/>
        <v/>
      </c>
      <c r="M66" t="str">
        <f t="shared" ca="1" si="18"/>
        <v/>
      </c>
      <c r="N66" t="str">
        <f t="shared" ca="1" si="18"/>
        <v/>
      </c>
      <c r="O66" t="str">
        <f t="shared" ca="1" si="18"/>
        <v/>
      </c>
      <c r="P66" t="str">
        <f t="shared" ca="1" si="18"/>
        <v/>
      </c>
      <c r="Q66" t="str">
        <f t="shared" ca="1" si="18"/>
        <v/>
      </c>
      <c r="R66" t="str">
        <f t="shared" ca="1" si="18"/>
        <v/>
      </c>
      <c r="S66" t="str">
        <f t="shared" ca="1" si="18"/>
        <v/>
      </c>
      <c r="T66" t="str">
        <f t="shared" ca="1" si="18"/>
        <v/>
      </c>
      <c r="U66" t="str">
        <f>""</f>
        <v/>
      </c>
      <c r="V66" t="str">
        <f>""</f>
        <v/>
      </c>
      <c r="W66" t="str">
        <f>""</f>
        <v/>
      </c>
      <c r="X66" t="str">
        <f>""</f>
        <v/>
      </c>
      <c r="Y66" t="str">
        <f>""</f>
        <v/>
      </c>
      <c r="Z66" t="str">
        <f>""</f>
        <v/>
      </c>
      <c r="AA66" t="str">
        <f>""</f>
        <v/>
      </c>
      <c r="AB66" t="str">
        <f>""</f>
        <v/>
      </c>
      <c r="AC66" t="str">
        <f>""</f>
        <v/>
      </c>
      <c r="AD66" t="str">
        <f>""</f>
        <v/>
      </c>
      <c r="AE66" t="str">
        <f>""</f>
        <v/>
      </c>
      <c r="AF66" t="str">
        <f>""</f>
        <v/>
      </c>
      <c r="AG66" t="str">
        <f>""</f>
        <v/>
      </c>
      <c r="AH66" t="str">
        <f>""</f>
        <v/>
      </c>
      <c r="AI66" t="str">
        <f>""</f>
        <v/>
      </c>
    </row>
    <row r="67" spans="1:35" x14ac:dyDescent="0.25">
      <c r="A67" t="str">
        <f>"        Revenue"</f>
        <v xml:space="preserve">        Revenue</v>
      </c>
      <c r="B67" t="str">
        <f>"INFY US Equity"</f>
        <v>INFY US Equity</v>
      </c>
      <c r="C67" t="str">
        <f>"BI047"</f>
        <v>BI047</v>
      </c>
      <c r="D67" t="str">
        <f>"BICS_SEGMENT_DATA"</f>
        <v>BICS_SEGMENT_DATA</v>
      </c>
      <c r="E67" t="str">
        <f>"Dynamic"</f>
        <v>Dynamic</v>
      </c>
      <c r="F67">
        <f ca="1">IF(AND(ISNUMBER($F$142),$B$102=1),$F$142,HLOOKUP(INDIRECT(ADDRESS(2,COLUMN())),OFFSET($U$2,0,0,ROW()-1,15),ROW()-1,FALSE))</f>
        <v>983.71332710000001</v>
      </c>
      <c r="G67">
        <f ca="1">IF(AND(ISNUMBER($G$142),$B$102=1),$G$142,HLOOKUP(INDIRECT(ADDRESS(2,COLUMN())),OFFSET($U$2,0,0,ROW()-1,15),ROW()-1,FALSE))</f>
        <v>883.71970569999996</v>
      </c>
      <c r="H67">
        <f ca="1">IF(AND(ISNUMBER($H$142),$B$102=1),$H$142,HLOOKUP(INDIRECT(ADDRESS(2,COLUMN())),OFFSET($U$2,0,0,ROW()-1,15),ROW()-1,FALSE))</f>
        <v>782.86170709999999</v>
      </c>
      <c r="I67">
        <f ca="1">IF(AND(ISNUMBER($I$142),$B$102=1),$I$142,HLOOKUP(INDIRECT(ADDRESS(2,COLUMN())),OFFSET($U$2,0,0,ROW()-1,15),ROW()-1,FALSE))</f>
        <v>764.01516979999997</v>
      </c>
      <c r="J67">
        <f ca="1">IF(AND(ISNUMBER($J$142),$B$102=1),$J$142,HLOOKUP(INDIRECT(ADDRESS(2,COLUMN())),OFFSET($U$2,0,0,ROW()-1,15),ROW()-1,FALSE))</f>
        <v>747.83714550000002</v>
      </c>
      <c r="K67" t="str">
        <f ca="1">IF(AND(ISNUMBER($K$142),$B$102=1),$K$142,HLOOKUP(INDIRECT(ADDRESS(2,COLUMN())),OFFSET($U$2,0,0,ROW()-1,15),ROW()-1,FALSE))</f>
        <v/>
      </c>
      <c r="L67" t="str">
        <f ca="1">IF(AND(ISNUMBER($L$142),$B$102=1),$L$142,HLOOKUP(INDIRECT(ADDRESS(2,COLUMN())),OFFSET($U$2,0,0,ROW()-1,15),ROW()-1,FALSE))</f>
        <v/>
      </c>
      <c r="M67" t="str">
        <f ca="1">IF(AND(ISNUMBER($M$142),$B$102=1),$M$142,HLOOKUP(INDIRECT(ADDRESS(2,COLUMN())),OFFSET($U$2,0,0,ROW()-1,15),ROW()-1,FALSE))</f>
        <v/>
      </c>
      <c r="N67" t="str">
        <f ca="1">IF(AND(ISNUMBER($N$142),$B$102=1),$N$142,HLOOKUP(INDIRECT(ADDRESS(2,COLUMN())),OFFSET($U$2,0,0,ROW()-1,15),ROW()-1,FALSE))</f>
        <v/>
      </c>
      <c r="O67" t="str">
        <f ca="1">IF(AND(ISNUMBER($O$142),$B$102=1),$O$142,HLOOKUP(INDIRECT(ADDRESS(2,COLUMN())),OFFSET($U$2,0,0,ROW()-1,15),ROW()-1,FALSE))</f>
        <v/>
      </c>
      <c r="P67" t="str">
        <f ca="1">IF(AND(ISNUMBER($P$142),$B$102=1),$P$142,HLOOKUP(INDIRECT(ADDRESS(2,COLUMN())),OFFSET($U$2,0,0,ROW()-1,15),ROW()-1,FALSE))</f>
        <v/>
      </c>
      <c r="Q67" t="str">
        <f ca="1">IF(AND(ISNUMBER($Q$142),$B$102=1),$Q$142,HLOOKUP(INDIRECT(ADDRESS(2,COLUMN())),OFFSET($U$2,0,0,ROW()-1,15),ROW()-1,FALSE))</f>
        <v/>
      </c>
      <c r="R67" t="str">
        <f ca="1">IF(AND(ISNUMBER($R$142),$B$102=1),$R$142,HLOOKUP(INDIRECT(ADDRESS(2,COLUMN())),OFFSET($U$2,0,0,ROW()-1,15),ROW()-1,FALSE))</f>
        <v/>
      </c>
      <c r="S67" t="str">
        <f ca="1">IF(AND(ISNUMBER($S$142),$B$102=1),$S$142,HLOOKUP(INDIRECT(ADDRESS(2,COLUMN())),OFFSET($U$2,0,0,ROW()-1,15),ROW()-1,FALSE))</f>
        <v/>
      </c>
      <c r="T67" t="str">
        <f ca="1">IF(AND(ISNUMBER($T$142),$B$102=1),$T$142,HLOOKUP(INDIRECT(ADDRESS(2,COLUMN())),OFFSET($U$2,0,0,ROW()-1,15),ROW()-1,FALSE))</f>
        <v/>
      </c>
      <c r="U67">
        <f>983.7133271</f>
        <v>983.71332710000001</v>
      </c>
      <c r="V67">
        <f>883.7197057</f>
        <v>883.71970569999996</v>
      </c>
      <c r="W67">
        <f>782.8617071</f>
        <v>782.86170709999999</v>
      </c>
      <c r="X67">
        <f>764.0151698</f>
        <v>764.01516979999997</v>
      </c>
      <c r="Y67">
        <f>747.8371455</f>
        <v>747.83714550000002</v>
      </c>
      <c r="Z67" t="str">
        <f>""</f>
        <v/>
      </c>
      <c r="AA67" t="str">
        <f>""</f>
        <v/>
      </c>
      <c r="AB67" t="str">
        <f>""</f>
        <v/>
      </c>
      <c r="AC67" t="str">
        <f>""</f>
        <v/>
      </c>
      <c r="AD67" t="str">
        <f>""</f>
        <v/>
      </c>
      <c r="AE67" t="str">
        <f>""</f>
        <v/>
      </c>
      <c r="AF67" t="str">
        <f>""</f>
        <v/>
      </c>
      <c r="AG67" t="str">
        <f>""</f>
        <v/>
      </c>
      <c r="AH67" t="str">
        <f>""</f>
        <v/>
      </c>
      <c r="AI67" t="str">
        <f>""</f>
        <v/>
      </c>
    </row>
    <row r="68" spans="1:35" x14ac:dyDescent="0.25">
      <c r="A68" t="str">
        <f>"        Operating Income"</f>
        <v xml:space="preserve">        Operating Income</v>
      </c>
      <c r="B68" t="str">
        <f>"INFY US Equity"</f>
        <v>INFY US Equity</v>
      </c>
      <c r="C68" t="str">
        <f>"BI047"</f>
        <v>BI047</v>
      </c>
      <c r="D68" t="str">
        <f>"BICS_SEGMENT_DATA"</f>
        <v>BICS_SEGMENT_DATA</v>
      </c>
      <c r="E68" t="str">
        <f>"Dynamic"</f>
        <v>Dynamic</v>
      </c>
      <c r="F68">
        <f ca="1">IF(AND(ISNUMBER($F$143),$B$102=1),$F$143,HLOOKUP(INDIRECT(ADDRESS(2,COLUMN())),OFFSET($U$2,0,0,ROW()-1,15),ROW()-1,FALSE))</f>
        <v>226.316147</v>
      </c>
      <c r="G68">
        <f ca="1">IF(AND(ISNUMBER($G$143),$B$102=1),$G$143,HLOOKUP(INDIRECT(ADDRESS(2,COLUMN())),OFFSET($U$2,0,0,ROW()-1,15),ROW()-1,FALSE))</f>
        <v>221.46642449999999</v>
      </c>
      <c r="H68">
        <f ca="1">IF(AND(ISNUMBER($H$143),$B$102=1),$H$143,HLOOKUP(INDIRECT(ADDRESS(2,COLUMN())),OFFSET($U$2,0,0,ROW()-1,15),ROW()-1,FALSE))</f>
        <v>189.85986320000001</v>
      </c>
      <c r="I68">
        <f ca="1">IF(AND(ISNUMBER($I$143),$B$102=1),$I$143,HLOOKUP(INDIRECT(ADDRESS(2,COLUMN())),OFFSET($U$2,0,0,ROW()-1,15),ROW()-1,FALSE))</f>
        <v>190.4817204</v>
      </c>
      <c r="J68">
        <f ca="1">IF(AND(ISNUMBER($J$143),$B$102=1),$J$143,HLOOKUP(INDIRECT(ADDRESS(2,COLUMN())),OFFSET($U$2,0,0,ROW()-1,15),ROW()-1,FALSE))</f>
        <v>198.92376329999999</v>
      </c>
      <c r="K68" t="str">
        <f ca="1">IF(AND(ISNUMBER($K$143),$B$102=1),$K$143,HLOOKUP(INDIRECT(ADDRESS(2,COLUMN())),OFFSET($U$2,0,0,ROW()-1,15),ROW()-1,FALSE))</f>
        <v/>
      </c>
      <c r="L68" t="str">
        <f ca="1">IF(AND(ISNUMBER($L$143),$B$102=1),$L$143,HLOOKUP(INDIRECT(ADDRESS(2,COLUMN())),OFFSET($U$2,0,0,ROW()-1,15),ROW()-1,FALSE))</f>
        <v/>
      </c>
      <c r="M68" t="str">
        <f ca="1">IF(AND(ISNUMBER($M$143),$B$102=1),$M$143,HLOOKUP(INDIRECT(ADDRESS(2,COLUMN())),OFFSET($U$2,0,0,ROW()-1,15),ROW()-1,FALSE))</f>
        <v/>
      </c>
      <c r="N68" t="str">
        <f ca="1">IF(AND(ISNUMBER($N$143),$B$102=1),$N$143,HLOOKUP(INDIRECT(ADDRESS(2,COLUMN())),OFFSET($U$2,0,0,ROW()-1,15),ROW()-1,FALSE))</f>
        <v/>
      </c>
      <c r="O68" t="str">
        <f ca="1">IF(AND(ISNUMBER($O$143),$B$102=1),$O$143,HLOOKUP(INDIRECT(ADDRESS(2,COLUMN())),OFFSET($U$2,0,0,ROW()-1,15),ROW()-1,FALSE))</f>
        <v/>
      </c>
      <c r="P68" t="str">
        <f ca="1">IF(AND(ISNUMBER($P$143),$B$102=1),$P$143,HLOOKUP(INDIRECT(ADDRESS(2,COLUMN())),OFFSET($U$2,0,0,ROW()-1,15),ROW()-1,FALSE))</f>
        <v/>
      </c>
      <c r="Q68" t="str">
        <f ca="1">IF(AND(ISNUMBER($Q$143),$B$102=1),$Q$143,HLOOKUP(INDIRECT(ADDRESS(2,COLUMN())),OFFSET($U$2,0,0,ROW()-1,15),ROW()-1,FALSE))</f>
        <v/>
      </c>
      <c r="R68" t="str">
        <f ca="1">IF(AND(ISNUMBER($R$143),$B$102=1),$R$143,HLOOKUP(INDIRECT(ADDRESS(2,COLUMN())),OFFSET($U$2,0,0,ROW()-1,15),ROW()-1,FALSE))</f>
        <v/>
      </c>
      <c r="S68" t="str">
        <f ca="1">IF(AND(ISNUMBER($S$143),$B$102=1),$S$143,HLOOKUP(INDIRECT(ADDRESS(2,COLUMN())),OFFSET($U$2,0,0,ROW()-1,15),ROW()-1,FALSE))</f>
        <v/>
      </c>
      <c r="T68" t="str">
        <f ca="1">IF(AND(ISNUMBER($T$143),$B$102=1),$T$143,HLOOKUP(INDIRECT(ADDRESS(2,COLUMN())),OFFSET($U$2,0,0,ROW()-1,15),ROW()-1,FALSE))</f>
        <v/>
      </c>
      <c r="U68">
        <f>226.316147</f>
        <v>226.316147</v>
      </c>
      <c r="V68">
        <f>221.4664245</f>
        <v>221.46642449999999</v>
      </c>
      <c r="W68">
        <f>189.8598632</f>
        <v>189.85986320000001</v>
      </c>
      <c r="X68">
        <f>190.4817204</f>
        <v>190.4817204</v>
      </c>
      <c r="Y68">
        <f>198.9237633</f>
        <v>198.92376329999999</v>
      </c>
      <c r="Z68" t="str">
        <f>""</f>
        <v/>
      </c>
      <c r="AA68" t="str">
        <f>""</f>
        <v/>
      </c>
      <c r="AB68" t="str">
        <f>""</f>
        <v/>
      </c>
      <c r="AC68" t="str">
        <f>""</f>
        <v/>
      </c>
      <c r="AD68" t="str">
        <f>""</f>
        <v/>
      </c>
      <c r="AE68" t="str">
        <f>""</f>
        <v/>
      </c>
      <c r="AF68" t="str">
        <f>""</f>
        <v/>
      </c>
      <c r="AG68" t="str">
        <f>""</f>
        <v/>
      </c>
      <c r="AH68" t="str">
        <f>""</f>
        <v/>
      </c>
      <c r="AI68" t="str">
        <f>""</f>
        <v/>
      </c>
    </row>
    <row r="69" spans="1:35" x14ac:dyDescent="0.25">
      <c r="A69" t="str">
        <f>"    Life Sciences"</f>
        <v xml:space="preserve">    Life Sciences</v>
      </c>
      <c r="B69" t="str">
        <f>""</f>
        <v/>
      </c>
      <c r="E69" t="str">
        <f>"Static"</f>
        <v>Static</v>
      </c>
      <c r="F69" t="str">
        <f t="shared" ref="F69:T69" ca="1" si="19">HLOOKUP(INDIRECT(ADDRESS(2,COLUMN())),OFFSET($U$2,0,0,ROW()-1,15),ROW()-1,FALSE)</f>
        <v/>
      </c>
      <c r="G69" t="str">
        <f t="shared" ca="1" si="19"/>
        <v/>
      </c>
      <c r="H69" t="str">
        <f t="shared" ca="1" si="19"/>
        <v/>
      </c>
      <c r="I69" t="str">
        <f t="shared" ca="1" si="19"/>
        <v/>
      </c>
      <c r="J69" t="str">
        <f t="shared" ca="1" si="19"/>
        <v/>
      </c>
      <c r="K69" t="str">
        <f t="shared" ca="1" si="19"/>
        <v/>
      </c>
      <c r="L69" t="str">
        <f t="shared" ca="1" si="19"/>
        <v/>
      </c>
      <c r="M69" t="str">
        <f t="shared" ca="1" si="19"/>
        <v/>
      </c>
      <c r="N69" t="str">
        <f t="shared" ca="1" si="19"/>
        <v/>
      </c>
      <c r="O69" t="str">
        <f t="shared" ca="1" si="19"/>
        <v/>
      </c>
      <c r="P69" t="str">
        <f t="shared" ca="1" si="19"/>
        <v/>
      </c>
      <c r="Q69" t="str">
        <f t="shared" ca="1" si="19"/>
        <v/>
      </c>
      <c r="R69" t="str">
        <f t="shared" ca="1" si="19"/>
        <v/>
      </c>
      <c r="S69" t="str">
        <f t="shared" ca="1" si="19"/>
        <v/>
      </c>
      <c r="T69" t="str">
        <f t="shared" ca="1" si="19"/>
        <v/>
      </c>
      <c r="U69" t="str">
        <f>""</f>
        <v/>
      </c>
      <c r="V69" t="str">
        <f>""</f>
        <v/>
      </c>
      <c r="W69" t="str">
        <f>""</f>
        <v/>
      </c>
      <c r="X69" t="str">
        <f>""</f>
        <v/>
      </c>
      <c r="Y69" t="str">
        <f>""</f>
        <v/>
      </c>
      <c r="Z69" t="str">
        <f>""</f>
        <v/>
      </c>
      <c r="AA69" t="str">
        <f>""</f>
        <v/>
      </c>
      <c r="AB69" t="str">
        <f>""</f>
        <v/>
      </c>
      <c r="AC69" t="str">
        <f>""</f>
        <v/>
      </c>
      <c r="AD69" t="str">
        <f>""</f>
        <v/>
      </c>
      <c r="AE69" t="str">
        <f>""</f>
        <v/>
      </c>
      <c r="AF69" t="str">
        <f>""</f>
        <v/>
      </c>
      <c r="AG69" t="str">
        <f>""</f>
        <v/>
      </c>
      <c r="AH69" t="str">
        <f>""</f>
        <v/>
      </c>
      <c r="AI69" t="str">
        <f>""</f>
        <v/>
      </c>
    </row>
    <row r="70" spans="1:35" x14ac:dyDescent="0.25">
      <c r="A70" t="str">
        <f>"        Revenue"</f>
        <v xml:space="preserve">        Revenue</v>
      </c>
      <c r="B70" t="str">
        <f>"INFY US Equity"</f>
        <v>INFY US Equity</v>
      </c>
      <c r="C70" t="str">
        <f>"BI047"</f>
        <v>BI047</v>
      </c>
      <c r="D70" t="str">
        <f>"BICS_SEGMENT_DATA"</f>
        <v>BICS_SEGMENT_DATA</v>
      </c>
      <c r="E70" t="str">
        <f>"Dynamic"</f>
        <v>Dynamic</v>
      </c>
      <c r="F70">
        <f ca="1">IF(AND(ISNUMBER($F$144),$B$102=1),$F$144,HLOOKUP(INDIRECT(ADDRESS(2,COLUMN())),OFFSET($U$2,0,0,ROW()-1,15),ROW()-1,FALSE))</f>
        <v>823.57066699999996</v>
      </c>
      <c r="G70">
        <f ca="1">IF(AND(ISNUMBER($G$144),$B$102=1),$G$144,HLOOKUP(INDIRECT(ADDRESS(2,COLUMN())),OFFSET($U$2,0,0,ROW()-1,15),ROW()-1,FALSE))</f>
        <v>744.37326029999997</v>
      </c>
      <c r="H70" t="str">
        <f ca="1">IF(AND(ISNUMBER($H$144),$B$102=1),$H$144,HLOOKUP(INDIRECT(ADDRESS(2,COLUMN())),OFFSET($U$2,0,0,ROW()-1,15),ROW()-1,FALSE))</f>
        <v/>
      </c>
      <c r="I70" t="str">
        <f ca="1">IF(AND(ISNUMBER($I$144),$B$102=1),$I$144,HLOOKUP(INDIRECT(ADDRESS(2,COLUMN())),OFFSET($U$2,0,0,ROW()-1,15),ROW()-1,FALSE))</f>
        <v/>
      </c>
      <c r="J70" t="str">
        <f ca="1">IF(AND(ISNUMBER($J$144),$B$102=1),$J$144,HLOOKUP(INDIRECT(ADDRESS(2,COLUMN())),OFFSET($U$2,0,0,ROW()-1,15),ROW()-1,FALSE))</f>
        <v/>
      </c>
      <c r="K70">
        <f ca="1">IF(AND(ISNUMBER($K$144),$B$102=1),$K$144,HLOOKUP(INDIRECT(ADDRESS(2,COLUMN())),OFFSET($U$2,0,0,ROW()-1,15),ROW()-1,FALSE))</f>
        <v>586.34509590000005</v>
      </c>
      <c r="L70">
        <f ca="1">IF(AND(ISNUMBER($L$144),$B$102=1),$L$144,HLOOKUP(INDIRECT(ADDRESS(2,COLUMN())),OFFSET($U$2,0,0,ROW()-1,15),ROW()-1,FALSE))</f>
        <v>562.95541700000001</v>
      </c>
      <c r="M70" t="str">
        <f ca="1">IF(AND(ISNUMBER($M$144),$B$102=1),$M$144,HLOOKUP(INDIRECT(ADDRESS(2,COLUMN())),OFFSET($U$2,0,0,ROW()-1,15),ROW()-1,FALSE))</f>
        <v/>
      </c>
      <c r="N70" t="str">
        <f ca="1">IF(AND(ISNUMBER($N$144),$B$102=1),$N$144,HLOOKUP(INDIRECT(ADDRESS(2,COLUMN())),OFFSET($U$2,0,0,ROW()-1,15),ROW()-1,FALSE))</f>
        <v/>
      </c>
      <c r="O70" t="str">
        <f ca="1">IF(AND(ISNUMBER($O$144),$B$102=1),$O$144,HLOOKUP(INDIRECT(ADDRESS(2,COLUMN())),OFFSET($U$2,0,0,ROW()-1,15),ROW()-1,FALSE))</f>
        <v/>
      </c>
      <c r="P70" t="str">
        <f ca="1">IF(AND(ISNUMBER($P$144),$B$102=1),$P$144,HLOOKUP(INDIRECT(ADDRESS(2,COLUMN())),OFFSET($U$2,0,0,ROW()-1,15),ROW()-1,FALSE))</f>
        <v/>
      </c>
      <c r="Q70" t="str">
        <f ca="1">IF(AND(ISNUMBER($Q$144),$B$102=1),$Q$144,HLOOKUP(INDIRECT(ADDRESS(2,COLUMN())),OFFSET($U$2,0,0,ROW()-1,15),ROW()-1,FALSE))</f>
        <v/>
      </c>
      <c r="R70" t="str">
        <f ca="1">IF(AND(ISNUMBER($R$144),$B$102=1),$R$144,HLOOKUP(INDIRECT(ADDRESS(2,COLUMN())),OFFSET($U$2,0,0,ROW()-1,15),ROW()-1,FALSE))</f>
        <v/>
      </c>
      <c r="S70" t="str">
        <f ca="1">IF(AND(ISNUMBER($S$144),$B$102=1),$S$144,HLOOKUP(INDIRECT(ADDRESS(2,COLUMN())),OFFSET($U$2,0,0,ROW()-1,15),ROW()-1,FALSE))</f>
        <v/>
      </c>
      <c r="T70" t="str">
        <f ca="1">IF(AND(ISNUMBER($T$144),$B$102=1),$T$144,HLOOKUP(INDIRECT(ADDRESS(2,COLUMN())),OFFSET($U$2,0,0,ROW()-1,15),ROW()-1,FALSE))</f>
        <v/>
      </c>
      <c r="U70">
        <f>823.570667</f>
        <v>823.57066699999996</v>
      </c>
      <c r="V70">
        <f>744.3732603</f>
        <v>744.37326029999997</v>
      </c>
      <c r="W70" t="str">
        <f>""</f>
        <v/>
      </c>
      <c r="X70" t="str">
        <f>""</f>
        <v/>
      </c>
      <c r="Y70" t="str">
        <f>""</f>
        <v/>
      </c>
      <c r="Z70">
        <f>586.3450959</f>
        <v>586.34509590000005</v>
      </c>
      <c r="AA70">
        <f>562.955417</f>
        <v>562.95541700000001</v>
      </c>
      <c r="AB70" t="str">
        <f>""</f>
        <v/>
      </c>
      <c r="AC70" t="str">
        <f>""</f>
        <v/>
      </c>
      <c r="AD70" t="str">
        <f>""</f>
        <v/>
      </c>
      <c r="AE70" t="str">
        <f>""</f>
        <v/>
      </c>
      <c r="AF70" t="str">
        <f>""</f>
        <v/>
      </c>
      <c r="AG70" t="str">
        <f>""</f>
        <v/>
      </c>
      <c r="AH70" t="str">
        <f>""</f>
        <v/>
      </c>
      <c r="AI70" t="str">
        <f>""</f>
        <v/>
      </c>
    </row>
    <row r="71" spans="1:35" x14ac:dyDescent="0.25">
      <c r="A71" t="str">
        <f>"        Operating Income"</f>
        <v xml:space="preserve">        Operating Income</v>
      </c>
      <c r="B71" t="str">
        <f>"INFY US Equity"</f>
        <v>INFY US Equity</v>
      </c>
      <c r="C71" t="str">
        <f>"BI047"</f>
        <v>BI047</v>
      </c>
      <c r="D71" t="str">
        <f>"BICS_SEGMENT_DATA"</f>
        <v>BICS_SEGMENT_DATA</v>
      </c>
      <c r="E71" t="str">
        <f>"Dynamic"</f>
        <v>Dynamic</v>
      </c>
      <c r="F71">
        <f ca="1">IF(AND(ISNUMBER($F$145),$B$102=1),$F$145,HLOOKUP(INDIRECT(ADDRESS(2,COLUMN())),OFFSET($U$2,0,0,ROW()-1,15),ROW()-1,FALSE))</f>
        <v>201.90673709999999</v>
      </c>
      <c r="G71">
        <f ca="1">IF(AND(ISNUMBER($G$145),$B$102=1),$G$145,HLOOKUP(INDIRECT(ADDRESS(2,COLUMN())),OFFSET($U$2,0,0,ROW()-1,15),ROW()-1,FALSE))</f>
        <v>203.01088920000001</v>
      </c>
      <c r="H71" t="str">
        <f ca="1">IF(AND(ISNUMBER($H$145),$B$102=1),$H$145,HLOOKUP(INDIRECT(ADDRESS(2,COLUMN())),OFFSET($U$2,0,0,ROW()-1,15),ROW()-1,FALSE))</f>
        <v/>
      </c>
      <c r="I71" t="str">
        <f ca="1">IF(AND(ISNUMBER($I$145),$B$102=1),$I$145,HLOOKUP(INDIRECT(ADDRESS(2,COLUMN())),OFFSET($U$2,0,0,ROW()-1,15),ROW()-1,FALSE))</f>
        <v/>
      </c>
      <c r="J71" t="str">
        <f ca="1">IF(AND(ISNUMBER($J$145),$B$102=1),$J$145,HLOOKUP(INDIRECT(ADDRESS(2,COLUMN())),OFFSET($U$2,0,0,ROW()-1,15),ROW()-1,FALSE))</f>
        <v/>
      </c>
      <c r="K71">
        <f ca="1">IF(AND(ISNUMBER($K$145),$B$102=1),$K$145,HLOOKUP(INDIRECT(ADDRESS(2,COLUMN())),OFFSET($U$2,0,0,ROW()-1,15),ROW()-1,FALSE))</f>
        <v>150.3490913</v>
      </c>
      <c r="L71">
        <f ca="1">IF(AND(ISNUMBER($L$145),$B$102=1),$L$145,HLOOKUP(INDIRECT(ADDRESS(2,COLUMN())),OFFSET($U$2,0,0,ROW()-1,15),ROW()-1,FALSE))</f>
        <v>124.05225280000001</v>
      </c>
      <c r="M71" t="str">
        <f ca="1">IF(AND(ISNUMBER($M$145),$B$102=1),$M$145,HLOOKUP(INDIRECT(ADDRESS(2,COLUMN())),OFFSET($U$2,0,0,ROW()-1,15),ROW()-1,FALSE))</f>
        <v/>
      </c>
      <c r="N71" t="str">
        <f ca="1">IF(AND(ISNUMBER($N$145),$B$102=1),$N$145,HLOOKUP(INDIRECT(ADDRESS(2,COLUMN())),OFFSET($U$2,0,0,ROW()-1,15),ROW()-1,FALSE))</f>
        <v/>
      </c>
      <c r="O71" t="str">
        <f ca="1">IF(AND(ISNUMBER($O$145),$B$102=1),$O$145,HLOOKUP(INDIRECT(ADDRESS(2,COLUMN())),OFFSET($U$2,0,0,ROW()-1,15),ROW()-1,FALSE))</f>
        <v/>
      </c>
      <c r="P71" t="str">
        <f ca="1">IF(AND(ISNUMBER($P$145),$B$102=1),$P$145,HLOOKUP(INDIRECT(ADDRESS(2,COLUMN())),OFFSET($U$2,0,0,ROW()-1,15),ROW()-1,FALSE))</f>
        <v/>
      </c>
      <c r="Q71" t="str">
        <f ca="1">IF(AND(ISNUMBER($Q$145),$B$102=1),$Q$145,HLOOKUP(INDIRECT(ADDRESS(2,COLUMN())),OFFSET($U$2,0,0,ROW()-1,15),ROW()-1,FALSE))</f>
        <v/>
      </c>
      <c r="R71" t="str">
        <f ca="1">IF(AND(ISNUMBER($R$145),$B$102=1),$R$145,HLOOKUP(INDIRECT(ADDRESS(2,COLUMN())),OFFSET($U$2,0,0,ROW()-1,15),ROW()-1,FALSE))</f>
        <v/>
      </c>
      <c r="S71" t="str">
        <f ca="1">IF(AND(ISNUMBER($S$145),$B$102=1),$S$145,HLOOKUP(INDIRECT(ADDRESS(2,COLUMN())),OFFSET($U$2,0,0,ROW()-1,15),ROW()-1,FALSE))</f>
        <v/>
      </c>
      <c r="T71" t="str">
        <f ca="1">IF(AND(ISNUMBER($T$145),$B$102=1),$T$145,HLOOKUP(INDIRECT(ADDRESS(2,COLUMN())),OFFSET($U$2,0,0,ROW()-1,15),ROW()-1,FALSE))</f>
        <v/>
      </c>
      <c r="U71">
        <f>201.9067371</f>
        <v>201.90673709999999</v>
      </c>
      <c r="V71">
        <f>203.0108892</f>
        <v>203.01088920000001</v>
      </c>
      <c r="W71" t="str">
        <f>""</f>
        <v/>
      </c>
      <c r="X71" t="str">
        <f>""</f>
        <v/>
      </c>
      <c r="Y71" t="str">
        <f>""</f>
        <v/>
      </c>
      <c r="Z71">
        <f>150.3490913</f>
        <v>150.3490913</v>
      </c>
      <c r="AA71">
        <f>124.0522528</f>
        <v>124.05225280000001</v>
      </c>
      <c r="AB71" t="str">
        <f>""</f>
        <v/>
      </c>
      <c r="AC71" t="str">
        <f>""</f>
        <v/>
      </c>
      <c r="AD71" t="str">
        <f>""</f>
        <v/>
      </c>
      <c r="AE71" t="str">
        <f>""</f>
        <v/>
      </c>
      <c r="AF71" t="str">
        <f>""</f>
        <v/>
      </c>
      <c r="AG71" t="str">
        <f>""</f>
        <v/>
      </c>
      <c r="AH71" t="str">
        <f>""</f>
        <v/>
      </c>
      <c r="AI71" t="str">
        <f>""</f>
        <v/>
      </c>
    </row>
    <row r="72" spans="1:35" x14ac:dyDescent="0.25">
      <c r="A72" t="str">
        <f>"    Other"</f>
        <v xml:space="preserve">    Other</v>
      </c>
      <c r="B72" t="str">
        <f>""</f>
        <v/>
      </c>
      <c r="E72" t="str">
        <f>"Static"</f>
        <v>Static</v>
      </c>
      <c r="F72" t="str">
        <f t="shared" ref="F72:T72" ca="1" si="20">HLOOKUP(INDIRECT(ADDRESS(2,COLUMN())),OFFSET($U$2,0,0,ROW()-1,15),ROW()-1,FALSE)</f>
        <v/>
      </c>
      <c r="G72" t="str">
        <f t="shared" ca="1" si="20"/>
        <v/>
      </c>
      <c r="H72" t="str">
        <f t="shared" ca="1" si="20"/>
        <v/>
      </c>
      <c r="I72" t="str">
        <f t="shared" ca="1" si="20"/>
        <v/>
      </c>
      <c r="J72" t="str">
        <f t="shared" ca="1" si="20"/>
        <v/>
      </c>
      <c r="K72" t="str">
        <f t="shared" ca="1" si="20"/>
        <v/>
      </c>
      <c r="L72" t="str">
        <f t="shared" ca="1" si="20"/>
        <v/>
      </c>
      <c r="M72" t="str">
        <f t="shared" ca="1" si="20"/>
        <v/>
      </c>
      <c r="N72" t="str">
        <f t="shared" ca="1" si="20"/>
        <v/>
      </c>
      <c r="O72" t="str">
        <f t="shared" ca="1" si="20"/>
        <v/>
      </c>
      <c r="P72" t="str">
        <f t="shared" ca="1" si="20"/>
        <v/>
      </c>
      <c r="Q72" t="str">
        <f t="shared" ca="1" si="20"/>
        <v/>
      </c>
      <c r="R72" t="str">
        <f t="shared" ca="1" si="20"/>
        <v/>
      </c>
      <c r="S72" t="str">
        <f t="shared" ca="1" si="20"/>
        <v/>
      </c>
      <c r="T72" t="str">
        <f t="shared" ca="1" si="20"/>
        <v/>
      </c>
      <c r="U72" t="str">
        <f>""</f>
        <v/>
      </c>
      <c r="V72" t="str">
        <f>""</f>
        <v/>
      </c>
      <c r="W72" t="str">
        <f>""</f>
        <v/>
      </c>
      <c r="X72" t="str">
        <f>""</f>
        <v/>
      </c>
      <c r="Y72" t="str">
        <f>""</f>
        <v/>
      </c>
      <c r="Z72" t="str">
        <f>""</f>
        <v/>
      </c>
      <c r="AA72" t="str">
        <f>""</f>
        <v/>
      </c>
      <c r="AB72" t="str">
        <f>""</f>
        <v/>
      </c>
      <c r="AC72" t="str">
        <f>""</f>
        <v/>
      </c>
      <c r="AD72" t="str">
        <f>""</f>
        <v/>
      </c>
      <c r="AE72" t="str">
        <f>""</f>
        <v/>
      </c>
      <c r="AF72" t="str">
        <f>""</f>
        <v/>
      </c>
      <c r="AG72" t="str">
        <f>""</f>
        <v/>
      </c>
      <c r="AH72" t="str">
        <f>""</f>
        <v/>
      </c>
      <c r="AI72" t="str">
        <f>""</f>
        <v/>
      </c>
    </row>
    <row r="73" spans="1:35" x14ac:dyDescent="0.25">
      <c r="A73" t="str">
        <f>"        Revenue"</f>
        <v xml:space="preserve">        Revenue</v>
      </c>
      <c r="B73" t="str">
        <f>"INFY US Equity"</f>
        <v>INFY US Equity</v>
      </c>
      <c r="C73" t="str">
        <f>"BI047"</f>
        <v>BI047</v>
      </c>
      <c r="D73" t="str">
        <f>"BICS_SEGMENT_DATA"</f>
        <v>BICS_SEGMENT_DATA</v>
      </c>
      <c r="E73" t="str">
        <f>"Dynamic"</f>
        <v>Dynamic</v>
      </c>
      <c r="F73">
        <f ca="1">IF(AND(ISNUMBER($F$146),$B$102=1),$F$146,HLOOKUP(INDIRECT(ADDRESS(2,COLUMN())),OFFSET($U$2,0,0,ROW()-1,15),ROW()-1,FALSE))</f>
        <v>348.64538599999997</v>
      </c>
      <c r="G73">
        <f ca="1">IF(AND(ISNUMBER($G$146),$B$102=1),$G$146,HLOOKUP(INDIRECT(ADDRESS(2,COLUMN())),OFFSET($U$2,0,0,ROW()-1,15),ROW()-1,FALSE))</f>
        <v>328.19378419999998</v>
      </c>
      <c r="H73">
        <f ca="1">IF(AND(ISNUMBER($H$146),$B$102=1),$H$146,HLOOKUP(INDIRECT(ADDRESS(2,COLUMN())),OFFSET($U$2,0,0,ROW()-1,15),ROW()-1,FALSE))</f>
        <v>311.15922019999999</v>
      </c>
      <c r="I73">
        <f ca="1">IF(AND(ISNUMBER($I$146),$B$102=1),$I$146,HLOOKUP(INDIRECT(ADDRESS(2,COLUMN())),OFFSET($U$2,0,0,ROW()-1,15),ROW()-1,FALSE))</f>
        <v>329.35288850000001</v>
      </c>
      <c r="J73">
        <f ca="1">IF(AND(ISNUMBER($J$146),$B$102=1),$J$146,HLOOKUP(INDIRECT(ADDRESS(2,COLUMN())),OFFSET($U$2,0,0,ROW()-1,15),ROW()-1,FALSE))</f>
        <v>262.22463800000003</v>
      </c>
      <c r="K73" t="str">
        <f ca="1">IF(AND(ISNUMBER($K$146),$B$102=1),$K$146,HLOOKUP(INDIRECT(ADDRESS(2,COLUMN())),OFFSET($U$2,0,0,ROW()-1,15),ROW()-1,FALSE))</f>
        <v/>
      </c>
      <c r="L73" t="str">
        <f ca="1">IF(AND(ISNUMBER($L$146),$B$102=1),$L$146,HLOOKUP(INDIRECT(ADDRESS(2,COLUMN())),OFFSET($U$2,0,0,ROW()-1,15),ROW()-1,FALSE))</f>
        <v/>
      </c>
      <c r="M73" t="str">
        <f ca="1">IF(AND(ISNUMBER($M$146),$B$102=1),$M$146,HLOOKUP(INDIRECT(ADDRESS(2,COLUMN())),OFFSET($U$2,0,0,ROW()-1,15),ROW()-1,FALSE))</f>
        <v/>
      </c>
      <c r="N73" t="str">
        <f ca="1">IF(AND(ISNUMBER($N$146),$B$102=1),$N$146,HLOOKUP(INDIRECT(ADDRESS(2,COLUMN())),OFFSET($U$2,0,0,ROW()-1,15),ROW()-1,FALSE))</f>
        <v/>
      </c>
      <c r="O73" t="str">
        <f ca="1">IF(AND(ISNUMBER($O$146),$B$102=1),$O$146,HLOOKUP(INDIRECT(ADDRESS(2,COLUMN())),OFFSET($U$2,0,0,ROW()-1,15),ROW()-1,FALSE))</f>
        <v/>
      </c>
      <c r="P73" t="str">
        <f ca="1">IF(AND(ISNUMBER($P$146),$B$102=1),$P$146,HLOOKUP(INDIRECT(ADDRESS(2,COLUMN())),OFFSET($U$2,0,0,ROW()-1,15),ROW()-1,FALSE))</f>
        <v/>
      </c>
      <c r="Q73" t="str">
        <f ca="1">IF(AND(ISNUMBER($Q$146),$B$102=1),$Q$146,HLOOKUP(INDIRECT(ADDRESS(2,COLUMN())),OFFSET($U$2,0,0,ROW()-1,15),ROW()-1,FALSE))</f>
        <v/>
      </c>
      <c r="R73" t="str">
        <f ca="1">IF(AND(ISNUMBER($R$146),$B$102=1),$R$146,HLOOKUP(INDIRECT(ADDRESS(2,COLUMN())),OFFSET($U$2,0,0,ROW()-1,15),ROW()-1,FALSE))</f>
        <v/>
      </c>
      <c r="S73" t="str">
        <f ca="1">IF(AND(ISNUMBER($S$146),$B$102=1),$S$146,HLOOKUP(INDIRECT(ADDRESS(2,COLUMN())),OFFSET($U$2,0,0,ROW()-1,15),ROW()-1,FALSE))</f>
        <v/>
      </c>
      <c r="T73" t="str">
        <f ca="1">IF(AND(ISNUMBER($T$146),$B$102=1),$T$146,HLOOKUP(INDIRECT(ADDRESS(2,COLUMN())),OFFSET($U$2,0,0,ROW()-1,15),ROW()-1,FALSE))</f>
        <v/>
      </c>
      <c r="U73">
        <f>348.645386</f>
        <v>348.64538599999997</v>
      </c>
      <c r="V73">
        <f>328.1937842</f>
        <v>328.19378419999998</v>
      </c>
      <c r="W73">
        <f>311.1592202</f>
        <v>311.15922019999999</v>
      </c>
      <c r="X73">
        <f>329.3528885</f>
        <v>329.35288850000001</v>
      </c>
      <c r="Y73">
        <f>262.224638</f>
        <v>262.22463800000003</v>
      </c>
      <c r="Z73" t="str">
        <f>""</f>
        <v/>
      </c>
      <c r="AA73" t="str">
        <f>""</f>
        <v/>
      </c>
      <c r="AB73" t="str">
        <f>""</f>
        <v/>
      </c>
      <c r="AC73" t="str">
        <f>""</f>
        <v/>
      </c>
      <c r="AD73" t="str">
        <f>""</f>
        <v/>
      </c>
      <c r="AE73" t="str">
        <f>""</f>
        <v/>
      </c>
      <c r="AF73" t="str">
        <f>""</f>
        <v/>
      </c>
      <c r="AG73" t="str">
        <f>""</f>
        <v/>
      </c>
      <c r="AH73" t="str">
        <f>""</f>
        <v/>
      </c>
      <c r="AI73" t="str">
        <f>""</f>
        <v/>
      </c>
    </row>
    <row r="74" spans="1:35" x14ac:dyDescent="0.25">
      <c r="A74" t="str">
        <f>"        Operating Income"</f>
        <v xml:space="preserve">        Operating Income</v>
      </c>
      <c r="B74" t="str">
        <f>"INFY US Equity"</f>
        <v>INFY US Equity</v>
      </c>
      <c r="C74" t="str">
        <f>"BI047"</f>
        <v>BI047</v>
      </c>
      <c r="D74" t="str">
        <f>"BICS_SEGMENT_DATA"</f>
        <v>BICS_SEGMENT_DATA</v>
      </c>
      <c r="E74" t="str">
        <f>"Dynamic"</f>
        <v>Dynamic</v>
      </c>
      <c r="F74">
        <f ca="1">IF(AND(ISNUMBER($F$147),$B$102=1),$F$147,HLOOKUP(INDIRECT(ADDRESS(2,COLUMN())),OFFSET($U$2,0,0,ROW()-1,15),ROW()-1,FALSE))</f>
        <v>9.0300707019999997</v>
      </c>
      <c r="G74">
        <f ca="1">IF(AND(ISNUMBER($G$147),$B$102=1),$G$147,HLOOKUP(INDIRECT(ADDRESS(2,COLUMN())),OFFSET($U$2,0,0,ROW()-1,15),ROW()-1,FALSE))</f>
        <v>16.59567522</v>
      </c>
      <c r="H74">
        <f ca="1">IF(AND(ISNUMBER($H$147),$B$102=1),$H$147,HLOOKUP(INDIRECT(ADDRESS(2,COLUMN())),OFFSET($U$2,0,0,ROW()-1,15),ROW()-1,FALSE))</f>
        <v>60.339449979999998</v>
      </c>
      <c r="I74">
        <f ca="1">IF(AND(ISNUMBER($I$147),$B$102=1),$I$147,HLOOKUP(INDIRECT(ADDRESS(2,COLUMN())),OFFSET($U$2,0,0,ROW()-1,15),ROW()-1,FALSE))</f>
        <v>43.555726200000002</v>
      </c>
      <c r="J74">
        <f ca="1">IF(AND(ISNUMBER($J$147),$B$102=1),$J$147,HLOOKUP(INDIRECT(ADDRESS(2,COLUMN())),OFFSET($U$2,0,0,ROW()-1,15),ROW()-1,FALSE))</f>
        <v>39.601271859999997</v>
      </c>
      <c r="K74" t="str">
        <f ca="1">IF(AND(ISNUMBER($K$147),$B$102=1),$K$147,HLOOKUP(INDIRECT(ADDRESS(2,COLUMN())),OFFSET($U$2,0,0,ROW()-1,15),ROW()-1,FALSE))</f>
        <v/>
      </c>
      <c r="L74" t="str">
        <f ca="1">IF(AND(ISNUMBER($L$147),$B$102=1),$L$147,HLOOKUP(INDIRECT(ADDRESS(2,COLUMN())),OFFSET($U$2,0,0,ROW()-1,15),ROW()-1,FALSE))</f>
        <v/>
      </c>
      <c r="M74" t="str">
        <f ca="1">IF(AND(ISNUMBER($M$147),$B$102=1),$M$147,HLOOKUP(INDIRECT(ADDRESS(2,COLUMN())),OFFSET($U$2,0,0,ROW()-1,15),ROW()-1,FALSE))</f>
        <v/>
      </c>
      <c r="N74" t="str">
        <f ca="1">IF(AND(ISNUMBER($N$147),$B$102=1),$N$147,HLOOKUP(INDIRECT(ADDRESS(2,COLUMN())),OFFSET($U$2,0,0,ROW()-1,15),ROW()-1,FALSE))</f>
        <v/>
      </c>
      <c r="O74" t="str">
        <f ca="1">IF(AND(ISNUMBER($O$147),$B$102=1),$O$147,HLOOKUP(INDIRECT(ADDRESS(2,COLUMN())),OFFSET($U$2,0,0,ROW()-1,15),ROW()-1,FALSE))</f>
        <v/>
      </c>
      <c r="P74" t="str">
        <f ca="1">IF(AND(ISNUMBER($P$147),$B$102=1),$P$147,HLOOKUP(INDIRECT(ADDRESS(2,COLUMN())),OFFSET($U$2,0,0,ROW()-1,15),ROW()-1,FALSE))</f>
        <v/>
      </c>
      <c r="Q74" t="str">
        <f ca="1">IF(AND(ISNUMBER($Q$147),$B$102=1),$Q$147,HLOOKUP(INDIRECT(ADDRESS(2,COLUMN())),OFFSET($U$2,0,0,ROW()-1,15),ROW()-1,FALSE))</f>
        <v/>
      </c>
      <c r="R74" t="str">
        <f ca="1">IF(AND(ISNUMBER($R$147),$B$102=1),$R$147,HLOOKUP(INDIRECT(ADDRESS(2,COLUMN())),OFFSET($U$2,0,0,ROW()-1,15),ROW()-1,FALSE))</f>
        <v/>
      </c>
      <c r="S74" t="str">
        <f ca="1">IF(AND(ISNUMBER($S$147),$B$102=1),$S$147,HLOOKUP(INDIRECT(ADDRESS(2,COLUMN())),OFFSET($U$2,0,0,ROW()-1,15),ROW()-1,FALSE))</f>
        <v/>
      </c>
      <c r="T74" t="str">
        <f ca="1">IF(AND(ISNUMBER($T$147),$B$102=1),$T$147,HLOOKUP(INDIRECT(ADDRESS(2,COLUMN())),OFFSET($U$2,0,0,ROW()-1,15),ROW()-1,FALSE))</f>
        <v/>
      </c>
      <c r="U74">
        <f>9.030070702</f>
        <v>9.0300707019999997</v>
      </c>
      <c r="V74">
        <f>16.59567522</f>
        <v>16.59567522</v>
      </c>
      <c r="W74">
        <f>60.33944998</f>
        <v>60.339449979999998</v>
      </c>
      <c r="X74">
        <f>43.5557262</f>
        <v>43.555726200000002</v>
      </c>
      <c r="Y74">
        <f>39.60127186</f>
        <v>39.601271859999997</v>
      </c>
      <c r="Z74" t="str">
        <f>""</f>
        <v/>
      </c>
      <c r="AA74" t="str">
        <f>""</f>
        <v/>
      </c>
      <c r="AB74" t="str">
        <f>""</f>
        <v/>
      </c>
      <c r="AC74" t="str">
        <f>""</f>
        <v/>
      </c>
      <c r="AD74" t="str">
        <f>""</f>
        <v/>
      </c>
      <c r="AE74" t="str">
        <f>""</f>
        <v/>
      </c>
      <c r="AF74" t="str">
        <f>""</f>
        <v/>
      </c>
      <c r="AG74" t="str">
        <f>""</f>
        <v/>
      </c>
      <c r="AH74" t="str">
        <f>""</f>
        <v/>
      </c>
      <c r="AI74" t="str">
        <f>""</f>
        <v/>
      </c>
    </row>
    <row r="75" spans="1:35" x14ac:dyDescent="0.25">
      <c r="A75" t="str">
        <f>"    "</f>
        <v xml:space="preserve">    </v>
      </c>
      <c r="B75" t="str">
        <f>""</f>
        <v/>
      </c>
      <c r="E75" t="str">
        <f>"Static"</f>
        <v>Static</v>
      </c>
      <c r="F75" t="str">
        <f t="shared" ref="F75:T78" ca="1" si="21">HLOOKUP(INDIRECT(ADDRESS(2,COLUMN())),OFFSET($U$2,0,0,ROW()-1,15),ROW()-1,FALSE)</f>
        <v/>
      </c>
      <c r="G75" t="str">
        <f t="shared" ca="1" si="21"/>
        <v/>
      </c>
      <c r="H75" t="str">
        <f t="shared" ca="1" si="21"/>
        <v/>
      </c>
      <c r="I75" t="str">
        <f t="shared" ca="1" si="21"/>
        <v/>
      </c>
      <c r="J75" t="str">
        <f t="shared" ca="1" si="21"/>
        <v/>
      </c>
      <c r="K75" t="str">
        <f t="shared" ca="1" si="21"/>
        <v/>
      </c>
      <c r="L75" t="str">
        <f t="shared" ca="1" si="21"/>
        <v/>
      </c>
      <c r="M75" t="str">
        <f t="shared" ca="1" si="21"/>
        <v/>
      </c>
      <c r="N75" t="str">
        <f t="shared" ca="1" si="21"/>
        <v/>
      </c>
      <c r="O75" t="str">
        <f t="shared" ca="1" si="21"/>
        <v/>
      </c>
      <c r="P75" t="str">
        <f t="shared" ca="1" si="21"/>
        <v/>
      </c>
      <c r="Q75" t="str">
        <f t="shared" ca="1" si="21"/>
        <v/>
      </c>
      <c r="R75" t="str">
        <f t="shared" ca="1" si="21"/>
        <v/>
      </c>
      <c r="S75" t="str">
        <f t="shared" ca="1" si="21"/>
        <v/>
      </c>
      <c r="T75" t="str">
        <f t="shared" ca="1" si="21"/>
        <v/>
      </c>
      <c r="U75" t="str">
        <f>""</f>
        <v/>
      </c>
      <c r="V75" t="str">
        <f>""</f>
        <v/>
      </c>
      <c r="W75" t="str">
        <f>""</f>
        <v/>
      </c>
      <c r="X75" t="str">
        <f>""</f>
        <v/>
      </c>
      <c r="Y75" t="str">
        <f>""</f>
        <v/>
      </c>
      <c r="Z75" t="str">
        <f>""</f>
        <v/>
      </c>
      <c r="AA75" t="str">
        <f>""</f>
        <v/>
      </c>
      <c r="AB75" t="str">
        <f>""</f>
        <v/>
      </c>
      <c r="AC75" t="str">
        <f>""</f>
        <v/>
      </c>
      <c r="AD75" t="str">
        <f>""</f>
        <v/>
      </c>
      <c r="AE75" t="str">
        <f>""</f>
        <v/>
      </c>
      <c r="AF75" t="str">
        <f>""</f>
        <v/>
      </c>
      <c r="AG75" t="str">
        <f>""</f>
        <v/>
      </c>
      <c r="AH75" t="str">
        <f>""</f>
        <v/>
      </c>
      <c r="AI75" t="str">
        <f>""</f>
        <v/>
      </c>
    </row>
    <row r="76" spans="1:35" x14ac:dyDescent="0.25">
      <c r="A76" t="str">
        <f>"    Energy &amp; Utilities, Communcation and Services"</f>
        <v xml:space="preserve">    Energy &amp; Utilities, Communcation and Services</v>
      </c>
      <c r="B76" t="str">
        <f>""</f>
        <v/>
      </c>
      <c r="E76" t="str">
        <f>"Static"</f>
        <v>Static</v>
      </c>
      <c r="F76" t="str">
        <f t="shared" ca="1" si="21"/>
        <v/>
      </c>
      <c r="G76" t="str">
        <f t="shared" ca="1" si="21"/>
        <v/>
      </c>
      <c r="H76" t="str">
        <f t="shared" ca="1" si="21"/>
        <v/>
      </c>
      <c r="I76" t="str">
        <f t="shared" ca="1" si="21"/>
        <v/>
      </c>
      <c r="J76" t="str">
        <f t="shared" ca="1" si="21"/>
        <v/>
      </c>
      <c r="K76" t="str">
        <f t="shared" ca="1" si="21"/>
        <v/>
      </c>
      <c r="L76" t="str">
        <f t="shared" ca="1" si="21"/>
        <v/>
      </c>
      <c r="M76" t="str">
        <f t="shared" ca="1" si="21"/>
        <v/>
      </c>
      <c r="N76" t="str">
        <f t="shared" ca="1" si="21"/>
        <v/>
      </c>
      <c r="O76" t="str">
        <f t="shared" ca="1" si="21"/>
        <v/>
      </c>
      <c r="P76" t="str">
        <f t="shared" ca="1" si="21"/>
        <v/>
      </c>
      <c r="Q76" t="str">
        <f t="shared" ca="1" si="21"/>
        <v/>
      </c>
      <c r="R76" t="str">
        <f t="shared" ca="1" si="21"/>
        <v/>
      </c>
      <c r="S76" t="str">
        <f t="shared" ca="1" si="21"/>
        <v/>
      </c>
      <c r="T76" t="str">
        <f t="shared" ca="1" si="21"/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>""</f>
        <v/>
      </c>
      <c r="AB76" t="str">
        <f>""</f>
        <v/>
      </c>
      <c r="AC76" t="str">
        <f>""</f>
        <v/>
      </c>
      <c r="AD76" t="str">
        <f>""</f>
        <v/>
      </c>
      <c r="AE76" t="str">
        <f>""</f>
        <v/>
      </c>
      <c r="AF76" t="str">
        <f>""</f>
        <v/>
      </c>
      <c r="AG76" t="str">
        <f>""</f>
        <v/>
      </c>
      <c r="AH76" t="str">
        <f>""</f>
        <v/>
      </c>
      <c r="AI76" t="str">
        <f>""</f>
        <v/>
      </c>
    </row>
    <row r="77" spans="1:35" x14ac:dyDescent="0.25">
      <c r="A77" t="str">
        <f>"    Life Sciences, Healthcare and Insurance"</f>
        <v xml:space="preserve">    Life Sciences, Healthcare and Insurance</v>
      </c>
      <c r="B77" t="str">
        <f>""</f>
        <v/>
      </c>
      <c r="E77" t="str">
        <f>"Static"</f>
        <v>Static</v>
      </c>
      <c r="F77" t="str">
        <f t="shared" ca="1" si="21"/>
        <v/>
      </c>
      <c r="G77" t="str">
        <f t="shared" ca="1" si="21"/>
        <v/>
      </c>
      <c r="H77" t="str">
        <f t="shared" ca="1" si="21"/>
        <v/>
      </c>
      <c r="I77" t="str">
        <f t="shared" ca="1" si="21"/>
        <v/>
      </c>
      <c r="J77" t="str">
        <f t="shared" ca="1" si="21"/>
        <v/>
      </c>
      <c r="K77" t="str">
        <f t="shared" ca="1" si="21"/>
        <v/>
      </c>
      <c r="L77" t="str">
        <f t="shared" ca="1" si="21"/>
        <v/>
      </c>
      <c r="M77" t="str">
        <f t="shared" ca="1" si="21"/>
        <v/>
      </c>
      <c r="N77" t="str">
        <f t="shared" ca="1" si="21"/>
        <v/>
      </c>
      <c r="O77" t="str">
        <f t="shared" ca="1" si="21"/>
        <v/>
      </c>
      <c r="P77" t="str">
        <f t="shared" ca="1" si="21"/>
        <v/>
      </c>
      <c r="Q77" t="str">
        <f t="shared" ca="1" si="21"/>
        <v/>
      </c>
      <c r="R77" t="str">
        <f t="shared" ca="1" si="21"/>
        <v/>
      </c>
      <c r="S77" t="str">
        <f t="shared" ca="1" si="21"/>
        <v/>
      </c>
      <c r="T77" t="str">
        <f t="shared" ca="1" si="21"/>
        <v/>
      </c>
      <c r="U77" t="str">
        <f>""</f>
        <v/>
      </c>
      <c r="V77" t="str">
        <f>""</f>
        <v/>
      </c>
      <c r="W77" t="str">
        <f>""</f>
        <v/>
      </c>
      <c r="X77" t="str">
        <f>""</f>
        <v/>
      </c>
      <c r="Y77" t="str">
        <f>""</f>
        <v/>
      </c>
      <c r="Z77" t="str">
        <f>""</f>
        <v/>
      </c>
      <c r="AA77" t="str">
        <f>""</f>
        <v/>
      </c>
      <c r="AB77" t="str">
        <f>""</f>
        <v/>
      </c>
      <c r="AC77" t="str">
        <f>""</f>
        <v/>
      </c>
      <c r="AD77" t="str">
        <f>""</f>
        <v/>
      </c>
      <c r="AE77" t="str">
        <f>""</f>
        <v/>
      </c>
      <c r="AF77" t="str">
        <f>""</f>
        <v/>
      </c>
      <c r="AG77" t="str">
        <f>""</f>
        <v/>
      </c>
      <c r="AH77" t="str">
        <f>""</f>
        <v/>
      </c>
      <c r="AI77" t="str">
        <f>""</f>
        <v/>
      </c>
    </row>
    <row r="78" spans="1:35" x14ac:dyDescent="0.25">
      <c r="A78" t="str">
        <f>""</f>
        <v/>
      </c>
      <c r="B78" t="str">
        <f>""</f>
        <v/>
      </c>
      <c r="E78" t="str">
        <f>"Static"</f>
        <v>Static</v>
      </c>
      <c r="F78" t="str">
        <f t="shared" ca="1" si="21"/>
        <v/>
      </c>
      <c r="G78" t="str">
        <f t="shared" ca="1" si="21"/>
        <v/>
      </c>
      <c r="H78" t="str">
        <f t="shared" ca="1" si="21"/>
        <v/>
      </c>
      <c r="I78" t="str">
        <f t="shared" ca="1" si="21"/>
        <v/>
      </c>
      <c r="J78" t="str">
        <f t="shared" ca="1" si="21"/>
        <v/>
      </c>
      <c r="K78" t="str">
        <f t="shared" ca="1" si="21"/>
        <v/>
      </c>
      <c r="L78" t="str">
        <f t="shared" ca="1" si="21"/>
        <v/>
      </c>
      <c r="M78" t="str">
        <f t="shared" ca="1" si="21"/>
        <v/>
      </c>
      <c r="N78" t="str">
        <f t="shared" ca="1" si="21"/>
        <v/>
      </c>
      <c r="O78" t="str">
        <f t="shared" ca="1" si="21"/>
        <v/>
      </c>
      <c r="P78" t="str">
        <f t="shared" ca="1" si="21"/>
        <v/>
      </c>
      <c r="Q78" t="str">
        <f t="shared" ca="1" si="21"/>
        <v/>
      </c>
      <c r="R78" t="str">
        <f t="shared" ca="1" si="21"/>
        <v/>
      </c>
      <c r="S78" t="str">
        <f t="shared" ca="1" si="21"/>
        <v/>
      </c>
      <c r="T78" t="str">
        <f t="shared" ca="1" si="21"/>
        <v/>
      </c>
      <c r="U78" t="str">
        <f>""</f>
        <v/>
      </c>
      <c r="V78" t="str">
        <f>""</f>
        <v/>
      </c>
      <c r="W78" t="str">
        <f>""</f>
        <v/>
      </c>
      <c r="X78" t="str">
        <f>""</f>
        <v/>
      </c>
      <c r="Y78" t="str">
        <f>""</f>
        <v/>
      </c>
      <c r="Z78" t="str">
        <f>""</f>
        <v/>
      </c>
      <c r="AA78" t="str">
        <f>""</f>
        <v/>
      </c>
      <c r="AB78" t="str">
        <f>""</f>
        <v/>
      </c>
      <c r="AC78" t="str">
        <f>""</f>
        <v/>
      </c>
      <c r="AD78" t="str">
        <f>""</f>
        <v/>
      </c>
      <c r="AE78" t="str">
        <f>""</f>
        <v/>
      </c>
      <c r="AF78" t="str">
        <f>""</f>
        <v/>
      </c>
      <c r="AG78" t="str">
        <f>""</f>
        <v/>
      </c>
      <c r="AH78" t="str">
        <f>""</f>
        <v/>
      </c>
      <c r="AI78" t="str">
        <f>""</f>
        <v/>
      </c>
    </row>
    <row r="79" spans="1:35" x14ac:dyDescent="0.25">
      <c r="A79" t="str">
        <f>"Regional Breakdown"</f>
        <v>Regional Breakdown</v>
      </c>
      <c r="B79" t="str">
        <f>""</f>
        <v/>
      </c>
      <c r="E79" t="str">
        <f>"Heading"</f>
        <v>Heading</v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>""</f>
        <v/>
      </c>
      <c r="AB79" t="str">
        <f>""</f>
        <v/>
      </c>
      <c r="AC79" t="str">
        <f>""</f>
        <v/>
      </c>
      <c r="AD79" t="str">
        <f>""</f>
        <v/>
      </c>
      <c r="AE79" t="str">
        <f>""</f>
        <v/>
      </c>
      <c r="AF79" t="str">
        <f>""</f>
        <v/>
      </c>
      <c r="AG79" t="str">
        <f>""</f>
        <v/>
      </c>
      <c r="AH79" t="str">
        <f>""</f>
        <v/>
      </c>
      <c r="AI79" t="str">
        <f>""</f>
        <v/>
      </c>
    </row>
    <row r="80" spans="1:35" x14ac:dyDescent="0.25">
      <c r="A80" t="str">
        <f>"    "</f>
        <v xml:space="preserve">    </v>
      </c>
      <c r="B80" t="str">
        <f>""</f>
        <v/>
      </c>
      <c r="E80" t="str">
        <f>"Static"</f>
        <v>Static</v>
      </c>
      <c r="F80" t="str">
        <f t="shared" ref="F80:T81" ca="1" si="22">HLOOKUP(INDIRECT(ADDRESS(2,COLUMN())),OFFSET($U$2,0,0,ROW()-1,15),ROW()-1,FALSE)</f>
        <v/>
      </c>
      <c r="G80" t="str">
        <f t="shared" ca="1" si="22"/>
        <v/>
      </c>
      <c r="H80" t="str">
        <f t="shared" ca="1" si="22"/>
        <v/>
      </c>
      <c r="I80" t="str">
        <f t="shared" ca="1" si="22"/>
        <v/>
      </c>
      <c r="J80" t="str">
        <f t="shared" ca="1" si="22"/>
        <v/>
      </c>
      <c r="K80" t="str">
        <f t="shared" ca="1" si="22"/>
        <v/>
      </c>
      <c r="L80" t="str">
        <f t="shared" ca="1" si="22"/>
        <v/>
      </c>
      <c r="M80" t="str">
        <f t="shared" ca="1" si="22"/>
        <v/>
      </c>
      <c r="N80" t="str">
        <f t="shared" ca="1" si="22"/>
        <v/>
      </c>
      <c r="O80" t="str">
        <f t="shared" ca="1" si="22"/>
        <v/>
      </c>
      <c r="P80" t="str">
        <f t="shared" ca="1" si="22"/>
        <v/>
      </c>
      <c r="Q80" t="str">
        <f t="shared" ca="1" si="22"/>
        <v/>
      </c>
      <c r="R80" t="str">
        <f t="shared" ca="1" si="22"/>
        <v/>
      </c>
      <c r="S80" t="str">
        <f t="shared" ca="1" si="22"/>
        <v/>
      </c>
      <c r="T80" t="str">
        <f t="shared" ca="1" si="22"/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t="str">
        <f>""</f>
        <v/>
      </c>
      <c r="AC80" t="str">
        <f>""</f>
        <v/>
      </c>
      <c r="AD80" t="str">
        <f>""</f>
        <v/>
      </c>
      <c r="AE80" t="str">
        <f>""</f>
        <v/>
      </c>
      <c r="AF80" t="str">
        <f>""</f>
        <v/>
      </c>
      <c r="AG80" t="str">
        <f>""</f>
        <v/>
      </c>
      <c r="AH80" t="str">
        <f>""</f>
        <v/>
      </c>
      <c r="AI80" t="str">
        <f>""</f>
        <v/>
      </c>
    </row>
    <row r="81" spans="1:35" x14ac:dyDescent="0.25">
      <c r="A81" t="str">
        <f>"    Revenue"</f>
        <v xml:space="preserve">    Revenue</v>
      </c>
      <c r="B81" t="str">
        <f>""</f>
        <v/>
      </c>
      <c r="E81" t="str">
        <f>"Static"</f>
        <v>Static</v>
      </c>
      <c r="F81" t="str">
        <f t="shared" ca="1" si="22"/>
        <v/>
      </c>
      <c r="G81" t="str">
        <f t="shared" ca="1" si="22"/>
        <v/>
      </c>
      <c r="H81" t="str">
        <f t="shared" ca="1" si="22"/>
        <v/>
      </c>
      <c r="I81" t="str">
        <f t="shared" ca="1" si="22"/>
        <v/>
      </c>
      <c r="J81" t="str">
        <f t="shared" ca="1" si="22"/>
        <v/>
      </c>
      <c r="K81" t="str">
        <f t="shared" ca="1" si="22"/>
        <v/>
      </c>
      <c r="L81" t="str">
        <f t="shared" ca="1" si="22"/>
        <v/>
      </c>
      <c r="M81" t="str">
        <f t="shared" ca="1" si="22"/>
        <v/>
      </c>
      <c r="N81" t="str">
        <f t="shared" ca="1" si="22"/>
        <v/>
      </c>
      <c r="O81" t="str">
        <f t="shared" ca="1" si="22"/>
        <v/>
      </c>
      <c r="P81" t="str">
        <f t="shared" ca="1" si="22"/>
        <v/>
      </c>
      <c r="Q81" t="str">
        <f t="shared" ca="1" si="22"/>
        <v/>
      </c>
      <c r="R81" t="str">
        <f t="shared" ca="1" si="22"/>
        <v/>
      </c>
      <c r="S81" t="str">
        <f t="shared" ca="1" si="22"/>
        <v/>
      </c>
      <c r="T81" t="str">
        <f t="shared" ca="1" si="22"/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t="str">
        <f>""</f>
        <v/>
      </c>
      <c r="AC81" t="str">
        <f>""</f>
        <v/>
      </c>
      <c r="AD81" t="str">
        <f>""</f>
        <v/>
      </c>
      <c r="AE81" t="str">
        <f>""</f>
        <v/>
      </c>
      <c r="AF81" t="str">
        <f>""</f>
        <v/>
      </c>
      <c r="AG81" t="str">
        <f>""</f>
        <v/>
      </c>
      <c r="AH81" t="str">
        <f>""</f>
        <v/>
      </c>
      <c r="AI81" t="str">
        <f>""</f>
        <v/>
      </c>
    </row>
    <row r="82" spans="1:35" x14ac:dyDescent="0.25">
      <c r="A82" t="str">
        <f>"        North America"</f>
        <v xml:space="preserve">        North America</v>
      </c>
      <c r="B82" t="str">
        <f>"INFY US Equity"</f>
        <v>INFY US Equity</v>
      </c>
      <c r="C82" t="str">
        <f>"BI047"</f>
        <v>BI047</v>
      </c>
      <c r="D82" t="str">
        <f>"BICS_SEGMENT_DATA"</f>
        <v>BICS_SEGMENT_DATA</v>
      </c>
      <c r="E82" t="str">
        <f>"Dynamic"</f>
        <v>Dynamic</v>
      </c>
      <c r="F82">
        <f ca="1">IF(AND(ISNUMBER($F$148),$B$102=1),$F$148,HLOOKUP(INDIRECT(ADDRESS(2,COLUMN())),OFFSET($U$2,0,0,ROW()-1,15),ROW()-1,FALSE))</f>
        <v>7874.0805579999997</v>
      </c>
      <c r="G82">
        <f ca="1">IF(AND(ISNUMBER($G$148),$B$102=1),$G$148,HLOOKUP(INDIRECT(ADDRESS(2,COLUMN())),OFFSET($U$2,0,0,ROW()-1,15),ROW()-1,FALSE))</f>
        <v>7158.7448009999998</v>
      </c>
      <c r="H82">
        <f ca="1">IF(AND(ISNUMBER($H$148),$B$102=1),$H$148,HLOOKUP(INDIRECT(ADDRESS(2,COLUMN())),OFFSET($U$2,0,0,ROW()-1,15),ROW()-1,FALSE))</f>
        <v>6603.9899299999997</v>
      </c>
      <c r="I82">
        <f ca="1">IF(AND(ISNUMBER($I$148),$B$102=1),$I$148,HLOOKUP(INDIRECT(ADDRESS(2,COLUMN())),OFFSET($U$2,0,0,ROW()-1,15),ROW()-1,FALSE))</f>
        <v>6325.7234129999997</v>
      </c>
      <c r="J82">
        <f ca="1">IF(AND(ISNUMBER($J$148),$B$102=1),$J$148,HLOOKUP(INDIRECT(ADDRESS(2,COLUMN())),OFFSET($U$2,0,0,ROW()-1,15),ROW()-1,FALSE))</f>
        <v>5984.3790710000003</v>
      </c>
      <c r="K82">
        <f ca="1">IF(AND(ISNUMBER($K$148),$B$102=1),$K$148,HLOOKUP(INDIRECT(ADDRESS(2,COLUMN())),OFFSET($U$2,0,0,ROW()-1,15),ROW()-1,FALSE))</f>
        <v>5365.1230679999999</v>
      </c>
      <c r="L82">
        <f ca="1">IF(AND(ISNUMBER($L$148),$B$102=1),$L$148,HLOOKUP(INDIRECT(ADDRESS(2,COLUMN())),OFFSET($U$2,0,0,ROW()-1,15),ROW()-1,FALSE))</f>
        <v>5037.1177109999999</v>
      </c>
      <c r="M82">
        <f ca="1">IF(AND(ISNUMBER($M$148),$B$102=1),$M$148,HLOOKUP(INDIRECT(ADDRESS(2,COLUMN())),OFFSET($U$2,0,0,ROW()-1,15),ROW()-1,FALSE))</f>
        <v>4616.0818810000001</v>
      </c>
      <c r="N82">
        <f ca="1">IF(AND(ISNUMBER($N$148),$B$102=1),$N$148,HLOOKUP(INDIRECT(ADDRESS(2,COLUMN())),OFFSET($U$2,0,0,ROW()-1,15),ROW()-1,FALSE))</f>
        <v>4510.4188770000001</v>
      </c>
      <c r="O82">
        <f ca="1">IF(AND(ISNUMBER($O$148),$B$102=1),$O$148,HLOOKUP(INDIRECT(ADDRESS(2,COLUMN())),OFFSET($U$2,0,0,ROW()-1,15),ROW()-1,FALSE))</f>
        <v>3942.5040389999999</v>
      </c>
      <c r="P82">
        <f ca="1">IF(AND(ISNUMBER($P$148),$B$102=1),$P$148,HLOOKUP(INDIRECT(ADDRESS(2,COLUMN())),OFFSET($U$2,0,0,ROW()-1,15),ROW()-1,FALSE))</f>
        <v>3160.6711639999999</v>
      </c>
      <c r="Q82">
        <f ca="1">IF(AND(ISNUMBER($Q$148),$B$102=1),$Q$148,HLOOKUP(INDIRECT(ADDRESS(2,COLUMN())),OFFSET($U$2,0,0,ROW()-1,15),ROW()-1,FALSE))</f>
        <v>3008.6622670000002</v>
      </c>
      <c r="R82">
        <f ca="1">IF(AND(ISNUMBER($R$148),$B$102=1),$R$148,HLOOKUP(INDIRECT(ADDRESS(2,COLUMN())),OFFSET($U$2,0,0,ROW()-1,15),ROW()-1,FALSE))</f>
        <v>2573.167512</v>
      </c>
      <c r="S82">
        <f ca="1">IF(AND(ISNUMBER($S$148),$B$102=1),$S$148,HLOOKUP(INDIRECT(ADDRESS(2,COLUMN())),OFFSET($U$2,0,0,ROW()-1,15),ROW()-1,FALSE))</f>
        <v>1945.7821349999999</v>
      </c>
      <c r="T82">
        <f ca="1">IF(AND(ISNUMBER($T$148),$B$102=1),$T$148,HLOOKUP(INDIRECT(ADDRESS(2,COLUMN())),OFFSET($U$2,0,0,ROW()-1,15),ROW()-1,FALSE))</f>
        <v>1393.7441839999999</v>
      </c>
      <c r="U82">
        <f>7874.080558</f>
        <v>7874.0805579999997</v>
      </c>
      <c r="V82">
        <f>7158.744801</f>
        <v>7158.7448009999998</v>
      </c>
      <c r="W82">
        <f>6603.98993</f>
        <v>6603.9899299999997</v>
      </c>
      <c r="X82">
        <f>6325.723413</f>
        <v>6325.7234129999997</v>
      </c>
      <c r="Y82">
        <f>5984.379071</f>
        <v>5984.3790710000003</v>
      </c>
      <c r="Z82">
        <f>5365.123068</f>
        <v>5365.1230679999999</v>
      </c>
      <c r="AA82">
        <f>5037.117711</f>
        <v>5037.1177109999999</v>
      </c>
      <c r="AB82">
        <f>4616.081881</f>
        <v>4616.0818810000001</v>
      </c>
      <c r="AC82">
        <f>4510.418877</f>
        <v>4510.4188770000001</v>
      </c>
      <c r="AD82">
        <f>3942.504039</f>
        <v>3942.5040389999999</v>
      </c>
      <c r="AE82">
        <f>3160.671164</f>
        <v>3160.6711639999999</v>
      </c>
      <c r="AF82">
        <f>3008.662267</f>
        <v>3008.6622670000002</v>
      </c>
      <c r="AG82">
        <f>2573.167512</f>
        <v>2573.167512</v>
      </c>
      <c r="AH82">
        <f>1945.782135</f>
        <v>1945.7821349999999</v>
      </c>
      <c r="AI82">
        <f>1393.744184</f>
        <v>1393.7441839999999</v>
      </c>
    </row>
    <row r="83" spans="1:35" x14ac:dyDescent="0.25">
      <c r="A83" t="str">
        <f>"        Europe"</f>
        <v xml:space="preserve">        Europe</v>
      </c>
      <c r="B83" t="str">
        <f>"INFY US Equity"</f>
        <v>INFY US Equity</v>
      </c>
      <c r="C83" t="str">
        <f>"BI047"</f>
        <v>BI047</v>
      </c>
      <c r="D83" t="str">
        <f>"BICS_SEGMENT_DATA"</f>
        <v>BICS_SEGMENT_DATA</v>
      </c>
      <c r="E83" t="str">
        <f>"Dynamic"</f>
        <v>Dynamic</v>
      </c>
      <c r="F83">
        <f ca="1">IF(AND(ISNUMBER($F$149),$B$102=1),$F$149,HLOOKUP(INDIRECT(ADDRESS(2,COLUMN())),OFFSET($U$2,0,0,ROW()-1,15),ROW()-1,FALSE))</f>
        <v>3092.2348360000001</v>
      </c>
      <c r="G83">
        <f ca="1">IF(AND(ISNUMBER($G$149),$B$102=1),$G$149,HLOOKUP(INDIRECT(ADDRESS(2,COLUMN())),OFFSET($U$2,0,0,ROW()-1,15),ROW()-1,FALSE))</f>
        <v>2853.0254770000001</v>
      </c>
      <c r="H83">
        <f ca="1">IF(AND(ISNUMBER($H$149),$B$102=1),$H$149,HLOOKUP(INDIRECT(ADDRESS(2,COLUMN())),OFFSET($U$2,0,0,ROW()-1,15),ROW()-1,FALSE))</f>
        <v>2596.3026060000002</v>
      </c>
      <c r="I83">
        <f ca="1">IF(AND(ISNUMBER($I$149),$B$102=1),$I$149,HLOOKUP(INDIRECT(ADDRESS(2,COLUMN())),OFFSET($U$2,0,0,ROW()-1,15),ROW()-1,FALSE))</f>
        <v>2295.9237589999998</v>
      </c>
      <c r="J83">
        <f ca="1">IF(AND(ISNUMBER($J$149),$B$102=1),$J$149,HLOOKUP(INDIRECT(ADDRESS(2,COLUMN())),OFFSET($U$2,0,0,ROW()-1,15),ROW()-1,FALSE))</f>
        <v>2197.6412369999998</v>
      </c>
      <c r="K83">
        <f ca="1">IF(AND(ISNUMBER($K$149),$B$102=1),$K$149,HLOOKUP(INDIRECT(ADDRESS(2,COLUMN())),OFFSET($U$2,0,0,ROW()-1,15),ROW()-1,FALSE))</f>
        <v>2098.8340499999999</v>
      </c>
      <c r="L83">
        <f ca="1">IF(AND(ISNUMBER($L$149),$B$102=1),$L$149,HLOOKUP(INDIRECT(ADDRESS(2,COLUMN())),OFFSET($U$2,0,0,ROW()-1,15),ROW()-1,FALSE))</f>
        <v>2028.8919860000001</v>
      </c>
      <c r="M83">
        <f ca="1">IF(AND(ISNUMBER($M$149),$B$102=1),$M$149,HLOOKUP(INDIRECT(ADDRESS(2,COLUMN())),OFFSET($U$2,0,0,ROW()-1,15),ROW()-1,FALSE))</f>
        <v>1717.124352</v>
      </c>
      <c r="N83">
        <f ca="1">IF(AND(ISNUMBER($N$149),$B$102=1),$N$149,HLOOKUP(INDIRECT(ADDRESS(2,COLUMN())),OFFSET($U$2,0,0,ROW()-1,15),ROW()-1,FALSE))</f>
        <v>1549.9656460000001</v>
      </c>
      <c r="O83">
        <f ca="1">IF(AND(ISNUMBER($O$149),$B$102=1),$O$149,HLOOKUP(INDIRECT(ADDRESS(2,COLUMN())),OFFSET($U$2,0,0,ROW()-1,15),ROW()-1,FALSE))</f>
        <v>1301.215138</v>
      </c>
      <c r="P83">
        <f ca="1">IF(AND(ISNUMBER($P$149),$B$102=1),$P$149,HLOOKUP(INDIRECT(ADDRESS(2,COLUMN())),OFFSET($U$2,0,0,ROW()-1,15),ROW()-1,FALSE))</f>
        <v>1105.5593699999999</v>
      </c>
      <c r="Q83">
        <f ca="1">IF(AND(ISNUMBER($Q$149),$B$102=1),$Q$149,HLOOKUP(INDIRECT(ADDRESS(2,COLUMN())),OFFSET($U$2,0,0,ROW()-1,15),ROW()-1,FALSE))</f>
        <v>1249.5936400000001</v>
      </c>
      <c r="R83">
        <f ca="1">IF(AND(ISNUMBER($R$149),$B$102=1),$R$149,HLOOKUP(INDIRECT(ADDRESS(2,COLUMN())),OFFSET($U$2,0,0,ROW()-1,15),ROW()-1,FALSE))</f>
        <v>1164.377569</v>
      </c>
      <c r="S83">
        <f ca="1">IF(AND(ISNUMBER($S$149),$B$102=1),$S$149,HLOOKUP(INDIRECT(ADDRESS(2,COLUMN())),OFFSET($U$2,0,0,ROW()-1,15),ROW()-1,FALSE))</f>
        <v>809.96884139999997</v>
      </c>
      <c r="T83">
        <f ca="1">IF(AND(ISNUMBER($T$149),$B$102=1),$T$149,HLOOKUP(INDIRECT(ADDRESS(2,COLUMN())),OFFSET($U$2,0,0,ROW()-1,15),ROW()-1,FALSE))</f>
        <v>528.07719810000003</v>
      </c>
      <c r="U83">
        <f>3092.234836</f>
        <v>3092.2348360000001</v>
      </c>
      <c r="V83">
        <f>2853.025477</f>
        <v>2853.0254770000001</v>
      </c>
      <c r="W83">
        <f>2596.302606</f>
        <v>2596.3026060000002</v>
      </c>
      <c r="X83">
        <f>2295.923759</f>
        <v>2295.9237589999998</v>
      </c>
      <c r="Y83">
        <f>2197.641237</f>
        <v>2197.6412369999998</v>
      </c>
      <c r="Z83">
        <f>2098.83405</f>
        <v>2098.8340499999999</v>
      </c>
      <c r="AA83">
        <f>2028.891986</f>
        <v>2028.8919860000001</v>
      </c>
      <c r="AB83">
        <f>1717.124352</f>
        <v>1717.124352</v>
      </c>
      <c r="AC83">
        <f>1549.965646</f>
        <v>1549.9656460000001</v>
      </c>
      <c r="AD83">
        <f>1301.215138</f>
        <v>1301.215138</v>
      </c>
      <c r="AE83">
        <f>1105.55937</f>
        <v>1105.5593699999999</v>
      </c>
      <c r="AF83">
        <f>1249.59364</f>
        <v>1249.5936400000001</v>
      </c>
      <c r="AG83">
        <f>1164.377569</f>
        <v>1164.377569</v>
      </c>
      <c r="AH83">
        <f>809.9688414</f>
        <v>809.96884139999997</v>
      </c>
      <c r="AI83">
        <f>528.0771981</f>
        <v>528.07719810000003</v>
      </c>
    </row>
    <row r="84" spans="1:35" x14ac:dyDescent="0.25">
      <c r="A84" t="str">
        <f>"        India"</f>
        <v xml:space="preserve">        India</v>
      </c>
      <c r="B84" t="str">
        <f>"INFY US Equity"</f>
        <v>INFY US Equity</v>
      </c>
      <c r="C84" t="str">
        <f>"BI047"</f>
        <v>BI047</v>
      </c>
      <c r="D84" t="str">
        <f>"BICS_SEGMENT_DATA"</f>
        <v>BICS_SEGMENT_DATA</v>
      </c>
      <c r="E84" t="str">
        <f>"Dynamic"</f>
        <v>Dynamic</v>
      </c>
      <c r="F84">
        <f ca="1">IF(AND(ISNUMBER($F$150),$B$102=1),$F$150,HLOOKUP(INDIRECT(ADDRESS(2,COLUMN())),OFFSET($U$2,0,0,ROW()-1,15),ROW()-1,FALSE))</f>
        <v>333.68933140000001</v>
      </c>
      <c r="G84">
        <f ca="1">IF(AND(ISNUMBER($G$150),$B$102=1),$G$150,HLOOKUP(INDIRECT(ADDRESS(2,COLUMN())),OFFSET($U$2,0,0,ROW()-1,15),ROW()-1,FALSE))</f>
        <v>292.99950740000003</v>
      </c>
      <c r="H84">
        <f ca="1">IF(AND(ISNUMBER($H$150),$B$102=1),$H$150,HLOOKUP(INDIRECT(ADDRESS(2,COLUMN())),OFFSET($U$2,0,0,ROW()-1,15),ROW()-1,FALSE))</f>
        <v>346.05993030000002</v>
      </c>
      <c r="I84">
        <f ca="1">IF(AND(ISNUMBER($I$150),$B$102=1),$I$150,HLOOKUP(INDIRECT(ADDRESS(2,COLUMN())),OFFSET($U$2,0,0,ROW()-1,15),ROW()-1,FALSE))</f>
        <v>325.176312</v>
      </c>
      <c r="J84">
        <f ca="1">IF(AND(ISNUMBER($J$150),$B$102=1),$J$150,HLOOKUP(INDIRECT(ADDRESS(2,COLUMN())),OFFSET($U$2,0,0,ROW()-1,15),ROW()-1,FALSE))</f>
        <v>248.15777700000001</v>
      </c>
      <c r="K84">
        <f ca="1">IF(AND(ISNUMBER($K$150),$B$102=1),$K$150,HLOOKUP(INDIRECT(ADDRESS(2,COLUMN())),OFFSET($U$2,0,0,ROW()-1,15),ROW()-1,FALSE))</f>
        <v>210.06336580000001</v>
      </c>
      <c r="L84">
        <f ca="1">IF(AND(ISNUMBER($L$150),$B$102=1),$L$150,HLOOKUP(INDIRECT(ADDRESS(2,COLUMN())),OFFSET($U$2,0,0,ROW()-1,15),ROW()-1,FALSE))</f>
        <v>214.31724320000001</v>
      </c>
      <c r="M84">
        <f ca="1">IF(AND(ISNUMBER($M$150),$B$102=1),$M$150,HLOOKUP(INDIRECT(ADDRESS(2,COLUMN())),OFFSET($U$2,0,0,ROW()-1,15),ROW()-1,FALSE))</f>
        <v>154.6478453</v>
      </c>
      <c r="N84">
        <f ca="1">IF(AND(ISNUMBER($N$150),$B$102=1),$N$150,HLOOKUP(INDIRECT(ADDRESS(2,COLUMN())),OFFSET($U$2,0,0,ROW()-1,15),ROW()-1,FALSE))</f>
        <v>156.65103400000001</v>
      </c>
      <c r="O84">
        <f ca="1">IF(AND(ISNUMBER($O$150),$B$102=1),$O$150,HLOOKUP(INDIRECT(ADDRESS(2,COLUMN())),OFFSET($U$2,0,0,ROW()-1,15),ROW()-1,FALSE))</f>
        <v>131.5046174</v>
      </c>
      <c r="P84">
        <f ca="1">IF(AND(ISNUMBER($P$150),$B$102=1),$P$150,HLOOKUP(INDIRECT(ADDRESS(2,COLUMN())),OFFSET($U$2,0,0,ROW()-1,15),ROW()-1,FALSE))</f>
        <v>56.998478120000001</v>
      </c>
      <c r="Q84">
        <f ca="1">IF(AND(ISNUMBER($Q$150),$B$102=1),$Q$150,HLOOKUP(INDIRECT(ADDRESS(2,COLUMN())),OFFSET($U$2,0,0,ROW()-1,15),ROW()-1,FALSE))</f>
        <v>62.205888459999997</v>
      </c>
      <c r="R84">
        <f ca="1">IF(AND(ISNUMBER($R$150),$B$102=1),$R$150,HLOOKUP(INDIRECT(ADDRESS(2,COLUMN())),OFFSET($U$2,0,0,ROW()-1,15),ROW()-1,FALSE))</f>
        <v>54.45199393</v>
      </c>
      <c r="S84">
        <f ca="1">IF(AND(ISNUMBER($S$150),$B$102=1),$S$150,HLOOKUP(INDIRECT(ADDRESS(2,COLUMN())),OFFSET($U$2,0,0,ROW()-1,15),ROW()-1,FALSE))</f>
        <v>47.528193479999999</v>
      </c>
      <c r="T84">
        <f ca="1">IF(AND(ISNUMBER($T$150),$B$102=1),$T$150,HLOOKUP(INDIRECT(ADDRESS(2,COLUMN())),OFFSET($U$2,0,0,ROW()-1,15),ROW()-1,FALSE))</f>
        <v>37.284012709999999</v>
      </c>
      <c r="U84">
        <f>333.6893314</f>
        <v>333.68933140000001</v>
      </c>
      <c r="V84">
        <f>292.9995074</f>
        <v>292.99950740000003</v>
      </c>
      <c r="W84">
        <f>346.0599303</f>
        <v>346.05993030000002</v>
      </c>
      <c r="X84">
        <f>325.176312</f>
        <v>325.176312</v>
      </c>
      <c r="Y84">
        <f>248.157777</f>
        <v>248.15777700000001</v>
      </c>
      <c r="Z84">
        <f>210.0633658</f>
        <v>210.06336580000001</v>
      </c>
      <c r="AA84">
        <f>214.3172432</f>
        <v>214.31724320000001</v>
      </c>
      <c r="AB84">
        <f>154.6478453</f>
        <v>154.6478453</v>
      </c>
      <c r="AC84">
        <f>156.651034</f>
        <v>156.65103400000001</v>
      </c>
      <c r="AD84">
        <f>131.5046174</f>
        <v>131.5046174</v>
      </c>
      <c r="AE84">
        <f>56.99847812</f>
        <v>56.998478120000001</v>
      </c>
      <c r="AF84">
        <f>62.20588846</f>
        <v>62.205888459999997</v>
      </c>
      <c r="AG84">
        <f>54.45199393</f>
        <v>54.45199393</v>
      </c>
      <c r="AH84">
        <f>47.52819348</f>
        <v>47.528193479999999</v>
      </c>
      <c r="AI84">
        <f>37.28401271</f>
        <v>37.284012709999999</v>
      </c>
    </row>
    <row r="85" spans="1:35" x14ac:dyDescent="0.25">
      <c r="A85" t="str">
        <f>"        Rest of World"</f>
        <v xml:space="preserve">        Rest of World</v>
      </c>
      <c r="B85" t="str">
        <f>"INFY US Equity"</f>
        <v>INFY US Equity</v>
      </c>
      <c r="C85" t="str">
        <f>"BI047"</f>
        <v>BI047</v>
      </c>
      <c r="D85" t="str">
        <f>"BICS_SEGMENT_DATA"</f>
        <v>BICS_SEGMENT_DATA</v>
      </c>
      <c r="E85" t="str">
        <f>"Dynamic"</f>
        <v>Dynamic</v>
      </c>
      <c r="F85">
        <f ca="1">IF(AND(ISNUMBER($F$151),$B$102=1),$F$151,HLOOKUP(INDIRECT(ADDRESS(2,COLUMN())),OFFSET($U$2,0,0,ROW()-1,15),ROW()-1,FALSE))</f>
        <v>1510.13823</v>
      </c>
      <c r="G85">
        <f ca="1">IF(AND(ISNUMBER($G$151),$B$102=1),$G$151,HLOOKUP(INDIRECT(ADDRESS(2,COLUMN())),OFFSET($U$2,0,0,ROW()-1,15),ROW()-1,FALSE))</f>
        <v>1523.225467</v>
      </c>
      <c r="H85">
        <f ca="1">IF(AND(ISNUMBER($H$151),$B$102=1),$H$151,HLOOKUP(INDIRECT(ADDRESS(2,COLUMN())),OFFSET($U$2,0,0,ROW()-1,15),ROW()-1,FALSE))</f>
        <v>1392.615892</v>
      </c>
      <c r="I85">
        <f ca="1">IF(AND(ISNUMBER($I$151),$B$102=1),$I$151,HLOOKUP(INDIRECT(ADDRESS(2,COLUMN())),OFFSET($U$2,0,0,ROW()-1,15),ROW()-1,FALSE))</f>
        <v>1268.485944</v>
      </c>
      <c r="J85">
        <f ca="1">IF(AND(ISNUMBER($J$151),$B$102=1),$J$151,HLOOKUP(INDIRECT(ADDRESS(2,COLUMN())),OFFSET($U$2,0,0,ROW()-1,15),ROW()-1,FALSE))</f>
        <v>1117.0922479999999</v>
      </c>
      <c r="K85">
        <f ca="1">IF(AND(ISNUMBER($K$151),$B$102=1),$K$151,HLOOKUP(INDIRECT(ADDRESS(2,COLUMN())),OFFSET($U$2,0,0,ROW()-1,15),ROW()-1,FALSE))</f>
        <v>1049.0080230000001</v>
      </c>
      <c r="L85">
        <f ca="1">IF(AND(ISNUMBER($L$151),$B$102=1),$L$151,HLOOKUP(INDIRECT(ADDRESS(2,COLUMN())),OFFSET($U$2,0,0,ROW()-1,15),ROW()-1,FALSE))</f>
        <v>1022.8928079999999</v>
      </c>
      <c r="M85">
        <f ca="1">IF(AND(ISNUMBER($M$151),$B$102=1),$M$151,HLOOKUP(INDIRECT(ADDRESS(2,COLUMN())),OFFSET($U$2,0,0,ROW()-1,15),ROW()-1,FALSE))</f>
        <v>932.3003281</v>
      </c>
      <c r="N85">
        <f ca="1">IF(AND(ISNUMBER($N$151),$B$102=1),$N$151,HLOOKUP(INDIRECT(ADDRESS(2,COLUMN())),OFFSET($U$2,0,0,ROW()-1,15),ROW()-1,FALSE))</f>
        <v>847.75853710000001</v>
      </c>
      <c r="O85">
        <f ca="1">IF(AND(ISNUMBER($O$151),$B$102=1),$O$151,HLOOKUP(INDIRECT(ADDRESS(2,COLUMN())),OFFSET($U$2,0,0,ROW()-1,15),ROW()-1,FALSE))</f>
        <v>662.35297279999997</v>
      </c>
      <c r="P85">
        <f ca="1">IF(AND(ISNUMBER($P$151),$B$102=1),$P$151,HLOOKUP(INDIRECT(ADDRESS(2,COLUMN())),OFFSET($U$2,0,0,ROW()-1,15),ROW()-1,FALSE))</f>
        <v>477.73168879999997</v>
      </c>
      <c r="Q85">
        <f ca="1">IF(AND(ISNUMBER($Q$151),$B$102=1),$Q$151,HLOOKUP(INDIRECT(ADDRESS(2,COLUMN())),OFFSET($U$2,0,0,ROW()-1,15),ROW()-1,FALSE))</f>
        <v>431.0605228</v>
      </c>
      <c r="R85">
        <f ca="1">IF(AND(ISNUMBER($R$151),$B$102=1),$R$151,HLOOKUP(INDIRECT(ADDRESS(2,COLUMN())),OFFSET($U$2,0,0,ROW()-1,15),ROW()-1,FALSE))</f>
        <v>358.28914730000002</v>
      </c>
      <c r="S85">
        <f ca="1">IF(AND(ISNUMBER($S$151),$B$102=1),$S$151,HLOOKUP(INDIRECT(ADDRESS(2,COLUMN())),OFFSET($U$2,0,0,ROW()-1,15),ROW()-1,FALSE))</f>
        <v>267.92637439999999</v>
      </c>
      <c r="T85">
        <f ca="1">IF(AND(ISNUMBER($T$151),$B$102=1),$T$151,HLOOKUP(INDIRECT(ADDRESS(2,COLUMN())),OFFSET($U$2,0,0,ROW()-1,15),ROW()-1,FALSE))</f>
        <v>192.29512009999999</v>
      </c>
      <c r="U85">
        <f>1510.13823</f>
        <v>1510.13823</v>
      </c>
      <c r="V85">
        <f>1523.225467</f>
        <v>1523.225467</v>
      </c>
      <c r="W85">
        <f>1392.615892</f>
        <v>1392.615892</v>
      </c>
      <c r="X85">
        <f>1268.485944</f>
        <v>1268.485944</v>
      </c>
      <c r="Y85">
        <f>1117.092248</f>
        <v>1117.0922479999999</v>
      </c>
      <c r="Z85">
        <f>1049.008023</f>
        <v>1049.0080230000001</v>
      </c>
      <c r="AA85">
        <f>1022.892808</f>
        <v>1022.8928079999999</v>
      </c>
      <c r="AB85">
        <f>932.3003281</f>
        <v>932.3003281</v>
      </c>
      <c r="AC85">
        <f>847.7585371</f>
        <v>847.75853710000001</v>
      </c>
      <c r="AD85">
        <f>662.3529728</f>
        <v>662.35297279999997</v>
      </c>
      <c r="AE85">
        <f>477.7316888</f>
        <v>477.73168879999997</v>
      </c>
      <c r="AF85">
        <f>431.0605228</f>
        <v>431.0605228</v>
      </c>
      <c r="AG85">
        <f>358.2891473</f>
        <v>358.28914730000002</v>
      </c>
      <c r="AH85">
        <f>267.9263744</f>
        <v>267.92637439999999</v>
      </c>
      <c r="AI85">
        <f>192.2951201</f>
        <v>192.29512009999999</v>
      </c>
    </row>
    <row r="86" spans="1:35" x14ac:dyDescent="0.25">
      <c r="A86" t="str">
        <f>""</f>
        <v/>
      </c>
      <c r="B86" t="str">
        <f>""</f>
        <v/>
      </c>
      <c r="E86" t="str">
        <f>"Static"</f>
        <v>Static</v>
      </c>
      <c r="F86" t="str">
        <f t="shared" ref="F86:T86" ca="1" si="23">HLOOKUP(INDIRECT(ADDRESS(2,COLUMN())),OFFSET($U$2,0,0,ROW()-1,15),ROW()-1,FALSE)</f>
        <v/>
      </c>
      <c r="G86" t="str">
        <f t="shared" ca="1" si="23"/>
        <v/>
      </c>
      <c r="H86" t="str">
        <f t="shared" ca="1" si="23"/>
        <v/>
      </c>
      <c r="I86" t="str">
        <f t="shared" ca="1" si="23"/>
        <v/>
      </c>
      <c r="J86" t="str">
        <f t="shared" ca="1" si="23"/>
        <v/>
      </c>
      <c r="K86" t="str">
        <f t="shared" ca="1" si="23"/>
        <v/>
      </c>
      <c r="L86" t="str">
        <f t="shared" ca="1" si="23"/>
        <v/>
      </c>
      <c r="M86" t="str">
        <f t="shared" ca="1" si="23"/>
        <v/>
      </c>
      <c r="N86" t="str">
        <f t="shared" ca="1" si="23"/>
        <v/>
      </c>
      <c r="O86" t="str">
        <f t="shared" ca="1" si="23"/>
        <v/>
      </c>
      <c r="P86" t="str">
        <f t="shared" ca="1" si="23"/>
        <v/>
      </c>
      <c r="Q86" t="str">
        <f t="shared" ca="1" si="23"/>
        <v/>
      </c>
      <c r="R86" t="str">
        <f t="shared" ca="1" si="23"/>
        <v/>
      </c>
      <c r="S86" t="str">
        <f t="shared" ca="1" si="23"/>
        <v/>
      </c>
      <c r="T86" t="str">
        <f t="shared" ca="1" si="23"/>
        <v/>
      </c>
      <c r="U86" t="str">
        <f>""</f>
        <v/>
      </c>
      <c r="V86" t="str">
        <f>""</f>
        <v/>
      </c>
      <c r="W86" t="str">
        <f>""</f>
        <v/>
      </c>
      <c r="X86" t="str">
        <f>""</f>
        <v/>
      </c>
      <c r="Y86" t="str">
        <f>""</f>
        <v/>
      </c>
      <c r="Z86" t="str">
        <f>""</f>
        <v/>
      </c>
      <c r="AA86" t="str">
        <f>""</f>
        <v/>
      </c>
      <c r="AB86" t="str">
        <f>""</f>
        <v/>
      </c>
      <c r="AC86" t="str">
        <f>""</f>
        <v/>
      </c>
      <c r="AD86" t="str">
        <f>""</f>
        <v/>
      </c>
      <c r="AE86" t="str">
        <f>""</f>
        <v/>
      </c>
      <c r="AF86" t="str">
        <f>""</f>
        <v/>
      </c>
      <c r="AG86" t="str">
        <f>""</f>
        <v/>
      </c>
      <c r="AH86" t="str">
        <f>""</f>
        <v/>
      </c>
      <c r="AI86" t="str">
        <f>""</f>
        <v/>
      </c>
    </row>
    <row r="87" spans="1:35" x14ac:dyDescent="0.25"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  <c r="Z87" t="str">
        <f>""</f>
        <v/>
      </c>
      <c r="AA87" t="str">
        <f>""</f>
        <v/>
      </c>
      <c r="AB87" t="str">
        <f>""</f>
        <v/>
      </c>
      <c r="AC87" t="str">
        <f>""</f>
        <v/>
      </c>
      <c r="AD87" t="str">
        <f>""</f>
        <v/>
      </c>
      <c r="AE87" t="str">
        <f>""</f>
        <v/>
      </c>
      <c r="AF87" t="str">
        <f>""</f>
        <v/>
      </c>
      <c r="AG87" t="str">
        <f>""</f>
        <v/>
      </c>
      <c r="AH87" t="str">
        <f>""</f>
        <v/>
      </c>
      <c r="AI87" t="str">
        <f>""</f>
        <v/>
      </c>
    </row>
    <row r="88" spans="1:35" x14ac:dyDescent="0.25">
      <c r="U88" t="str">
        <f>""</f>
        <v/>
      </c>
      <c r="V88" t="str">
        <f>""</f>
        <v/>
      </c>
      <c r="W88" t="str">
        <f>""</f>
        <v/>
      </c>
      <c r="X88" t="str">
        <f>""</f>
        <v/>
      </c>
      <c r="Y88" t="str">
        <f>""</f>
        <v/>
      </c>
      <c r="Z88" t="str">
        <f>""</f>
        <v/>
      </c>
      <c r="AA88" t="str">
        <f>""</f>
        <v/>
      </c>
      <c r="AB88" t="str">
        <f>""</f>
        <v/>
      </c>
      <c r="AC88" t="str">
        <f>""</f>
        <v/>
      </c>
      <c r="AD88" t="str">
        <f>""</f>
        <v/>
      </c>
      <c r="AE88" t="str">
        <f>""</f>
        <v/>
      </c>
      <c r="AF88" t="str">
        <f>""</f>
        <v/>
      </c>
      <c r="AG88" t="str">
        <f>""</f>
        <v/>
      </c>
      <c r="AH88" t="str">
        <f>""</f>
        <v/>
      </c>
      <c r="AI88" t="str">
        <f>""</f>
        <v/>
      </c>
    </row>
    <row r="89" spans="1:35" x14ac:dyDescent="0.25"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>""</f>
        <v/>
      </c>
      <c r="AB89" t="str">
        <f>""</f>
        <v/>
      </c>
      <c r="AC89" t="str">
        <f>""</f>
        <v/>
      </c>
      <c r="AD89" t="str">
        <f>""</f>
        <v/>
      </c>
      <c r="AE89" t="str">
        <f>""</f>
        <v/>
      </c>
      <c r="AF89" t="str">
        <f>""</f>
        <v/>
      </c>
      <c r="AG89" t="str">
        <f>""</f>
        <v/>
      </c>
      <c r="AH89" t="str">
        <f>""</f>
        <v/>
      </c>
      <c r="AI89" t="str">
        <f>""</f>
        <v/>
      </c>
    </row>
    <row r="90" spans="1:35" x14ac:dyDescent="0.25">
      <c r="U90" t="str">
        <f>""</f>
        <v/>
      </c>
      <c r="V90" t="str">
        <f>""</f>
        <v/>
      </c>
      <c r="W90" t="str">
        <f>""</f>
        <v/>
      </c>
      <c r="X90" t="str">
        <f>""</f>
        <v/>
      </c>
      <c r="Y90" t="str">
        <f>""</f>
        <v/>
      </c>
      <c r="Z90" t="str">
        <f>""</f>
        <v/>
      </c>
      <c r="AA90" t="str">
        <f>""</f>
        <v/>
      </c>
      <c r="AB90" t="str">
        <f>""</f>
        <v/>
      </c>
      <c r="AC90" t="str">
        <f>""</f>
        <v/>
      </c>
      <c r="AD90" t="str">
        <f>""</f>
        <v/>
      </c>
      <c r="AE90" t="str">
        <f>""</f>
        <v/>
      </c>
      <c r="AF90" t="str">
        <f>""</f>
        <v/>
      </c>
      <c r="AG90" t="str">
        <f>""</f>
        <v/>
      </c>
      <c r="AH90" t="str">
        <f>""</f>
        <v/>
      </c>
      <c r="AI90" t="str">
        <f>""</f>
        <v/>
      </c>
    </row>
    <row r="91" spans="1:35" x14ac:dyDescent="0.25">
      <c r="U91" t="str">
        <f>""</f>
        <v/>
      </c>
      <c r="V91" t="str">
        <f>""</f>
        <v/>
      </c>
      <c r="W91" t="str">
        <f>""</f>
        <v/>
      </c>
      <c r="X91" t="str">
        <f>""</f>
        <v/>
      </c>
      <c r="Y91" t="str">
        <f>""</f>
        <v/>
      </c>
      <c r="Z91" t="str">
        <f>""</f>
        <v/>
      </c>
      <c r="AA91" t="str">
        <f>""</f>
        <v/>
      </c>
      <c r="AB91" t="str">
        <f>""</f>
        <v/>
      </c>
      <c r="AC91" t="str">
        <f>""</f>
        <v/>
      </c>
      <c r="AD91" t="str">
        <f>""</f>
        <v/>
      </c>
      <c r="AE91" t="str">
        <f>""</f>
        <v/>
      </c>
      <c r="AF91" t="str">
        <f>""</f>
        <v/>
      </c>
      <c r="AG91" t="str">
        <f>""</f>
        <v/>
      </c>
      <c r="AH91" t="str">
        <f>""</f>
        <v/>
      </c>
      <c r="AI91" t="str">
        <f>""</f>
        <v/>
      </c>
    </row>
    <row r="92" spans="1:35" x14ac:dyDescent="0.25"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  <c r="Z92" t="str">
        <f>""</f>
        <v/>
      </c>
      <c r="AA92" t="str">
        <f>""</f>
        <v/>
      </c>
      <c r="AB92" t="str">
        <f>""</f>
        <v/>
      </c>
      <c r="AC92" t="str">
        <f>""</f>
        <v/>
      </c>
      <c r="AD92" t="str">
        <f>""</f>
        <v/>
      </c>
      <c r="AE92" t="str">
        <f>""</f>
        <v/>
      </c>
      <c r="AF92" t="str">
        <f>""</f>
        <v/>
      </c>
      <c r="AG92" t="str">
        <f>""</f>
        <v/>
      </c>
      <c r="AH92" t="str">
        <f>""</f>
        <v/>
      </c>
      <c r="AI92" t="str">
        <f>""</f>
        <v/>
      </c>
    </row>
    <row r="93" spans="1:35" x14ac:dyDescent="0.25"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>""</f>
        <v/>
      </c>
      <c r="AB93" t="str">
        <f>""</f>
        <v/>
      </c>
      <c r="AC93" t="str">
        <f>""</f>
        <v/>
      </c>
      <c r="AD93" t="str">
        <f>""</f>
        <v/>
      </c>
      <c r="AE93" t="str">
        <f>""</f>
        <v/>
      </c>
      <c r="AF93" t="str">
        <f>""</f>
        <v/>
      </c>
      <c r="AG93" t="str">
        <f>""</f>
        <v/>
      </c>
      <c r="AH93" t="str">
        <f>""</f>
        <v/>
      </c>
      <c r="AI93" t="str">
        <f>""</f>
        <v/>
      </c>
    </row>
    <row r="94" spans="1:35" x14ac:dyDescent="0.25">
      <c r="A94" t="str">
        <f t="shared" ref="A94:T94" si="24">"~~~~~~~~~~"</f>
        <v>~~~~~~~~~~</v>
      </c>
      <c r="B94" t="str">
        <f t="shared" si="24"/>
        <v>~~~~~~~~~~</v>
      </c>
      <c r="C94" t="str">
        <f t="shared" si="24"/>
        <v>~~~~~~~~~~</v>
      </c>
      <c r="D94" t="str">
        <f t="shared" si="24"/>
        <v>~~~~~~~~~~</v>
      </c>
      <c r="E94" t="str">
        <f t="shared" si="24"/>
        <v>~~~~~~~~~~</v>
      </c>
      <c r="F94" t="str">
        <f t="shared" si="24"/>
        <v>~~~~~~~~~~</v>
      </c>
      <c r="G94" t="str">
        <f t="shared" si="24"/>
        <v>~~~~~~~~~~</v>
      </c>
      <c r="H94" t="str">
        <f t="shared" si="24"/>
        <v>~~~~~~~~~~</v>
      </c>
      <c r="I94" t="str">
        <f t="shared" si="24"/>
        <v>~~~~~~~~~~</v>
      </c>
      <c r="J94" t="str">
        <f t="shared" si="24"/>
        <v>~~~~~~~~~~</v>
      </c>
      <c r="K94" t="str">
        <f t="shared" si="24"/>
        <v>~~~~~~~~~~</v>
      </c>
      <c r="L94" t="str">
        <f t="shared" si="24"/>
        <v>~~~~~~~~~~</v>
      </c>
      <c r="M94" t="str">
        <f t="shared" si="24"/>
        <v>~~~~~~~~~~</v>
      </c>
      <c r="N94" t="str">
        <f t="shared" si="24"/>
        <v>~~~~~~~~~~</v>
      </c>
      <c r="O94" t="str">
        <f t="shared" si="24"/>
        <v>~~~~~~~~~~</v>
      </c>
      <c r="P94" t="str">
        <f t="shared" si="24"/>
        <v>~~~~~~~~~~</v>
      </c>
      <c r="Q94" t="str">
        <f t="shared" si="24"/>
        <v>~~~~~~~~~~</v>
      </c>
      <c r="R94" t="str">
        <f t="shared" si="24"/>
        <v>~~~~~~~~~~</v>
      </c>
      <c r="S94" t="str">
        <f t="shared" si="24"/>
        <v>~~~~~~~~~~</v>
      </c>
      <c r="T94" t="str">
        <f t="shared" si="24"/>
        <v>~~~~~~~~~~</v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  <c r="Z94" t="str">
        <f>""</f>
        <v/>
      </c>
      <c r="AA94" t="str">
        <f>""</f>
        <v/>
      </c>
      <c r="AB94" t="str">
        <f>""</f>
        <v/>
      </c>
      <c r="AC94" t="str">
        <f>""</f>
        <v/>
      </c>
      <c r="AD94" t="str">
        <f>""</f>
        <v/>
      </c>
      <c r="AE94" t="str">
        <f>""</f>
        <v/>
      </c>
      <c r="AF94" t="str">
        <f>""</f>
        <v/>
      </c>
      <c r="AG94" t="str">
        <f>""</f>
        <v/>
      </c>
      <c r="AH94" t="str">
        <f>""</f>
        <v/>
      </c>
      <c r="AI94" t="str">
        <f>""</f>
        <v/>
      </c>
    </row>
    <row r="95" spans="1:35" x14ac:dyDescent="0.25">
      <c r="A95" t="str">
        <f>"All rows below have been added for reference by formula rows above."</f>
        <v>All rows below have been added for reference by formula rows above.</v>
      </c>
      <c r="U95" t="str">
        <f>""</f>
        <v/>
      </c>
      <c r="V95" t="str">
        <f>""</f>
        <v/>
      </c>
      <c r="W95" t="str">
        <f>""</f>
        <v/>
      </c>
      <c r="X95" t="str">
        <f>""</f>
        <v/>
      </c>
      <c r="Y95" t="str">
        <f>""</f>
        <v/>
      </c>
      <c r="Z95" t="str">
        <f>""</f>
        <v/>
      </c>
      <c r="AA95" t="str">
        <f>""</f>
        <v/>
      </c>
      <c r="AB95" t="str">
        <f>""</f>
        <v/>
      </c>
      <c r="AC95" t="str">
        <f>""</f>
        <v/>
      </c>
      <c r="AD95" t="str">
        <f>""</f>
        <v/>
      </c>
      <c r="AE95" t="str">
        <f>""</f>
        <v/>
      </c>
      <c r="AF95" t="str">
        <f>""</f>
        <v/>
      </c>
      <c r="AG95" t="str">
        <f>""</f>
        <v/>
      </c>
      <c r="AH95" t="str">
        <f>""</f>
        <v/>
      </c>
      <c r="AI95" t="str">
        <f>""</f>
        <v/>
      </c>
    </row>
    <row r="96" spans="1:35" x14ac:dyDescent="0.25">
      <c r="A96">
        <f>RTD("bloomberg.ccyreader", "", "#track", "DBG", "BIHITX", "1.0","RepeatHit")</f>
        <v>0</v>
      </c>
      <c r="U96" t="str">
        <f>""</f>
        <v/>
      </c>
      <c r="V96" t="str">
        <f>""</f>
        <v/>
      </c>
      <c r="W96" t="str">
        <f>""</f>
        <v/>
      </c>
      <c r="X96" t="str">
        <f>""</f>
        <v/>
      </c>
      <c r="Y96" t="str">
        <f>""</f>
        <v/>
      </c>
      <c r="Z96" t="str">
        <f>""</f>
        <v/>
      </c>
      <c r="AA96" t="str">
        <f>""</f>
        <v/>
      </c>
      <c r="AB96" t="str">
        <f>""</f>
        <v/>
      </c>
      <c r="AC96" t="str">
        <f>""</f>
        <v/>
      </c>
      <c r="AD96" t="str">
        <f>""</f>
        <v/>
      </c>
      <c r="AE96" t="str">
        <f>""</f>
        <v/>
      </c>
      <c r="AF96" t="str">
        <f>""</f>
        <v/>
      </c>
      <c r="AG96" t="str">
        <f>""</f>
        <v/>
      </c>
      <c r="AH96" t="str">
        <f>""</f>
        <v/>
      </c>
      <c r="AI96" t="str">
        <f>""</f>
        <v/>
      </c>
    </row>
    <row r="97" spans="1:35" x14ac:dyDescent="0.25">
      <c r="A97" t="str">
        <f>"Currency"</f>
        <v>Currency</v>
      </c>
      <c r="B97" t="str">
        <f>"USD"</f>
        <v>USD</v>
      </c>
      <c r="U97" t="str">
        <f>""</f>
        <v/>
      </c>
      <c r="V97" t="str">
        <f>""</f>
        <v/>
      </c>
      <c r="W97" t="str">
        <f>""</f>
        <v/>
      </c>
      <c r="X97" t="str">
        <f>""</f>
        <v/>
      </c>
      <c r="Y97" t="str">
        <f>""</f>
        <v/>
      </c>
      <c r="Z97" t="str">
        <f>""</f>
        <v/>
      </c>
      <c r="AA97" t="str">
        <f>""</f>
        <v/>
      </c>
      <c r="AB97" t="str">
        <f>""</f>
        <v/>
      </c>
      <c r="AC97" t="str">
        <f>""</f>
        <v/>
      </c>
      <c r="AD97" t="str">
        <f>""</f>
        <v/>
      </c>
      <c r="AE97" t="str">
        <f>""</f>
        <v/>
      </c>
      <c r="AF97" t="str">
        <f>""</f>
        <v/>
      </c>
      <c r="AG97" t="str">
        <f>""</f>
        <v/>
      </c>
      <c r="AH97" t="str">
        <f>""</f>
        <v/>
      </c>
      <c r="AI97" t="str">
        <f>""</f>
        <v/>
      </c>
    </row>
    <row r="98" spans="1:35" x14ac:dyDescent="0.25">
      <c r="A98" t="str">
        <f>"Periodicity"</f>
        <v>Periodicity</v>
      </c>
      <c r="B98" t="str">
        <f>"CY"</f>
        <v>CY</v>
      </c>
      <c r="C98" t="str">
        <f>"AY"</f>
        <v>AY</v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t="str">
        <f>""</f>
        <v/>
      </c>
      <c r="AC98" t="str">
        <f>""</f>
        <v/>
      </c>
      <c r="AD98" t="str">
        <f>""</f>
        <v/>
      </c>
      <c r="AE98" t="str">
        <f>""</f>
        <v/>
      </c>
      <c r="AF98" t="str">
        <f>""</f>
        <v/>
      </c>
      <c r="AG98" t="str">
        <f>""</f>
        <v/>
      </c>
      <c r="AH98" t="str">
        <f>""</f>
        <v/>
      </c>
      <c r="AI98" t="str">
        <f>""</f>
        <v/>
      </c>
    </row>
    <row r="99" spans="1:35" x14ac:dyDescent="0.25">
      <c r="A99" t="str">
        <f>"Number of Periods"</f>
        <v>Number of Periods</v>
      </c>
      <c r="B99">
        <f>15</f>
        <v>15</v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>""</f>
        <v/>
      </c>
      <c r="AB99" t="str">
        <f>""</f>
        <v/>
      </c>
      <c r="AC99" t="str">
        <f>""</f>
        <v/>
      </c>
      <c r="AD99" t="str">
        <f>""</f>
        <v/>
      </c>
      <c r="AE99" t="str">
        <f>""</f>
        <v/>
      </c>
      <c r="AF99" t="str">
        <f>""</f>
        <v/>
      </c>
      <c r="AG99" t="str">
        <f>""</f>
        <v/>
      </c>
      <c r="AH99" t="str">
        <f>""</f>
        <v/>
      </c>
      <c r="AI99" t="str">
        <f>""</f>
        <v/>
      </c>
    </row>
    <row r="100" spans="1:35" x14ac:dyDescent="0.25">
      <c r="A100" t="str">
        <f>"Start Date"</f>
        <v>Start Date</v>
      </c>
      <c r="B100" t="str">
        <f>CONCATENATE("-",$B$99,$B$98)</f>
        <v>-15CY</v>
      </c>
      <c r="C100" t="str">
        <f>CONCATENATE("-",$B$99,$C$98)</f>
        <v>-15AY</v>
      </c>
      <c r="U100" t="str">
        <f>""</f>
        <v/>
      </c>
      <c r="V100" t="str">
        <f>""</f>
        <v/>
      </c>
      <c r="W100" t="str">
        <f>""</f>
        <v/>
      </c>
      <c r="X100" t="str">
        <f>""</f>
        <v/>
      </c>
      <c r="Y100" t="str">
        <f>""</f>
        <v/>
      </c>
      <c r="Z100" t="str">
        <f>""</f>
        <v/>
      </c>
      <c r="AA100" t="str">
        <f>""</f>
        <v/>
      </c>
      <c r="AB100" t="str">
        <f>""</f>
        <v/>
      </c>
      <c r="AC100" t="str">
        <f>""</f>
        <v/>
      </c>
      <c r="AD100" t="str">
        <f>""</f>
        <v/>
      </c>
      <c r="AE100" t="str">
        <f>""</f>
        <v/>
      </c>
      <c r="AF100" t="str">
        <f>""</f>
        <v/>
      </c>
      <c r="AG100" t="str">
        <f>""</f>
        <v/>
      </c>
      <c r="AH100" t="str">
        <f>""</f>
        <v/>
      </c>
      <c r="AI100" t="str">
        <f>""</f>
        <v/>
      </c>
    </row>
    <row r="101" spans="1:35" x14ac:dyDescent="0.25">
      <c r="A101" t="str">
        <f>"End Date"</f>
        <v>End Date</v>
      </c>
      <c r="B101">
        <f ca="1">TODAY()</f>
        <v>43999</v>
      </c>
      <c r="U101" t="str">
        <f>""</f>
        <v/>
      </c>
      <c r="V101" t="str">
        <f>""</f>
        <v/>
      </c>
      <c r="W101" t="str">
        <f>""</f>
        <v/>
      </c>
      <c r="X101" t="str">
        <f>""</f>
        <v/>
      </c>
      <c r="Y101" t="str">
        <f>""</f>
        <v/>
      </c>
      <c r="Z101" t="str">
        <f>""</f>
        <v/>
      </c>
      <c r="AA101" t="str">
        <f>""</f>
        <v/>
      </c>
      <c r="AB101" t="str">
        <f>""</f>
        <v/>
      </c>
      <c r="AC101" t="str">
        <f>""</f>
        <v/>
      </c>
      <c r="AD101" t="str">
        <f>""</f>
        <v/>
      </c>
      <c r="AE101" t="str">
        <f>""</f>
        <v/>
      </c>
      <c r="AF101" t="str">
        <f>""</f>
        <v/>
      </c>
      <c r="AG101" t="str">
        <f>""</f>
        <v/>
      </c>
      <c r="AH101" t="str">
        <f>""</f>
        <v/>
      </c>
      <c r="AI101" t="str">
        <f>""</f>
        <v/>
      </c>
    </row>
    <row r="102" spans="1:35" x14ac:dyDescent="0.25">
      <c r="A102" t="str">
        <f>"HeaderStatus"</f>
        <v>HeaderStatus</v>
      </c>
      <c r="B102">
        <f ca="1">$B$171*$B$179</f>
        <v>4</v>
      </c>
      <c r="U102" t="str">
        <f>""</f>
        <v/>
      </c>
      <c r="V102" t="str">
        <f>""</f>
        <v/>
      </c>
      <c r="W102" t="str">
        <f>""</f>
        <v/>
      </c>
      <c r="X102" t="str">
        <f>""</f>
        <v/>
      </c>
      <c r="Y102" t="str">
        <f>""</f>
        <v/>
      </c>
      <c r="Z102" t="str">
        <f>""</f>
        <v/>
      </c>
      <c r="AA102" t="str">
        <f>""</f>
        <v/>
      </c>
      <c r="AB102" t="str">
        <f>""</f>
        <v/>
      </c>
      <c r="AC102" t="str">
        <f>""</f>
        <v/>
      </c>
      <c r="AD102" t="str">
        <f>""</f>
        <v/>
      </c>
      <c r="AE102" t="str">
        <f>""</f>
        <v/>
      </c>
      <c r="AF102" t="str">
        <f>""</f>
        <v/>
      </c>
      <c r="AG102" t="str">
        <f>""</f>
        <v/>
      </c>
      <c r="AH102" t="str">
        <f>""</f>
        <v/>
      </c>
      <c r="AI102" t="str">
        <f>""</f>
        <v/>
      </c>
    </row>
    <row r="103" spans="1:35" x14ac:dyDescent="0.25">
      <c r="U103" t="str">
        <f>""</f>
        <v/>
      </c>
      <c r="V103" t="str">
        <f>""</f>
        <v/>
      </c>
      <c r="W103" t="str">
        <f>""</f>
        <v/>
      </c>
      <c r="X103" t="str">
        <f>""</f>
        <v/>
      </c>
      <c r="Y103" t="str">
        <f>""</f>
        <v/>
      </c>
      <c r="Z103" t="str">
        <f>""</f>
        <v/>
      </c>
      <c r="AA103" t="str">
        <f>""</f>
        <v/>
      </c>
      <c r="AB103" t="str">
        <f>""</f>
        <v/>
      </c>
      <c r="AC103" t="str">
        <f>""</f>
        <v/>
      </c>
      <c r="AD103" t="str">
        <f>""</f>
        <v/>
      </c>
      <c r="AE103" t="str">
        <f>""</f>
        <v/>
      </c>
      <c r="AF103" t="str">
        <f>""</f>
        <v/>
      </c>
      <c r="AG103" t="str">
        <f>""</f>
        <v/>
      </c>
      <c r="AH103" t="str">
        <f>""</f>
        <v/>
      </c>
      <c r="AI103" t="str">
        <f>""</f>
        <v/>
      </c>
    </row>
    <row r="104" spans="1:35" x14ac:dyDescent="0.25">
      <c r="B104" t="str">
        <f>"INFY US Equity"</f>
        <v>INFY US Equity</v>
      </c>
      <c r="C104" t="str">
        <f>"M5589"</f>
        <v>M5589</v>
      </c>
      <c r="D104" t="str">
        <f>"PCT_ONLINE_REV_TO_TOT_SALES"</f>
        <v>PCT_ONLINE_REV_TO_TOT_SALES</v>
      </c>
      <c r="E104" t="str">
        <f>"Dynamic"</f>
        <v>Dynamic</v>
      </c>
      <c r="F104" t="str">
        <f ca="1">_xll.BDH($B$104,$C$104,$B$100,$B$101,CONCATENATE("Per=",$B$98),"Dts=H","Dir=H",CONCATENATE("Points=",$B$99),"Sort=R","Days=A","Fill=B","DS276=Y",CONCATENATE("FX=", $B$97) )</f>
        <v/>
      </c>
      <c r="U104" t="str">
        <f>""</f>
        <v/>
      </c>
      <c r="V104" t="str">
        <f>""</f>
        <v/>
      </c>
      <c r="W104" t="str">
        <f>""</f>
        <v/>
      </c>
      <c r="X104" t="str">
        <f>""</f>
        <v/>
      </c>
      <c r="Y104" t="str">
        <f>""</f>
        <v/>
      </c>
      <c r="Z104" t="str">
        <f>""</f>
        <v/>
      </c>
      <c r="AA104" t="str">
        <f>""</f>
        <v/>
      </c>
      <c r="AB104" t="str">
        <f>""</f>
        <v/>
      </c>
      <c r="AC104" t="str">
        <f>""</f>
        <v/>
      </c>
      <c r="AD104" t="str">
        <f>""</f>
        <v/>
      </c>
      <c r="AE104" t="str">
        <f>""</f>
        <v/>
      </c>
      <c r="AF104" t="str">
        <f>""</f>
        <v/>
      </c>
      <c r="AG104" t="str">
        <f>""</f>
        <v/>
      </c>
      <c r="AH104" t="str">
        <f>""</f>
        <v/>
      </c>
      <c r="AI104" t="str">
        <f>""</f>
        <v/>
      </c>
    </row>
    <row r="105" spans="1:35" x14ac:dyDescent="0.25">
      <c r="A105" t="str">
        <f>$A$8</f>
        <v xml:space="preserve">    Revenue Growth (%) YoY</v>
      </c>
      <c r="B105" t="str">
        <f>$B$8</f>
        <v>INFO IN Equity</v>
      </c>
      <c r="C105" t="str">
        <f>$C$8</f>
        <v>S6188</v>
      </c>
      <c r="D105" t="str">
        <f>$D$8</f>
        <v>ARDR_REVENUE_GROWTH</v>
      </c>
      <c r="E105" t="str">
        <f>$E$8</f>
        <v>Dynamic</v>
      </c>
      <c r="F105" t="str">
        <f ca="1">_xll.BDH($B$8,$C$8,$B$100,$B$101,CONCATENATE("Per=",$B$98),"Dts=H","Dir=H",CONCATENATE("Points=",$B$99),"Sort=R","Days=A","Fill=B",CONCATENATE("FX=", $B$97) )</f>
        <v/>
      </c>
      <c r="U105" t="str">
        <f>""</f>
        <v/>
      </c>
      <c r="V105" t="str">
        <f>""</f>
        <v/>
      </c>
      <c r="W105" t="str">
        <f>""</f>
        <v/>
      </c>
      <c r="X105" t="str">
        <f>""</f>
        <v/>
      </c>
      <c r="Y105" t="str">
        <f>""</f>
        <v/>
      </c>
      <c r="Z105" t="str">
        <f>""</f>
        <v/>
      </c>
      <c r="AA105" t="str">
        <f>""</f>
        <v/>
      </c>
      <c r="AB105" t="str">
        <f>""</f>
        <v/>
      </c>
      <c r="AC105" t="str">
        <f>""</f>
        <v/>
      </c>
      <c r="AD105" t="str">
        <f>""</f>
        <v/>
      </c>
      <c r="AE105" t="str">
        <f>""</f>
        <v/>
      </c>
      <c r="AF105" t="str">
        <f>""</f>
        <v/>
      </c>
      <c r="AG105" t="str">
        <f>""</f>
        <v/>
      </c>
      <c r="AH105" t="str">
        <f>""</f>
        <v/>
      </c>
      <c r="AI105" t="str">
        <f>""</f>
        <v/>
      </c>
    </row>
    <row r="106" spans="1:35" x14ac:dyDescent="0.25">
      <c r="A106" t="str">
        <f>$A$10</f>
        <v xml:space="preserve">            Financial Services</v>
      </c>
      <c r="B106" t="str">
        <f>$B$10</f>
        <v>INFY US Equity</v>
      </c>
      <c r="C106" t="str">
        <f>$C$10</f>
        <v>BI047</v>
      </c>
      <c r="D106" t="str">
        <f>$D$10</f>
        <v>BICS_SEGMENT_DATA</v>
      </c>
      <c r="E106" t="str">
        <f>$E$10</f>
        <v>Dynamic</v>
      </c>
      <c r="F106" t="str">
        <f ca="1">_xll.BDH($B$10,$C$10,$B$100,$B$101,CONCATENATE("Per=",$B$98),"Dts=H","Dir=H",CONCATENATE("Points=",$B$99),"Sort=R","Days=A","Fill=B","DZ666=129","DZ381=18141010","DZ667=1","DS276=Y",CONCATENATE("FX=", $B$97),"cols=15;rows=1")</f>
        <v/>
      </c>
      <c r="H106">
        <v>7.1</v>
      </c>
      <c r="U106" t="str">
        <f>""</f>
        <v/>
      </c>
      <c r="V106" t="str">
        <f>""</f>
        <v/>
      </c>
      <c r="W106" t="str">
        <f>""</f>
        <v/>
      </c>
      <c r="X106" t="str">
        <f>""</f>
        <v/>
      </c>
      <c r="Y106" t="str">
        <f>""</f>
        <v/>
      </c>
      <c r="Z106" t="str">
        <f>""</f>
        <v/>
      </c>
      <c r="AA106" t="str">
        <f>""</f>
        <v/>
      </c>
      <c r="AB106" t="str">
        <f>""</f>
        <v/>
      </c>
      <c r="AC106" t="str">
        <f>""</f>
        <v/>
      </c>
      <c r="AD106" t="str">
        <f>""</f>
        <v/>
      </c>
      <c r="AE106" t="str">
        <f>""</f>
        <v/>
      </c>
      <c r="AF106" t="str">
        <f>""</f>
        <v/>
      </c>
      <c r="AG106" t="str">
        <f>""</f>
        <v/>
      </c>
      <c r="AH106" t="str">
        <f>""</f>
        <v/>
      </c>
      <c r="AI106" t="str">
        <f>""</f>
        <v/>
      </c>
    </row>
    <row r="107" spans="1:35" x14ac:dyDescent="0.25">
      <c r="A107" t="str">
        <f>$A$11</f>
        <v xml:space="preserve">            Retail</v>
      </c>
      <c r="B107" t="str">
        <f>$B$11</f>
        <v>INFY US Equity</v>
      </c>
      <c r="C107" t="str">
        <f>$C$11</f>
        <v>BI047</v>
      </c>
      <c r="D107" t="str">
        <f>$D$11</f>
        <v>BICS_SEGMENT_DATA</v>
      </c>
      <c r="E107" t="str">
        <f>$E$11</f>
        <v>Dynamic</v>
      </c>
      <c r="F107" t="str">
        <f ca="1">_xll.BDH($B$11,$C$11,$B$100,$B$101,CONCATENATE("Per=",$B$98),"Dts=H","Dir=H",CONCATENATE("Points=",$B$99),"Sort=R","Days=A","Fill=B","DZ666=129","DZ381=18141010","DZ667=153","DS276=Y",CONCATENATE("FX=", $B$97),"cols=15;rows=1")</f>
        <v/>
      </c>
      <c r="H107">
        <v>3.3</v>
      </c>
      <c r="U107" t="str">
        <f>""</f>
        <v/>
      </c>
      <c r="V107" t="str">
        <f>""</f>
        <v/>
      </c>
      <c r="W107" t="str">
        <f>""</f>
        <v/>
      </c>
      <c r="X107" t="str">
        <f>""</f>
        <v/>
      </c>
      <c r="Y107" t="str">
        <f>""</f>
        <v/>
      </c>
      <c r="Z107" t="str">
        <f>""</f>
        <v/>
      </c>
      <c r="AA107" t="str">
        <f>""</f>
        <v/>
      </c>
      <c r="AB107" t="str">
        <f>""</f>
        <v/>
      </c>
      <c r="AC107" t="str">
        <f>""</f>
        <v/>
      </c>
      <c r="AD107" t="str">
        <f>""</f>
        <v/>
      </c>
      <c r="AE107" t="str">
        <f>""</f>
        <v/>
      </c>
      <c r="AF107" t="str">
        <f>""</f>
        <v/>
      </c>
      <c r="AG107" t="str">
        <f>""</f>
        <v/>
      </c>
      <c r="AH107" t="str">
        <f>""</f>
        <v/>
      </c>
      <c r="AI107" t="str">
        <f>""</f>
        <v/>
      </c>
    </row>
    <row r="108" spans="1:35" x14ac:dyDescent="0.25">
      <c r="A108" t="str">
        <f>$A$12</f>
        <v xml:space="preserve">            Manufacturing</v>
      </c>
      <c r="B108" t="str">
        <f>$B$12</f>
        <v>INFY US Equity</v>
      </c>
      <c r="C108" t="str">
        <f>$C$12</f>
        <v>BI047</v>
      </c>
      <c r="D108" t="str">
        <f>$D$12</f>
        <v>BICS_SEGMENT_DATA</v>
      </c>
      <c r="E108" t="str">
        <f>$E$12</f>
        <v>Dynamic</v>
      </c>
      <c r="F108" t="str">
        <f ca="1">_xll.BDH($B$12,$C$12,$B$100,$B$101,CONCATENATE("Per=",$B$98),"Dts=H","Dir=H",CONCATENATE("Points=",$B$99),"Sort=R","Days=A","Fill=B","DZ666=129","DZ381=18141010","DZ667=152","DS276=Y",CONCATENATE("FX=", $B$97),"cols=15;rows=1")</f>
        <v/>
      </c>
      <c r="H108">
        <v>4.2</v>
      </c>
      <c r="U108" t="str">
        <f>""</f>
        <v/>
      </c>
      <c r="V108" t="str">
        <f>""</f>
        <v/>
      </c>
      <c r="W108" t="str">
        <f>""</f>
        <v/>
      </c>
      <c r="X108" t="str">
        <f>""</f>
        <v/>
      </c>
      <c r="Y108" t="str">
        <f>""</f>
        <v/>
      </c>
      <c r="Z108" t="str">
        <f>""</f>
        <v/>
      </c>
      <c r="AA108" t="str">
        <f>""</f>
        <v/>
      </c>
      <c r="AB108" t="str">
        <f>""</f>
        <v/>
      </c>
      <c r="AC108" t="str">
        <f>""</f>
        <v/>
      </c>
      <c r="AD108" t="str">
        <f>""</f>
        <v/>
      </c>
      <c r="AE108" t="str">
        <f>""</f>
        <v/>
      </c>
      <c r="AF108" t="str">
        <f>""</f>
        <v/>
      </c>
      <c r="AG108" t="str">
        <f>""</f>
        <v/>
      </c>
      <c r="AH108" t="str">
        <f>""</f>
        <v/>
      </c>
      <c r="AI108" t="str">
        <f>""</f>
        <v/>
      </c>
    </row>
    <row r="109" spans="1:35" x14ac:dyDescent="0.25">
      <c r="A109" t="str">
        <f>$A$13</f>
        <v xml:space="preserve">    Revenue Growth in Constant Currency (%) YoY</v>
      </c>
      <c r="B109" t="str">
        <f>$B$13</f>
        <v>INFY US Equity</v>
      </c>
      <c r="C109" t="str">
        <f>$C$13</f>
        <v>M0025</v>
      </c>
      <c r="D109" t="str">
        <f>$D$13</f>
        <v>1_YR_REVENUE_GROWTH_CC</v>
      </c>
      <c r="E109" t="str">
        <f>$E$13</f>
        <v>Dynamic</v>
      </c>
      <c r="F109">
        <f ca="1">_xll.BDH($B$13,$C$13,$B$100,$B$101,CONCATENATE("Per=",$B$98),"Dts=H","Dir=H",CONCATENATE("Points=",$B$99),"Sort=R","Days=A","Fill=B",CONCATENATE("FX=", $B$97),"cols=15;rows=1")</f>
        <v>9.8000000000000007</v>
      </c>
      <c r="G109">
        <v>9</v>
      </c>
      <c r="N109">
        <v>22.3</v>
      </c>
      <c r="O109">
        <v>22.3</v>
      </c>
      <c r="Q109">
        <v>5.9</v>
      </c>
      <c r="U109" t="str">
        <f>""</f>
        <v/>
      </c>
      <c r="V109" t="str">
        <f>""</f>
        <v/>
      </c>
      <c r="W109" t="str">
        <f>""</f>
        <v/>
      </c>
      <c r="X109" t="str">
        <f>""</f>
        <v/>
      </c>
      <c r="Y109" t="str">
        <f>""</f>
        <v/>
      </c>
      <c r="Z109" t="str">
        <f>""</f>
        <v/>
      </c>
      <c r="AA109" t="str">
        <f>""</f>
        <v/>
      </c>
      <c r="AB109" t="str">
        <f>""</f>
        <v/>
      </c>
      <c r="AC109" t="str">
        <f>""</f>
        <v/>
      </c>
      <c r="AD109" t="str">
        <f>""</f>
        <v/>
      </c>
      <c r="AE109" t="str">
        <f>""</f>
        <v/>
      </c>
      <c r="AF109" t="str">
        <f>""</f>
        <v/>
      </c>
      <c r="AG109" t="str">
        <f>""</f>
        <v/>
      </c>
      <c r="AH109" t="str">
        <f>""</f>
        <v/>
      </c>
      <c r="AI109" t="str">
        <f>""</f>
        <v/>
      </c>
    </row>
    <row r="110" spans="1:35" x14ac:dyDescent="0.25">
      <c r="A110" t="str">
        <f>$A$15</f>
        <v xml:space="preserve">            Financial Services</v>
      </c>
      <c r="B110" t="str">
        <f>$B$15</f>
        <v>INFY US Equity</v>
      </c>
      <c r="C110" t="str">
        <f>$C$15</f>
        <v>BI047</v>
      </c>
      <c r="D110" t="str">
        <f>$D$15</f>
        <v>BICS_SEGMENT_DATA</v>
      </c>
      <c r="E110" t="str">
        <f>$E$15</f>
        <v>Dynamic</v>
      </c>
      <c r="F110" t="str">
        <f ca="1">_xll.BDH($B$15,$C$15,$B$100,$B$101,CONCATENATE("Per=",$B$98),"Dts=H","Dir=H",CONCATENATE("Points=",$B$99),"Sort=R","Days=A","Fill=B","DZ666=311","DZ381=18141010","DZ667=1","DS276=Y",CONCATENATE("FX=", $B$97),"cols=15;rows=1")</f>
        <v/>
      </c>
      <c r="H110">
        <v>5.9</v>
      </c>
      <c r="U110" t="str">
        <f>""</f>
        <v/>
      </c>
      <c r="V110" t="str">
        <f>""</f>
        <v/>
      </c>
      <c r="W110" t="str">
        <f>""</f>
        <v/>
      </c>
      <c r="X110" t="str">
        <f>""</f>
        <v/>
      </c>
      <c r="Y110" t="str">
        <f>""</f>
        <v/>
      </c>
      <c r="Z110" t="str">
        <f>""</f>
        <v/>
      </c>
      <c r="AA110" t="str">
        <f>""</f>
        <v/>
      </c>
      <c r="AB110" t="str">
        <f>""</f>
        <v/>
      </c>
      <c r="AC110" t="str">
        <f>""</f>
        <v/>
      </c>
      <c r="AD110" t="str">
        <f>""</f>
        <v/>
      </c>
      <c r="AE110" t="str">
        <f>""</f>
        <v/>
      </c>
      <c r="AF110" t="str">
        <f>""</f>
        <v/>
      </c>
      <c r="AG110" t="str">
        <f>""</f>
        <v/>
      </c>
      <c r="AH110" t="str">
        <f>""</f>
        <v/>
      </c>
      <c r="AI110" t="str">
        <f>""</f>
        <v/>
      </c>
    </row>
    <row r="111" spans="1:35" x14ac:dyDescent="0.25">
      <c r="A111" t="str">
        <f>$A$16</f>
        <v xml:space="preserve">            Retail</v>
      </c>
      <c r="B111" t="str">
        <f>$B$16</f>
        <v>INFY US Equity</v>
      </c>
      <c r="C111" t="str">
        <f>$C$16</f>
        <v>BI047</v>
      </c>
      <c r="D111" t="str">
        <f>$D$16</f>
        <v>BICS_SEGMENT_DATA</v>
      </c>
      <c r="E111" t="str">
        <f>$E$16</f>
        <v>Dynamic</v>
      </c>
      <c r="F111" t="str">
        <f ca="1">_xll.BDH($B$16,$C$16,$B$100,$B$101,CONCATENATE("Per=",$B$98),"Dts=H","Dir=H",CONCATENATE("Points=",$B$99),"Sort=R","Days=A","Fill=B","DZ666=311","DZ381=18141010","DZ667=153","DS276=Y",CONCATENATE("FX=", $B$97),"cols=15;rows=1")</f>
        <v/>
      </c>
      <c r="H111">
        <v>2</v>
      </c>
      <c r="U111" t="str">
        <f>""</f>
        <v/>
      </c>
      <c r="V111" t="str">
        <f>""</f>
        <v/>
      </c>
      <c r="W111" t="str">
        <f>""</f>
        <v/>
      </c>
      <c r="X111" t="str">
        <f>""</f>
        <v/>
      </c>
      <c r="Y111" t="str">
        <f>""</f>
        <v/>
      </c>
      <c r="Z111" t="str">
        <f>""</f>
        <v/>
      </c>
      <c r="AA111" t="str">
        <f>""</f>
        <v/>
      </c>
      <c r="AB111" t="str">
        <f>""</f>
        <v/>
      </c>
      <c r="AC111" t="str">
        <f>""</f>
        <v/>
      </c>
      <c r="AD111" t="str">
        <f>""</f>
        <v/>
      </c>
      <c r="AE111" t="str">
        <f>""</f>
        <v/>
      </c>
      <c r="AF111" t="str">
        <f>""</f>
        <v/>
      </c>
      <c r="AG111" t="str">
        <f>""</f>
        <v/>
      </c>
      <c r="AH111" t="str">
        <f>""</f>
        <v/>
      </c>
      <c r="AI111" t="str">
        <f>""</f>
        <v/>
      </c>
    </row>
    <row r="112" spans="1:35" x14ac:dyDescent="0.25">
      <c r="A112" t="str">
        <f>$A$17</f>
        <v xml:space="preserve">            Manufacturing</v>
      </c>
      <c r="B112" t="str">
        <f>$B$17</f>
        <v>INFY US Equity</v>
      </c>
      <c r="C112" t="str">
        <f>$C$17</f>
        <v>BI047</v>
      </c>
      <c r="D112" t="str">
        <f>$D$17</f>
        <v>BICS_SEGMENT_DATA</v>
      </c>
      <c r="E112" t="str">
        <f>$E$17</f>
        <v>Dynamic</v>
      </c>
      <c r="F112" t="str">
        <f ca="1">_xll.BDH($B$17,$C$17,$B$100,$B$101,CONCATENATE("Per=",$B$98),"Dts=H","Dir=H",CONCATENATE("Points=",$B$99),"Sort=R","Days=A","Fill=B","DZ666=311","DZ381=18141010","DZ667=152","DS276=Y",CONCATENATE("FX=", $B$97),"cols=15;rows=1")</f>
        <v/>
      </c>
      <c r="H112">
        <v>3.1</v>
      </c>
      <c r="U112" t="str">
        <f>""</f>
        <v/>
      </c>
      <c r="V112" t="str">
        <f>""</f>
        <v/>
      </c>
      <c r="W112" t="str">
        <f>""</f>
        <v/>
      </c>
      <c r="X112" t="str">
        <f>""</f>
        <v/>
      </c>
      <c r="Y112" t="str">
        <f>""</f>
        <v/>
      </c>
      <c r="Z112" t="str">
        <f>""</f>
        <v/>
      </c>
      <c r="AA112" t="str">
        <f>""</f>
        <v/>
      </c>
      <c r="AB112" t="str">
        <f>""</f>
        <v/>
      </c>
      <c r="AC112" t="str">
        <f>""</f>
        <v/>
      </c>
      <c r="AD112" t="str">
        <f>""</f>
        <v/>
      </c>
      <c r="AE112" t="str">
        <f>""</f>
        <v/>
      </c>
      <c r="AF112" t="str">
        <f>""</f>
        <v/>
      </c>
      <c r="AG112" t="str">
        <f>""</f>
        <v/>
      </c>
      <c r="AH112" t="str">
        <f>""</f>
        <v/>
      </c>
      <c r="AI112" t="str">
        <f>""</f>
        <v/>
      </c>
    </row>
    <row r="113" spans="1:35" x14ac:dyDescent="0.25">
      <c r="A113" t="str">
        <f>$A$18</f>
        <v xml:space="preserve">    Revenue Growth (%) QoQ</v>
      </c>
      <c r="B113" t="str">
        <f>$B$18</f>
        <v>INFO IN Equity</v>
      </c>
      <c r="C113" t="str">
        <f>$C$18</f>
        <v>F0486</v>
      </c>
      <c r="D113" t="str">
        <f>$D$18</f>
        <v>REVENUE_SEQUENTIAL_GROWTH</v>
      </c>
      <c r="E113" t="str">
        <f>$E$18</f>
        <v>Dynamic</v>
      </c>
      <c r="F113">
        <f ca="1">_xll.BDH($B$18,$C$18,$B$100,$B$101,CONCATENATE("Per=",$B$98),"Dts=H","Dir=H",CONCATENATE("Points=",$B$99),"Sort=R","Days=A","Fill=B",CONCATENATE("FX=", $B$97),"cols=15;rows=1")</f>
        <v>9.8168000000000006</v>
      </c>
      <c r="G113">
        <v>17.232900000000001</v>
      </c>
      <c r="H113">
        <v>2.9759000000000002</v>
      </c>
      <c r="I113">
        <v>9.6778999999999993</v>
      </c>
      <c r="J113">
        <v>17.1083</v>
      </c>
      <c r="K113">
        <v>6.3551000000000002</v>
      </c>
      <c r="L113">
        <v>24.2392</v>
      </c>
      <c r="M113">
        <v>19.618200000000002</v>
      </c>
      <c r="N113">
        <v>22.6646</v>
      </c>
      <c r="O113">
        <v>20.925999999999998</v>
      </c>
      <c r="P113">
        <v>4.8357000000000001</v>
      </c>
      <c r="Q113">
        <v>29.9605</v>
      </c>
      <c r="R113">
        <v>20.146799999999999</v>
      </c>
      <c r="S113">
        <v>45.919499999999999</v>
      </c>
      <c r="T113">
        <v>33.540900000000001</v>
      </c>
      <c r="U113" t="str">
        <f>""</f>
        <v/>
      </c>
      <c r="V113" t="str">
        <f>""</f>
        <v/>
      </c>
      <c r="W113" t="str">
        <f>""</f>
        <v/>
      </c>
      <c r="X113" t="str">
        <f>""</f>
        <v/>
      </c>
      <c r="Y113" t="str">
        <f>""</f>
        <v/>
      </c>
      <c r="Z113" t="str">
        <f>""</f>
        <v/>
      </c>
      <c r="AA113" t="str">
        <f>""</f>
        <v/>
      </c>
      <c r="AB113" t="str">
        <f>""</f>
        <v/>
      </c>
      <c r="AC113" t="str">
        <f>""</f>
        <v/>
      </c>
      <c r="AD113" t="str">
        <f>""</f>
        <v/>
      </c>
      <c r="AE113" t="str">
        <f>""</f>
        <v/>
      </c>
      <c r="AF113" t="str">
        <f>""</f>
        <v/>
      </c>
      <c r="AG113" t="str">
        <f>""</f>
        <v/>
      </c>
      <c r="AH113" t="str">
        <f>""</f>
        <v/>
      </c>
      <c r="AI113" t="str">
        <f>""</f>
        <v/>
      </c>
    </row>
    <row r="114" spans="1:35" x14ac:dyDescent="0.25">
      <c r="A114" t="str">
        <f>$A$20</f>
        <v xml:space="preserve">    Revenue Growth in Constant Currency (%) QoQ</v>
      </c>
      <c r="B114" t="str">
        <f>$B$20</f>
        <v>INFY US Equity</v>
      </c>
      <c r="C114" t="str">
        <f>$C$20</f>
        <v>B5666</v>
      </c>
      <c r="D114" t="str">
        <f>$D$20</f>
        <v>ARD_SEQUENTIAL_REVENUE_GROWTH_CC</v>
      </c>
      <c r="E114" t="str">
        <f>$E$20</f>
        <v>Dynamic</v>
      </c>
      <c r="F114" t="str">
        <f ca="1">_xll.BDH($B$20,$C$20,$B$100,$B$101,CONCATENATE("Per=",$B$98),"Dts=H","Dir=H",CONCATENATE("Points=",$B$99),"Sort=R","Days=A","Fill=B",CONCATENATE("FX=", $B$97) )</f>
        <v/>
      </c>
      <c r="U114" t="str">
        <f>""</f>
        <v/>
      </c>
      <c r="V114" t="str">
        <f>""</f>
        <v/>
      </c>
      <c r="W114" t="str">
        <f>""</f>
        <v/>
      </c>
      <c r="X114" t="str">
        <f>""</f>
        <v/>
      </c>
      <c r="Y114" t="str">
        <f>""</f>
        <v/>
      </c>
      <c r="Z114" t="str">
        <f>""</f>
        <v/>
      </c>
      <c r="AA114" t="str">
        <f>""</f>
        <v/>
      </c>
      <c r="AB114" t="str">
        <f>""</f>
        <v/>
      </c>
      <c r="AC114" t="str">
        <f>""</f>
        <v/>
      </c>
      <c r="AD114" t="str">
        <f>""</f>
        <v/>
      </c>
      <c r="AE114" t="str">
        <f>""</f>
        <v/>
      </c>
      <c r="AF114" t="str">
        <f>""</f>
        <v/>
      </c>
      <c r="AG114" t="str">
        <f>""</f>
        <v/>
      </c>
      <c r="AH114" t="str">
        <f>""</f>
        <v/>
      </c>
      <c r="AI114" t="str">
        <f>""</f>
        <v/>
      </c>
    </row>
    <row r="115" spans="1:35" x14ac:dyDescent="0.25">
      <c r="A115" t="str">
        <f>$A$24</f>
        <v xml:space="preserve">        Revenue</v>
      </c>
      <c r="B115" t="str">
        <f>$B$24</f>
        <v>INFO IN Equity</v>
      </c>
      <c r="C115" t="str">
        <f>$C$24</f>
        <v>M1245</v>
      </c>
      <c r="D115" t="str">
        <f>$D$24</f>
        <v>DIGITAL_REVENUE</v>
      </c>
      <c r="E115" t="str">
        <f>$E$24</f>
        <v>Dynamic</v>
      </c>
      <c r="F115">
        <f ca="1">_xll.BDH($B$24,$C$24,$B$100,$B$101,CONCATENATE("Per=",$B$98),"Dts=H","Dir=H",CONCATENATE("Points=",$B$99),"Sort=R","Days=A","Fill=B","DS276=Y",CONCATENATE("FX=", $B$97),"cols=15;rows=1")</f>
        <v>5025.3753999999999</v>
      </c>
      <c r="G115">
        <v>3690.6779000000001</v>
      </c>
      <c r="U115" t="str">
        <f>""</f>
        <v/>
      </c>
      <c r="V115" t="str">
        <f>""</f>
        <v/>
      </c>
      <c r="W115" t="str">
        <f>""</f>
        <v/>
      </c>
      <c r="X115" t="str">
        <f>""</f>
        <v/>
      </c>
      <c r="Y115" t="str">
        <f>""</f>
        <v/>
      </c>
      <c r="Z115" t="str">
        <f>""</f>
        <v/>
      </c>
      <c r="AA115" t="str">
        <f>""</f>
        <v/>
      </c>
      <c r="AB115" t="str">
        <f>""</f>
        <v/>
      </c>
      <c r="AC115" t="str">
        <f>""</f>
        <v/>
      </c>
      <c r="AD115" t="str">
        <f>""</f>
        <v/>
      </c>
      <c r="AE115" t="str">
        <f>""</f>
        <v/>
      </c>
      <c r="AF115" t="str">
        <f>""</f>
        <v/>
      </c>
      <c r="AG115" t="str">
        <f>""</f>
        <v/>
      </c>
      <c r="AH115" t="str">
        <f>""</f>
        <v/>
      </c>
      <c r="AI115" t="str">
        <f>""</f>
        <v/>
      </c>
    </row>
    <row r="116" spans="1:35" x14ac:dyDescent="0.25">
      <c r="A116" t="str">
        <f>$A$26</f>
        <v xml:space="preserve">            Growth in Constant Currency (%) YoY</v>
      </c>
      <c r="B116" t="str">
        <f>$B$26</f>
        <v>INFY US Equity</v>
      </c>
      <c r="C116" t="str">
        <f>$C$26</f>
        <v>M1150</v>
      </c>
      <c r="D116" t="str">
        <f>$D$26</f>
        <v>DIGITAL_REV_PCT_GRWTH_IN_CC</v>
      </c>
      <c r="E116" t="str">
        <f>$E$26</f>
        <v>Dynamic</v>
      </c>
      <c r="F116">
        <f ca="1">_xll.BDH($B$26,$C$26,$B$100,$B$101,CONCATENATE("Per=",$B$98),"Dts=H","Dir=H",CONCATENATE("Points=",$B$99),"Sort=R","Days=A","Fill=B","DS276=Y",CONCATENATE("FX=", $B$97),"cols=15;rows=1")</f>
        <v>37.799999999999997</v>
      </c>
      <c r="U116" t="str">
        <f>""</f>
        <v/>
      </c>
      <c r="V116" t="str">
        <f>""</f>
        <v/>
      </c>
      <c r="W116" t="str">
        <f>""</f>
        <v/>
      </c>
      <c r="X116" t="str">
        <f>""</f>
        <v/>
      </c>
      <c r="Y116" t="str">
        <f>""</f>
        <v/>
      </c>
      <c r="Z116" t="str">
        <f>""</f>
        <v/>
      </c>
      <c r="AA116" t="str">
        <f>""</f>
        <v/>
      </c>
      <c r="AB116" t="str">
        <f>""</f>
        <v/>
      </c>
      <c r="AC116" t="str">
        <f>""</f>
        <v/>
      </c>
      <c r="AD116" t="str">
        <f>""</f>
        <v/>
      </c>
      <c r="AE116" t="str">
        <f>""</f>
        <v/>
      </c>
      <c r="AF116" t="str">
        <f>""</f>
        <v/>
      </c>
      <c r="AG116" t="str">
        <f>""</f>
        <v/>
      </c>
      <c r="AH116" t="str">
        <f>""</f>
        <v/>
      </c>
      <c r="AI116" t="str">
        <f>""</f>
        <v/>
      </c>
    </row>
    <row r="117" spans="1:35" x14ac:dyDescent="0.25">
      <c r="A117" t="str">
        <f>$A$29</f>
        <v xml:space="preserve">        Number of Employees</v>
      </c>
      <c r="B117" t="str">
        <f>$B$29</f>
        <v>INFY US Equity</v>
      </c>
      <c r="C117" t="str">
        <f>$C$29</f>
        <v>BM383</v>
      </c>
      <c r="D117" t="str">
        <f>$D$29</f>
        <v>BS_NUMBER_EMPLOYEES</v>
      </c>
      <c r="E117" t="str">
        <f>$E$29</f>
        <v>Dynamic</v>
      </c>
      <c r="F117" t="str">
        <f ca="1">_xll.BDH($B$29,$C$29,$B$100,$B$101,CONCATENATE("Per=",$B$98),"Dts=H","Dir=H",CONCATENATE("Points=",$B$99),"Sort=R","Days=A","Fill=B",CONCATENATE("FX=", $B$97) )</f>
        <v/>
      </c>
      <c r="U117" t="str">
        <f>""</f>
        <v/>
      </c>
      <c r="V117" t="str">
        <f>""</f>
        <v/>
      </c>
      <c r="W117" t="str">
        <f>""</f>
        <v/>
      </c>
      <c r="X117" t="str">
        <f>""</f>
        <v/>
      </c>
      <c r="Y117" t="str">
        <f>""</f>
        <v/>
      </c>
      <c r="Z117" t="str">
        <f>""</f>
        <v/>
      </c>
      <c r="AA117" t="str">
        <f>""</f>
        <v/>
      </c>
      <c r="AB117" t="str">
        <f>""</f>
        <v/>
      </c>
      <c r="AC117" t="str">
        <f>""</f>
        <v/>
      </c>
      <c r="AD117" t="str">
        <f>""</f>
        <v/>
      </c>
      <c r="AE117" t="str">
        <f>""</f>
        <v/>
      </c>
      <c r="AF117" t="str">
        <f>""</f>
        <v/>
      </c>
      <c r="AG117" t="str">
        <f>""</f>
        <v/>
      </c>
      <c r="AH117" t="str">
        <f>""</f>
        <v/>
      </c>
      <c r="AI117" t="str">
        <f>""</f>
        <v/>
      </c>
    </row>
    <row r="118" spans="1:35" x14ac:dyDescent="0.25">
      <c r="A118" t="str">
        <f>$A$30</f>
        <v xml:space="preserve">        Net Employee Additions</v>
      </c>
      <c r="B118" t="str">
        <f>$B$30</f>
        <v>INFY US Equity</v>
      </c>
      <c r="C118" t="str">
        <f>$C$30</f>
        <v>M0001</v>
      </c>
      <c r="D118" t="str">
        <f>$D$30</f>
        <v>NET_EMPLOYEE_ADDITIONS</v>
      </c>
      <c r="E118" t="str">
        <f>$E$30</f>
        <v>Dynamic</v>
      </c>
      <c r="F118" t="str">
        <f ca="1">_xll.BDH($B$30,$C$30,$B$100,$B$101,CONCATENATE("Per=",$B$98),"Dts=H","Dir=H",CONCATENATE("Points=",$B$99),"Sort=R","Days=A","Fill=B",CONCATENATE("FX=", $B$97),"cols=15;rows=1")</f>
        <v/>
      </c>
      <c r="H118">
        <v>3743</v>
      </c>
      <c r="I118">
        <v>6320</v>
      </c>
      <c r="J118">
        <v>17857</v>
      </c>
      <c r="K118">
        <v>15782</v>
      </c>
      <c r="L118">
        <v>3717</v>
      </c>
      <c r="M118">
        <v>6694</v>
      </c>
      <c r="N118">
        <v>17024</v>
      </c>
      <c r="O118">
        <v>17024</v>
      </c>
      <c r="P118">
        <v>8946</v>
      </c>
      <c r="Q118">
        <v>13663</v>
      </c>
      <c r="R118">
        <v>18946</v>
      </c>
      <c r="S118">
        <v>2809</v>
      </c>
      <c r="T118">
        <v>3293</v>
      </c>
      <c r="U118" t="str">
        <f>""</f>
        <v/>
      </c>
      <c r="V118" t="str">
        <f>""</f>
        <v/>
      </c>
      <c r="W118" t="str">
        <f>""</f>
        <v/>
      </c>
      <c r="X118" t="str">
        <f>""</f>
        <v/>
      </c>
      <c r="Y118" t="str">
        <f>""</f>
        <v/>
      </c>
      <c r="Z118" t="str">
        <f>""</f>
        <v/>
      </c>
      <c r="AA118" t="str">
        <f>""</f>
        <v/>
      </c>
      <c r="AB118" t="str">
        <f>""</f>
        <v/>
      </c>
      <c r="AC118" t="str">
        <f>""</f>
        <v/>
      </c>
      <c r="AD118" t="str">
        <f>""</f>
        <v/>
      </c>
      <c r="AE118" t="str">
        <f>""</f>
        <v/>
      </c>
      <c r="AF118" t="str">
        <f>""</f>
        <v/>
      </c>
      <c r="AG118" t="str">
        <f>""</f>
        <v/>
      </c>
      <c r="AH118" t="str">
        <f>""</f>
        <v/>
      </c>
      <c r="AI118" t="str">
        <f>""</f>
        <v/>
      </c>
    </row>
    <row r="119" spans="1:35" x14ac:dyDescent="0.25">
      <c r="A119" t="str">
        <f>$A$31</f>
        <v xml:space="preserve">        Employee Attrition (%) - Annualized</v>
      </c>
      <c r="B119" t="str">
        <f>$B$31</f>
        <v>INFY US Equity</v>
      </c>
      <c r="C119" t="str">
        <f>$C$31</f>
        <v>M0005</v>
      </c>
      <c r="D119" t="str">
        <f>$D$31</f>
        <v>ATTRITION_RATE</v>
      </c>
      <c r="E119" t="str">
        <f>$E$31</f>
        <v>Dynamic</v>
      </c>
      <c r="F119" t="str">
        <f ca="1">_xll.BDH($B$31,$C$31,$B$100,$B$101,CONCATENATE("Per=",$B$98),"Dts=H","Dir=H",CONCATENATE("Points=",$B$99),"Sort=R","Days=A","Fill=B",CONCATENATE("FX=", $B$97),"cols=15;rows=1")</f>
        <v/>
      </c>
      <c r="H119">
        <v>20</v>
      </c>
      <c r="I119">
        <v>19.2</v>
      </c>
      <c r="J119">
        <v>18.7</v>
      </c>
      <c r="K119">
        <v>18.899999999999999</v>
      </c>
      <c r="L119">
        <v>18.7</v>
      </c>
      <c r="M119">
        <v>16.3</v>
      </c>
      <c r="N119">
        <v>17</v>
      </c>
      <c r="O119">
        <v>17</v>
      </c>
      <c r="P119">
        <v>13.4</v>
      </c>
      <c r="Q119">
        <v>11.1</v>
      </c>
      <c r="R119">
        <v>13.4</v>
      </c>
      <c r="S119">
        <v>13.7</v>
      </c>
      <c r="T119">
        <v>11.2</v>
      </c>
      <c r="U119" t="str">
        <f>""</f>
        <v/>
      </c>
      <c r="V119" t="str">
        <f>""</f>
        <v/>
      </c>
      <c r="W119" t="str">
        <f>""</f>
        <v/>
      </c>
      <c r="X119" t="str">
        <f>""</f>
        <v/>
      </c>
      <c r="Y119" t="str">
        <f>""</f>
        <v/>
      </c>
      <c r="Z119" t="str">
        <f>""</f>
        <v/>
      </c>
      <c r="AA119" t="str">
        <f>""</f>
        <v/>
      </c>
      <c r="AB119" t="str">
        <f>""</f>
        <v/>
      </c>
      <c r="AC119" t="str">
        <f>""</f>
        <v/>
      </c>
      <c r="AD119" t="str">
        <f>""</f>
        <v/>
      </c>
      <c r="AE119" t="str">
        <f>""</f>
        <v/>
      </c>
      <c r="AF119" t="str">
        <f>""</f>
        <v/>
      </c>
      <c r="AG119" t="str">
        <f>""</f>
        <v/>
      </c>
      <c r="AH119" t="str">
        <f>""</f>
        <v/>
      </c>
      <c r="AI119" t="str">
        <f>""</f>
        <v/>
      </c>
    </row>
    <row r="120" spans="1:35" x14ac:dyDescent="0.25">
      <c r="A120" t="str">
        <f>$A$32</f>
        <v xml:space="preserve">        Employee Utilization Excluding Trainees (%)</v>
      </c>
      <c r="B120" t="str">
        <f>$B$32</f>
        <v>INFY US Equity</v>
      </c>
      <c r="C120" t="str">
        <f>$C$32</f>
        <v>M0006</v>
      </c>
      <c r="D120" t="str">
        <f>$D$32</f>
        <v>UTILIZATION_RATE</v>
      </c>
      <c r="E120" t="str">
        <f>$E$32</f>
        <v>Dynamic</v>
      </c>
      <c r="F120">
        <f ca="1">_xll.BDH($B$32,$C$32,$B$100,$B$101,CONCATENATE("Per=",$B$98),"Dts=H","Dir=H",CONCATENATE("Points=",$B$99),"Sort=R","Days=A","Fill=B",CONCATENATE("FX=", $B$97),"cols=15;rows=1")</f>
        <v>84</v>
      </c>
      <c r="G120">
        <v>84.3</v>
      </c>
      <c r="H120">
        <v>84.6</v>
      </c>
      <c r="I120">
        <v>81.7</v>
      </c>
      <c r="J120">
        <v>80.599999999999994</v>
      </c>
      <c r="K120">
        <v>80.900000000000006</v>
      </c>
      <c r="L120">
        <v>77.400000000000006</v>
      </c>
      <c r="M120">
        <v>73</v>
      </c>
      <c r="N120">
        <v>78.900000000000006</v>
      </c>
      <c r="O120">
        <v>78.900000000000006</v>
      </c>
      <c r="P120">
        <v>74.400000000000006</v>
      </c>
      <c r="Q120">
        <v>73.7</v>
      </c>
      <c r="R120">
        <v>75.900000000000006</v>
      </c>
      <c r="S120">
        <v>75.5</v>
      </c>
      <c r="T120">
        <v>77</v>
      </c>
      <c r="U120" t="str">
        <f>""</f>
        <v/>
      </c>
      <c r="V120" t="str">
        <f>""</f>
        <v/>
      </c>
      <c r="W120" t="str">
        <f>""</f>
        <v/>
      </c>
      <c r="X120" t="str">
        <f>""</f>
        <v/>
      </c>
      <c r="Y120" t="str">
        <f>""</f>
        <v/>
      </c>
      <c r="Z120" t="str">
        <f>""</f>
        <v/>
      </c>
      <c r="AA120" t="str">
        <f>""</f>
        <v/>
      </c>
      <c r="AB120" t="str">
        <f>""</f>
        <v/>
      </c>
      <c r="AC120" t="str">
        <f>""</f>
        <v/>
      </c>
      <c r="AD120" t="str">
        <f>""</f>
        <v/>
      </c>
      <c r="AE120" t="str">
        <f>""</f>
        <v/>
      </c>
      <c r="AF120" t="str">
        <f>""</f>
        <v/>
      </c>
      <c r="AG120" t="str">
        <f>""</f>
        <v/>
      </c>
      <c r="AH120" t="str">
        <f>""</f>
        <v/>
      </c>
      <c r="AI120" t="str">
        <f>""</f>
        <v/>
      </c>
    </row>
    <row r="121" spans="1:35" x14ac:dyDescent="0.25">
      <c r="A121" t="str">
        <f>$A$35</f>
        <v xml:space="preserve">        Active Clients</v>
      </c>
      <c r="B121" t="str">
        <f>$B$35</f>
        <v>INFY US Equity</v>
      </c>
      <c r="C121" t="str">
        <f>$C$35</f>
        <v>M0008</v>
      </c>
      <c r="D121" t="str">
        <f>$D$35</f>
        <v>NUMBER_OF_ACTIVE_CLIENTS</v>
      </c>
      <c r="E121" t="str">
        <f>$E$35</f>
        <v>Dynamic</v>
      </c>
      <c r="F121">
        <f ca="1">_xll.BDH($B$35,$C$35,$B$100,$B$101,CONCATENATE("Per=",$B$98),"Dts=H","Dir=H",CONCATENATE("Points=",$B$99),"Sort=R","Days=A","Fill=B",CONCATENATE("FX=", $B$97),"cols=15;rows=1")</f>
        <v>1411</v>
      </c>
      <c r="G121">
        <v>1279</v>
      </c>
      <c r="H121">
        <v>1204</v>
      </c>
      <c r="I121">
        <v>1162</v>
      </c>
      <c r="J121">
        <v>1092</v>
      </c>
      <c r="K121">
        <v>950</v>
      </c>
      <c r="L121">
        <v>890</v>
      </c>
      <c r="M121">
        <v>798</v>
      </c>
      <c r="N121">
        <v>620</v>
      </c>
      <c r="O121">
        <v>620</v>
      </c>
      <c r="P121">
        <v>575</v>
      </c>
      <c r="Q121">
        <v>579</v>
      </c>
      <c r="R121">
        <v>538</v>
      </c>
      <c r="S121">
        <v>500</v>
      </c>
      <c r="T121">
        <v>460</v>
      </c>
      <c r="U121" t="str">
        <f>""</f>
        <v/>
      </c>
      <c r="V121" t="str">
        <f>""</f>
        <v/>
      </c>
      <c r="W121" t="str">
        <f>""</f>
        <v/>
      </c>
      <c r="X121" t="str">
        <f>""</f>
        <v/>
      </c>
      <c r="Y121" t="str">
        <f>""</f>
        <v/>
      </c>
      <c r="Z121" t="str">
        <f>""</f>
        <v/>
      </c>
      <c r="AA121" t="str">
        <f>""</f>
        <v/>
      </c>
      <c r="AB121" t="str">
        <f>""</f>
        <v/>
      </c>
      <c r="AC121" t="str">
        <f>""</f>
        <v/>
      </c>
      <c r="AD121" t="str">
        <f>""</f>
        <v/>
      </c>
      <c r="AE121" t="str">
        <f>""</f>
        <v/>
      </c>
      <c r="AF121" t="str">
        <f>""</f>
        <v/>
      </c>
      <c r="AG121" t="str">
        <f>""</f>
        <v/>
      </c>
      <c r="AH121" t="str">
        <f>""</f>
        <v/>
      </c>
      <c r="AI121" t="str">
        <f>""</f>
        <v/>
      </c>
    </row>
    <row r="122" spans="1:35" x14ac:dyDescent="0.25">
      <c r="A122" t="str">
        <f>$A$36</f>
        <v xml:space="preserve">        Clients Added (Gross)</v>
      </c>
      <c r="B122" t="str">
        <f>$B$36</f>
        <v>INFY US Equity</v>
      </c>
      <c r="C122" t="str">
        <f>$C$36</f>
        <v>B2806</v>
      </c>
      <c r="D122" t="str">
        <f>$D$36</f>
        <v>ARD_NUMBER_OF_CLIENTS_ADDED</v>
      </c>
      <c r="E122" t="str">
        <f>$E$36</f>
        <v>Dynamic</v>
      </c>
      <c r="F122" t="str">
        <f ca="1">_xll.BDH($B$36,$C$36,$B$100,$B$101,CONCATENATE("Per=",$B$98),"Dts=H","Dir=H",CONCATENATE("Points=",$B$99),"Sort=R","Days=A","Fill=B",CONCATENATE("FX=", $B$97),"cols=15;rows=1")</f>
        <v/>
      </c>
      <c r="H122">
        <v>283</v>
      </c>
      <c r="I122">
        <v>321</v>
      </c>
      <c r="J122">
        <v>325</v>
      </c>
      <c r="K122">
        <v>221</v>
      </c>
      <c r="L122">
        <v>238</v>
      </c>
      <c r="M122">
        <v>235</v>
      </c>
      <c r="N122">
        <v>139</v>
      </c>
      <c r="O122">
        <v>139</v>
      </c>
      <c r="P122">
        <v>141</v>
      </c>
      <c r="Q122">
        <v>156</v>
      </c>
      <c r="R122">
        <v>170</v>
      </c>
      <c r="S122">
        <v>160</v>
      </c>
      <c r="T122">
        <v>144</v>
      </c>
      <c r="U122" t="str">
        <f>""</f>
        <v/>
      </c>
      <c r="V122" t="str">
        <f>""</f>
        <v/>
      </c>
      <c r="W122" t="str">
        <f>""</f>
        <v/>
      </c>
      <c r="X122" t="str">
        <f>""</f>
        <v/>
      </c>
      <c r="Y122" t="str">
        <f>""</f>
        <v/>
      </c>
      <c r="Z122" t="str">
        <f>""</f>
        <v/>
      </c>
      <c r="AA122" t="str">
        <f>""</f>
        <v/>
      </c>
      <c r="AB122" t="str">
        <f>""</f>
        <v/>
      </c>
      <c r="AC122" t="str">
        <f>""</f>
        <v/>
      </c>
      <c r="AD122" t="str">
        <f>""</f>
        <v/>
      </c>
      <c r="AE122" t="str">
        <f>""</f>
        <v/>
      </c>
      <c r="AF122" t="str">
        <f>""</f>
        <v/>
      </c>
      <c r="AG122" t="str">
        <f>""</f>
        <v/>
      </c>
      <c r="AH122" t="str">
        <f>""</f>
        <v/>
      </c>
      <c r="AI122" t="str">
        <f>""</f>
        <v/>
      </c>
    </row>
    <row r="123" spans="1:35" x14ac:dyDescent="0.25">
      <c r="A123" t="str">
        <f>$A$38</f>
        <v xml:space="preserve">            $1+ Million</v>
      </c>
      <c r="B123" t="str">
        <f>$B$38</f>
        <v>INFO IN Equity</v>
      </c>
      <c r="C123" t="str">
        <f>$C$38</f>
        <v>M0010</v>
      </c>
      <c r="D123" t="str">
        <f>$D$38</f>
        <v>NUMBER_OF_CLIENTS_0_TO_5MM</v>
      </c>
      <c r="E123" t="str">
        <f>$E$38</f>
        <v>Dynamic</v>
      </c>
      <c r="F123">
        <f ca="1">_xll.BDH($B$38,$C$38,$B$100,$B$101,CONCATENATE("Per=",$B$98),"Dts=H","Dir=H",CONCATENATE("Points=",$B$99),"Sort=R","Days=A","Fill=B",CONCATENATE("FX=", $B$97),"cols=15;rows=1")</f>
        <v>718</v>
      </c>
      <c r="G123">
        <v>662</v>
      </c>
      <c r="H123">
        <v>634</v>
      </c>
      <c r="I123">
        <v>598</v>
      </c>
      <c r="J123">
        <v>558</v>
      </c>
      <c r="K123">
        <v>529</v>
      </c>
      <c r="L123">
        <v>501</v>
      </c>
      <c r="M123">
        <v>448</v>
      </c>
      <c r="N123">
        <v>366</v>
      </c>
      <c r="O123">
        <v>366</v>
      </c>
      <c r="P123">
        <v>338</v>
      </c>
      <c r="Q123">
        <v>327</v>
      </c>
      <c r="R123">
        <v>310</v>
      </c>
      <c r="S123">
        <v>275</v>
      </c>
      <c r="T123">
        <v>221</v>
      </c>
      <c r="U123" t="str">
        <f>""</f>
        <v/>
      </c>
      <c r="V123" t="str">
        <f>""</f>
        <v/>
      </c>
      <c r="W123" t="str">
        <f>""</f>
        <v/>
      </c>
      <c r="X123" t="str">
        <f>""</f>
        <v/>
      </c>
      <c r="Y123" t="str">
        <f>""</f>
        <v/>
      </c>
      <c r="Z123" t="str">
        <f>""</f>
        <v/>
      </c>
      <c r="AA123" t="str">
        <f>""</f>
        <v/>
      </c>
      <c r="AB123" t="str">
        <f>""</f>
        <v/>
      </c>
      <c r="AC123" t="str">
        <f>""</f>
        <v/>
      </c>
      <c r="AD123" t="str">
        <f>""</f>
        <v/>
      </c>
      <c r="AE123" t="str">
        <f>""</f>
        <v/>
      </c>
      <c r="AF123" t="str">
        <f>""</f>
        <v/>
      </c>
      <c r="AG123" t="str">
        <f>""</f>
        <v/>
      </c>
      <c r="AH123" t="str">
        <f>""</f>
        <v/>
      </c>
      <c r="AI123" t="str">
        <f>""</f>
        <v/>
      </c>
    </row>
    <row r="124" spans="1:35" x14ac:dyDescent="0.25">
      <c r="A124" t="str">
        <f>$A$39</f>
        <v xml:space="preserve">            $5+ Million</v>
      </c>
      <c r="B124" t="str">
        <f>$B$39</f>
        <v>INFO IN Equity</v>
      </c>
      <c r="C124" t="str">
        <f>$C$39</f>
        <v>M0011</v>
      </c>
      <c r="D124" t="str">
        <f>$D$39</f>
        <v>NUM_CLIENTS_5MM_TO_10MM</v>
      </c>
      <c r="E124" t="str">
        <f>$E$39</f>
        <v>Dynamic</v>
      </c>
      <c r="F124" t="str">
        <f ca="1">_xll.BDH($B$39,$C$39,$B$100,$B$101,CONCATENATE("Per=",$B$98),"Dts=H","Dir=H",CONCATENATE("Points=",$B$99),"Sort=R","Days=A","Fill=B",CONCATENATE("FX=", $B$97),"cols=15;rows=1")</f>
        <v/>
      </c>
      <c r="H124">
        <v>295</v>
      </c>
      <c r="I124">
        <v>282</v>
      </c>
      <c r="J124">
        <v>268</v>
      </c>
      <c r="K124">
        <v>244</v>
      </c>
      <c r="L124">
        <v>232</v>
      </c>
      <c r="M124">
        <v>213</v>
      </c>
      <c r="N124">
        <v>187</v>
      </c>
      <c r="O124">
        <v>187</v>
      </c>
      <c r="P124">
        <v>159</v>
      </c>
      <c r="Q124">
        <v>151</v>
      </c>
      <c r="R124">
        <v>141</v>
      </c>
      <c r="S124">
        <v>107</v>
      </c>
      <c r="T124">
        <v>81</v>
      </c>
      <c r="U124" t="str">
        <f>""</f>
        <v/>
      </c>
      <c r="V124" t="str">
        <f>""</f>
        <v/>
      </c>
      <c r="W124" t="str">
        <f>""</f>
        <v/>
      </c>
      <c r="X124" t="str">
        <f>""</f>
        <v/>
      </c>
      <c r="Y124" t="str">
        <f>""</f>
        <v/>
      </c>
      <c r="Z124" t="str">
        <f>""</f>
        <v/>
      </c>
      <c r="AA124" t="str">
        <f>""</f>
        <v/>
      </c>
      <c r="AB124" t="str">
        <f>""</f>
        <v/>
      </c>
      <c r="AC124" t="str">
        <f>""</f>
        <v/>
      </c>
      <c r="AD124" t="str">
        <f>""</f>
        <v/>
      </c>
      <c r="AE124" t="str">
        <f>""</f>
        <v/>
      </c>
      <c r="AF124" t="str">
        <f>""</f>
        <v/>
      </c>
      <c r="AG124" t="str">
        <f>""</f>
        <v/>
      </c>
      <c r="AH124" t="str">
        <f>""</f>
        <v/>
      </c>
      <c r="AI124" t="str">
        <f>""</f>
        <v/>
      </c>
    </row>
    <row r="125" spans="1:35" x14ac:dyDescent="0.25">
      <c r="A125" t="str">
        <f>$A$40</f>
        <v xml:space="preserve">            $10+ Million</v>
      </c>
      <c r="B125" t="str">
        <f>$B$40</f>
        <v>INFO IN Equity</v>
      </c>
      <c r="C125" t="str">
        <f>$C$40</f>
        <v>M0012</v>
      </c>
      <c r="D125" t="str">
        <f>$D$40</f>
        <v>NUM_CLIENTS_10MM_TO_20MM</v>
      </c>
      <c r="E125" t="str">
        <f>$E$40</f>
        <v>Dynamic</v>
      </c>
      <c r="F125">
        <f ca="1">_xll.BDH($B$40,$C$40,$B$100,$B$101,CONCATENATE("Per=",$B$98),"Dts=H","Dir=H",CONCATENATE("Points=",$B$99),"Sort=R","Days=A","Fill=B",CONCATENATE("FX=", $B$97),"cols=15;rows=1")</f>
        <v>234</v>
      </c>
      <c r="G125">
        <v>222</v>
      </c>
      <c r="H125">
        <v>198</v>
      </c>
      <c r="I125">
        <v>189</v>
      </c>
      <c r="J125">
        <v>177</v>
      </c>
      <c r="K125">
        <v>159</v>
      </c>
      <c r="L125">
        <v>148</v>
      </c>
      <c r="M125">
        <v>137</v>
      </c>
      <c r="N125">
        <v>126</v>
      </c>
      <c r="O125">
        <v>126</v>
      </c>
      <c r="P125">
        <v>97</v>
      </c>
      <c r="Q125">
        <v>101</v>
      </c>
      <c r="R125">
        <v>89</v>
      </c>
      <c r="S125">
        <v>71</v>
      </c>
      <c r="T125">
        <v>54</v>
      </c>
      <c r="U125" t="str">
        <f>""</f>
        <v/>
      </c>
      <c r="V125" t="str">
        <f>""</f>
        <v/>
      </c>
      <c r="W125" t="str">
        <f>""</f>
        <v/>
      </c>
      <c r="X125" t="str">
        <f>""</f>
        <v/>
      </c>
      <c r="Y125" t="str">
        <f>""</f>
        <v/>
      </c>
      <c r="Z125" t="str">
        <f>""</f>
        <v/>
      </c>
      <c r="AA125" t="str">
        <f>""</f>
        <v/>
      </c>
      <c r="AB125" t="str">
        <f>""</f>
        <v/>
      </c>
      <c r="AC125" t="str">
        <f>""</f>
        <v/>
      </c>
      <c r="AD125" t="str">
        <f>""</f>
        <v/>
      </c>
      <c r="AE125" t="str">
        <f>""</f>
        <v/>
      </c>
      <c r="AF125" t="str">
        <f>""</f>
        <v/>
      </c>
      <c r="AG125" t="str">
        <f>""</f>
        <v/>
      </c>
      <c r="AH125" t="str">
        <f>""</f>
        <v/>
      </c>
      <c r="AI125" t="str">
        <f>""</f>
        <v/>
      </c>
    </row>
    <row r="126" spans="1:35" x14ac:dyDescent="0.25">
      <c r="A126" t="str">
        <f>$A$41</f>
        <v xml:space="preserve">            $20+ Million</v>
      </c>
      <c r="B126" t="str">
        <f>$B$41</f>
        <v>INFO IN Equity</v>
      </c>
      <c r="C126" t="str">
        <f>$C$41</f>
        <v>M0013</v>
      </c>
      <c r="D126" t="str">
        <f>$D$41</f>
        <v>NUM_CLIENTS_20MM_TO_30MM</v>
      </c>
      <c r="E126" t="str">
        <f>$E$41</f>
        <v>Dynamic</v>
      </c>
      <c r="F126" t="str">
        <f ca="1">_xll.BDH($B$41,$C$41,$B$100,$B$101,CONCATENATE("Per=",$B$98),"Dts=H","Dir=H",CONCATENATE("Points=",$B$99),"Sort=R","Days=A","Fill=B",CONCATENATE("FX=", $B$97),"cols=15;rows=1")</f>
        <v/>
      </c>
      <c r="H126">
        <v>105</v>
      </c>
      <c r="I126">
        <v>91</v>
      </c>
      <c r="J126">
        <v>88</v>
      </c>
      <c r="K126">
        <v>83</v>
      </c>
      <c r="L126">
        <v>91</v>
      </c>
      <c r="M126">
        <v>80</v>
      </c>
      <c r="N126">
        <v>73</v>
      </c>
      <c r="O126">
        <v>73</v>
      </c>
      <c r="P126">
        <v>59</v>
      </c>
      <c r="Q126">
        <v>59</v>
      </c>
      <c r="R126">
        <v>47</v>
      </c>
      <c r="S126">
        <v>36</v>
      </c>
      <c r="T126">
        <v>26</v>
      </c>
      <c r="U126" t="str">
        <f>""</f>
        <v/>
      </c>
      <c r="V126" t="str">
        <f>""</f>
        <v/>
      </c>
      <c r="W126" t="str">
        <f>""</f>
        <v/>
      </c>
      <c r="X126" t="str">
        <f>""</f>
        <v/>
      </c>
      <c r="Y126" t="str">
        <f>""</f>
        <v/>
      </c>
      <c r="Z126" t="str">
        <f>""</f>
        <v/>
      </c>
      <c r="AA126" t="str">
        <f>""</f>
        <v/>
      </c>
      <c r="AB126" t="str">
        <f>""</f>
        <v/>
      </c>
      <c r="AC126" t="str">
        <f>""</f>
        <v/>
      </c>
      <c r="AD126" t="str">
        <f>""</f>
        <v/>
      </c>
      <c r="AE126" t="str">
        <f>""</f>
        <v/>
      </c>
      <c r="AF126" t="str">
        <f>""</f>
        <v/>
      </c>
      <c r="AG126" t="str">
        <f>""</f>
        <v/>
      </c>
      <c r="AH126" t="str">
        <f>""</f>
        <v/>
      </c>
      <c r="AI126" t="str">
        <f>""</f>
        <v/>
      </c>
    </row>
    <row r="127" spans="1:35" x14ac:dyDescent="0.25">
      <c r="A127" t="str">
        <f>$A$42</f>
        <v xml:space="preserve">            $50+ Million</v>
      </c>
      <c r="B127" t="str">
        <f>$B$42</f>
        <v>INFO IN Equity</v>
      </c>
      <c r="C127" t="str">
        <f>$C$42</f>
        <v>M0016</v>
      </c>
      <c r="D127" t="str">
        <f>$D$42</f>
        <v>NUM_CLIENTS_50MM_TO_100MM</v>
      </c>
      <c r="E127" t="str">
        <f>$E$42</f>
        <v>Dynamic</v>
      </c>
      <c r="F127">
        <f ca="1">_xll.BDH($B$42,$C$42,$B$100,$B$101,CONCATENATE("Per=",$B$98),"Dts=H","Dir=H",CONCATENATE("Points=",$B$99),"Sort=R","Days=A","Fill=B",CONCATENATE("FX=", $B$97),"cols=15;rows=1")</f>
        <v>61</v>
      </c>
      <c r="G127">
        <v>60</v>
      </c>
      <c r="H127">
        <v>92</v>
      </c>
      <c r="I127">
        <v>87</v>
      </c>
      <c r="J127">
        <v>83</v>
      </c>
      <c r="K127">
        <v>76</v>
      </c>
      <c r="L127">
        <v>147</v>
      </c>
      <c r="M127">
        <v>137</v>
      </c>
      <c r="N127">
        <v>97</v>
      </c>
      <c r="O127">
        <v>97</v>
      </c>
      <c r="P127">
        <v>72</v>
      </c>
      <c r="Q127">
        <v>65</v>
      </c>
      <c r="R127">
        <v>41</v>
      </c>
      <c r="S127">
        <v>28</v>
      </c>
      <c r="T127">
        <v>14</v>
      </c>
      <c r="U127" t="str">
        <f>""</f>
        <v/>
      </c>
      <c r="V127" t="str">
        <f>""</f>
        <v/>
      </c>
      <c r="W127" t="str">
        <f>""</f>
        <v/>
      </c>
      <c r="X127" t="str">
        <f>""</f>
        <v/>
      </c>
      <c r="Y127" t="str">
        <f>""</f>
        <v/>
      </c>
      <c r="Z127" t="str">
        <f>""</f>
        <v/>
      </c>
      <c r="AA127" t="str">
        <f>""</f>
        <v/>
      </c>
      <c r="AB127" t="str">
        <f>""</f>
        <v/>
      </c>
      <c r="AC127" t="str">
        <f>""</f>
        <v/>
      </c>
      <c r="AD127" t="str">
        <f>""</f>
        <v/>
      </c>
      <c r="AE127" t="str">
        <f>""</f>
        <v/>
      </c>
      <c r="AF127" t="str">
        <f>""</f>
        <v/>
      </c>
      <c r="AG127" t="str">
        <f>""</f>
        <v/>
      </c>
      <c r="AH127" t="str">
        <f>""</f>
        <v/>
      </c>
      <c r="AI127" t="str">
        <f>""</f>
        <v/>
      </c>
    </row>
    <row r="128" spans="1:35" x14ac:dyDescent="0.25">
      <c r="A128" t="str">
        <f>$A$43</f>
        <v xml:space="preserve">            $100+ Million</v>
      </c>
      <c r="B128" t="str">
        <f>$B$43</f>
        <v>INFO IN Equity</v>
      </c>
      <c r="C128" t="str">
        <f>$C$43</f>
        <v>M0017</v>
      </c>
      <c r="D128" t="str">
        <f>$D$43</f>
        <v>NUM_OF_CLIENTS_OVER_100MM</v>
      </c>
      <c r="E128" t="str">
        <f>$E$43</f>
        <v>Dynamic</v>
      </c>
      <c r="F128">
        <f ca="1">_xll.BDH($B$43,$C$43,$B$100,$B$101,CONCATENATE("Per=",$B$98),"Dts=H","Dir=H",CONCATENATE("Points=",$B$99),"Sort=R","Days=A","Fill=B",CONCATENATE("FX=", $B$97),"cols=15;rows=1")</f>
        <v>28</v>
      </c>
      <c r="G128">
        <v>25</v>
      </c>
      <c r="H128">
        <v>20</v>
      </c>
      <c r="I128">
        <v>26</v>
      </c>
      <c r="J128">
        <v>21</v>
      </c>
      <c r="K128">
        <v>19</v>
      </c>
      <c r="L128">
        <v>17</v>
      </c>
      <c r="M128">
        <v>15</v>
      </c>
      <c r="N128">
        <v>13</v>
      </c>
      <c r="O128">
        <v>13</v>
      </c>
      <c r="P128">
        <v>7</v>
      </c>
      <c r="Q128">
        <v>6</v>
      </c>
      <c r="R128">
        <v>8</v>
      </c>
      <c r="S128">
        <v>4</v>
      </c>
      <c r="T128">
        <v>0</v>
      </c>
      <c r="U128" t="str">
        <f>""</f>
        <v/>
      </c>
      <c r="V128" t="str">
        <f>""</f>
        <v/>
      </c>
      <c r="W128" t="str">
        <f>""</f>
        <v/>
      </c>
      <c r="X128" t="str">
        <f>""</f>
        <v/>
      </c>
      <c r="Y128" t="str">
        <f>""</f>
        <v/>
      </c>
      <c r="Z128" t="str">
        <f>""</f>
        <v/>
      </c>
      <c r="AA128" t="str">
        <f>""</f>
        <v/>
      </c>
      <c r="AB128" t="str">
        <f>""</f>
        <v/>
      </c>
      <c r="AC128" t="str">
        <f>""</f>
        <v/>
      </c>
      <c r="AD128" t="str">
        <f>""</f>
        <v/>
      </c>
      <c r="AE128" t="str">
        <f>""</f>
        <v/>
      </c>
      <c r="AF128" t="str">
        <f>""</f>
        <v/>
      </c>
      <c r="AG128" t="str">
        <f>""</f>
        <v/>
      </c>
      <c r="AH128" t="str">
        <f>""</f>
        <v/>
      </c>
      <c r="AI128" t="str">
        <f>""</f>
        <v/>
      </c>
    </row>
    <row r="129" spans="1:35" x14ac:dyDescent="0.25">
      <c r="A129" t="str">
        <f>$A$45</f>
        <v xml:space="preserve">            Top Client</v>
      </c>
      <c r="B129" t="str">
        <f>$B$45</f>
        <v>INFO IN Equity</v>
      </c>
      <c r="C129" t="str">
        <f>$C$45</f>
        <v>M0018</v>
      </c>
      <c r="D129" t="str">
        <f>$D$45</f>
        <v>TOP_CLIENTS_CONTRIB_TO_REVENUE</v>
      </c>
      <c r="E129" t="str">
        <f>$E$45</f>
        <v>Dynamic</v>
      </c>
      <c r="F129">
        <f ca="1">_xll.BDH($B$45,$C$45,$B$100,$B$101,CONCATENATE("Per=",$B$98),"Dts=H","Dir=H",CONCATENATE("Points=",$B$99),"Sort=R","Days=A","Fill=B",CONCATENATE("FX=", $B$97),"cols=15;rows=1")</f>
        <v>3.1</v>
      </c>
      <c r="H129">
        <v>3.4</v>
      </c>
      <c r="I129">
        <v>3.4</v>
      </c>
      <c r="J129">
        <v>3.6</v>
      </c>
      <c r="K129">
        <v>3.3</v>
      </c>
      <c r="L129">
        <v>3.8</v>
      </c>
      <c r="M129">
        <v>3.8</v>
      </c>
      <c r="N129">
        <v>4.7</v>
      </c>
      <c r="O129">
        <v>4.7</v>
      </c>
      <c r="P129">
        <v>4.5999999999999996</v>
      </c>
      <c r="Q129">
        <v>6.9</v>
      </c>
      <c r="R129">
        <v>9.1</v>
      </c>
      <c r="S129">
        <v>8.5</v>
      </c>
      <c r="T129">
        <v>4.7</v>
      </c>
      <c r="U129" t="str">
        <f>""</f>
        <v/>
      </c>
      <c r="V129" t="str">
        <f>""</f>
        <v/>
      </c>
      <c r="W129" t="str">
        <f>""</f>
        <v/>
      </c>
      <c r="X129" t="str">
        <f>""</f>
        <v/>
      </c>
      <c r="Y129" t="str">
        <f>""</f>
        <v/>
      </c>
      <c r="Z129" t="str">
        <f>""</f>
        <v/>
      </c>
      <c r="AA129" t="str">
        <f>""</f>
        <v/>
      </c>
      <c r="AB129" t="str">
        <f>""</f>
        <v/>
      </c>
      <c r="AC129" t="str">
        <f>""</f>
        <v/>
      </c>
      <c r="AD129" t="str">
        <f>""</f>
        <v/>
      </c>
      <c r="AE129" t="str">
        <f>""</f>
        <v/>
      </c>
      <c r="AF129" t="str">
        <f>""</f>
        <v/>
      </c>
      <c r="AG129" t="str">
        <f>""</f>
        <v/>
      </c>
      <c r="AH129" t="str">
        <f>""</f>
        <v/>
      </c>
      <c r="AI129" t="str">
        <f>""</f>
        <v/>
      </c>
    </row>
    <row r="130" spans="1:35" x14ac:dyDescent="0.25">
      <c r="A130" t="str">
        <f>$A$46</f>
        <v xml:space="preserve">            Top 10 Clients</v>
      </c>
      <c r="B130" t="str">
        <f>$B$46</f>
        <v>INFO IN Equity</v>
      </c>
      <c r="C130" t="str">
        <f>$C$46</f>
        <v>M0020</v>
      </c>
      <c r="D130" t="str">
        <f>$D$46</f>
        <v>TOP_10_CLIENTS_CONTRIB_TO_REV</v>
      </c>
      <c r="E130" t="str">
        <f>$E$46</f>
        <v>Dynamic</v>
      </c>
      <c r="F130" t="str">
        <f ca="1">_xll.BDH($B$46,$C$46,$B$100,$B$101,CONCATENATE("Per=",$B$98),"Dts=H","Dir=H",CONCATENATE("Points=",$B$99),"Sort=R","Days=A","Fill=B",CONCATENATE("FX=", $B$97),"cols=15;rows=1")</f>
        <v/>
      </c>
      <c r="H130">
        <v>19.3</v>
      </c>
      <c r="I130">
        <v>21</v>
      </c>
      <c r="J130">
        <v>22.5</v>
      </c>
      <c r="K130">
        <v>22.7</v>
      </c>
      <c r="L130">
        <v>23.8</v>
      </c>
      <c r="M130">
        <v>24.6</v>
      </c>
      <c r="N130">
        <v>25.7</v>
      </c>
      <c r="O130">
        <v>25.7</v>
      </c>
      <c r="P130">
        <v>26.2</v>
      </c>
      <c r="Q130">
        <v>27.7</v>
      </c>
      <c r="R130">
        <v>31.4</v>
      </c>
      <c r="S130">
        <v>33.4</v>
      </c>
      <c r="T130">
        <v>31</v>
      </c>
      <c r="U130" t="str">
        <f>""</f>
        <v/>
      </c>
      <c r="V130" t="str">
        <f>""</f>
        <v/>
      </c>
      <c r="W130" t="str">
        <f>""</f>
        <v/>
      </c>
      <c r="X130" t="str">
        <f>""</f>
        <v/>
      </c>
      <c r="Y130" t="str">
        <f>""</f>
        <v/>
      </c>
      <c r="Z130" t="str">
        <f>""</f>
        <v/>
      </c>
      <c r="AA130" t="str">
        <f>""</f>
        <v/>
      </c>
      <c r="AB130" t="str">
        <f>""</f>
        <v/>
      </c>
      <c r="AC130" t="str">
        <f>""</f>
        <v/>
      </c>
      <c r="AD130" t="str">
        <f>""</f>
        <v/>
      </c>
      <c r="AE130" t="str">
        <f>""</f>
        <v/>
      </c>
      <c r="AF130" t="str">
        <f>""</f>
        <v/>
      </c>
      <c r="AG130" t="str">
        <f>""</f>
        <v/>
      </c>
      <c r="AH130" t="str">
        <f>""</f>
        <v/>
      </c>
      <c r="AI130" t="str">
        <f>""</f>
        <v/>
      </c>
    </row>
    <row r="131" spans="1:35" x14ac:dyDescent="0.25">
      <c r="A131" t="str">
        <f>$A$47</f>
        <v xml:space="preserve">            Top 25 Clients</v>
      </c>
      <c r="B131" t="str">
        <f>$B$47</f>
        <v>INFO IN Equity</v>
      </c>
      <c r="C131" t="str">
        <f>$C$47</f>
        <v>M1145</v>
      </c>
      <c r="D131" t="str">
        <f>$D$47</f>
        <v>TOP_TWENTY_FIVE_CLIENTS_CONT_REV</v>
      </c>
      <c r="E131" t="str">
        <f>$E$47</f>
        <v>Dynamic</v>
      </c>
      <c r="F131">
        <f ca="1">_xll.BDH($B$47,$C$47,$B$100,$B$101,CONCATENATE("Per=",$B$98),"Dts=H","Dir=H",CONCATENATE("Points=",$B$99),"Sort=R","Days=A","Fill=B","DS276=Y","DY771=IFRS",CONCATENATE("FX=", $B$97),"cols=15;rows=1")</f>
        <v>18.7</v>
      </c>
      <c r="H131">
        <v>35.4</v>
      </c>
      <c r="U131" t="str">
        <f>""</f>
        <v/>
      </c>
      <c r="V131" t="str">
        <f>""</f>
        <v/>
      </c>
      <c r="W131" t="str">
        <f>""</f>
        <v/>
      </c>
      <c r="X131" t="str">
        <f>""</f>
        <v/>
      </c>
      <c r="Y131" t="str">
        <f>""</f>
        <v/>
      </c>
      <c r="Z131" t="str">
        <f>""</f>
        <v/>
      </c>
      <c r="AA131" t="str">
        <f>""</f>
        <v/>
      </c>
      <c r="AB131" t="str">
        <f>""</f>
        <v/>
      </c>
      <c r="AC131" t="str">
        <f>""</f>
        <v/>
      </c>
      <c r="AD131" t="str">
        <f>""</f>
        <v/>
      </c>
      <c r="AE131" t="str">
        <f>""</f>
        <v/>
      </c>
      <c r="AF131" t="str">
        <f>""</f>
        <v/>
      </c>
      <c r="AG131" t="str">
        <f>""</f>
        <v/>
      </c>
      <c r="AH131" t="str">
        <f>""</f>
        <v/>
      </c>
      <c r="AI131" t="str">
        <f>""</f>
        <v/>
      </c>
    </row>
    <row r="132" spans="1:35" x14ac:dyDescent="0.25">
      <c r="A132" t="str">
        <f>$A$52</f>
        <v xml:space="preserve">        Revenue</v>
      </c>
      <c r="B132" t="str">
        <f>$B$52</f>
        <v>INFY US Equity</v>
      </c>
      <c r="C132" t="str">
        <f>$C$52</f>
        <v>BI047</v>
      </c>
      <c r="D132" t="str">
        <f>$D$52</f>
        <v>BICS_SEGMENT_DATA</v>
      </c>
      <c r="E132" t="str">
        <f>$E$52</f>
        <v>Dynamic</v>
      </c>
      <c r="F132">
        <f ca="1">_xll.BDH($B$52,$C$52,$B$100,$B$101,CONCATENATE("Per=",$B$98),"Dts=H","Dir=H",CONCATENATE("Points=",$B$99),"Sort=R","Days=A","Fill=B","DZ666=1","DZ381=18141010","DZ667=1","DS276=Y",CONCATENATE("FX=", $B$97),"cols=15;rows=1")</f>
        <v>4038.8402000000001</v>
      </c>
      <c r="G132">
        <v>3787.9629</v>
      </c>
      <c r="H132">
        <v>2891.0196999999998</v>
      </c>
      <c r="I132">
        <v>2767.7276999999999</v>
      </c>
      <c r="J132">
        <v>2602.9809</v>
      </c>
      <c r="P132">
        <v>1632.0563999999999</v>
      </c>
      <c r="Q132">
        <v>1611.6582000000001</v>
      </c>
      <c r="R132">
        <v>1484.8735999999999</v>
      </c>
      <c r="S132">
        <v>1151.5087000000001</v>
      </c>
      <c r="T132">
        <v>774.37760000000003</v>
      </c>
      <c r="U132" t="str">
        <f>""</f>
        <v/>
      </c>
      <c r="V132" t="str">
        <f>""</f>
        <v/>
      </c>
      <c r="W132" t="str">
        <f>""</f>
        <v/>
      </c>
      <c r="X132" t="str">
        <f>""</f>
        <v/>
      </c>
      <c r="Y132" t="str">
        <f>""</f>
        <v/>
      </c>
      <c r="Z132" t="str">
        <f>""</f>
        <v/>
      </c>
      <c r="AA132" t="str">
        <f>""</f>
        <v/>
      </c>
      <c r="AB132" t="str">
        <f>""</f>
        <v/>
      </c>
      <c r="AC132" t="str">
        <f>""</f>
        <v/>
      </c>
      <c r="AD132" t="str">
        <f>""</f>
        <v/>
      </c>
      <c r="AE132" t="str">
        <f>""</f>
        <v/>
      </c>
      <c r="AF132" t="str">
        <f>""</f>
        <v/>
      </c>
      <c r="AG132" t="str">
        <f>""</f>
        <v/>
      </c>
      <c r="AH132" t="str">
        <f>""</f>
        <v/>
      </c>
      <c r="AI132" t="str">
        <f>""</f>
        <v/>
      </c>
    </row>
    <row r="133" spans="1:35" x14ac:dyDescent="0.25">
      <c r="A133" t="str">
        <f>$A$53</f>
        <v xml:space="preserve">        Operating Income</v>
      </c>
      <c r="B133" t="str">
        <f>$B$53</f>
        <v>INFY US Equity</v>
      </c>
      <c r="C133" t="str">
        <f>$C$53</f>
        <v>BI047</v>
      </c>
      <c r="D133" t="str">
        <f>$D$53</f>
        <v>BICS_SEGMENT_DATA</v>
      </c>
      <c r="E133" t="str">
        <f>$E$53</f>
        <v>Dynamic</v>
      </c>
      <c r="F133">
        <f ca="1">_xll.BDH($B$53,$C$53,$B$100,$B$101,CONCATENATE("Per=",$B$98),"Dts=H","Dir=H",CONCATENATE("Points=",$B$99),"Sort=R","Days=A","Fill=B","DZ666=2","DZ381=18141010","DZ667=1","DS276=Y",CONCATENATE("FX=", $B$97),"cols=15;rows=1")</f>
        <v>1030.8389999999999</v>
      </c>
      <c r="G133">
        <v>984.00909999999999</v>
      </c>
      <c r="H133">
        <v>807.68</v>
      </c>
      <c r="I133">
        <v>776.99239999999998</v>
      </c>
      <c r="J133">
        <v>739.88630000000001</v>
      </c>
      <c r="P133">
        <v>572.09580000000005</v>
      </c>
      <c r="Q133">
        <v>519.98869999999999</v>
      </c>
      <c r="R133">
        <v>458.49079999999998</v>
      </c>
      <c r="S133">
        <v>345.74</v>
      </c>
      <c r="T133">
        <v>242.685</v>
      </c>
      <c r="U133" t="str">
        <f>""</f>
        <v/>
      </c>
      <c r="V133" t="str">
        <f>""</f>
        <v/>
      </c>
      <c r="W133" t="str">
        <f>""</f>
        <v/>
      </c>
      <c r="X133" t="str">
        <f>""</f>
        <v/>
      </c>
      <c r="Y133" t="str">
        <f>""</f>
        <v/>
      </c>
      <c r="Z133" t="str">
        <f>""</f>
        <v/>
      </c>
      <c r="AA133" t="str">
        <f>""</f>
        <v/>
      </c>
      <c r="AB133" t="str">
        <f>""</f>
        <v/>
      </c>
      <c r="AC133" t="str">
        <f>""</f>
        <v/>
      </c>
      <c r="AD133" t="str">
        <f>""</f>
        <v/>
      </c>
      <c r="AE133" t="str">
        <f>""</f>
        <v/>
      </c>
      <c r="AF133" t="str">
        <f>""</f>
        <v/>
      </c>
      <c r="AG133" t="str">
        <f>""</f>
        <v/>
      </c>
      <c r="AH133" t="str">
        <f>""</f>
        <v/>
      </c>
      <c r="AI133" t="str">
        <f>""</f>
        <v/>
      </c>
    </row>
    <row r="134" spans="1:35" x14ac:dyDescent="0.25">
      <c r="A134" t="str">
        <f>$A$55</f>
        <v xml:space="preserve">        Revenue</v>
      </c>
      <c r="B134" t="str">
        <f>$B$55</f>
        <v>INFY US Equity</v>
      </c>
      <c r="C134" t="str">
        <f>$C$55</f>
        <v>BI047</v>
      </c>
      <c r="D134" t="str">
        <f>$D$55</f>
        <v>BICS_SEGMENT_DATA</v>
      </c>
      <c r="E134" t="str">
        <f>$E$55</f>
        <v>Dynamic</v>
      </c>
      <c r="F134">
        <f ca="1">_xll.BDH($B$55,$C$55,$B$100,$B$101,CONCATENATE("Per=",$B$98),"Dts=H","Dir=H",CONCATENATE("Points=",$B$99),"Sort=R","Days=A","Fill=B","DZ666=1","DZ381=18141010","DZ667=153","DS276=Y",CONCATENATE("FX=", $B$97),"cols=15;rows=1")</f>
        <v>1980.2663</v>
      </c>
      <c r="G134">
        <v>1939.4049</v>
      </c>
      <c r="H134">
        <v>1722.3887999999999</v>
      </c>
      <c r="I134">
        <v>1674.3597</v>
      </c>
      <c r="J134">
        <v>1563.5622000000001</v>
      </c>
      <c r="K134">
        <v>1418.2548999999999</v>
      </c>
      <c r="L134">
        <v>1382.2964999999999</v>
      </c>
      <c r="M134">
        <v>1775.4160999999999</v>
      </c>
      <c r="N134">
        <v>1620.5424</v>
      </c>
      <c r="O134">
        <v>1236.4508000000001</v>
      </c>
      <c r="U134" t="str">
        <f>""</f>
        <v/>
      </c>
      <c r="V134" t="str">
        <f>""</f>
        <v/>
      </c>
      <c r="W134" t="str">
        <f>""</f>
        <v/>
      </c>
      <c r="X134" t="str">
        <f>""</f>
        <v/>
      </c>
      <c r="Y134" t="str">
        <f>""</f>
        <v/>
      </c>
      <c r="Z134" t="str">
        <f>""</f>
        <v/>
      </c>
      <c r="AA134" t="str">
        <f>""</f>
        <v/>
      </c>
      <c r="AB134" t="str">
        <f>""</f>
        <v/>
      </c>
      <c r="AC134" t="str">
        <f>""</f>
        <v/>
      </c>
      <c r="AD134" t="str">
        <f>""</f>
        <v/>
      </c>
      <c r="AE134" t="str">
        <f>""</f>
        <v/>
      </c>
      <c r="AF134" t="str">
        <f>""</f>
        <v/>
      </c>
      <c r="AG134" t="str">
        <f>""</f>
        <v/>
      </c>
      <c r="AH134" t="str">
        <f>""</f>
        <v/>
      </c>
      <c r="AI134" t="str">
        <f>""</f>
        <v/>
      </c>
    </row>
    <row r="135" spans="1:35" x14ac:dyDescent="0.25">
      <c r="A135" t="str">
        <f>$A$56</f>
        <v xml:space="preserve">        Operating Income</v>
      </c>
      <c r="B135" t="str">
        <f>$B$56</f>
        <v>INFY US Equity</v>
      </c>
      <c r="C135" t="str">
        <f>$C$56</f>
        <v>BI047</v>
      </c>
      <c r="D135" t="str">
        <f>$D$56</f>
        <v>BICS_SEGMENT_DATA</v>
      </c>
      <c r="E135" t="str">
        <f>$E$56</f>
        <v>Dynamic</v>
      </c>
      <c r="F135">
        <f ca="1">_xll.BDH($B$56,$C$56,$B$100,$B$101,CONCATENATE("Per=",$B$98),"Dts=H","Dir=H",CONCATENATE("Points=",$B$99),"Sort=R","Days=A","Fill=B","DZ666=2","DZ381=18141010","DZ667=153","DS276=Y",CONCATENATE("FX=", $B$97),"cols=15;rows=1")</f>
        <v>594.29150000000004</v>
      </c>
      <c r="G135">
        <v>577.12890000000004</v>
      </c>
      <c r="H135">
        <v>503.96629999999999</v>
      </c>
      <c r="I135">
        <v>484.63200000000001</v>
      </c>
      <c r="J135">
        <v>434.23790000000002</v>
      </c>
      <c r="K135">
        <v>430.43360000000001</v>
      </c>
      <c r="L135">
        <v>367.85050000000001</v>
      </c>
      <c r="M135">
        <v>525.91300000000001</v>
      </c>
      <c r="N135">
        <v>521.05319999999995</v>
      </c>
      <c r="O135">
        <v>395.83109999999999</v>
      </c>
      <c r="U135" t="str">
        <f>""</f>
        <v/>
      </c>
      <c r="V135" t="str">
        <f>""</f>
        <v/>
      </c>
      <c r="W135" t="str">
        <f>""</f>
        <v/>
      </c>
      <c r="X135" t="str">
        <f>""</f>
        <v/>
      </c>
      <c r="Y135" t="str">
        <f>""</f>
        <v/>
      </c>
      <c r="Z135" t="str">
        <f>""</f>
        <v/>
      </c>
      <c r="AA135" t="str">
        <f>""</f>
        <v/>
      </c>
      <c r="AB135" t="str">
        <f>""</f>
        <v/>
      </c>
      <c r="AC135" t="str">
        <f>""</f>
        <v/>
      </c>
      <c r="AD135" t="str">
        <f>""</f>
        <v/>
      </c>
      <c r="AE135" t="str">
        <f>""</f>
        <v/>
      </c>
      <c r="AF135" t="str">
        <f>""</f>
        <v/>
      </c>
      <c r="AG135" t="str">
        <f>""</f>
        <v/>
      </c>
      <c r="AH135" t="str">
        <f>""</f>
        <v/>
      </c>
      <c r="AI135" t="str">
        <f>""</f>
        <v/>
      </c>
    </row>
    <row r="136" spans="1:35" x14ac:dyDescent="0.25">
      <c r="A136" t="str">
        <f>$A$58</f>
        <v xml:space="preserve">        Revenue</v>
      </c>
      <c r="B136" t="str">
        <f>$B$58</f>
        <v>INFY US Equity</v>
      </c>
      <c r="C136" t="str">
        <f>$C$58</f>
        <v>BI047</v>
      </c>
      <c r="D136" t="str">
        <f>$D$58</f>
        <v>BICS_SEGMENT_DATA</v>
      </c>
      <c r="E136" t="str">
        <f>$E$58</f>
        <v>Dynamic</v>
      </c>
      <c r="F136">
        <f ca="1">_xll.BDH($B$58,$C$58,$B$100,$B$101,CONCATENATE("Per=",$B$98),"Dts=H","Dir=H",CONCATENATE("Points=",$B$99),"Sort=R","Days=A","Fill=B","DZ666=1","DZ381=181210","DZ667=12","DS276=Y",CONCATENATE("FX=", $B$97),"cols=15;rows=1")</f>
        <v>1690.8806999999999</v>
      </c>
      <c r="G136">
        <v>1491.6078</v>
      </c>
      <c r="U136" t="str">
        <f>""</f>
        <v/>
      </c>
      <c r="V136" t="str">
        <f>""</f>
        <v/>
      </c>
      <c r="W136" t="str">
        <f>""</f>
        <v/>
      </c>
      <c r="X136" t="str">
        <f>""</f>
        <v/>
      </c>
      <c r="Y136" t="str">
        <f>""</f>
        <v/>
      </c>
      <c r="Z136" t="str">
        <f>""</f>
        <v/>
      </c>
      <c r="AA136" t="str">
        <f>""</f>
        <v/>
      </c>
      <c r="AB136" t="str">
        <f>""</f>
        <v/>
      </c>
      <c r="AC136" t="str">
        <f>""</f>
        <v/>
      </c>
      <c r="AD136" t="str">
        <f>""</f>
        <v/>
      </c>
      <c r="AE136" t="str">
        <f>""</f>
        <v/>
      </c>
      <c r="AF136" t="str">
        <f>""</f>
        <v/>
      </c>
      <c r="AG136" t="str">
        <f>""</f>
        <v/>
      </c>
      <c r="AH136" t="str">
        <f>""</f>
        <v/>
      </c>
      <c r="AI136" t="str">
        <f>""</f>
        <v/>
      </c>
    </row>
    <row r="137" spans="1:35" x14ac:dyDescent="0.25">
      <c r="A137" t="str">
        <f>$A$59</f>
        <v xml:space="preserve">        Operating Income</v>
      </c>
      <c r="B137" t="str">
        <f>$B$59</f>
        <v>INFY US Equity</v>
      </c>
      <c r="C137" t="str">
        <f>$C$59</f>
        <v>BI047</v>
      </c>
      <c r="D137" t="str">
        <f>$D$59</f>
        <v>BICS_SEGMENT_DATA</v>
      </c>
      <c r="E137" t="str">
        <f>$E$59</f>
        <v>Dynamic</v>
      </c>
      <c r="F137">
        <f ca="1">_xll.BDH($B$59,$C$59,$B$100,$B$101,CONCATENATE("Per=",$B$98),"Dts=H","Dir=H",CONCATENATE("Points=",$B$99),"Sort=R","Days=A","Fill=B","DZ666=2","DZ381=181210","DZ667=12","DS276=Y",CONCATENATE("FX=", $B$97),"cols=15;rows=1")</f>
        <v>342.01389999999998</v>
      </c>
      <c r="G137">
        <v>360.09750000000003</v>
      </c>
      <c r="U137" t="str">
        <f>""</f>
        <v/>
      </c>
      <c r="V137" t="str">
        <f>""</f>
        <v/>
      </c>
      <c r="W137" t="str">
        <f>""</f>
        <v/>
      </c>
      <c r="X137" t="str">
        <f>""</f>
        <v/>
      </c>
      <c r="Y137" t="str">
        <f>""</f>
        <v/>
      </c>
      <c r="Z137" t="str">
        <f>""</f>
        <v/>
      </c>
      <c r="AA137" t="str">
        <f>""</f>
        <v/>
      </c>
      <c r="AB137" t="str">
        <f>""</f>
        <v/>
      </c>
      <c r="AC137" t="str">
        <f>""</f>
        <v/>
      </c>
      <c r="AD137" t="str">
        <f>""</f>
        <v/>
      </c>
      <c r="AE137" t="str">
        <f>""</f>
        <v/>
      </c>
      <c r="AF137" t="str">
        <f>""</f>
        <v/>
      </c>
      <c r="AG137" t="str">
        <f>""</f>
        <v/>
      </c>
      <c r="AH137" t="str">
        <f>""</f>
        <v/>
      </c>
      <c r="AI137" t="str">
        <f>""</f>
        <v/>
      </c>
    </row>
    <row r="138" spans="1:35" x14ac:dyDescent="0.25">
      <c r="A138" t="str">
        <f>$A$61</f>
        <v xml:space="preserve">        Revenue</v>
      </c>
      <c r="B138" t="str">
        <f>$B$61</f>
        <v>INFY US Equity</v>
      </c>
      <c r="C138" t="str">
        <f>$C$61</f>
        <v>BI047</v>
      </c>
      <c r="D138" t="str">
        <f>$D$61</f>
        <v>BICS_SEGMENT_DATA</v>
      </c>
      <c r="E138" t="str">
        <f>$E$61</f>
        <v>Dynamic</v>
      </c>
      <c r="F138">
        <f ca="1">_xll.BDH($B$61,$C$61,$B$100,$B$101,CONCATENATE("Per=",$B$98),"Dts=H","Dir=H",CONCATENATE("Points=",$B$99),"Sort=R","Days=A","Fill=B","DZ666=1","DZ381=181210","DZ667=212","DS276=Y",CONCATENATE("FX=", $B$97),"cols=15;rows=1")</f>
        <v>1655.8892000000001</v>
      </c>
      <c r="G138">
        <v>1486.4575</v>
      </c>
      <c r="U138" t="str">
        <f>""</f>
        <v/>
      </c>
      <c r="V138" t="str">
        <f>""</f>
        <v/>
      </c>
      <c r="W138" t="str">
        <f>""</f>
        <v/>
      </c>
      <c r="X138" t="str">
        <f>""</f>
        <v/>
      </c>
      <c r="Y138" t="str">
        <f>""</f>
        <v/>
      </c>
      <c r="Z138" t="str">
        <f>""</f>
        <v/>
      </c>
      <c r="AA138" t="str">
        <f>""</f>
        <v/>
      </c>
      <c r="AB138" t="str">
        <f>""</f>
        <v/>
      </c>
      <c r="AC138" t="str">
        <f>""</f>
        <v/>
      </c>
      <c r="AD138" t="str">
        <f>""</f>
        <v/>
      </c>
      <c r="AE138" t="str">
        <f>""</f>
        <v/>
      </c>
      <c r="AF138" t="str">
        <f>""</f>
        <v/>
      </c>
      <c r="AG138" t="str">
        <f>""</f>
        <v/>
      </c>
      <c r="AH138" t="str">
        <f>""</f>
        <v/>
      </c>
      <c r="AI138" t="str">
        <f>""</f>
        <v/>
      </c>
    </row>
    <row r="139" spans="1:35" x14ac:dyDescent="0.25">
      <c r="A139" t="str">
        <f>$A$62</f>
        <v xml:space="preserve">        Operating Income</v>
      </c>
      <c r="B139" t="str">
        <f>$B$62</f>
        <v>INFY US Equity</v>
      </c>
      <c r="C139" t="str">
        <f>$C$62</f>
        <v>BI047</v>
      </c>
      <c r="D139" t="str">
        <f>$D$62</f>
        <v>BICS_SEGMENT_DATA</v>
      </c>
      <c r="E139" t="str">
        <f>$E$62</f>
        <v>Dynamic</v>
      </c>
      <c r="F139">
        <f ca="1">_xll.BDH($B$62,$C$62,$B$100,$B$101,CONCATENATE("Per=",$B$98),"Dts=H","Dir=H",CONCATENATE("Points=",$B$99),"Sort=R","Days=A","Fill=B","DZ666=2","DZ381=181210","DZ667=212","DS276=Y",CONCATENATE("FX=", $B$97),"cols=15;rows=1")</f>
        <v>453.7611</v>
      </c>
      <c r="G139">
        <v>363.67419999999998</v>
      </c>
      <c r="U139" t="str">
        <f>""</f>
        <v/>
      </c>
      <c r="V139" t="str">
        <f>""</f>
        <v/>
      </c>
      <c r="W139" t="str">
        <f>""</f>
        <v/>
      </c>
      <c r="X139" t="str">
        <f>""</f>
        <v/>
      </c>
      <c r="Y139" t="str">
        <f>""</f>
        <v/>
      </c>
      <c r="Z139" t="str">
        <f>""</f>
        <v/>
      </c>
      <c r="AA139" t="str">
        <f>""</f>
        <v/>
      </c>
      <c r="AB139" t="str">
        <f>""</f>
        <v/>
      </c>
      <c r="AC139" t="str">
        <f>""</f>
        <v/>
      </c>
      <c r="AD139" t="str">
        <f>""</f>
        <v/>
      </c>
      <c r="AE139" t="str">
        <f>""</f>
        <v/>
      </c>
      <c r="AF139" t="str">
        <f>""</f>
        <v/>
      </c>
      <c r="AG139" t="str">
        <f>""</f>
        <v/>
      </c>
      <c r="AH139" t="str">
        <f>""</f>
        <v/>
      </c>
      <c r="AI139" t="str">
        <f>""</f>
        <v/>
      </c>
    </row>
    <row r="140" spans="1:35" x14ac:dyDescent="0.25">
      <c r="A140" t="str">
        <f>$A$64</f>
        <v xml:space="preserve">        Revenue</v>
      </c>
      <c r="B140" t="str">
        <f>$B$64</f>
        <v>INFY US Equity</v>
      </c>
      <c r="C140" t="str">
        <f>$C$64</f>
        <v>BI047</v>
      </c>
      <c r="D140" t="str">
        <f>$D$64</f>
        <v>BICS_SEGMENT_DATA</v>
      </c>
      <c r="E140" t="str">
        <f>$E$64</f>
        <v>Dynamic</v>
      </c>
      <c r="F140">
        <f ca="1">_xll.BDH($B$64,$C$64,$B$100,$B$101,CONCATENATE("Per=",$B$98),"Dts=H","Dir=H",CONCATENATE("Points=",$B$99),"Sort=R","Days=A","Fill=B","DZ666=1","DZ381=18141010","DZ667=152","DS276=Y",CONCATENATE("FX=", $B$97),"cols=15;rows=1")</f>
        <v>1288.3371</v>
      </c>
      <c r="G140">
        <v>1166.2754</v>
      </c>
      <c r="H140">
        <v>1194.2247</v>
      </c>
      <c r="I140">
        <v>1119.77</v>
      </c>
      <c r="J140">
        <v>1062.3538000000001</v>
      </c>
      <c r="K140">
        <v>1919.8548000000001</v>
      </c>
      <c r="L140">
        <v>1797.5155</v>
      </c>
      <c r="M140">
        <v>1634.3758</v>
      </c>
      <c r="N140">
        <v>1451.954</v>
      </c>
      <c r="O140">
        <v>1183.9806000000001</v>
      </c>
      <c r="P140">
        <v>951.24130000000002</v>
      </c>
      <c r="Q140">
        <v>939.44029999999998</v>
      </c>
      <c r="R140">
        <v>610.16070000000002</v>
      </c>
      <c r="S140">
        <v>414.93220000000002</v>
      </c>
      <c r="T140">
        <v>299.17599999999999</v>
      </c>
      <c r="U140" t="str">
        <f>""</f>
        <v/>
      </c>
      <c r="V140" t="str">
        <f>""</f>
        <v/>
      </c>
      <c r="W140" t="str">
        <f>""</f>
        <v/>
      </c>
      <c r="X140" t="str">
        <f>""</f>
        <v/>
      </c>
      <c r="Y140" t="str">
        <f>""</f>
        <v/>
      </c>
      <c r="Z140" t="str">
        <f>""</f>
        <v/>
      </c>
      <c r="AA140" t="str">
        <f>""</f>
        <v/>
      </c>
      <c r="AB140" t="str">
        <f>""</f>
        <v/>
      </c>
      <c r="AC140" t="str">
        <f>""</f>
        <v/>
      </c>
      <c r="AD140" t="str">
        <f>""</f>
        <v/>
      </c>
      <c r="AE140" t="str">
        <f>""</f>
        <v/>
      </c>
      <c r="AF140" t="str">
        <f>""</f>
        <v/>
      </c>
      <c r="AG140" t="str">
        <f>""</f>
        <v/>
      </c>
      <c r="AH140" t="str">
        <f>""</f>
        <v/>
      </c>
      <c r="AI140" t="str">
        <f>""</f>
        <v/>
      </c>
    </row>
    <row r="141" spans="1:35" x14ac:dyDescent="0.25">
      <c r="A141" t="str">
        <f>$A$65</f>
        <v xml:space="preserve">        Operating Income</v>
      </c>
      <c r="B141" t="str">
        <f>$B$65</f>
        <v>INFY US Equity</v>
      </c>
      <c r="C141" t="str">
        <f>$C$65</f>
        <v>BI047</v>
      </c>
      <c r="D141" t="str">
        <f>$D$65</f>
        <v>BICS_SEGMENT_DATA</v>
      </c>
      <c r="E141" t="str">
        <f>$E$65</f>
        <v>Dynamic</v>
      </c>
      <c r="F141">
        <f ca="1">_xll.BDH($B$65,$C$65,$B$100,$B$101,CONCATENATE("Per=",$B$98),"Dts=H","Dir=H",CONCATENATE("Points=",$B$99),"Sort=R","Days=A","Fill=B","DZ666=2","DZ381=18141010","DZ667=152","DS276=Y",CONCATENATE("FX=", $B$97),"cols=15;rows=1")</f>
        <v>290.51429999999999</v>
      </c>
      <c r="G141">
        <v>265.10160000000002</v>
      </c>
      <c r="H141">
        <v>282.15289999999999</v>
      </c>
      <c r="I141">
        <v>275.654</v>
      </c>
      <c r="J141">
        <v>238.52500000000001</v>
      </c>
      <c r="K141">
        <v>474.27859999999998</v>
      </c>
      <c r="L141">
        <v>406.1096</v>
      </c>
      <c r="M141">
        <v>423.67259999999999</v>
      </c>
      <c r="N141">
        <v>434.76940000000002</v>
      </c>
      <c r="O141">
        <v>375.85289999999998</v>
      </c>
      <c r="P141">
        <v>290.05889999999999</v>
      </c>
      <c r="Q141">
        <v>290.4402</v>
      </c>
      <c r="R141">
        <v>170.8152</v>
      </c>
      <c r="S141">
        <v>127.55240000000001</v>
      </c>
      <c r="T141">
        <v>90.837400000000002</v>
      </c>
      <c r="U141" t="str">
        <f>""</f>
        <v/>
      </c>
      <c r="V141" t="str">
        <f>""</f>
        <v/>
      </c>
      <c r="W141" t="str">
        <f>""</f>
        <v/>
      </c>
      <c r="X141" t="str">
        <f>""</f>
        <v/>
      </c>
      <c r="Y141" t="str">
        <f>""</f>
        <v/>
      </c>
      <c r="Z141" t="str">
        <f>""</f>
        <v/>
      </c>
      <c r="AA141" t="str">
        <f>""</f>
        <v/>
      </c>
      <c r="AB141" t="str">
        <f>""</f>
        <v/>
      </c>
      <c r="AC141" t="str">
        <f>""</f>
        <v/>
      </c>
      <c r="AD141" t="str">
        <f>""</f>
        <v/>
      </c>
      <c r="AE141" t="str">
        <f>""</f>
        <v/>
      </c>
      <c r="AF141" t="str">
        <f>""</f>
        <v/>
      </c>
      <c r="AG141" t="str">
        <f>""</f>
        <v/>
      </c>
      <c r="AH141" t="str">
        <f>""</f>
        <v/>
      </c>
      <c r="AI141" t="str">
        <f>""</f>
        <v/>
      </c>
    </row>
    <row r="142" spans="1:35" x14ac:dyDescent="0.25">
      <c r="A142" t="str">
        <f>$A$67</f>
        <v xml:space="preserve">        Revenue</v>
      </c>
      <c r="B142" t="str">
        <f>$B$67</f>
        <v>INFY US Equity</v>
      </c>
      <c r="C142" t="str">
        <f>$C$67</f>
        <v>BI047</v>
      </c>
      <c r="D142" t="str">
        <f>$D$67</f>
        <v>BICS_SEGMENT_DATA</v>
      </c>
      <c r="E142" t="str">
        <f>$E$67</f>
        <v>Dynamic</v>
      </c>
      <c r="F142">
        <f ca="1">_xll.BDH($B$67,$C$67,$B$100,$B$101,CONCATENATE("Per=",$B$98),"Dts=H","Dir=H",CONCATENATE("Points=",$B$99),"Sort=R","Days=A","Fill=B","DZ666=1","DZ381=18141010","DZ667=155","DS276=Y",CONCATENATE("FX=", $B$97),"cols=15;rows=1")</f>
        <v>983.7133</v>
      </c>
      <c r="G142">
        <v>883.71969999999999</v>
      </c>
      <c r="H142">
        <v>782.86170000000004</v>
      </c>
      <c r="I142">
        <v>764.01520000000005</v>
      </c>
      <c r="J142">
        <v>747.83709999999996</v>
      </c>
      <c r="U142" t="str">
        <f>""</f>
        <v/>
      </c>
      <c r="V142" t="str">
        <f>""</f>
        <v/>
      </c>
      <c r="W142" t="str">
        <f>""</f>
        <v/>
      </c>
      <c r="X142" t="str">
        <f>""</f>
        <v/>
      </c>
      <c r="Y142" t="str">
        <f>""</f>
        <v/>
      </c>
      <c r="Z142" t="str">
        <f>""</f>
        <v/>
      </c>
      <c r="AA142" t="str">
        <f>""</f>
        <v/>
      </c>
      <c r="AB142" t="str">
        <f>""</f>
        <v/>
      </c>
      <c r="AC142" t="str">
        <f>""</f>
        <v/>
      </c>
      <c r="AD142" t="str">
        <f>""</f>
        <v/>
      </c>
      <c r="AE142" t="str">
        <f>""</f>
        <v/>
      </c>
      <c r="AF142" t="str">
        <f>""</f>
        <v/>
      </c>
      <c r="AG142" t="str">
        <f>""</f>
        <v/>
      </c>
      <c r="AH142" t="str">
        <f>""</f>
        <v/>
      </c>
      <c r="AI142" t="str">
        <f>""</f>
        <v/>
      </c>
    </row>
    <row r="143" spans="1:35" x14ac:dyDescent="0.25">
      <c r="A143" t="str">
        <f>$A$68</f>
        <v xml:space="preserve">        Operating Income</v>
      </c>
      <c r="B143" t="str">
        <f>$B$68</f>
        <v>INFY US Equity</v>
      </c>
      <c r="C143" t="str">
        <f>$C$68</f>
        <v>BI047</v>
      </c>
      <c r="D143" t="str">
        <f>$D$68</f>
        <v>BICS_SEGMENT_DATA</v>
      </c>
      <c r="E143" t="str">
        <f>$E$68</f>
        <v>Dynamic</v>
      </c>
      <c r="F143">
        <f ca="1">_xll.BDH($B$68,$C$68,$B$100,$B$101,CONCATENATE("Per=",$B$98),"Dts=H","Dir=H",CONCATENATE("Points=",$B$99),"Sort=R","Days=A","Fill=B","DZ666=2","DZ381=18141010","DZ667=155","DS276=Y",CONCATENATE("FX=", $B$97),"cols=15;rows=1")</f>
        <v>226.31610000000001</v>
      </c>
      <c r="G143">
        <v>221.46639999999999</v>
      </c>
      <c r="H143">
        <v>189.85990000000001</v>
      </c>
      <c r="I143">
        <v>190.48169999999999</v>
      </c>
      <c r="J143">
        <v>198.9238</v>
      </c>
      <c r="U143" t="str">
        <f>""</f>
        <v/>
      </c>
      <c r="V143" t="str">
        <f>""</f>
        <v/>
      </c>
      <c r="W143" t="str">
        <f>""</f>
        <v/>
      </c>
      <c r="X143" t="str">
        <f>""</f>
        <v/>
      </c>
      <c r="Y143" t="str">
        <f>""</f>
        <v/>
      </c>
      <c r="Z143" t="str">
        <f>""</f>
        <v/>
      </c>
      <c r="AA143" t="str">
        <f>""</f>
        <v/>
      </c>
      <c r="AB143" t="str">
        <f>""</f>
        <v/>
      </c>
      <c r="AC143" t="str">
        <f>""</f>
        <v/>
      </c>
      <c r="AD143" t="str">
        <f>""</f>
        <v/>
      </c>
      <c r="AE143" t="str">
        <f>""</f>
        <v/>
      </c>
      <c r="AF143" t="str">
        <f>""</f>
        <v/>
      </c>
      <c r="AG143" t="str">
        <f>""</f>
        <v/>
      </c>
      <c r="AH143" t="str">
        <f>""</f>
        <v/>
      </c>
      <c r="AI143" t="str">
        <f>""</f>
        <v/>
      </c>
    </row>
    <row r="144" spans="1:35" x14ac:dyDescent="0.25">
      <c r="A144" t="str">
        <f>$A$70</f>
        <v xml:space="preserve">        Revenue</v>
      </c>
      <c r="B144" t="str">
        <f>$B$70</f>
        <v>INFY US Equity</v>
      </c>
      <c r="C144" t="str">
        <f>$C$70</f>
        <v>BI047</v>
      </c>
      <c r="D144" t="str">
        <f>$D$70</f>
        <v>BICS_SEGMENT_DATA</v>
      </c>
      <c r="E144" t="str">
        <f>$E$70</f>
        <v>Dynamic</v>
      </c>
      <c r="F144">
        <f ca="1">_xll.BDH($B$70,$C$70,$B$100,$B$101,CONCATENATE("Per=",$B$98),"Dts=H","Dir=H",CONCATENATE("Points=",$B$99),"Sort=R","Days=A","Fill=B","DZ666=01","DZ381=181210","DZ667=8","DS276=Y",CONCATENATE("FX=", $B$97),"cols=15;rows=1")</f>
        <v>823.57069999999999</v>
      </c>
      <c r="G144">
        <v>744.37329999999997</v>
      </c>
      <c r="K144">
        <v>586.3451</v>
      </c>
      <c r="L144">
        <v>562.95540000000005</v>
      </c>
      <c r="U144" t="str">
        <f>""</f>
        <v/>
      </c>
      <c r="V144" t="str">
        <f>""</f>
        <v/>
      </c>
      <c r="W144" t="str">
        <f>""</f>
        <v/>
      </c>
      <c r="X144" t="str">
        <f>""</f>
        <v/>
      </c>
      <c r="Y144" t="str">
        <f>""</f>
        <v/>
      </c>
      <c r="Z144" t="str">
        <f>""</f>
        <v/>
      </c>
      <c r="AA144" t="str">
        <f>""</f>
        <v/>
      </c>
      <c r="AB144" t="str">
        <f>""</f>
        <v/>
      </c>
      <c r="AC144" t="str">
        <f>""</f>
        <v/>
      </c>
      <c r="AD144" t="str">
        <f>""</f>
        <v/>
      </c>
      <c r="AE144" t="str">
        <f>""</f>
        <v/>
      </c>
      <c r="AF144" t="str">
        <f>""</f>
        <v/>
      </c>
      <c r="AG144" t="str">
        <f>""</f>
        <v/>
      </c>
      <c r="AH144" t="str">
        <f>""</f>
        <v/>
      </c>
      <c r="AI144" t="str">
        <f>""</f>
        <v/>
      </c>
    </row>
    <row r="145" spans="1:35" x14ac:dyDescent="0.25">
      <c r="A145" t="str">
        <f>$A$71</f>
        <v xml:space="preserve">        Operating Income</v>
      </c>
      <c r="B145" t="str">
        <f>$B$71</f>
        <v>INFY US Equity</v>
      </c>
      <c r="C145" t="str">
        <f>$C$71</f>
        <v>BI047</v>
      </c>
      <c r="D145" t="str">
        <f>$D$71</f>
        <v>BICS_SEGMENT_DATA</v>
      </c>
      <c r="E145" t="str">
        <f>$E$71</f>
        <v>Dynamic</v>
      </c>
      <c r="F145">
        <f ca="1">_xll.BDH($B$71,$C$71,$B$100,$B$101,CONCATENATE("Per=",$B$98),"Dts=H","Dir=H",CONCATENATE("Points=",$B$99),"Sort=R","Days=A","Fill=B","DZ666=2","DZ381=181210","DZ667=8","DS276=Y",CONCATENATE("FX=", $B$97),"cols=15;rows=1")</f>
        <v>201.9067</v>
      </c>
      <c r="G145">
        <v>203.01089999999999</v>
      </c>
      <c r="K145">
        <v>150.34909999999999</v>
      </c>
      <c r="L145">
        <v>124.0523</v>
      </c>
      <c r="U145" t="str">
        <f>""</f>
        <v/>
      </c>
      <c r="V145" t="str">
        <f>""</f>
        <v/>
      </c>
      <c r="W145" t="str">
        <f>""</f>
        <v/>
      </c>
      <c r="X145" t="str">
        <f>""</f>
        <v/>
      </c>
      <c r="Y145" t="str">
        <f>""</f>
        <v/>
      </c>
      <c r="Z145" t="str">
        <f>""</f>
        <v/>
      </c>
      <c r="AA145" t="str">
        <f>""</f>
        <v/>
      </c>
      <c r="AB145" t="str">
        <f>""</f>
        <v/>
      </c>
      <c r="AC145" t="str">
        <f>""</f>
        <v/>
      </c>
      <c r="AD145" t="str">
        <f>""</f>
        <v/>
      </c>
      <c r="AE145" t="str">
        <f>""</f>
        <v/>
      </c>
      <c r="AF145" t="str">
        <f>""</f>
        <v/>
      </c>
      <c r="AG145" t="str">
        <f>""</f>
        <v/>
      </c>
      <c r="AH145" t="str">
        <f>""</f>
        <v/>
      </c>
      <c r="AI145" t="str">
        <f>""</f>
        <v/>
      </c>
    </row>
    <row r="146" spans="1:35" x14ac:dyDescent="0.25">
      <c r="A146" t="str">
        <f>$A$73</f>
        <v xml:space="preserve">        Revenue</v>
      </c>
      <c r="B146" t="str">
        <f>$B$73</f>
        <v>INFY US Equity</v>
      </c>
      <c r="C146" t="str">
        <f>$C$73</f>
        <v>BI047</v>
      </c>
      <c r="D146" t="str">
        <f>$D$73</f>
        <v>BICS_SEGMENT_DATA</v>
      </c>
      <c r="E146" t="str">
        <f>$E$73</f>
        <v>Dynamic</v>
      </c>
      <c r="F146">
        <f ca="1">_xll.BDH($B$73,$C$73,$B$100,$B$101,CONCATENATE("Per=",$B$98),"Dts=H","Dir=H",CONCATENATE("Points=",$B$99),"Sort=R","Days=A","Fill=B","DZ666=1","DZ381=18141010","DZ667=156","DS276=Y",CONCATENATE("FX=", $B$97),"cols=15;rows=1")</f>
        <v>348.6454</v>
      </c>
      <c r="G146">
        <v>328.19380000000001</v>
      </c>
      <c r="H146">
        <v>311.1592</v>
      </c>
      <c r="I146">
        <v>329.35289999999998</v>
      </c>
      <c r="J146">
        <v>262.22460000000001</v>
      </c>
      <c r="U146" t="str">
        <f>""</f>
        <v/>
      </c>
      <c r="V146" t="str">
        <f>""</f>
        <v/>
      </c>
      <c r="W146" t="str">
        <f>""</f>
        <v/>
      </c>
      <c r="X146" t="str">
        <f>""</f>
        <v/>
      </c>
      <c r="Y146" t="str">
        <f>""</f>
        <v/>
      </c>
      <c r="Z146" t="str">
        <f>""</f>
        <v/>
      </c>
      <c r="AA146" t="str">
        <f>""</f>
        <v/>
      </c>
      <c r="AB146" t="str">
        <f>""</f>
        <v/>
      </c>
      <c r="AC146" t="str">
        <f>""</f>
        <v/>
      </c>
      <c r="AD146" t="str">
        <f>""</f>
        <v/>
      </c>
      <c r="AE146" t="str">
        <f>""</f>
        <v/>
      </c>
      <c r="AF146" t="str">
        <f>""</f>
        <v/>
      </c>
      <c r="AG146" t="str">
        <f>""</f>
        <v/>
      </c>
      <c r="AH146" t="str">
        <f>""</f>
        <v/>
      </c>
      <c r="AI146" t="str">
        <f>""</f>
        <v/>
      </c>
    </row>
    <row r="147" spans="1:35" x14ac:dyDescent="0.25">
      <c r="A147" t="str">
        <f>$A$74</f>
        <v xml:space="preserve">        Operating Income</v>
      </c>
      <c r="B147" t="str">
        <f>$B$74</f>
        <v>INFY US Equity</v>
      </c>
      <c r="C147" t="str">
        <f>$C$74</f>
        <v>BI047</v>
      </c>
      <c r="D147" t="str">
        <f>$D$74</f>
        <v>BICS_SEGMENT_DATA</v>
      </c>
      <c r="E147" t="str">
        <f>$E$74</f>
        <v>Dynamic</v>
      </c>
      <c r="F147">
        <f ca="1">_xll.BDH($B$74,$C$74,$B$100,$B$101,CONCATENATE("Per=",$B$98),"Dts=H","Dir=H",CONCATENATE("Points=",$B$99),"Sort=R","Days=A","Fill=B","DZ666=2","DZ381=18141010","DZ667=156","DS276=Y",CONCATENATE("FX=", $B$97),"cols=15;rows=1")</f>
        <v>9.0300999999999991</v>
      </c>
      <c r="G147">
        <v>16.595700000000001</v>
      </c>
      <c r="H147">
        <v>60.339399999999998</v>
      </c>
      <c r="I147">
        <v>43.555700000000002</v>
      </c>
      <c r="J147">
        <v>39.601300000000002</v>
      </c>
      <c r="U147" t="str">
        <f>""</f>
        <v/>
      </c>
      <c r="V147" t="str">
        <f>""</f>
        <v/>
      </c>
      <c r="W147" t="str">
        <f>""</f>
        <v/>
      </c>
      <c r="X147" t="str">
        <f>""</f>
        <v/>
      </c>
      <c r="Y147" t="str">
        <f>""</f>
        <v/>
      </c>
      <c r="Z147" t="str">
        <f>""</f>
        <v/>
      </c>
      <c r="AA147" t="str">
        <f>""</f>
        <v/>
      </c>
      <c r="AB147" t="str">
        <f>""</f>
        <v/>
      </c>
      <c r="AC147" t="str">
        <f>""</f>
        <v/>
      </c>
      <c r="AD147" t="str">
        <f>""</f>
        <v/>
      </c>
      <c r="AE147" t="str">
        <f>""</f>
        <v/>
      </c>
      <c r="AF147" t="str">
        <f>""</f>
        <v/>
      </c>
      <c r="AG147" t="str">
        <f>""</f>
        <v/>
      </c>
      <c r="AH147" t="str">
        <f>""</f>
        <v/>
      </c>
      <c r="AI147" t="str">
        <f>""</f>
        <v/>
      </c>
    </row>
    <row r="148" spans="1:35" x14ac:dyDescent="0.25">
      <c r="A148" t="str">
        <f>$A$82</f>
        <v xml:space="preserve">        North America</v>
      </c>
      <c r="B148" t="str">
        <f>$B$82</f>
        <v>INFY US Equity</v>
      </c>
      <c r="C148" t="str">
        <f>$C$82</f>
        <v>BI047</v>
      </c>
      <c r="D148" t="str">
        <f>$D$82</f>
        <v>BICS_SEGMENT_DATA</v>
      </c>
      <c r="E148" t="str">
        <f>$E$82</f>
        <v>Dynamic</v>
      </c>
      <c r="F148">
        <f ca="1">_xll.BDH($B$82,$C$82,$B$100,$B$101,CONCATENATE("Per=",$B$98),"Dts=H","Dir=H",CONCATENATE("Points=",$B$99),"Sort=R","Days=A","Fill=B","DZ666=1","X0001=NA00","DZ667=1","DS276=Y",CONCATENATE("FX=", $B$97),"cols=15;rows=1")</f>
        <v>7874.0806000000002</v>
      </c>
      <c r="G148">
        <v>7158.7448000000004</v>
      </c>
      <c r="H148">
        <v>6603.9898999999996</v>
      </c>
      <c r="I148">
        <v>6325.7233999999999</v>
      </c>
      <c r="J148">
        <v>5984.3791000000001</v>
      </c>
      <c r="K148">
        <v>5365.1230999999998</v>
      </c>
      <c r="L148">
        <v>5037.1176999999998</v>
      </c>
      <c r="M148">
        <v>4616.0819000000001</v>
      </c>
      <c r="N148">
        <v>4510.4188999999997</v>
      </c>
      <c r="O148">
        <v>3942.5039999999999</v>
      </c>
      <c r="P148">
        <v>3160.6712000000002</v>
      </c>
      <c r="Q148">
        <v>3008.6623</v>
      </c>
      <c r="R148">
        <v>2573.1675</v>
      </c>
      <c r="S148">
        <v>1945.7820999999999</v>
      </c>
      <c r="T148">
        <v>1393.7442000000001</v>
      </c>
      <c r="U148" t="str">
        <f>""</f>
        <v/>
      </c>
      <c r="V148" t="str">
        <f>""</f>
        <v/>
      </c>
      <c r="W148" t="str">
        <f>""</f>
        <v/>
      </c>
      <c r="X148" t="str">
        <f>""</f>
        <v/>
      </c>
      <c r="Y148" t="str">
        <f>""</f>
        <v/>
      </c>
      <c r="Z148" t="str">
        <f>""</f>
        <v/>
      </c>
      <c r="AA148" t="str">
        <f>""</f>
        <v/>
      </c>
      <c r="AB148" t="str">
        <f>""</f>
        <v/>
      </c>
      <c r="AC148" t="str">
        <f>""</f>
        <v/>
      </c>
      <c r="AD148" t="str">
        <f>""</f>
        <v/>
      </c>
      <c r="AE148" t="str">
        <f>""</f>
        <v/>
      </c>
      <c r="AF148" t="str">
        <f>""</f>
        <v/>
      </c>
      <c r="AG148" t="str">
        <f>""</f>
        <v/>
      </c>
      <c r="AH148" t="str">
        <f>""</f>
        <v/>
      </c>
      <c r="AI148" t="str">
        <f>""</f>
        <v/>
      </c>
    </row>
    <row r="149" spans="1:35" x14ac:dyDescent="0.25">
      <c r="A149" t="str">
        <f>$A$83</f>
        <v xml:space="preserve">        Europe</v>
      </c>
      <c r="B149" t="str">
        <f>$B$83</f>
        <v>INFY US Equity</v>
      </c>
      <c r="C149" t="str">
        <f>$C$83</f>
        <v>BI047</v>
      </c>
      <c r="D149" t="str">
        <f>$D$83</f>
        <v>BICS_SEGMENT_DATA</v>
      </c>
      <c r="E149" t="str">
        <f>$E$83</f>
        <v>Dynamic</v>
      </c>
      <c r="F149">
        <f ca="1">_xll.BDH($B$83,$C$83,$B$100,$B$101,CONCATENATE("Per=",$B$98),"Dts=H","Dir=H",CONCATENATE("Points=",$B$99),"Sort=R","Days=A","Fill=B","DZ666=1","X0001=EU00","DZ667=1","DS276=Y",CONCATENATE("FX=", $B$97),"cols=15;rows=1")</f>
        <v>3092.2348000000002</v>
      </c>
      <c r="G149">
        <v>2853.0255000000002</v>
      </c>
      <c r="H149">
        <v>2596.3026</v>
      </c>
      <c r="I149">
        <v>2295.9238</v>
      </c>
      <c r="J149">
        <v>2197.6412</v>
      </c>
      <c r="K149">
        <v>2098.8339999999998</v>
      </c>
      <c r="L149">
        <v>2028.8920000000001</v>
      </c>
      <c r="M149">
        <v>1717.1243999999999</v>
      </c>
      <c r="N149">
        <v>1549.9656</v>
      </c>
      <c r="O149">
        <v>1301.2150999999999</v>
      </c>
      <c r="P149">
        <v>1105.5594000000001</v>
      </c>
      <c r="Q149">
        <v>1249.5935999999999</v>
      </c>
      <c r="R149">
        <v>1164.3776</v>
      </c>
      <c r="S149">
        <v>809.96879999999999</v>
      </c>
      <c r="T149">
        <v>528.07719999999995</v>
      </c>
      <c r="U149" t="str">
        <f>""</f>
        <v/>
      </c>
      <c r="V149" t="str">
        <f>""</f>
        <v/>
      </c>
      <c r="W149" t="str">
        <f>""</f>
        <v/>
      </c>
      <c r="X149" t="str">
        <f>""</f>
        <v/>
      </c>
      <c r="Y149" t="str">
        <f>""</f>
        <v/>
      </c>
      <c r="Z149" t="str">
        <f>""</f>
        <v/>
      </c>
      <c r="AA149" t="str">
        <f>""</f>
        <v/>
      </c>
      <c r="AB149" t="str">
        <f>""</f>
        <v/>
      </c>
      <c r="AC149" t="str">
        <f>""</f>
        <v/>
      </c>
      <c r="AD149" t="str">
        <f>""</f>
        <v/>
      </c>
      <c r="AE149" t="str">
        <f>""</f>
        <v/>
      </c>
      <c r="AF149" t="str">
        <f>""</f>
        <v/>
      </c>
      <c r="AG149" t="str">
        <f>""</f>
        <v/>
      </c>
      <c r="AH149" t="str">
        <f>""</f>
        <v/>
      </c>
      <c r="AI149" t="str">
        <f>""</f>
        <v/>
      </c>
    </row>
    <row r="150" spans="1:35" x14ac:dyDescent="0.25">
      <c r="A150" t="str">
        <f>$A$84</f>
        <v xml:space="preserve">        India</v>
      </c>
      <c r="B150" t="str">
        <f>$B$84</f>
        <v>INFY US Equity</v>
      </c>
      <c r="C150" t="str">
        <f>$C$84</f>
        <v>BI047</v>
      </c>
      <c r="D150" t="str">
        <f>$D$84</f>
        <v>BICS_SEGMENT_DATA</v>
      </c>
      <c r="E150" t="str">
        <f>$E$84</f>
        <v>Dynamic</v>
      </c>
      <c r="F150">
        <f ca="1">_xll.BDH($B$84,$C$84,$B$100,$B$101,CONCATENATE("Per=",$B$98),"Dts=H","Dir=H",CONCATENATE("Points=",$B$99),"Sort=R","Days=A","Fill=B","DZ666=1","X0001=ASIN","DZ667=1","DS276=Y",CONCATENATE("FX=", $B$97),"cols=15;rows=1")</f>
        <v>333.6893</v>
      </c>
      <c r="G150">
        <v>292.99950000000001</v>
      </c>
      <c r="H150">
        <v>346.05990000000003</v>
      </c>
      <c r="I150">
        <v>325.17630000000003</v>
      </c>
      <c r="J150">
        <v>248.15780000000001</v>
      </c>
      <c r="K150">
        <v>210.0634</v>
      </c>
      <c r="L150">
        <v>214.31720000000001</v>
      </c>
      <c r="M150">
        <v>154.64779999999999</v>
      </c>
      <c r="N150">
        <v>156.65100000000001</v>
      </c>
      <c r="O150">
        <v>131.50460000000001</v>
      </c>
      <c r="P150">
        <v>56.9985</v>
      </c>
      <c r="Q150">
        <v>62.2059</v>
      </c>
      <c r="R150">
        <v>54.451999999999998</v>
      </c>
      <c r="S150">
        <v>47.528199999999998</v>
      </c>
      <c r="T150">
        <v>37.283999999999999</v>
      </c>
      <c r="U150" t="str">
        <f>""</f>
        <v/>
      </c>
      <c r="V150" t="str">
        <f>""</f>
        <v/>
      </c>
      <c r="W150" t="str">
        <f>""</f>
        <v/>
      </c>
      <c r="X150" t="str">
        <f>""</f>
        <v/>
      </c>
      <c r="Y150" t="str">
        <f>""</f>
        <v/>
      </c>
      <c r="Z150" t="str">
        <f>""</f>
        <v/>
      </c>
      <c r="AA150" t="str">
        <f>""</f>
        <v/>
      </c>
      <c r="AB150" t="str">
        <f>""</f>
        <v/>
      </c>
      <c r="AC150" t="str">
        <f>""</f>
        <v/>
      </c>
      <c r="AD150" t="str">
        <f>""</f>
        <v/>
      </c>
      <c r="AE150" t="str">
        <f>""</f>
        <v/>
      </c>
      <c r="AF150" t="str">
        <f>""</f>
        <v/>
      </c>
      <c r="AG150" t="str">
        <f>""</f>
        <v/>
      </c>
      <c r="AH150" t="str">
        <f>""</f>
        <v/>
      </c>
      <c r="AI150" t="str">
        <f>""</f>
        <v/>
      </c>
    </row>
    <row r="151" spans="1:35" x14ac:dyDescent="0.25">
      <c r="A151" t="str">
        <f>$A$85</f>
        <v xml:space="preserve">        Rest of World</v>
      </c>
      <c r="B151" t="str">
        <f>$B$85</f>
        <v>INFY US Equity</v>
      </c>
      <c r="C151" t="str">
        <f>$C$85</f>
        <v>BI047</v>
      </c>
      <c r="D151" t="str">
        <f>$D$85</f>
        <v>BICS_SEGMENT_DATA</v>
      </c>
      <c r="E151" t="str">
        <f>$E$85</f>
        <v>Dynamic</v>
      </c>
      <c r="F151">
        <f ca="1">_xll.BDH($B$85,$C$85,$B$100,$B$101,CONCATENATE("Per=",$B$98),"Dts=H","Dir=H",CONCATENATE("Points=",$B$99),"Sort=R","Days=A","Fill=B","DZ666=1","X0001=REST","DZ667=1","DS276=Y",CONCATENATE("FX=", $B$97),"cols=15;rows=1")</f>
        <v>1510.1382000000001</v>
      </c>
      <c r="G151">
        <v>1523.2255</v>
      </c>
      <c r="H151">
        <v>1392.6159</v>
      </c>
      <c r="I151">
        <v>1268.4858999999999</v>
      </c>
      <c r="J151">
        <v>1117.0922</v>
      </c>
      <c r="K151">
        <v>1049.008</v>
      </c>
      <c r="L151">
        <v>1022.8928</v>
      </c>
      <c r="M151">
        <v>932.30029999999999</v>
      </c>
      <c r="N151">
        <v>847.75850000000003</v>
      </c>
      <c r="O151">
        <v>662.35299999999995</v>
      </c>
      <c r="P151">
        <v>477.73169999999999</v>
      </c>
      <c r="Q151">
        <v>431.06049999999999</v>
      </c>
      <c r="R151">
        <v>358.28910000000002</v>
      </c>
      <c r="S151">
        <v>267.9264</v>
      </c>
      <c r="T151">
        <v>192.29509999999999</v>
      </c>
      <c r="U151" t="str">
        <f>""</f>
        <v/>
      </c>
      <c r="V151" t="str">
        <f>""</f>
        <v/>
      </c>
      <c r="W151" t="str">
        <f>""</f>
        <v/>
      </c>
      <c r="X151" t="str">
        <f>""</f>
        <v/>
      </c>
      <c r="Y151" t="str">
        <f>""</f>
        <v/>
      </c>
      <c r="Z151" t="str">
        <f>""</f>
        <v/>
      </c>
      <c r="AA151" t="str">
        <f>""</f>
        <v/>
      </c>
      <c r="AB151" t="str">
        <f>""</f>
        <v/>
      </c>
      <c r="AC151" t="str">
        <f>""</f>
        <v/>
      </c>
      <c r="AD151" t="str">
        <f>""</f>
        <v/>
      </c>
      <c r="AE151" t="str">
        <f>""</f>
        <v/>
      </c>
      <c r="AF151" t="str">
        <f>""</f>
        <v/>
      </c>
      <c r="AG151" t="str">
        <f>""</f>
        <v/>
      </c>
      <c r="AH151" t="str">
        <f>""</f>
        <v/>
      </c>
      <c r="AI151" t="str">
        <f>""</f>
        <v/>
      </c>
    </row>
    <row r="152" spans="1:35" x14ac:dyDescent="0.25">
      <c r="A152" t="str">
        <f>""</f>
        <v/>
      </c>
      <c r="B152" t="str">
        <f>""</f>
        <v/>
      </c>
      <c r="C152" t="str">
        <f>""</f>
        <v/>
      </c>
      <c r="D152" t="str">
        <f>""</f>
        <v/>
      </c>
      <c r="E152" t="str">
        <f>""</f>
        <v/>
      </c>
      <c r="U152" t="str">
        <f>""</f>
        <v/>
      </c>
      <c r="V152" t="str">
        <f>""</f>
        <v/>
      </c>
      <c r="W152" t="str">
        <f>""</f>
        <v/>
      </c>
      <c r="X152" t="str">
        <f>""</f>
        <v/>
      </c>
      <c r="Y152" t="str">
        <f>""</f>
        <v/>
      </c>
      <c r="Z152" t="str">
        <f>""</f>
        <v/>
      </c>
      <c r="AA152" t="str">
        <f>""</f>
        <v/>
      </c>
      <c r="AB152" t="str">
        <f>""</f>
        <v/>
      </c>
      <c r="AC152" t="str">
        <f>""</f>
        <v/>
      </c>
      <c r="AD152" t="str">
        <f>""</f>
        <v/>
      </c>
      <c r="AE152" t="str">
        <f>""</f>
        <v/>
      </c>
      <c r="AF152" t="str">
        <f>""</f>
        <v/>
      </c>
      <c r="AG152" t="str">
        <f>""</f>
        <v/>
      </c>
      <c r="AH152" t="str">
        <f>""</f>
        <v/>
      </c>
      <c r="AI152" t="str">
        <f>""</f>
        <v/>
      </c>
    </row>
    <row r="153" spans="1:35" x14ac:dyDescent="0.25">
      <c r="A153" t="str">
        <f>""</f>
        <v/>
      </c>
      <c r="B153" t="str">
        <f>""</f>
        <v/>
      </c>
      <c r="C153" t="str">
        <f>""</f>
        <v/>
      </c>
      <c r="D153" t="str">
        <f>""</f>
        <v/>
      </c>
      <c r="E153" t="str">
        <f>""</f>
        <v/>
      </c>
      <c r="U153" t="str">
        <f>""</f>
        <v/>
      </c>
      <c r="V153" t="str">
        <f>""</f>
        <v/>
      </c>
      <c r="W153" t="str">
        <f>""</f>
        <v/>
      </c>
      <c r="X153" t="str">
        <f>""</f>
        <v/>
      </c>
      <c r="Y153" t="str">
        <f>""</f>
        <v/>
      </c>
      <c r="Z153" t="str">
        <f>""</f>
        <v/>
      </c>
      <c r="AA153" t="str">
        <f>""</f>
        <v/>
      </c>
      <c r="AB153" t="str">
        <f>""</f>
        <v/>
      </c>
      <c r="AC153" t="str">
        <f>""</f>
        <v/>
      </c>
      <c r="AD153" t="str">
        <f>""</f>
        <v/>
      </c>
      <c r="AE153" t="str">
        <f>""</f>
        <v/>
      </c>
      <c r="AF153" t="str">
        <f>""</f>
        <v/>
      </c>
      <c r="AG153" t="str">
        <f>""</f>
        <v/>
      </c>
      <c r="AH153" t="str">
        <f>""</f>
        <v/>
      </c>
      <c r="AI153" t="str">
        <f>""</f>
        <v/>
      </c>
    </row>
    <row r="154" spans="1:35" x14ac:dyDescent="0.25">
      <c r="A154" t="str">
        <f>""</f>
        <v/>
      </c>
      <c r="B154" t="str">
        <f>""</f>
        <v/>
      </c>
      <c r="C154" t="str">
        <f>""</f>
        <v/>
      </c>
      <c r="D154" t="str">
        <f>""</f>
        <v/>
      </c>
      <c r="E154" t="str">
        <f>""</f>
        <v/>
      </c>
      <c r="U154" t="str">
        <f>""</f>
        <v/>
      </c>
      <c r="V154" t="str">
        <f>""</f>
        <v/>
      </c>
      <c r="W154" t="str">
        <f>""</f>
        <v/>
      </c>
      <c r="X154" t="str">
        <f>""</f>
        <v/>
      </c>
      <c r="Y154" t="str">
        <f>""</f>
        <v/>
      </c>
      <c r="Z154" t="str">
        <f>""</f>
        <v/>
      </c>
      <c r="AA154" t="str">
        <f>""</f>
        <v/>
      </c>
      <c r="AB154" t="str">
        <f>""</f>
        <v/>
      </c>
      <c r="AC154" t="str">
        <f>""</f>
        <v/>
      </c>
      <c r="AD154" t="str">
        <f>""</f>
        <v/>
      </c>
      <c r="AE154" t="str">
        <f>""</f>
        <v/>
      </c>
      <c r="AF154" t="str">
        <f>""</f>
        <v/>
      </c>
      <c r="AG154" t="str">
        <f>""</f>
        <v/>
      </c>
      <c r="AH154" t="str">
        <f>""</f>
        <v/>
      </c>
      <c r="AI154" t="str">
        <f>""</f>
        <v/>
      </c>
    </row>
    <row r="155" spans="1:35" x14ac:dyDescent="0.25">
      <c r="A155" t="str">
        <f>""</f>
        <v/>
      </c>
      <c r="B155" t="str">
        <f>""</f>
        <v/>
      </c>
      <c r="C155" t="str">
        <f>""</f>
        <v/>
      </c>
      <c r="D155" t="str">
        <f>""</f>
        <v/>
      </c>
      <c r="E155" t="str">
        <f>""</f>
        <v/>
      </c>
      <c r="U155" t="str">
        <f>""</f>
        <v/>
      </c>
      <c r="V155" t="str">
        <f>""</f>
        <v/>
      </c>
      <c r="W155" t="str">
        <f>""</f>
        <v/>
      </c>
      <c r="X155" t="str">
        <f>""</f>
        <v/>
      </c>
      <c r="Y155" t="str">
        <f>""</f>
        <v/>
      </c>
      <c r="Z155" t="str">
        <f>""</f>
        <v/>
      </c>
      <c r="AA155" t="str">
        <f>""</f>
        <v/>
      </c>
      <c r="AB155" t="str">
        <f>""</f>
        <v/>
      </c>
      <c r="AC155" t="str">
        <f>""</f>
        <v/>
      </c>
      <c r="AD155" t="str">
        <f>""</f>
        <v/>
      </c>
      <c r="AE155" t="str">
        <f>""</f>
        <v/>
      </c>
      <c r="AF155" t="str">
        <f>""</f>
        <v/>
      </c>
      <c r="AG155" t="str">
        <f>""</f>
        <v/>
      </c>
      <c r="AH155" t="str">
        <f>""</f>
        <v/>
      </c>
      <c r="AI155" t="str">
        <f>""</f>
        <v/>
      </c>
    </row>
    <row r="156" spans="1:35" x14ac:dyDescent="0.25">
      <c r="A156" t="str">
        <f>""</f>
        <v/>
      </c>
      <c r="B156" t="str">
        <f>""</f>
        <v/>
      </c>
      <c r="C156" t="str">
        <f>""</f>
        <v/>
      </c>
      <c r="D156" t="str">
        <f>""</f>
        <v/>
      </c>
      <c r="E156" t="str">
        <f>""</f>
        <v/>
      </c>
      <c r="U156" t="str">
        <f>""</f>
        <v/>
      </c>
      <c r="V156" t="str">
        <f>""</f>
        <v/>
      </c>
      <c r="W156" t="str">
        <f>""</f>
        <v/>
      </c>
      <c r="X156" t="str">
        <f>""</f>
        <v/>
      </c>
      <c r="Y156" t="str">
        <f>""</f>
        <v/>
      </c>
      <c r="Z156" t="str">
        <f>""</f>
        <v/>
      </c>
      <c r="AA156" t="str">
        <f>""</f>
        <v/>
      </c>
      <c r="AB156" t="str">
        <f>""</f>
        <v/>
      </c>
      <c r="AC156" t="str">
        <f>""</f>
        <v/>
      </c>
      <c r="AD156" t="str">
        <f>""</f>
        <v/>
      </c>
      <c r="AE156" t="str">
        <f>""</f>
        <v/>
      </c>
      <c r="AF156" t="str">
        <f>""</f>
        <v/>
      </c>
      <c r="AG156" t="str">
        <f>""</f>
        <v/>
      </c>
      <c r="AH156" t="str">
        <f>""</f>
        <v/>
      </c>
      <c r="AI156" t="str">
        <f>""</f>
        <v/>
      </c>
    </row>
    <row r="157" spans="1:35" x14ac:dyDescent="0.25">
      <c r="A157" t="str">
        <f>"~~~~~~~~~~~~~~~~~~~~~"</f>
        <v>~~~~~~~~~~~~~~~~~~~~~</v>
      </c>
      <c r="B157" t="str">
        <f>"~~~~~~~~~~~~~~~~~~~~~"</f>
        <v>~~~~~~~~~~~~~~~~~~~~~</v>
      </c>
      <c r="C157" t="str">
        <f>"~~~~~~~~~~~~~~~~~~~~~"</f>
        <v>~~~~~~~~~~~~~~~~~~~~~</v>
      </c>
      <c r="D157" t="str">
        <f>"~~~~~~~~~~~~~~~~~~~~~"</f>
        <v>~~~~~~~~~~~~~~~~~~~~~</v>
      </c>
      <c r="E157" t="str">
        <f>"~~~~~~~~~~~~~~~~~~~~~"</f>
        <v>~~~~~~~~~~~~~~~~~~~~~</v>
      </c>
      <c r="U157" t="str">
        <f>""</f>
        <v/>
      </c>
      <c r="V157" t="str">
        <f>""</f>
        <v/>
      </c>
      <c r="W157" t="str">
        <f>""</f>
        <v/>
      </c>
      <c r="X157" t="str">
        <f>""</f>
        <v/>
      </c>
      <c r="Y157" t="str">
        <f>""</f>
        <v/>
      </c>
      <c r="Z157" t="str">
        <f>""</f>
        <v/>
      </c>
      <c r="AA157" t="str">
        <f>""</f>
        <v/>
      </c>
      <c r="AB157" t="str">
        <f>""</f>
        <v/>
      </c>
      <c r="AC157" t="str">
        <f>""</f>
        <v/>
      </c>
      <c r="AD157" t="str">
        <f>""</f>
        <v/>
      </c>
      <c r="AE157" t="str">
        <f>""</f>
        <v/>
      </c>
      <c r="AF157" t="str">
        <f>""</f>
        <v/>
      </c>
      <c r="AG157" t="str">
        <f>""</f>
        <v/>
      </c>
      <c r="AH157" t="str">
        <f>""</f>
        <v/>
      </c>
      <c r="AI157" t="str">
        <f>""</f>
        <v/>
      </c>
    </row>
    <row r="158" spans="1:35" x14ac:dyDescent="0.25">
      <c r="A158" t="str">
        <f>"Rows below for column date calculation"</f>
        <v>Rows below for column date calculation</v>
      </c>
      <c r="U158" t="str">
        <f>""</f>
        <v/>
      </c>
      <c r="V158" t="str">
        <f>""</f>
        <v/>
      </c>
      <c r="W158" t="str">
        <f>""</f>
        <v/>
      </c>
      <c r="X158" t="str">
        <f>""</f>
        <v/>
      </c>
      <c r="Y158" t="str">
        <f>""</f>
        <v/>
      </c>
      <c r="Z158" t="str">
        <f>""</f>
        <v/>
      </c>
      <c r="AA158" t="str">
        <f>""</f>
        <v/>
      </c>
      <c r="AB158" t="str">
        <f>""</f>
        <v/>
      </c>
      <c r="AC158" t="str">
        <f>""</f>
        <v/>
      </c>
      <c r="AD158" t="str">
        <f>""</f>
        <v/>
      </c>
      <c r="AE158" t="str">
        <f>""</f>
        <v/>
      </c>
      <c r="AF158" t="str">
        <f>""</f>
        <v/>
      </c>
      <c r="AG158" t="str">
        <f>""</f>
        <v/>
      </c>
      <c r="AH158" t="str">
        <f>""</f>
        <v/>
      </c>
      <c r="AI158" t="str">
        <f>""</f>
        <v/>
      </c>
    </row>
    <row r="159" spans="1:35" x14ac:dyDescent="0.25">
      <c r="A159" t="str">
        <f>"Downloaded at"</f>
        <v>Downloaded at</v>
      </c>
      <c r="B159">
        <f>DATE(2020, 6,17)</f>
        <v>43999</v>
      </c>
      <c r="C159" t="str">
        <f>""</f>
        <v/>
      </c>
      <c r="D159" t="str">
        <f>""</f>
        <v/>
      </c>
      <c r="E159" t="str">
        <f>""</f>
        <v/>
      </c>
      <c r="U159" t="str">
        <f>""</f>
        <v/>
      </c>
      <c r="V159" t="str">
        <f>""</f>
        <v/>
      </c>
      <c r="W159" t="str">
        <f>""</f>
        <v/>
      </c>
      <c r="X159" t="str">
        <f>""</f>
        <v/>
      </c>
      <c r="Y159" t="str">
        <f>""</f>
        <v/>
      </c>
      <c r="Z159" t="str">
        <f>""</f>
        <v/>
      </c>
      <c r="AA159" t="str">
        <f>""</f>
        <v/>
      </c>
      <c r="AB159" t="str">
        <f>""</f>
        <v/>
      </c>
      <c r="AC159" t="str">
        <f>""</f>
        <v/>
      </c>
      <c r="AD159" t="str">
        <f>""</f>
        <v/>
      </c>
      <c r="AE159" t="str">
        <f>""</f>
        <v/>
      </c>
      <c r="AF159" t="str">
        <f>""</f>
        <v/>
      </c>
      <c r="AG159" t="str">
        <f>""</f>
        <v/>
      </c>
      <c r="AH159" t="str">
        <f>""</f>
        <v/>
      </c>
      <c r="AI159" t="str">
        <f>""</f>
        <v/>
      </c>
    </row>
    <row r="160" spans="1:35" x14ac:dyDescent="0.25">
      <c r="A160" t="str">
        <f>"This is End Date"</f>
        <v>This is End Date</v>
      </c>
      <c r="B160">
        <f ca="1">$B$101</f>
        <v>43999</v>
      </c>
      <c r="C160" t="str">
        <f>""</f>
        <v/>
      </c>
      <c r="D160" t="str">
        <f>""</f>
        <v/>
      </c>
      <c r="E160" t="str">
        <f>""</f>
        <v/>
      </c>
      <c r="U160" t="str">
        <f>""</f>
        <v/>
      </c>
      <c r="V160" t="str">
        <f>""</f>
        <v/>
      </c>
      <c r="W160" t="str">
        <f>""</f>
        <v/>
      </c>
      <c r="X160" t="str">
        <f>""</f>
        <v/>
      </c>
      <c r="Y160" t="str">
        <f>""</f>
        <v/>
      </c>
      <c r="Z160" t="str">
        <f>""</f>
        <v/>
      </c>
      <c r="AA160" t="str">
        <f>""</f>
        <v/>
      </c>
      <c r="AB160" t="str">
        <f>""</f>
        <v/>
      </c>
      <c r="AC160" t="str">
        <f>""</f>
        <v/>
      </c>
      <c r="AD160" t="str">
        <f>""</f>
        <v/>
      </c>
      <c r="AE160" t="str">
        <f>""</f>
        <v/>
      </c>
      <c r="AF160" t="str">
        <f>""</f>
        <v/>
      </c>
      <c r="AG160" t="str">
        <f>""</f>
        <v/>
      </c>
      <c r="AH160" t="str">
        <f>""</f>
        <v/>
      </c>
      <c r="AI160" t="str">
        <f>""</f>
        <v/>
      </c>
    </row>
    <row r="161" spans="1:35" x14ac:dyDescent="0.25">
      <c r="A161" t="str">
        <f>"Description"</f>
        <v>Description</v>
      </c>
      <c r="B161" t="str">
        <f>"Ticker"</f>
        <v>Ticker</v>
      </c>
      <c r="C161" t="str">
        <f>"Field ID"</f>
        <v>Field ID</v>
      </c>
      <c r="D161" t="str">
        <f>"Field Mnemonic"</f>
        <v>Field Mnemonic</v>
      </c>
      <c r="E161" t="str">
        <f>"Data State"</f>
        <v>Data State</v>
      </c>
      <c r="U161" t="str">
        <f>""</f>
        <v/>
      </c>
      <c r="V161" t="str">
        <f>""</f>
        <v/>
      </c>
      <c r="W161" t="str">
        <f>""</f>
        <v/>
      </c>
      <c r="X161" t="str">
        <f>""</f>
        <v/>
      </c>
      <c r="Y161" t="str">
        <f>""</f>
        <v/>
      </c>
      <c r="Z161" t="str">
        <f>""</f>
        <v/>
      </c>
      <c r="AA161" t="str">
        <f>""</f>
        <v/>
      </c>
      <c r="AB161" t="str">
        <f>""</f>
        <v/>
      </c>
      <c r="AC161" t="str">
        <f>""</f>
        <v/>
      </c>
      <c r="AD161" t="str">
        <f>""</f>
        <v/>
      </c>
      <c r="AE161" t="str">
        <f>""</f>
        <v/>
      </c>
      <c r="AF161" t="str">
        <f>""</f>
        <v/>
      </c>
      <c r="AG161" t="str">
        <f>""</f>
        <v/>
      </c>
      <c r="AH161" t="str">
        <f>""</f>
        <v/>
      </c>
      <c r="AI161" t="str">
        <f>""</f>
        <v/>
      </c>
    </row>
    <row r="162" spans="1:35" x14ac:dyDescent="0.25">
      <c r="A162" t="str">
        <f>"Snapshot Date"</f>
        <v>Snapshot Date</v>
      </c>
      <c r="B162">
        <f>DATE(2020, 6,17)</f>
        <v>43999</v>
      </c>
      <c r="C162" t="str">
        <f>""</f>
        <v/>
      </c>
      <c r="D162" t="str">
        <f>""</f>
        <v/>
      </c>
      <c r="E162" t="str">
        <f>""</f>
        <v/>
      </c>
      <c r="U162" t="str">
        <f>""</f>
        <v/>
      </c>
      <c r="V162" t="str">
        <f>""</f>
        <v/>
      </c>
      <c r="W162" t="str">
        <f>""</f>
        <v/>
      </c>
      <c r="X162" t="str">
        <f>""</f>
        <v/>
      </c>
      <c r="Y162" t="str">
        <f>""</f>
        <v/>
      </c>
      <c r="Z162" t="str">
        <f>""</f>
        <v/>
      </c>
      <c r="AA162" t="str">
        <f>""</f>
        <v/>
      </c>
      <c r="AB162" t="str">
        <f>""</f>
        <v/>
      </c>
      <c r="AC162" t="str">
        <f>""</f>
        <v/>
      </c>
      <c r="AD162" t="str">
        <f>""</f>
        <v/>
      </c>
      <c r="AE162" t="str">
        <f>""</f>
        <v/>
      </c>
      <c r="AF162" t="str">
        <f>""</f>
        <v/>
      </c>
      <c r="AG162" t="str">
        <f>""</f>
        <v/>
      </c>
      <c r="AH162" t="str">
        <f>""</f>
        <v/>
      </c>
      <c r="AI162" t="str">
        <f>""</f>
        <v/>
      </c>
    </row>
    <row r="163" spans="1:35" x14ac:dyDescent="0.25">
      <c r="A163" t="str">
        <f>"Snapshot header"</f>
        <v>Snapshot header</v>
      </c>
      <c r="B163">
        <f>2</f>
        <v>2</v>
      </c>
      <c r="C163" t="str">
        <f>"FY 2020"</f>
        <v>FY 2020</v>
      </c>
      <c r="D163" t="str">
        <f>"FY 2019"</f>
        <v>FY 2019</v>
      </c>
      <c r="E163" t="str">
        <f>"FY 2018"</f>
        <v>FY 2018</v>
      </c>
      <c r="F163" t="str">
        <f>"FY 2017"</f>
        <v>FY 2017</v>
      </c>
      <c r="G163" t="str">
        <f>"FY 2016"</f>
        <v>FY 2016</v>
      </c>
      <c r="H163" t="str">
        <f>"FY 2015"</f>
        <v>FY 2015</v>
      </c>
      <c r="I163" t="str">
        <f>"FY 2014"</f>
        <v>FY 2014</v>
      </c>
      <c r="J163" t="str">
        <f>"FY 2013"</f>
        <v>FY 2013</v>
      </c>
      <c r="K163" t="str">
        <f>"FY 2012"</f>
        <v>FY 2012</v>
      </c>
      <c r="L163" t="str">
        <f>"FY 2011"</f>
        <v>FY 2011</v>
      </c>
      <c r="M163" t="str">
        <f>"FY 2010"</f>
        <v>FY 2010</v>
      </c>
      <c r="N163" t="str">
        <f>"FY 2009"</f>
        <v>FY 2009</v>
      </c>
      <c r="O163" t="str">
        <f>"FY 2008"</f>
        <v>FY 2008</v>
      </c>
      <c r="P163" t="str">
        <f>"FY 2007"</f>
        <v>FY 2007</v>
      </c>
      <c r="Q163" t="str">
        <f>"FY 2006"</f>
        <v>FY 2006</v>
      </c>
      <c r="U163" t="str">
        <f>""</f>
        <v/>
      </c>
      <c r="V163" t="str">
        <f>""</f>
        <v/>
      </c>
      <c r="W163" t="str">
        <f>""</f>
        <v/>
      </c>
      <c r="X163" t="str">
        <f>""</f>
        <v/>
      </c>
      <c r="Y163" t="str">
        <f>""</f>
        <v/>
      </c>
      <c r="Z163" t="str">
        <f>""</f>
        <v/>
      </c>
      <c r="AA163" t="str">
        <f>""</f>
        <v/>
      </c>
      <c r="AB163" t="str">
        <f>""</f>
        <v/>
      </c>
      <c r="AC163" t="str">
        <f>""</f>
        <v/>
      </c>
      <c r="AD163" t="str">
        <f>""</f>
        <v/>
      </c>
      <c r="AE163" t="str">
        <f>""</f>
        <v/>
      </c>
      <c r="AF163" t="str">
        <f>""</f>
        <v/>
      </c>
      <c r="AG163" t="str">
        <f>""</f>
        <v/>
      </c>
      <c r="AH163" t="str">
        <f>""</f>
        <v/>
      </c>
      <c r="AI163" t="str">
        <f>""</f>
        <v/>
      </c>
    </row>
    <row r="164" spans="1:35" x14ac:dyDescent="0.25">
      <c r="A164" t="str">
        <f>"BDH snapshot header0"</f>
        <v>BDH snapshot header0</v>
      </c>
      <c r="B164">
        <f>IF(OR(ISERROR($C$164),ISBLANK($C$164),ISNUMBER(SEARCH("N/A",$C$164) ),ISERROR($C$165),ISBLANK($C$165)),0,1)</f>
        <v>0</v>
      </c>
      <c r="C164" t="str">
        <f>_xll.BDH($B$104,$C$104,$B$100,$B$162,"PER=CY","Dts=S","DtFmt=FI", "rows=2","Dir=H","Points=15","Sort=R","Days=A","Fill=B","DS276=Y","FX=USD" )</f>
        <v>#N/A Invalid Parameter: Invalid override field id specified</v>
      </c>
      <c r="U164" t="str">
        <f>""</f>
        <v/>
      </c>
      <c r="V164" t="str">
        <f>""</f>
        <v/>
      </c>
      <c r="W164" t="str">
        <f>""</f>
        <v/>
      </c>
      <c r="X164" t="str">
        <f>""</f>
        <v/>
      </c>
      <c r="Y164" t="str">
        <f>""</f>
        <v/>
      </c>
      <c r="Z164" t="str">
        <f>""</f>
        <v/>
      </c>
      <c r="AA164" t="str">
        <f>""</f>
        <v/>
      </c>
      <c r="AB164" t="str">
        <f>""</f>
        <v/>
      </c>
      <c r="AC164" t="str">
        <f>""</f>
        <v/>
      </c>
      <c r="AD164" t="str">
        <f>""</f>
        <v/>
      </c>
      <c r="AE164" t="str">
        <f>""</f>
        <v/>
      </c>
      <c r="AF164" t="str">
        <f>""</f>
        <v/>
      </c>
      <c r="AG164" t="str">
        <f>""</f>
        <v/>
      </c>
      <c r="AH164" t="str">
        <f>""</f>
        <v/>
      </c>
      <c r="AI164" t="str">
        <f>""</f>
        <v/>
      </c>
    </row>
    <row r="165" spans="1:35" x14ac:dyDescent="0.25">
      <c r="A165" t="str">
        <f>"BDH snapshot result0"</f>
        <v>BDH snapshot result0</v>
      </c>
      <c r="U165" t="str">
        <f>""</f>
        <v/>
      </c>
      <c r="V165" t="str">
        <f>""</f>
        <v/>
      </c>
      <c r="W165" t="str">
        <f>""</f>
        <v/>
      </c>
      <c r="X165" t="str">
        <f>""</f>
        <v/>
      </c>
      <c r="Y165" t="str">
        <f>""</f>
        <v/>
      </c>
      <c r="Z165" t="str">
        <f>""</f>
        <v/>
      </c>
      <c r="AA165" t="str">
        <f>""</f>
        <v/>
      </c>
      <c r="AB165" t="str">
        <f>""</f>
        <v/>
      </c>
      <c r="AC165" t="str">
        <f>""</f>
        <v/>
      </c>
      <c r="AD165" t="str">
        <f>""</f>
        <v/>
      </c>
      <c r="AE165" t="str">
        <f>""</f>
        <v/>
      </c>
      <c r="AF165" t="str">
        <f>""</f>
        <v/>
      </c>
      <c r="AG165" t="str">
        <f>""</f>
        <v/>
      </c>
      <c r="AH165" t="str">
        <f>""</f>
        <v/>
      </c>
      <c r="AI165" t="str">
        <f>""</f>
        <v/>
      </c>
    </row>
    <row r="166" spans="1:35" x14ac:dyDescent="0.25">
      <c r="A166" t="str">
        <f>"BDH snapshot header1"</f>
        <v>BDH snapshot header1</v>
      </c>
      <c r="B166">
        <f>IF(OR(ISERROR($C$166),ISBLANK($C$166),ISNUMBER(SEARCH("N/A",$C$166) ),ISERROR($C$167),ISBLANK($C$167)),0,1)</f>
        <v>0</v>
      </c>
      <c r="C166" t="str">
        <f>_xll.BDH($B$8,$C$8,$B$100,$B$162,"PER=CY","Dts=S","DtFmt=FI", "rows=2","Dir=H","Points=15","Sort=R","Days=A","Fill=B","FX=USD" )</f>
        <v>#N/A Invalid Parameter: Invalid override field id specified</v>
      </c>
      <c r="U166" t="str">
        <f>""</f>
        <v/>
      </c>
      <c r="V166" t="str">
        <f>""</f>
        <v/>
      </c>
      <c r="W166" t="str">
        <f>""</f>
        <v/>
      </c>
      <c r="X166" t="str">
        <f>""</f>
        <v/>
      </c>
      <c r="Y166" t="str">
        <f>""</f>
        <v/>
      </c>
      <c r="Z166" t="str">
        <f>""</f>
        <v/>
      </c>
      <c r="AA166" t="str">
        <f>""</f>
        <v/>
      </c>
      <c r="AB166" t="str">
        <f>""</f>
        <v/>
      </c>
      <c r="AC166" t="str">
        <f>""</f>
        <v/>
      </c>
      <c r="AD166" t="str">
        <f>""</f>
        <v/>
      </c>
      <c r="AE166" t="str">
        <f>""</f>
        <v/>
      </c>
      <c r="AF166" t="str">
        <f>""</f>
        <v/>
      </c>
      <c r="AG166" t="str">
        <f>""</f>
        <v/>
      </c>
      <c r="AH166" t="str">
        <f>""</f>
        <v/>
      </c>
      <c r="AI166" t="str">
        <f>""</f>
        <v/>
      </c>
    </row>
    <row r="167" spans="1:35" x14ac:dyDescent="0.25">
      <c r="A167" t="str">
        <f>"BDH snapshot result1"</f>
        <v>BDH snapshot result1</v>
      </c>
      <c r="U167" t="str">
        <f>""</f>
        <v/>
      </c>
      <c r="V167" t="str">
        <f>""</f>
        <v/>
      </c>
      <c r="W167" t="str">
        <f>""</f>
        <v/>
      </c>
      <c r="X167" t="str">
        <f>""</f>
        <v/>
      </c>
      <c r="Y167" t="str">
        <f>""</f>
        <v/>
      </c>
      <c r="Z167" t="str">
        <f>""</f>
        <v/>
      </c>
      <c r="AA167" t="str">
        <f>""</f>
        <v/>
      </c>
      <c r="AB167" t="str">
        <f>""</f>
        <v/>
      </c>
      <c r="AC167" t="str">
        <f>""</f>
        <v/>
      </c>
      <c r="AD167" t="str">
        <f>""</f>
        <v/>
      </c>
      <c r="AE167" t="str">
        <f>""</f>
        <v/>
      </c>
      <c r="AF167" t="str">
        <f>""</f>
        <v/>
      </c>
      <c r="AG167" t="str">
        <f>""</f>
        <v/>
      </c>
      <c r="AH167" t="str">
        <f>""</f>
        <v/>
      </c>
      <c r="AI167" t="str">
        <f>""</f>
        <v/>
      </c>
    </row>
    <row r="168" spans="1:35" x14ac:dyDescent="0.25">
      <c r="A168" t="str">
        <f>"BDH snapshot header2"</f>
        <v>BDH snapshot header2</v>
      </c>
      <c r="B168">
        <f>IF(OR(ISERROR($C$168),ISBLANK($C$168),ISNUMBER(SEARCH("N/A",$C$168) ),ISERROR($C$169),ISBLANK($C$169)),0,1)</f>
        <v>0</v>
      </c>
      <c r="C168" t="str">
        <f>_xll.BDH($B$10,$C$10,$B$100,$B$162,"PER=CY","Dts=S","DtFmt=FI", "rows=2","Dir=H","Points=15","Sort=R","Days=A","Fill=B","DZ666=129","DZ381=18141010","DZ667=1","DS276=Y","FX=USD" )</f>
        <v>#N/A Invalid Parameter: Invalid override field id specified</v>
      </c>
      <c r="U168" t="str">
        <f>""</f>
        <v/>
      </c>
      <c r="V168" t="str">
        <f>""</f>
        <v/>
      </c>
      <c r="W168" t="str">
        <f>""</f>
        <v/>
      </c>
      <c r="X168" t="str">
        <f>""</f>
        <v/>
      </c>
      <c r="Y168" t="str">
        <f>""</f>
        <v/>
      </c>
      <c r="Z168" t="str">
        <f>""</f>
        <v/>
      </c>
      <c r="AA168" t="str">
        <f>""</f>
        <v/>
      </c>
      <c r="AB168" t="str">
        <f>""</f>
        <v/>
      </c>
      <c r="AC168" t="str">
        <f>""</f>
        <v/>
      </c>
      <c r="AD168" t="str">
        <f>""</f>
        <v/>
      </c>
      <c r="AE168" t="str">
        <f>""</f>
        <v/>
      </c>
      <c r="AF168" t="str">
        <f>""</f>
        <v/>
      </c>
      <c r="AG168" t="str">
        <f>""</f>
        <v/>
      </c>
      <c r="AH168" t="str">
        <f>""</f>
        <v/>
      </c>
      <c r="AI168" t="str">
        <f>""</f>
        <v/>
      </c>
    </row>
    <row r="169" spans="1:35" x14ac:dyDescent="0.25">
      <c r="A169" t="str">
        <f>"BDH snapshot result2"</f>
        <v>BDH snapshot result2</v>
      </c>
      <c r="U169" t="str">
        <f>""</f>
        <v/>
      </c>
      <c r="V169" t="str">
        <f>""</f>
        <v/>
      </c>
      <c r="W169" t="str">
        <f>""</f>
        <v/>
      </c>
      <c r="X169" t="str">
        <f>""</f>
        <v/>
      </c>
      <c r="Y169" t="str">
        <f>""</f>
        <v/>
      </c>
      <c r="Z169" t="str">
        <f>""</f>
        <v/>
      </c>
      <c r="AA169" t="str">
        <f>""</f>
        <v/>
      </c>
      <c r="AB169" t="str">
        <f>""</f>
        <v/>
      </c>
      <c r="AC169" t="str">
        <f>""</f>
        <v/>
      </c>
      <c r="AD169" t="str">
        <f>""</f>
        <v/>
      </c>
      <c r="AE169" t="str">
        <f>""</f>
        <v/>
      </c>
      <c r="AF169" t="str">
        <f>""</f>
        <v/>
      </c>
      <c r="AG169" t="str">
        <f>""</f>
        <v/>
      </c>
      <c r="AH169" t="str">
        <f>""</f>
        <v/>
      </c>
      <c r="AI169" t="str">
        <f>""</f>
        <v/>
      </c>
    </row>
    <row r="170" spans="1:35" x14ac:dyDescent="0.25">
      <c r="A170" t="str">
        <f>"BDH snapshot"</f>
        <v>BDH snapshot</v>
      </c>
      <c r="B170">
        <f>IF($B$164&gt;=1,$B$164,IF($B$166&gt;=1,$B$166,IF($B$168&gt;=1,$B$168,$B$163)))</f>
        <v>2</v>
      </c>
      <c r="C170" t="str">
        <f>IF($B$164&gt;=1,$C$164,IF($B$166&gt;=1,$C$166,IF($B$168&gt;=1,$C$168,$C$163)))</f>
        <v>FY 2020</v>
      </c>
      <c r="D170" t="str">
        <f>IF($B$164&gt;=1,$D$164,IF($B$166&gt;=1,$D$166,IF($B$168&gt;=1,$D$168,$D$163)))</f>
        <v>FY 2019</v>
      </c>
      <c r="E170" t="str">
        <f>IF($B$164&gt;=1,$E$164,IF($B$166&gt;=1,$E$166,IF($B$168&gt;=1,$E$168,$E$163)))</f>
        <v>FY 2018</v>
      </c>
      <c r="F170" t="str">
        <f>IF($B$164&gt;=1,$F$164,IF($B$166&gt;=1,$F$166,IF($B$168&gt;=1,$F$168,$F$163)))</f>
        <v>FY 2017</v>
      </c>
      <c r="G170" t="str">
        <f>IF($B$164&gt;=1,$G$164,IF($B$166&gt;=1,$G$166,IF($B$168&gt;=1,$G$168,$G$163)))</f>
        <v>FY 2016</v>
      </c>
      <c r="H170" t="str">
        <f>IF($B$164&gt;=1,$H$164,IF($B$166&gt;=1,$H$166,IF($B$168&gt;=1,$H$168,$H$163)))</f>
        <v>FY 2015</v>
      </c>
      <c r="I170" t="str">
        <f>IF($B$164&gt;=1,$I$164,IF($B$166&gt;=1,$I$166,IF($B$168&gt;=1,$I$168,$I$163)))</f>
        <v>FY 2014</v>
      </c>
      <c r="J170" t="str">
        <f>IF($B$164&gt;=1,$J$164,IF($B$166&gt;=1,$J$166,IF($B$168&gt;=1,$J$168,$J$163)))</f>
        <v>FY 2013</v>
      </c>
      <c r="K170" t="str">
        <f>IF($B$164&gt;=1,$K$164,IF($B$166&gt;=1,$K$166,IF($B$168&gt;=1,$K$168,$K$163)))</f>
        <v>FY 2012</v>
      </c>
      <c r="L170" t="str">
        <f>IF($B$164&gt;=1,$L$164,IF($B$166&gt;=1,$L$166,IF($B$168&gt;=1,$L$168,$L$163)))</f>
        <v>FY 2011</v>
      </c>
      <c r="M170" t="str">
        <f>IF($B$164&gt;=1,$M$164,IF($B$166&gt;=1,$M$166,IF($B$168&gt;=1,$M$168,$M$163)))</f>
        <v>FY 2010</v>
      </c>
      <c r="N170" t="str">
        <f>IF($B$164&gt;=1,$N$164,IF($B$166&gt;=1,$N$166,IF($B$168&gt;=1,$N$168,$N$163)))</f>
        <v>FY 2009</v>
      </c>
      <c r="O170" t="str">
        <f>IF($B$164&gt;=1,$O$164,IF($B$166&gt;=1,$O$166,IF($B$168&gt;=1,$O$168,$O$163)))</f>
        <v>FY 2008</v>
      </c>
      <c r="P170" t="str">
        <f>IF($B$164&gt;=1,$P$164,IF($B$166&gt;=1,$P$166,IF($B$168&gt;=1,$P$168,$P$163)))</f>
        <v>FY 2007</v>
      </c>
      <c r="Q170" t="str">
        <f>IF($B$164&gt;=1,$Q$164,IF($B$166&gt;=1,$Q$166,IF($B$168&gt;=1,$Q$168,$Q$163)))</f>
        <v>FY 2006</v>
      </c>
      <c r="U170" t="str">
        <f>""</f>
        <v/>
      </c>
      <c r="V170" t="str">
        <f>""</f>
        <v/>
      </c>
      <c r="W170" t="str">
        <f>""</f>
        <v/>
      </c>
      <c r="X170" t="str">
        <f>""</f>
        <v/>
      </c>
      <c r="Y170" t="str">
        <f>""</f>
        <v/>
      </c>
      <c r="Z170" t="str">
        <f>""</f>
        <v/>
      </c>
      <c r="AA170" t="str">
        <f>""</f>
        <v/>
      </c>
      <c r="AB170" t="str">
        <f>""</f>
        <v/>
      </c>
      <c r="AC170" t="str">
        <f>""</f>
        <v/>
      </c>
      <c r="AD170" t="str">
        <f>""</f>
        <v/>
      </c>
      <c r="AE170" t="str">
        <f>""</f>
        <v/>
      </c>
      <c r="AF170" t="str">
        <f>""</f>
        <v/>
      </c>
      <c r="AG170" t="str">
        <f>""</f>
        <v/>
      </c>
      <c r="AH170" t="str">
        <f>""</f>
        <v/>
      </c>
      <c r="AI170" t="str">
        <f>""</f>
        <v/>
      </c>
    </row>
    <row r="171" spans="1:35" x14ac:dyDescent="0.25">
      <c r="A171" t="str">
        <f>"BDH snapshot title"</f>
        <v>BDH snapshot title</v>
      </c>
      <c r="B171">
        <f>$B$170</f>
        <v>2</v>
      </c>
      <c r="C171" t="str">
        <f>SUBSTITUTE(SUBSTITUTE($C$170,"CY1 ",""),"C","")</f>
        <v>FY 2020</v>
      </c>
      <c r="D171" t="str">
        <f>SUBSTITUTE(SUBSTITUTE($D$170,"CY1 ",""),"C","")</f>
        <v>FY 2019</v>
      </c>
      <c r="E171" t="str">
        <f>SUBSTITUTE(SUBSTITUTE($E$170,"CY1 ",""),"C","")</f>
        <v>FY 2018</v>
      </c>
      <c r="F171" t="str">
        <f>SUBSTITUTE(SUBSTITUTE($F$170,"CY1 ",""),"C","")</f>
        <v>FY 2017</v>
      </c>
      <c r="G171" t="str">
        <f>SUBSTITUTE(SUBSTITUTE($G$170,"CY1 ",""),"C","")</f>
        <v>FY 2016</v>
      </c>
      <c r="H171" t="str">
        <f>SUBSTITUTE(SUBSTITUTE($H$170,"CY1 ",""),"C","")</f>
        <v>FY 2015</v>
      </c>
      <c r="I171" t="str">
        <f>SUBSTITUTE(SUBSTITUTE($I$170,"CY1 ",""),"C","")</f>
        <v>FY 2014</v>
      </c>
      <c r="J171" t="str">
        <f>SUBSTITUTE(SUBSTITUTE($J$170,"CY1 ",""),"C","")</f>
        <v>FY 2013</v>
      </c>
      <c r="K171" t="str">
        <f>SUBSTITUTE(SUBSTITUTE($K$170,"CY1 ",""),"C","")</f>
        <v>FY 2012</v>
      </c>
      <c r="L171" t="str">
        <f>SUBSTITUTE(SUBSTITUTE($L$170,"CY1 ",""),"C","")</f>
        <v>FY 2011</v>
      </c>
      <c r="M171" t="str">
        <f>SUBSTITUTE(SUBSTITUTE($M$170,"CY1 ",""),"C","")</f>
        <v>FY 2010</v>
      </c>
      <c r="N171" t="str">
        <f>SUBSTITUTE(SUBSTITUTE($N$170,"CY1 ",""),"C","")</f>
        <v>FY 2009</v>
      </c>
      <c r="O171" t="str">
        <f>SUBSTITUTE(SUBSTITUTE($O$170,"CY1 ",""),"C","")</f>
        <v>FY 2008</v>
      </c>
      <c r="P171" t="str">
        <f>SUBSTITUTE(SUBSTITUTE($P$170,"CY1 ",""),"C","")</f>
        <v>FY 2007</v>
      </c>
      <c r="Q171" t="str">
        <f>SUBSTITUTE(SUBSTITUTE($Q$170,"CY1 ",""),"C","")</f>
        <v>FY 2006</v>
      </c>
      <c r="U171" t="str">
        <f>""</f>
        <v/>
      </c>
      <c r="V171" t="str">
        <f>""</f>
        <v/>
      </c>
      <c r="W171" t="str">
        <f>""</f>
        <v/>
      </c>
      <c r="X171" t="str">
        <f>""</f>
        <v/>
      </c>
      <c r="Y171" t="str">
        <f>""</f>
        <v/>
      </c>
      <c r="Z171" t="str">
        <f>""</f>
        <v/>
      </c>
      <c r="AA171" t="str">
        <f>""</f>
        <v/>
      </c>
      <c r="AB171" t="str">
        <f>""</f>
        <v/>
      </c>
      <c r="AC171" t="str">
        <f>""</f>
        <v/>
      </c>
      <c r="AD171" t="str">
        <f>""</f>
        <v/>
      </c>
      <c r="AE171" t="str">
        <f>""</f>
        <v/>
      </c>
      <c r="AF171" t="str">
        <f>""</f>
        <v/>
      </c>
      <c r="AG171" t="str">
        <f>""</f>
        <v/>
      </c>
      <c r="AH171" t="str">
        <f>""</f>
        <v/>
      </c>
      <c r="AI171" t="str">
        <f>""</f>
        <v/>
      </c>
    </row>
    <row r="172" spans="1:35" x14ac:dyDescent="0.25">
      <c r="A172" t="str">
        <f>"BDH dynamic header0"</f>
        <v>BDH dynamic header0</v>
      </c>
      <c r="B172">
        <f ca="1">IF(OR(ISERROR($C$172),ISBLANK($C$172),ISNUMBER(SEARCH("N/A",$C$172) ),ISERROR($C$173),ISBLANK($C$173)),0,1)</f>
        <v>0</v>
      </c>
      <c r="C172" t="str">
        <f ca="1">_xll.BDH($B$104,$C$104,$B$100,$B$101,"PER=CY","Dts=S","DtFmt=FI", "rows=2","Dir=H","Points=15","Sort=R","Days=A","Fill=B","DS276=Y","FX=USD" )</f>
        <v>#N/A Invalid Parameter: Invalid override field id specified</v>
      </c>
      <c r="U172" t="str">
        <f>""</f>
        <v/>
      </c>
      <c r="V172" t="str">
        <f>""</f>
        <v/>
      </c>
      <c r="W172" t="str">
        <f>""</f>
        <v/>
      </c>
      <c r="X172" t="str">
        <f>""</f>
        <v/>
      </c>
      <c r="Y172" t="str">
        <f>""</f>
        <v/>
      </c>
      <c r="Z172" t="str">
        <f>""</f>
        <v/>
      </c>
      <c r="AA172" t="str">
        <f>""</f>
        <v/>
      </c>
      <c r="AB172" t="str">
        <f>""</f>
        <v/>
      </c>
      <c r="AC172" t="str">
        <f>""</f>
        <v/>
      </c>
      <c r="AD172" t="str">
        <f>""</f>
        <v/>
      </c>
      <c r="AE172" t="str">
        <f>""</f>
        <v/>
      </c>
      <c r="AF172" t="str">
        <f>""</f>
        <v/>
      </c>
      <c r="AG172" t="str">
        <f>""</f>
        <v/>
      </c>
      <c r="AH172" t="str">
        <f>""</f>
        <v/>
      </c>
      <c r="AI172" t="str">
        <f>""</f>
        <v/>
      </c>
    </row>
    <row r="173" spans="1:35" x14ac:dyDescent="0.25">
      <c r="A173" t="str">
        <f>"BDH dynamic result0"</f>
        <v>BDH dynamic result0</v>
      </c>
      <c r="U173" t="str">
        <f>""</f>
        <v/>
      </c>
      <c r="V173" t="str">
        <f>""</f>
        <v/>
      </c>
      <c r="W173" t="str">
        <f>""</f>
        <v/>
      </c>
      <c r="X173" t="str">
        <f>""</f>
        <v/>
      </c>
      <c r="Y173" t="str">
        <f>""</f>
        <v/>
      </c>
      <c r="Z173" t="str">
        <f>""</f>
        <v/>
      </c>
      <c r="AA173" t="str">
        <f>""</f>
        <v/>
      </c>
      <c r="AB173" t="str">
        <f>""</f>
        <v/>
      </c>
      <c r="AC173" t="str">
        <f>""</f>
        <v/>
      </c>
      <c r="AD173" t="str">
        <f>""</f>
        <v/>
      </c>
      <c r="AE173" t="str">
        <f>""</f>
        <v/>
      </c>
      <c r="AF173" t="str">
        <f>""</f>
        <v/>
      </c>
      <c r="AG173" t="str">
        <f>""</f>
        <v/>
      </c>
      <c r="AH173" t="str">
        <f>""</f>
        <v/>
      </c>
      <c r="AI173" t="str">
        <f>""</f>
        <v/>
      </c>
    </row>
    <row r="174" spans="1:35" x14ac:dyDescent="0.25">
      <c r="A174" t="str">
        <f>"BDH dynamic header1"</f>
        <v>BDH dynamic header1</v>
      </c>
      <c r="B174">
        <f ca="1">IF(OR(ISERROR($C$174),ISBLANK($C$174),ISNUMBER(SEARCH("N/A",$C$174) ),ISERROR($C$175),ISBLANK($C$175)),0,1)</f>
        <v>0</v>
      </c>
      <c r="C174" t="str">
        <f ca="1">_xll.BDH($B$8,$C$8,$B$100,$B$101,"PER=CY","Dts=S","DtFmt=FI", "rows=2","Dir=H","Points=15","Sort=R","Days=A","Fill=B","FX=USD" )</f>
        <v>#N/A Invalid Parameter: Invalid override field id specified</v>
      </c>
      <c r="U174" t="str">
        <f>""</f>
        <v/>
      </c>
      <c r="V174" t="str">
        <f>""</f>
        <v/>
      </c>
      <c r="W174" t="str">
        <f>""</f>
        <v/>
      </c>
      <c r="X174" t="str">
        <f>""</f>
        <v/>
      </c>
      <c r="Y174" t="str">
        <f>""</f>
        <v/>
      </c>
      <c r="Z174" t="str">
        <f>""</f>
        <v/>
      </c>
      <c r="AA174" t="str">
        <f>""</f>
        <v/>
      </c>
      <c r="AB174" t="str">
        <f>""</f>
        <v/>
      </c>
      <c r="AC174" t="str">
        <f>""</f>
        <v/>
      </c>
      <c r="AD174" t="str">
        <f>""</f>
        <v/>
      </c>
      <c r="AE174" t="str">
        <f>""</f>
        <v/>
      </c>
      <c r="AF174" t="str">
        <f>""</f>
        <v/>
      </c>
      <c r="AG174" t="str">
        <f>""</f>
        <v/>
      </c>
      <c r="AH174" t="str">
        <f>""</f>
        <v/>
      </c>
      <c r="AI174" t="str">
        <f>""</f>
        <v/>
      </c>
    </row>
    <row r="175" spans="1:35" x14ac:dyDescent="0.25">
      <c r="A175" t="str">
        <f>"BDH dynamic result1"</f>
        <v>BDH dynamic result1</v>
      </c>
      <c r="U175" t="str">
        <f>""</f>
        <v/>
      </c>
      <c r="V175" t="str">
        <f>""</f>
        <v/>
      </c>
      <c r="W175" t="str">
        <f>""</f>
        <v/>
      </c>
      <c r="X175" t="str">
        <f>""</f>
        <v/>
      </c>
      <c r="Y175" t="str">
        <f>""</f>
        <v/>
      </c>
      <c r="Z175" t="str">
        <f>""</f>
        <v/>
      </c>
      <c r="AA175" t="str">
        <f>""</f>
        <v/>
      </c>
      <c r="AB175" t="str">
        <f>""</f>
        <v/>
      </c>
      <c r="AC175" t="str">
        <f>""</f>
        <v/>
      </c>
      <c r="AD175" t="str">
        <f>""</f>
        <v/>
      </c>
      <c r="AE175" t="str">
        <f>""</f>
        <v/>
      </c>
      <c r="AF175" t="str">
        <f>""</f>
        <v/>
      </c>
      <c r="AG175" t="str">
        <f>""</f>
        <v/>
      </c>
      <c r="AH175" t="str">
        <f>""</f>
        <v/>
      </c>
      <c r="AI175" t="str">
        <f>""</f>
        <v/>
      </c>
    </row>
    <row r="176" spans="1:35" x14ac:dyDescent="0.25">
      <c r="A176" t="str">
        <f>"BDH dynamic header2"</f>
        <v>BDH dynamic header2</v>
      </c>
      <c r="B176">
        <f ca="1">IF(OR(ISERROR($C$176),ISBLANK($C$176),ISNUMBER(SEARCH("N/A",$C$176) ),ISERROR($C$177),ISBLANK($C$177)),0,1)</f>
        <v>0</v>
      </c>
      <c r="C176" t="str">
        <f ca="1">_xll.BDH($B$10,$C$10,$B$100,$B$101,"PER=CY","Dts=S","DtFmt=FI", "rows=2","Dir=H","Points=15","Sort=R","Days=A","Fill=B","DZ666=129","DZ381=18141010","DZ667=1","DS276=Y","FX=USD" )</f>
        <v>#N/A Invalid Parameter: Invalid override field id specified</v>
      </c>
      <c r="U176" t="str">
        <f>""</f>
        <v/>
      </c>
      <c r="V176" t="str">
        <f>""</f>
        <v/>
      </c>
      <c r="W176" t="str">
        <f>""</f>
        <v/>
      </c>
      <c r="X176" t="str">
        <f>""</f>
        <v/>
      </c>
      <c r="Y176" t="str">
        <f>""</f>
        <v/>
      </c>
      <c r="Z176" t="str">
        <f>""</f>
        <v/>
      </c>
      <c r="AA176" t="str">
        <f>""</f>
        <v/>
      </c>
      <c r="AB176" t="str">
        <f>""</f>
        <v/>
      </c>
      <c r="AC176" t="str">
        <f>""</f>
        <v/>
      </c>
      <c r="AD176" t="str">
        <f>""</f>
        <v/>
      </c>
      <c r="AE176" t="str">
        <f>""</f>
        <v/>
      </c>
      <c r="AF176" t="str">
        <f>""</f>
        <v/>
      </c>
      <c r="AG176" t="str">
        <f>""</f>
        <v/>
      </c>
      <c r="AH176" t="str">
        <f>""</f>
        <v/>
      </c>
      <c r="AI176" t="str">
        <f>""</f>
        <v/>
      </c>
    </row>
    <row r="177" spans="1:35" x14ac:dyDescent="0.25">
      <c r="A177" t="str">
        <f>"BDH dynamic result2"</f>
        <v>BDH dynamic result2</v>
      </c>
      <c r="U177" t="str">
        <f>""</f>
        <v/>
      </c>
      <c r="V177" t="str">
        <f>""</f>
        <v/>
      </c>
      <c r="W177" t="str">
        <f>""</f>
        <v/>
      </c>
      <c r="X177" t="str">
        <f>""</f>
        <v/>
      </c>
      <c r="Y177" t="str">
        <f>""</f>
        <v/>
      </c>
      <c r="Z177" t="str">
        <f>""</f>
        <v/>
      </c>
      <c r="AA177" t="str">
        <f>""</f>
        <v/>
      </c>
      <c r="AB177" t="str">
        <f>""</f>
        <v/>
      </c>
      <c r="AC177" t="str">
        <f>""</f>
        <v/>
      </c>
      <c r="AD177" t="str">
        <f>""</f>
        <v/>
      </c>
      <c r="AE177" t="str">
        <f>""</f>
        <v/>
      </c>
      <c r="AF177" t="str">
        <f>""</f>
        <v/>
      </c>
      <c r="AG177" t="str">
        <f>""</f>
        <v/>
      </c>
      <c r="AH177" t="str">
        <f>""</f>
        <v/>
      </c>
      <c r="AI177" t="str">
        <f>""</f>
        <v/>
      </c>
    </row>
    <row r="178" spans="1:35" x14ac:dyDescent="0.25">
      <c r="A178" t="str">
        <f>"BDH dynamic"</f>
        <v>BDH dynamic</v>
      </c>
      <c r="B178">
        <f ca="1">IF($B$172&gt;=1,$B$172,IF($B$174&gt;=1,$B$174,IF($B$176&gt;=1,$B$176,$B$163)))</f>
        <v>2</v>
      </c>
      <c r="C178" t="str">
        <f ca="1">IF($B$172&gt;=1,$C$172,IF($B$174&gt;=1,$C$174,IF($B$176&gt;=1,$C$176,$C$163)))</f>
        <v>FY 2020</v>
      </c>
      <c r="D178" t="str">
        <f ca="1">IF($B$172&gt;=1,$D$172,IF($B$174&gt;=1,$D$174,IF($B$176&gt;=1,$D$176,$D$163)))</f>
        <v>FY 2019</v>
      </c>
      <c r="E178" t="str">
        <f ca="1">IF($B$172&gt;=1,$E$172,IF($B$174&gt;=1,$E$174,IF($B$176&gt;=1,$E$176,$E$163)))</f>
        <v>FY 2018</v>
      </c>
      <c r="F178" t="str">
        <f ca="1">IF($B$172&gt;=1,$F$172,IF($B$174&gt;=1,$F$174,IF($B$176&gt;=1,$F$176,$F$163)))</f>
        <v>FY 2017</v>
      </c>
      <c r="G178" t="str">
        <f ca="1">IF($B$172&gt;=1,$G$172,IF($B$174&gt;=1,$G$174,IF($B$176&gt;=1,$G$176,$G$163)))</f>
        <v>FY 2016</v>
      </c>
      <c r="H178" t="str">
        <f ca="1">IF($B$172&gt;=1,$H$172,IF($B$174&gt;=1,$H$174,IF($B$176&gt;=1,$H$176,$H$163)))</f>
        <v>FY 2015</v>
      </c>
      <c r="I178" t="str">
        <f ca="1">IF($B$172&gt;=1,$I$172,IF($B$174&gt;=1,$I$174,IF($B$176&gt;=1,$I$176,$I$163)))</f>
        <v>FY 2014</v>
      </c>
      <c r="J178" t="str">
        <f ca="1">IF($B$172&gt;=1,$J$172,IF($B$174&gt;=1,$J$174,IF($B$176&gt;=1,$J$176,$J$163)))</f>
        <v>FY 2013</v>
      </c>
      <c r="K178" t="str">
        <f ca="1">IF($B$172&gt;=1,$K$172,IF($B$174&gt;=1,$K$174,IF($B$176&gt;=1,$K$176,$K$163)))</f>
        <v>FY 2012</v>
      </c>
      <c r="L178" t="str">
        <f ca="1">IF($B$172&gt;=1,$L$172,IF($B$174&gt;=1,$L$174,IF($B$176&gt;=1,$L$176,$L$163)))</f>
        <v>FY 2011</v>
      </c>
      <c r="M178" t="str">
        <f ca="1">IF($B$172&gt;=1,$M$172,IF($B$174&gt;=1,$M$174,IF($B$176&gt;=1,$M$176,$M$163)))</f>
        <v>FY 2010</v>
      </c>
      <c r="N178" t="str">
        <f ca="1">IF($B$172&gt;=1,$N$172,IF($B$174&gt;=1,$N$174,IF($B$176&gt;=1,$N$176,$N$163)))</f>
        <v>FY 2009</v>
      </c>
      <c r="O178" t="str">
        <f ca="1">IF($B$172&gt;=1,$O$172,IF($B$174&gt;=1,$O$174,IF($B$176&gt;=1,$O$176,$O$163)))</f>
        <v>FY 2008</v>
      </c>
      <c r="P178" t="str">
        <f ca="1">IF($B$172&gt;=1,$P$172,IF($B$174&gt;=1,$P$174,IF($B$176&gt;=1,$P$176,$P$163)))</f>
        <v>FY 2007</v>
      </c>
      <c r="Q178" t="str">
        <f ca="1">IF($B$172&gt;=1,$Q$172,IF($B$174&gt;=1,$Q$174,IF($B$176&gt;=1,$Q$176,$Q$163)))</f>
        <v>FY 2006</v>
      </c>
      <c r="U178" t="str">
        <f>""</f>
        <v/>
      </c>
      <c r="V178" t="str">
        <f>""</f>
        <v/>
      </c>
      <c r="W178" t="str">
        <f>""</f>
        <v/>
      </c>
      <c r="X178" t="str">
        <f>""</f>
        <v/>
      </c>
      <c r="Y178" t="str">
        <f>""</f>
        <v/>
      </c>
      <c r="Z178" t="str">
        <f>""</f>
        <v/>
      </c>
      <c r="AA178" t="str">
        <f>""</f>
        <v/>
      </c>
      <c r="AB178" t="str">
        <f>""</f>
        <v/>
      </c>
      <c r="AC178" t="str">
        <f>""</f>
        <v/>
      </c>
      <c r="AD178" t="str">
        <f>""</f>
        <v/>
      </c>
      <c r="AE178" t="str">
        <f>""</f>
        <v/>
      </c>
      <c r="AF178" t="str">
        <f>""</f>
        <v/>
      </c>
      <c r="AG178" t="str">
        <f>""</f>
        <v/>
      </c>
      <c r="AH178" t="str">
        <f>""</f>
        <v/>
      </c>
      <c r="AI178" t="str">
        <f>""</f>
        <v/>
      </c>
    </row>
    <row r="179" spans="1:35" x14ac:dyDescent="0.25">
      <c r="A179" t="str">
        <f>"BDH dynamic title"</f>
        <v>BDH dynamic title</v>
      </c>
      <c r="B179">
        <f ca="1">$B$178</f>
        <v>2</v>
      </c>
      <c r="C179" t="str">
        <f ca="1">SUBSTITUTE(SUBSTITUTE($C$178,"CY1 ",""),"C","")</f>
        <v>FY 2020</v>
      </c>
      <c r="D179" t="str">
        <f ca="1">SUBSTITUTE(SUBSTITUTE($D$178,"CY1 ",""),"C","")</f>
        <v>FY 2019</v>
      </c>
      <c r="E179" t="str">
        <f ca="1">SUBSTITUTE(SUBSTITUTE($E$178,"CY1 ",""),"C","")</f>
        <v>FY 2018</v>
      </c>
      <c r="F179" t="str">
        <f ca="1">SUBSTITUTE(SUBSTITUTE($F$178,"CY1 ",""),"C","")</f>
        <v>FY 2017</v>
      </c>
      <c r="G179" t="str">
        <f ca="1">SUBSTITUTE(SUBSTITUTE($G$178,"CY1 ",""),"C","")</f>
        <v>FY 2016</v>
      </c>
      <c r="H179" t="str">
        <f ca="1">SUBSTITUTE(SUBSTITUTE($H$178,"CY1 ",""),"C","")</f>
        <v>FY 2015</v>
      </c>
      <c r="I179" t="str">
        <f ca="1">SUBSTITUTE(SUBSTITUTE($I$178,"CY1 ",""),"C","")</f>
        <v>FY 2014</v>
      </c>
      <c r="J179" t="str">
        <f ca="1">SUBSTITUTE(SUBSTITUTE($J$178,"CY1 ",""),"C","")</f>
        <v>FY 2013</v>
      </c>
      <c r="K179" t="str">
        <f ca="1">SUBSTITUTE(SUBSTITUTE($K$178,"CY1 ",""),"C","")</f>
        <v>FY 2012</v>
      </c>
      <c r="L179" t="str">
        <f ca="1">SUBSTITUTE(SUBSTITUTE($L$178,"CY1 ",""),"C","")</f>
        <v>FY 2011</v>
      </c>
      <c r="M179" t="str">
        <f ca="1">SUBSTITUTE(SUBSTITUTE($M$178,"CY1 ",""),"C","")</f>
        <v>FY 2010</v>
      </c>
      <c r="N179" t="str">
        <f ca="1">SUBSTITUTE(SUBSTITUTE($N$178,"CY1 ",""),"C","")</f>
        <v>FY 2009</v>
      </c>
      <c r="O179" t="str">
        <f ca="1">SUBSTITUTE(SUBSTITUTE($O$178,"CY1 ",""),"C","")</f>
        <v>FY 2008</v>
      </c>
      <c r="P179" t="str">
        <f ca="1">SUBSTITUTE(SUBSTITUTE($P$178,"CY1 ",""),"C","")</f>
        <v>FY 2007</v>
      </c>
      <c r="Q179" t="str">
        <f ca="1">SUBSTITUTE(SUBSTITUTE($Q$178,"CY1 ",""),"C","")</f>
        <v>FY 2006</v>
      </c>
      <c r="U179" t="str">
        <f>""</f>
        <v/>
      </c>
      <c r="V179" t="str">
        <f>""</f>
        <v/>
      </c>
      <c r="W179" t="str">
        <f>""</f>
        <v/>
      </c>
      <c r="X179" t="str">
        <f>""</f>
        <v/>
      </c>
      <c r="Y179" t="str">
        <f>""</f>
        <v/>
      </c>
      <c r="Z179" t="str">
        <f>""</f>
        <v/>
      </c>
      <c r="AA179" t="str">
        <f>""</f>
        <v/>
      </c>
      <c r="AB179" t="str">
        <f>""</f>
        <v/>
      </c>
      <c r="AC179" t="str">
        <f>""</f>
        <v/>
      </c>
      <c r="AD179" t="str">
        <f>""</f>
        <v/>
      </c>
      <c r="AE179" t="str">
        <f>""</f>
        <v/>
      </c>
      <c r="AF179" t="str">
        <f>""</f>
        <v/>
      </c>
      <c r="AG179" t="str">
        <f>""</f>
        <v/>
      </c>
      <c r="AH179" t="str">
        <f>""</f>
        <v/>
      </c>
      <c r="AI179" t="str">
        <f>""</f>
        <v/>
      </c>
    </row>
    <row r="180" spans="1:35" x14ac:dyDescent="0.25">
      <c r="A180" t="str">
        <f>"No error found"</f>
        <v>No error found</v>
      </c>
      <c r="B180" t="str">
        <f>""</f>
        <v/>
      </c>
      <c r="C180" t="str">
        <f>""</f>
        <v/>
      </c>
      <c r="D180" t="str">
        <f>""</f>
        <v/>
      </c>
      <c r="E180" t="str">
        <f>""</f>
        <v/>
      </c>
      <c r="U180" t="str">
        <f>""</f>
        <v/>
      </c>
      <c r="V180" t="str">
        <f>""</f>
        <v/>
      </c>
      <c r="W180" t="str">
        <f>""</f>
        <v/>
      </c>
      <c r="X180" t="str">
        <f>""</f>
        <v/>
      </c>
      <c r="Y180" t="str">
        <f>""</f>
        <v/>
      </c>
      <c r="Z180" t="str">
        <f>""</f>
        <v/>
      </c>
      <c r="AA180" t="str">
        <f>""</f>
        <v/>
      </c>
      <c r="AB180" t="str">
        <f>""</f>
        <v/>
      </c>
      <c r="AC180" t="str">
        <f>""</f>
        <v/>
      </c>
      <c r="AD180" t="str">
        <f>""</f>
        <v/>
      </c>
      <c r="AE180" t="str">
        <f>""</f>
        <v/>
      </c>
      <c r="AF180" t="str">
        <f>""</f>
        <v/>
      </c>
      <c r="AG180" t="str">
        <f>""</f>
        <v/>
      </c>
      <c r="AH180" t="str">
        <f>""</f>
        <v/>
      </c>
      <c r="AI180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2C10-1F6F-45EB-A5DA-F0646A361F62}">
  <dimension ref="A2:AI180"/>
  <sheetViews>
    <sheetView tabSelected="1" workbookViewId="0">
      <selection sqref="A1:XFD1048576"/>
    </sheetView>
  </sheetViews>
  <sheetFormatPr defaultRowHeight="15" x14ac:dyDescent="0.25"/>
  <sheetData>
    <row r="2" spans="1:35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47</v>
      </c>
      <c r="G2" t="s">
        <v>46</v>
      </c>
      <c r="H2" t="s">
        <v>45</v>
      </c>
      <c r="I2" t="s">
        <v>44</v>
      </c>
      <c r="J2" t="s">
        <v>43</v>
      </c>
      <c r="K2" t="s">
        <v>42</v>
      </c>
      <c r="L2" t="s">
        <v>41</v>
      </c>
      <c r="M2" t="s">
        <v>40</v>
      </c>
      <c r="N2" t="s">
        <v>39</v>
      </c>
      <c r="O2" t="s">
        <v>38</v>
      </c>
      <c r="P2" t="s">
        <v>37</v>
      </c>
      <c r="Q2" t="s">
        <v>36</v>
      </c>
      <c r="R2" t="s">
        <v>35</v>
      </c>
      <c r="S2" t="s">
        <v>34</v>
      </c>
      <c r="T2" t="s">
        <v>33</v>
      </c>
      <c r="U2" t="s">
        <v>47</v>
      </c>
      <c r="V2" t="s">
        <v>46</v>
      </c>
      <c r="W2" t="s">
        <v>45</v>
      </c>
      <c r="X2" t="s">
        <v>44</v>
      </c>
      <c r="Y2" t="s">
        <v>43</v>
      </c>
      <c r="Z2" t="s">
        <v>42</v>
      </c>
      <c r="AA2" t="s">
        <v>41</v>
      </c>
      <c r="AB2" t="s">
        <v>40</v>
      </c>
      <c r="AC2" t="s">
        <v>39</v>
      </c>
      <c r="AD2" t="s">
        <v>38</v>
      </c>
      <c r="AE2" t="s">
        <v>37</v>
      </c>
      <c r="AF2" t="s">
        <v>36</v>
      </c>
      <c r="AG2" t="s">
        <v>35</v>
      </c>
      <c r="AH2" t="s">
        <v>34</v>
      </c>
      <c r="AI2" t="s">
        <v>33</v>
      </c>
    </row>
    <row r="3" spans="1:35" x14ac:dyDescent="0.25">
      <c r="A3" t="s">
        <v>48</v>
      </c>
      <c r="B3" t="s">
        <v>49</v>
      </c>
      <c r="E3" t="s">
        <v>50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  <c r="Z3" t="s">
        <v>49</v>
      </c>
      <c r="AA3" t="s">
        <v>49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t="s">
        <v>49</v>
      </c>
      <c r="AH3" t="s">
        <v>49</v>
      </c>
      <c r="AI3" t="s">
        <v>49</v>
      </c>
    </row>
    <row r="4" spans="1:35" x14ac:dyDescent="0.25">
      <c r="A4" t="s">
        <v>49</v>
      </c>
      <c r="B4" t="s">
        <v>49</v>
      </c>
      <c r="E4" t="s">
        <v>50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49</v>
      </c>
      <c r="AF4" t="s">
        <v>49</v>
      </c>
      <c r="AG4" t="s">
        <v>49</v>
      </c>
      <c r="AH4" t="s">
        <v>49</v>
      </c>
      <c r="AI4" t="s">
        <v>49</v>
      </c>
    </row>
    <row r="5" spans="1:35" x14ac:dyDescent="0.25">
      <c r="A5" t="s">
        <v>51</v>
      </c>
      <c r="B5" t="s">
        <v>49</v>
      </c>
      <c r="E5" t="s">
        <v>52</v>
      </c>
      <c r="U5" t="s">
        <v>49</v>
      </c>
      <c r="V5" t="s">
        <v>49</v>
      </c>
      <c r="W5" t="s">
        <v>49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t="s">
        <v>49</v>
      </c>
      <c r="AF5" t="s">
        <v>49</v>
      </c>
      <c r="AG5" t="s">
        <v>49</v>
      </c>
      <c r="AH5" t="s">
        <v>49</v>
      </c>
      <c r="AI5" t="s">
        <v>49</v>
      </c>
    </row>
    <row r="6" spans="1:35" x14ac:dyDescent="0.25">
      <c r="A6" t="s">
        <v>53</v>
      </c>
      <c r="B6" t="s">
        <v>49</v>
      </c>
      <c r="E6" t="s">
        <v>50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49</v>
      </c>
      <c r="Z6" t="s">
        <v>49</v>
      </c>
      <c r="AA6" t="s">
        <v>49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</row>
    <row r="7" spans="1:35" x14ac:dyDescent="0.25">
      <c r="A7" t="s">
        <v>54</v>
      </c>
      <c r="B7" t="s">
        <v>49</v>
      </c>
      <c r="E7" t="s">
        <v>52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 t="s">
        <v>49</v>
      </c>
      <c r="AG7" t="s">
        <v>49</v>
      </c>
      <c r="AH7" t="s">
        <v>49</v>
      </c>
      <c r="AI7" t="s">
        <v>49</v>
      </c>
    </row>
    <row r="8" spans="1:35" x14ac:dyDescent="0.25">
      <c r="A8" t="s">
        <v>55</v>
      </c>
      <c r="B8" t="s">
        <v>56</v>
      </c>
      <c r="C8" t="s">
        <v>57</v>
      </c>
      <c r="D8" t="s">
        <v>58</v>
      </c>
      <c r="E8" t="s">
        <v>59</v>
      </c>
      <c r="F8">
        <v>9.8167523439999993</v>
      </c>
      <c r="G8">
        <v>17.23292022</v>
      </c>
      <c r="H8">
        <v>2.9758775769999999</v>
      </c>
      <c r="I8">
        <v>9.6779359720000002</v>
      </c>
      <c r="J8">
        <v>17.108347869999999</v>
      </c>
      <c r="K8">
        <v>6.355095446</v>
      </c>
      <c r="L8">
        <v>24.239195079999998</v>
      </c>
      <c r="M8">
        <v>19.618189359999999</v>
      </c>
      <c r="N8">
        <v>22.664630379999998</v>
      </c>
      <c r="O8">
        <v>20.926039930000002</v>
      </c>
      <c r="P8">
        <v>4.8356612730000004</v>
      </c>
      <c r="Q8">
        <v>29.960460099999999</v>
      </c>
      <c r="R8">
        <v>20.146836539999999</v>
      </c>
      <c r="S8">
        <v>45.919546269999998</v>
      </c>
      <c r="T8">
        <v>33.540917159999999</v>
      </c>
      <c r="U8">
        <v>9.8167523439999993</v>
      </c>
      <c r="V8">
        <v>17.23292022</v>
      </c>
      <c r="W8">
        <v>2.9758775769999999</v>
      </c>
      <c r="X8">
        <v>9.6779359720000002</v>
      </c>
      <c r="Y8">
        <v>17.108347869999999</v>
      </c>
      <c r="Z8">
        <v>6.355095446</v>
      </c>
      <c r="AA8">
        <v>24.239195079999998</v>
      </c>
      <c r="AB8">
        <v>19.618189359999999</v>
      </c>
      <c r="AC8">
        <v>22.664630379999998</v>
      </c>
      <c r="AD8">
        <v>20.926039930000002</v>
      </c>
      <c r="AE8">
        <v>4.8356612730000004</v>
      </c>
      <c r="AF8">
        <v>29.960460099999999</v>
      </c>
      <c r="AG8">
        <v>20.146836539999999</v>
      </c>
      <c r="AH8">
        <v>45.919546269999998</v>
      </c>
      <c r="AI8">
        <v>33.540917159999999</v>
      </c>
    </row>
    <row r="9" spans="1:35" x14ac:dyDescent="0.25">
      <c r="A9" t="s">
        <v>60</v>
      </c>
      <c r="B9" t="s">
        <v>49</v>
      </c>
      <c r="E9" t="s">
        <v>50</v>
      </c>
      <c r="F9" t="s">
        <v>49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49</v>
      </c>
      <c r="Z9" t="s">
        <v>49</v>
      </c>
      <c r="AA9" t="s">
        <v>49</v>
      </c>
      <c r="AB9" t="s">
        <v>49</v>
      </c>
      <c r="AC9" t="s">
        <v>49</v>
      </c>
      <c r="AD9" t="s">
        <v>49</v>
      </c>
      <c r="AE9" t="s">
        <v>49</v>
      </c>
      <c r="AF9" t="s">
        <v>49</v>
      </c>
      <c r="AG9" t="s">
        <v>49</v>
      </c>
      <c r="AH9" t="s">
        <v>49</v>
      </c>
      <c r="AI9" t="s">
        <v>49</v>
      </c>
    </row>
    <row r="10" spans="1:35" x14ac:dyDescent="0.25">
      <c r="A10" t="s">
        <v>61</v>
      </c>
      <c r="B10" t="s">
        <v>62</v>
      </c>
      <c r="C10" t="s">
        <v>63</v>
      </c>
      <c r="D10" t="s">
        <v>64</v>
      </c>
      <c r="E10" t="s">
        <v>59</v>
      </c>
      <c r="F10" t="s">
        <v>49</v>
      </c>
      <c r="G10" t="s">
        <v>49</v>
      </c>
      <c r="H10">
        <v>7.1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>
        <v>7.1</v>
      </c>
      <c r="X10" t="s">
        <v>49</v>
      </c>
      <c r="Y10" t="s">
        <v>49</v>
      </c>
      <c r="Z10" t="s">
        <v>49</v>
      </c>
      <c r="AA10" t="s">
        <v>49</v>
      </c>
      <c r="AB10" t="s">
        <v>49</v>
      </c>
      <c r="AC10" t="s">
        <v>49</v>
      </c>
      <c r="AD10" t="s">
        <v>49</v>
      </c>
      <c r="AE10" t="s">
        <v>49</v>
      </c>
      <c r="AF10" t="s">
        <v>49</v>
      </c>
      <c r="AG10" t="s">
        <v>49</v>
      </c>
      <c r="AH10" t="s">
        <v>49</v>
      </c>
      <c r="AI10" t="s">
        <v>49</v>
      </c>
    </row>
    <row r="11" spans="1:35" x14ac:dyDescent="0.25">
      <c r="A11" t="s">
        <v>65</v>
      </c>
      <c r="B11" t="s">
        <v>62</v>
      </c>
      <c r="C11" t="s">
        <v>63</v>
      </c>
      <c r="D11" t="s">
        <v>64</v>
      </c>
      <c r="E11" t="s">
        <v>59</v>
      </c>
      <c r="F11" t="s">
        <v>49</v>
      </c>
      <c r="G11" t="s">
        <v>49</v>
      </c>
      <c r="H11">
        <v>3.3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>
        <v>3.3</v>
      </c>
      <c r="X11" t="s">
        <v>49</v>
      </c>
      <c r="Y11" t="s">
        <v>49</v>
      </c>
      <c r="Z11" t="s">
        <v>49</v>
      </c>
      <c r="AA11" t="s">
        <v>49</v>
      </c>
      <c r="AB11" t="s">
        <v>49</v>
      </c>
      <c r="AC11" t="s">
        <v>49</v>
      </c>
      <c r="AD11" t="s">
        <v>49</v>
      </c>
      <c r="AE11" t="s">
        <v>49</v>
      </c>
      <c r="AF11" t="s">
        <v>49</v>
      </c>
      <c r="AG11" t="s">
        <v>49</v>
      </c>
      <c r="AH11" t="s">
        <v>49</v>
      </c>
      <c r="AI11" t="s">
        <v>49</v>
      </c>
    </row>
    <row r="12" spans="1:35" x14ac:dyDescent="0.25">
      <c r="A12" t="s">
        <v>66</v>
      </c>
      <c r="B12" t="s">
        <v>62</v>
      </c>
      <c r="C12" t="s">
        <v>63</v>
      </c>
      <c r="D12" t="s">
        <v>64</v>
      </c>
      <c r="E12" t="s">
        <v>59</v>
      </c>
      <c r="F12" t="s">
        <v>49</v>
      </c>
      <c r="G12" t="s">
        <v>49</v>
      </c>
      <c r="H12">
        <v>4.2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>
        <v>4.2</v>
      </c>
      <c r="X12" t="s">
        <v>49</v>
      </c>
      <c r="Y12" t="s">
        <v>49</v>
      </c>
      <c r="Z12" t="s">
        <v>49</v>
      </c>
      <c r="AA12" t="s">
        <v>49</v>
      </c>
      <c r="AB12" t="s">
        <v>49</v>
      </c>
      <c r="AC12" t="s">
        <v>49</v>
      </c>
      <c r="AD12" t="s">
        <v>49</v>
      </c>
      <c r="AE12" t="s">
        <v>49</v>
      </c>
      <c r="AF12" t="s">
        <v>49</v>
      </c>
      <c r="AG12" t="s">
        <v>49</v>
      </c>
      <c r="AH12" t="s">
        <v>49</v>
      </c>
      <c r="AI12" t="s">
        <v>49</v>
      </c>
    </row>
    <row r="13" spans="1:35" x14ac:dyDescent="0.25">
      <c r="A13" t="s">
        <v>67</v>
      </c>
      <c r="B13" t="s">
        <v>62</v>
      </c>
      <c r="C13" t="s">
        <v>68</v>
      </c>
      <c r="D13" t="s">
        <v>69</v>
      </c>
      <c r="E13" t="s">
        <v>59</v>
      </c>
      <c r="F13">
        <v>9.8000000000000007</v>
      </c>
      <c r="G13">
        <v>9</v>
      </c>
      <c r="H13" t="s">
        <v>49</v>
      </c>
      <c r="I13" t="s">
        <v>49</v>
      </c>
      <c r="J13" t="s">
        <v>49</v>
      </c>
      <c r="K13" t="s">
        <v>49</v>
      </c>
      <c r="L13" t="s">
        <v>49</v>
      </c>
      <c r="M13" t="s">
        <v>49</v>
      </c>
      <c r="N13">
        <v>22.3</v>
      </c>
      <c r="O13">
        <v>22.3</v>
      </c>
      <c r="P13" t="s">
        <v>49</v>
      </c>
      <c r="Q13">
        <v>5.9</v>
      </c>
      <c r="R13" t="s">
        <v>49</v>
      </c>
      <c r="S13" t="s">
        <v>49</v>
      </c>
      <c r="T13" t="s">
        <v>49</v>
      </c>
      <c r="U13">
        <v>9.8000000000000007</v>
      </c>
      <c r="V13">
        <v>9</v>
      </c>
      <c r="W13" t="s">
        <v>49</v>
      </c>
      <c r="X13" t="s">
        <v>49</v>
      </c>
      <c r="Y13" t="s">
        <v>49</v>
      </c>
      <c r="Z13" t="s">
        <v>49</v>
      </c>
      <c r="AA13" t="s">
        <v>49</v>
      </c>
      <c r="AB13" t="s">
        <v>49</v>
      </c>
      <c r="AC13">
        <v>22.3</v>
      </c>
      <c r="AD13">
        <v>22.3</v>
      </c>
      <c r="AE13" t="s">
        <v>49</v>
      </c>
      <c r="AF13">
        <v>5.9</v>
      </c>
      <c r="AG13" t="s">
        <v>49</v>
      </c>
      <c r="AH13" t="s">
        <v>49</v>
      </c>
      <c r="AI13" t="s">
        <v>49</v>
      </c>
    </row>
    <row r="14" spans="1:35" x14ac:dyDescent="0.25">
      <c r="A14" t="s">
        <v>60</v>
      </c>
      <c r="B14" t="s">
        <v>49</v>
      </c>
      <c r="E14" t="s">
        <v>50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 t="s">
        <v>49</v>
      </c>
      <c r="AI14" t="s">
        <v>49</v>
      </c>
    </row>
    <row r="15" spans="1:35" x14ac:dyDescent="0.25">
      <c r="A15" t="s">
        <v>61</v>
      </c>
      <c r="B15" t="s">
        <v>62</v>
      </c>
      <c r="C15" t="s">
        <v>63</v>
      </c>
      <c r="D15" t="s">
        <v>64</v>
      </c>
      <c r="E15" t="s">
        <v>59</v>
      </c>
      <c r="F15" t="s">
        <v>49</v>
      </c>
      <c r="G15" t="s">
        <v>49</v>
      </c>
      <c r="H15">
        <v>5.9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49</v>
      </c>
      <c r="W15">
        <v>5.9</v>
      </c>
      <c r="X15" t="s">
        <v>49</v>
      </c>
      <c r="Y15" t="s">
        <v>49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</row>
    <row r="16" spans="1:35" x14ac:dyDescent="0.25">
      <c r="A16" t="s">
        <v>65</v>
      </c>
      <c r="B16" t="s">
        <v>62</v>
      </c>
      <c r="C16" t="s">
        <v>63</v>
      </c>
      <c r="D16" t="s">
        <v>64</v>
      </c>
      <c r="E16" t="s">
        <v>59</v>
      </c>
      <c r="F16" t="s">
        <v>49</v>
      </c>
      <c r="G16" t="s">
        <v>49</v>
      </c>
      <c r="H16">
        <v>2</v>
      </c>
      <c r="I16" t="s">
        <v>49</v>
      </c>
      <c r="J16" t="s">
        <v>49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>
        <v>2</v>
      </c>
      <c r="X16" t="s">
        <v>49</v>
      </c>
      <c r="Y16" t="s">
        <v>49</v>
      </c>
      <c r="Z16" t="s">
        <v>49</v>
      </c>
      <c r="AA16" t="s">
        <v>49</v>
      </c>
      <c r="AB16" t="s">
        <v>49</v>
      </c>
      <c r="AC16" t="s">
        <v>49</v>
      </c>
      <c r="AD16" t="s">
        <v>49</v>
      </c>
      <c r="AE16" t="s">
        <v>49</v>
      </c>
      <c r="AF16" t="s">
        <v>49</v>
      </c>
      <c r="AG16" t="s">
        <v>49</v>
      </c>
      <c r="AH16" t="s">
        <v>49</v>
      </c>
      <c r="AI16" t="s">
        <v>49</v>
      </c>
    </row>
    <row r="17" spans="1:35" x14ac:dyDescent="0.25">
      <c r="A17" t="s">
        <v>66</v>
      </c>
      <c r="B17" t="s">
        <v>62</v>
      </c>
      <c r="C17" t="s">
        <v>63</v>
      </c>
      <c r="D17" t="s">
        <v>64</v>
      </c>
      <c r="E17" t="s">
        <v>59</v>
      </c>
      <c r="F17" t="s">
        <v>49</v>
      </c>
      <c r="G17" t="s">
        <v>49</v>
      </c>
      <c r="H17">
        <v>3.1</v>
      </c>
      <c r="I17" t="s">
        <v>49</v>
      </c>
      <c r="J17" t="s">
        <v>49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>
        <v>3.1</v>
      </c>
      <c r="X17" t="s">
        <v>49</v>
      </c>
      <c r="Y17" t="s">
        <v>49</v>
      </c>
      <c r="Z17" t="s">
        <v>49</v>
      </c>
      <c r="AA17" t="s">
        <v>49</v>
      </c>
      <c r="AB17" t="s">
        <v>49</v>
      </c>
      <c r="AC17" t="s">
        <v>49</v>
      </c>
      <c r="AD17" t="s">
        <v>49</v>
      </c>
      <c r="AE17" t="s">
        <v>49</v>
      </c>
      <c r="AF17" t="s">
        <v>49</v>
      </c>
      <c r="AG17" t="s">
        <v>49</v>
      </c>
      <c r="AH17" t="s">
        <v>49</v>
      </c>
      <c r="AI17" t="s">
        <v>49</v>
      </c>
    </row>
    <row r="18" spans="1:35" x14ac:dyDescent="0.25">
      <c r="A18" t="s">
        <v>70</v>
      </c>
      <c r="B18" t="s">
        <v>56</v>
      </c>
      <c r="C18" t="s">
        <v>71</v>
      </c>
      <c r="D18" t="s">
        <v>72</v>
      </c>
      <c r="E18" t="s">
        <v>59</v>
      </c>
      <c r="F18">
        <v>9.8167523439999993</v>
      </c>
      <c r="G18">
        <v>17.23292022</v>
      </c>
      <c r="H18">
        <v>2.9758775769999999</v>
      </c>
      <c r="I18">
        <v>9.6779359720000002</v>
      </c>
      <c r="J18">
        <v>17.108347869999999</v>
      </c>
      <c r="K18">
        <v>6.355095446</v>
      </c>
      <c r="L18">
        <v>24.239195079999998</v>
      </c>
      <c r="M18">
        <v>19.618189359999999</v>
      </c>
      <c r="N18">
        <v>22.664630379999998</v>
      </c>
      <c r="O18">
        <v>20.926039930000002</v>
      </c>
      <c r="P18">
        <v>4.8356612730000004</v>
      </c>
      <c r="Q18">
        <v>29.960460099999999</v>
      </c>
      <c r="R18">
        <v>20.146836539999999</v>
      </c>
      <c r="S18">
        <v>45.919546269999998</v>
      </c>
      <c r="T18">
        <v>33.540917159999999</v>
      </c>
      <c r="U18">
        <v>9.8167523439999993</v>
      </c>
      <c r="V18">
        <v>17.23292022</v>
      </c>
      <c r="W18">
        <v>2.9758775769999999</v>
      </c>
      <c r="X18">
        <v>9.6779359720000002</v>
      </c>
      <c r="Y18">
        <v>17.108347869999999</v>
      </c>
      <c r="Z18">
        <v>6.355095446</v>
      </c>
      <c r="AA18">
        <v>24.239195079999998</v>
      </c>
      <c r="AB18">
        <v>19.618189359999999</v>
      </c>
      <c r="AC18">
        <v>22.664630379999998</v>
      </c>
      <c r="AD18">
        <v>20.926039930000002</v>
      </c>
      <c r="AE18">
        <v>4.8356612730000004</v>
      </c>
      <c r="AF18">
        <v>29.960460099999999</v>
      </c>
      <c r="AG18">
        <v>20.146836539999999</v>
      </c>
      <c r="AH18">
        <v>45.919546269999998</v>
      </c>
      <c r="AI18">
        <v>33.540917159999999</v>
      </c>
    </row>
    <row r="19" spans="1:35" x14ac:dyDescent="0.25">
      <c r="A19" t="s">
        <v>60</v>
      </c>
      <c r="B19" t="s">
        <v>49</v>
      </c>
      <c r="E19" t="s">
        <v>50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</row>
    <row r="20" spans="1:35" x14ac:dyDescent="0.25">
      <c r="A20" t="s">
        <v>73</v>
      </c>
      <c r="B20" t="s">
        <v>62</v>
      </c>
      <c r="C20" t="s">
        <v>74</v>
      </c>
      <c r="D20" t="s">
        <v>75</v>
      </c>
      <c r="E20" t="s">
        <v>59</v>
      </c>
      <c r="F20" t="s">
        <v>49</v>
      </c>
      <c r="G20" t="s">
        <v>49</v>
      </c>
      <c r="H20" t="s">
        <v>49</v>
      </c>
      <c r="I20" t="s">
        <v>49</v>
      </c>
      <c r="J20" t="s">
        <v>49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49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49</v>
      </c>
      <c r="Z20" t="s">
        <v>49</v>
      </c>
      <c r="AA20" t="s">
        <v>49</v>
      </c>
      <c r="AB20" t="s">
        <v>49</v>
      </c>
      <c r="AC20" t="s">
        <v>49</v>
      </c>
      <c r="AD20" t="s">
        <v>49</v>
      </c>
      <c r="AE20" t="s">
        <v>49</v>
      </c>
      <c r="AF20" t="s">
        <v>49</v>
      </c>
      <c r="AG20" t="s">
        <v>49</v>
      </c>
      <c r="AH20" t="s">
        <v>49</v>
      </c>
      <c r="AI20" t="s">
        <v>49</v>
      </c>
    </row>
    <row r="21" spans="1:35" x14ac:dyDescent="0.25">
      <c r="A21" t="s">
        <v>60</v>
      </c>
      <c r="B21" t="s">
        <v>49</v>
      </c>
      <c r="E21" t="s">
        <v>50</v>
      </c>
      <c r="F21" t="s">
        <v>49</v>
      </c>
      <c r="G21" t="s">
        <v>49</v>
      </c>
      <c r="H21" t="s">
        <v>49</v>
      </c>
      <c r="I21" t="s">
        <v>49</v>
      </c>
      <c r="J21" t="s">
        <v>49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49</v>
      </c>
      <c r="AE21" t="s">
        <v>49</v>
      </c>
      <c r="AF21" t="s">
        <v>49</v>
      </c>
      <c r="AG21" t="s">
        <v>49</v>
      </c>
      <c r="AH21" t="s">
        <v>49</v>
      </c>
      <c r="AI21" t="s">
        <v>49</v>
      </c>
    </row>
    <row r="22" spans="1:35" x14ac:dyDescent="0.25">
      <c r="A22" t="s">
        <v>53</v>
      </c>
      <c r="B22" t="s">
        <v>49</v>
      </c>
      <c r="E22" t="s">
        <v>50</v>
      </c>
      <c r="F22" t="s">
        <v>49</v>
      </c>
      <c r="G22" t="s">
        <v>49</v>
      </c>
      <c r="H22" t="s">
        <v>49</v>
      </c>
      <c r="I22" t="s">
        <v>49</v>
      </c>
      <c r="J22" t="s">
        <v>49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49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49</v>
      </c>
      <c r="Z22" t="s">
        <v>49</v>
      </c>
      <c r="AA22" t="s">
        <v>49</v>
      </c>
      <c r="AB22" t="s">
        <v>49</v>
      </c>
      <c r="AC22" t="s">
        <v>49</v>
      </c>
      <c r="AD22" t="s">
        <v>49</v>
      </c>
      <c r="AE22" t="s">
        <v>49</v>
      </c>
      <c r="AF22" t="s">
        <v>49</v>
      </c>
      <c r="AG22" t="s">
        <v>49</v>
      </c>
      <c r="AH22" t="s">
        <v>49</v>
      </c>
      <c r="AI22" t="s">
        <v>49</v>
      </c>
    </row>
    <row r="23" spans="1:35" x14ac:dyDescent="0.25">
      <c r="A23" t="s">
        <v>76</v>
      </c>
      <c r="B23" t="s">
        <v>49</v>
      </c>
      <c r="E23" t="s">
        <v>50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49</v>
      </c>
      <c r="Z23" t="s">
        <v>49</v>
      </c>
      <c r="AA23" t="s">
        <v>49</v>
      </c>
      <c r="AB23" t="s">
        <v>49</v>
      </c>
      <c r="AC23" t="s">
        <v>49</v>
      </c>
      <c r="AD23" t="s">
        <v>49</v>
      </c>
      <c r="AE23" t="s">
        <v>49</v>
      </c>
      <c r="AF23" t="s">
        <v>49</v>
      </c>
      <c r="AG23" t="s">
        <v>49</v>
      </c>
      <c r="AH23" t="s">
        <v>49</v>
      </c>
      <c r="AI23" t="s">
        <v>49</v>
      </c>
    </row>
    <row r="24" spans="1:35" x14ac:dyDescent="0.25">
      <c r="A24" t="s">
        <v>77</v>
      </c>
      <c r="B24" t="s">
        <v>56</v>
      </c>
      <c r="C24" t="s">
        <v>78</v>
      </c>
      <c r="D24" t="s">
        <v>79</v>
      </c>
      <c r="E24" t="s">
        <v>59</v>
      </c>
      <c r="F24">
        <v>5025.3754410000001</v>
      </c>
      <c r="G24">
        <v>3690.6778770000001</v>
      </c>
      <c r="H24" t="s">
        <v>49</v>
      </c>
      <c r="I24" t="s">
        <v>49</v>
      </c>
      <c r="J24" t="s">
        <v>49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49</v>
      </c>
      <c r="S24" t="s">
        <v>49</v>
      </c>
      <c r="T24" t="s">
        <v>49</v>
      </c>
      <c r="U24">
        <v>5025.3754410000001</v>
      </c>
      <c r="V24">
        <v>3690.6778770000001</v>
      </c>
      <c r="W24" t="s">
        <v>49</v>
      </c>
      <c r="X24" t="s">
        <v>49</v>
      </c>
      <c r="Y24" t="s">
        <v>49</v>
      </c>
      <c r="Z24" t="s">
        <v>49</v>
      </c>
      <c r="AA24" t="s">
        <v>49</v>
      </c>
      <c r="AB24" t="s">
        <v>49</v>
      </c>
      <c r="AC24" t="s">
        <v>49</v>
      </c>
      <c r="AD24" t="s">
        <v>49</v>
      </c>
      <c r="AE24" t="s">
        <v>49</v>
      </c>
      <c r="AF24" t="s">
        <v>49</v>
      </c>
      <c r="AG24" t="s">
        <v>49</v>
      </c>
      <c r="AH24" t="s">
        <v>49</v>
      </c>
      <c r="AI24" t="s">
        <v>49</v>
      </c>
    </row>
    <row r="25" spans="1:35" x14ac:dyDescent="0.25">
      <c r="A25" t="s">
        <v>80</v>
      </c>
      <c r="B25" t="s">
        <v>62</v>
      </c>
      <c r="E25" t="s">
        <v>81</v>
      </c>
      <c r="F25">
        <v>39.229659329999997</v>
      </c>
      <c r="G25">
        <v>31.20290293</v>
      </c>
      <c r="H25" t="s">
        <v>49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49</v>
      </c>
      <c r="S25" t="s">
        <v>49</v>
      </c>
      <c r="T25" t="s">
        <v>49</v>
      </c>
      <c r="U25">
        <v>39.229659329999997</v>
      </c>
      <c r="V25">
        <v>31.20290293</v>
      </c>
      <c r="W25" t="s">
        <v>49</v>
      </c>
      <c r="X25" t="s">
        <v>49</v>
      </c>
      <c r="Y25" t="s">
        <v>49</v>
      </c>
      <c r="Z25" t="s">
        <v>49</v>
      </c>
      <c r="AA25" t="s">
        <v>49</v>
      </c>
      <c r="AB25" t="s">
        <v>49</v>
      </c>
      <c r="AC25" t="s">
        <v>49</v>
      </c>
      <c r="AD25" t="s">
        <v>49</v>
      </c>
      <c r="AE25" t="s">
        <v>49</v>
      </c>
      <c r="AF25" t="s">
        <v>49</v>
      </c>
      <c r="AG25" t="s">
        <v>49</v>
      </c>
      <c r="AH25" t="s">
        <v>49</v>
      </c>
      <c r="AI25" t="s">
        <v>49</v>
      </c>
    </row>
    <row r="26" spans="1:35" x14ac:dyDescent="0.25">
      <c r="A26" t="s">
        <v>82</v>
      </c>
      <c r="B26" t="s">
        <v>62</v>
      </c>
      <c r="C26" t="s">
        <v>83</v>
      </c>
      <c r="D26" t="s">
        <v>84</v>
      </c>
      <c r="E26" t="s">
        <v>59</v>
      </c>
      <c r="F26">
        <v>37.799999999999997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49</v>
      </c>
      <c r="S26" t="s">
        <v>49</v>
      </c>
      <c r="T26" t="s">
        <v>49</v>
      </c>
      <c r="U26">
        <v>37.799999999999997</v>
      </c>
      <c r="V26" t="s">
        <v>49</v>
      </c>
      <c r="W26" t="s">
        <v>49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  <c r="AC26" t="s">
        <v>49</v>
      </c>
      <c r="AD26" t="s">
        <v>49</v>
      </c>
      <c r="AE26" t="s">
        <v>49</v>
      </c>
      <c r="AF26" t="s">
        <v>49</v>
      </c>
      <c r="AG26" t="s">
        <v>49</v>
      </c>
      <c r="AH26" t="s">
        <v>49</v>
      </c>
      <c r="AI26" t="s">
        <v>49</v>
      </c>
    </row>
    <row r="27" spans="1:35" x14ac:dyDescent="0.25">
      <c r="A27" t="s">
        <v>53</v>
      </c>
      <c r="B27" t="s">
        <v>49</v>
      </c>
      <c r="E27" t="s">
        <v>50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49</v>
      </c>
      <c r="Z27" t="s">
        <v>49</v>
      </c>
      <c r="AA27" t="s">
        <v>49</v>
      </c>
      <c r="AB27" t="s">
        <v>49</v>
      </c>
      <c r="AC27" t="s">
        <v>49</v>
      </c>
      <c r="AD27" t="s">
        <v>49</v>
      </c>
      <c r="AE27" t="s">
        <v>49</v>
      </c>
      <c r="AF27" t="s">
        <v>49</v>
      </c>
      <c r="AG27" t="s">
        <v>49</v>
      </c>
      <c r="AH27" t="s">
        <v>49</v>
      </c>
      <c r="AI27" t="s">
        <v>49</v>
      </c>
    </row>
    <row r="28" spans="1:35" x14ac:dyDescent="0.25">
      <c r="A28" t="s">
        <v>85</v>
      </c>
      <c r="B28" t="s">
        <v>49</v>
      </c>
      <c r="E28" t="s">
        <v>50</v>
      </c>
      <c r="F28" t="s">
        <v>49</v>
      </c>
      <c r="G28" t="s">
        <v>49</v>
      </c>
      <c r="H28" t="s">
        <v>49</v>
      </c>
      <c r="I28" t="s">
        <v>49</v>
      </c>
      <c r="J28" t="s">
        <v>49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49</v>
      </c>
      <c r="Z28" t="s">
        <v>49</v>
      </c>
      <c r="AA28" t="s">
        <v>49</v>
      </c>
      <c r="AB28" t="s">
        <v>49</v>
      </c>
      <c r="AC28" t="s">
        <v>49</v>
      </c>
      <c r="AD28" t="s">
        <v>49</v>
      </c>
      <c r="AE28" t="s">
        <v>49</v>
      </c>
      <c r="AF28" t="s">
        <v>49</v>
      </c>
      <c r="AG28" t="s">
        <v>49</v>
      </c>
      <c r="AH28" t="s">
        <v>49</v>
      </c>
      <c r="AI28" t="s">
        <v>49</v>
      </c>
    </row>
    <row r="29" spans="1:35" x14ac:dyDescent="0.25">
      <c r="A29" t="s">
        <v>86</v>
      </c>
      <c r="B29" t="s">
        <v>62</v>
      </c>
      <c r="C29" t="s">
        <v>87</v>
      </c>
      <c r="D29" t="s">
        <v>88</v>
      </c>
      <c r="E29" t="s">
        <v>59</v>
      </c>
      <c r="F29">
        <v>242371</v>
      </c>
      <c r="G29">
        <v>228123</v>
      </c>
      <c r="H29">
        <v>204107</v>
      </c>
      <c r="I29">
        <v>200364</v>
      </c>
      <c r="J29">
        <v>194044</v>
      </c>
      <c r="K29">
        <v>176187</v>
      </c>
      <c r="L29">
        <v>160405</v>
      </c>
      <c r="M29">
        <v>156688</v>
      </c>
      <c r="N29">
        <v>149994</v>
      </c>
      <c r="O29">
        <v>130820</v>
      </c>
      <c r="P29">
        <v>113800</v>
      </c>
      <c r="Q29">
        <v>85851</v>
      </c>
      <c r="R29">
        <v>73490</v>
      </c>
      <c r="S29">
        <v>59831</v>
      </c>
      <c r="T29">
        <v>52715</v>
      </c>
      <c r="U29">
        <v>242371</v>
      </c>
      <c r="V29">
        <v>228123</v>
      </c>
      <c r="W29">
        <v>204107</v>
      </c>
      <c r="X29">
        <v>200364</v>
      </c>
      <c r="Y29">
        <v>194044</v>
      </c>
      <c r="Z29">
        <v>176187</v>
      </c>
      <c r="AA29">
        <v>160405</v>
      </c>
      <c r="AB29">
        <v>156688</v>
      </c>
      <c r="AC29">
        <v>149994</v>
      </c>
      <c r="AD29">
        <v>130820</v>
      </c>
      <c r="AE29">
        <v>113800</v>
      </c>
      <c r="AF29">
        <v>85851</v>
      </c>
      <c r="AG29">
        <v>73490</v>
      </c>
      <c r="AH29">
        <v>59831</v>
      </c>
      <c r="AI29">
        <v>52715</v>
      </c>
    </row>
    <row r="30" spans="1:35" x14ac:dyDescent="0.25">
      <c r="A30" t="s">
        <v>89</v>
      </c>
      <c r="B30" t="s">
        <v>62</v>
      </c>
      <c r="C30" t="s">
        <v>90</v>
      </c>
      <c r="D30" t="s">
        <v>91</v>
      </c>
      <c r="E30" t="s">
        <v>59</v>
      </c>
      <c r="F30" t="s">
        <v>49</v>
      </c>
      <c r="G30" t="s">
        <v>49</v>
      </c>
      <c r="H30">
        <v>3743</v>
      </c>
      <c r="I30">
        <v>6320</v>
      </c>
      <c r="J30">
        <v>17857</v>
      </c>
      <c r="K30">
        <v>15782</v>
      </c>
      <c r="L30">
        <v>3717</v>
      </c>
      <c r="M30">
        <v>6694</v>
      </c>
      <c r="N30">
        <v>17024</v>
      </c>
      <c r="O30">
        <v>17024</v>
      </c>
      <c r="P30">
        <v>8946</v>
      </c>
      <c r="Q30">
        <v>13663</v>
      </c>
      <c r="R30">
        <v>18946</v>
      </c>
      <c r="S30">
        <v>2809</v>
      </c>
      <c r="T30">
        <v>3293</v>
      </c>
      <c r="U30" t="s">
        <v>49</v>
      </c>
      <c r="V30" t="s">
        <v>49</v>
      </c>
      <c r="W30">
        <v>3743</v>
      </c>
      <c r="X30">
        <v>6320</v>
      </c>
      <c r="Y30">
        <v>17857</v>
      </c>
      <c r="Z30">
        <v>15782</v>
      </c>
      <c r="AA30">
        <v>3717</v>
      </c>
      <c r="AB30">
        <v>6694</v>
      </c>
      <c r="AC30">
        <v>17024</v>
      </c>
      <c r="AD30">
        <v>17024</v>
      </c>
      <c r="AE30">
        <v>8946</v>
      </c>
      <c r="AF30">
        <v>13663</v>
      </c>
      <c r="AG30">
        <v>18946</v>
      </c>
      <c r="AH30">
        <v>2809</v>
      </c>
      <c r="AI30">
        <v>3293</v>
      </c>
    </row>
    <row r="31" spans="1:35" x14ac:dyDescent="0.25">
      <c r="A31" t="s">
        <v>92</v>
      </c>
      <c r="B31" t="s">
        <v>62</v>
      </c>
      <c r="C31" t="s">
        <v>93</v>
      </c>
      <c r="D31" t="s">
        <v>94</v>
      </c>
      <c r="E31" t="s">
        <v>59</v>
      </c>
      <c r="F31" t="s">
        <v>49</v>
      </c>
      <c r="G31" t="s">
        <v>49</v>
      </c>
      <c r="H31">
        <v>20</v>
      </c>
      <c r="I31">
        <v>19.2</v>
      </c>
      <c r="J31">
        <v>18.7</v>
      </c>
      <c r="K31">
        <v>18.899999999999999</v>
      </c>
      <c r="L31">
        <v>18.7</v>
      </c>
      <c r="M31">
        <v>16.3</v>
      </c>
      <c r="N31">
        <v>17</v>
      </c>
      <c r="O31">
        <v>17</v>
      </c>
      <c r="P31">
        <v>13.4</v>
      </c>
      <c r="Q31">
        <v>11.1</v>
      </c>
      <c r="R31">
        <v>13.4</v>
      </c>
      <c r="S31">
        <v>13.7</v>
      </c>
      <c r="T31">
        <v>11.2</v>
      </c>
      <c r="U31" t="s">
        <v>49</v>
      </c>
      <c r="V31" t="s">
        <v>49</v>
      </c>
      <c r="W31">
        <v>20</v>
      </c>
      <c r="X31">
        <v>19.2</v>
      </c>
      <c r="Y31">
        <v>18.7</v>
      </c>
      <c r="Z31">
        <v>18.899999999999999</v>
      </c>
      <c r="AA31">
        <v>18.7</v>
      </c>
      <c r="AB31">
        <v>16.3</v>
      </c>
      <c r="AC31">
        <v>17</v>
      </c>
      <c r="AD31">
        <v>17</v>
      </c>
      <c r="AE31">
        <v>13.4</v>
      </c>
      <c r="AF31">
        <v>11.1</v>
      </c>
      <c r="AG31">
        <v>13.4</v>
      </c>
      <c r="AH31">
        <v>13.7</v>
      </c>
      <c r="AI31">
        <v>11.2</v>
      </c>
    </row>
    <row r="32" spans="1:35" x14ac:dyDescent="0.25">
      <c r="A32" t="s">
        <v>95</v>
      </c>
      <c r="B32" t="s">
        <v>62</v>
      </c>
      <c r="C32" t="s">
        <v>96</v>
      </c>
      <c r="D32" t="s">
        <v>97</v>
      </c>
      <c r="E32" t="s">
        <v>59</v>
      </c>
      <c r="F32">
        <v>84</v>
      </c>
      <c r="G32">
        <v>84.3</v>
      </c>
      <c r="H32">
        <v>84.6</v>
      </c>
      <c r="I32">
        <v>81.7</v>
      </c>
      <c r="J32">
        <v>80.599999999999994</v>
      </c>
      <c r="K32">
        <v>80.900000000000006</v>
      </c>
      <c r="L32">
        <v>77.400000000000006</v>
      </c>
      <c r="M32">
        <v>73</v>
      </c>
      <c r="N32">
        <v>78.900000000000006</v>
      </c>
      <c r="O32">
        <v>78.900000000000006</v>
      </c>
      <c r="P32">
        <v>74.400000000000006</v>
      </c>
      <c r="Q32">
        <v>73.7</v>
      </c>
      <c r="R32">
        <v>75.900000000000006</v>
      </c>
      <c r="S32">
        <v>75.5</v>
      </c>
      <c r="T32">
        <v>77</v>
      </c>
      <c r="U32">
        <v>84</v>
      </c>
      <c r="V32">
        <v>84.3</v>
      </c>
      <c r="W32">
        <v>84.6</v>
      </c>
      <c r="X32">
        <v>81.7</v>
      </c>
      <c r="Y32">
        <v>80.599999999999994</v>
      </c>
      <c r="Z32">
        <v>80.900000000000006</v>
      </c>
      <c r="AA32">
        <v>77.400000000000006</v>
      </c>
      <c r="AB32">
        <v>73</v>
      </c>
      <c r="AC32">
        <v>78.900000000000006</v>
      </c>
      <c r="AD32">
        <v>78.900000000000006</v>
      </c>
      <c r="AE32">
        <v>74.400000000000006</v>
      </c>
      <c r="AF32">
        <v>73.7</v>
      </c>
      <c r="AG32">
        <v>75.900000000000006</v>
      </c>
      <c r="AH32">
        <v>75.5</v>
      </c>
      <c r="AI32">
        <v>77</v>
      </c>
    </row>
    <row r="33" spans="1:35" x14ac:dyDescent="0.25">
      <c r="A33" t="s">
        <v>53</v>
      </c>
      <c r="B33" t="s">
        <v>49</v>
      </c>
      <c r="E33" t="s">
        <v>50</v>
      </c>
      <c r="F33" t="s">
        <v>49</v>
      </c>
      <c r="G33" t="s">
        <v>49</v>
      </c>
      <c r="H33" t="s">
        <v>49</v>
      </c>
      <c r="I33" t="s">
        <v>49</v>
      </c>
      <c r="J33" t="s">
        <v>49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49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  <c r="AC33" t="s">
        <v>49</v>
      </c>
      <c r="AD33" t="s">
        <v>49</v>
      </c>
      <c r="AE33" t="s">
        <v>49</v>
      </c>
      <c r="AF33" t="s">
        <v>49</v>
      </c>
      <c r="AG33" t="s">
        <v>49</v>
      </c>
      <c r="AH33" t="s">
        <v>49</v>
      </c>
      <c r="AI33" t="s">
        <v>49</v>
      </c>
    </row>
    <row r="34" spans="1:35" x14ac:dyDescent="0.25">
      <c r="A34" t="s">
        <v>98</v>
      </c>
      <c r="B34" t="s">
        <v>49</v>
      </c>
      <c r="E34" t="s">
        <v>50</v>
      </c>
      <c r="F34" t="s">
        <v>49</v>
      </c>
      <c r="G34" t="s">
        <v>49</v>
      </c>
      <c r="H34" t="s">
        <v>49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49</v>
      </c>
      <c r="Z34" t="s">
        <v>49</v>
      </c>
      <c r="AA34" t="s">
        <v>49</v>
      </c>
      <c r="AB34" t="s">
        <v>49</v>
      </c>
      <c r="AC34" t="s">
        <v>49</v>
      </c>
      <c r="AD34" t="s">
        <v>49</v>
      </c>
      <c r="AE34" t="s">
        <v>49</v>
      </c>
      <c r="AF34" t="s">
        <v>49</v>
      </c>
      <c r="AG34" t="s">
        <v>49</v>
      </c>
      <c r="AH34" t="s">
        <v>49</v>
      </c>
      <c r="AI34" t="s">
        <v>49</v>
      </c>
    </row>
    <row r="35" spans="1:35" x14ac:dyDescent="0.25">
      <c r="A35" t="s">
        <v>99</v>
      </c>
      <c r="B35" t="s">
        <v>62</v>
      </c>
      <c r="C35" t="s">
        <v>100</v>
      </c>
      <c r="D35" t="s">
        <v>101</v>
      </c>
      <c r="E35" t="s">
        <v>59</v>
      </c>
      <c r="F35">
        <v>1411</v>
      </c>
      <c r="G35">
        <v>1279</v>
      </c>
      <c r="H35">
        <v>1204</v>
      </c>
      <c r="I35">
        <v>1162</v>
      </c>
      <c r="J35">
        <v>1092</v>
      </c>
      <c r="K35">
        <v>950</v>
      </c>
      <c r="L35">
        <v>890</v>
      </c>
      <c r="M35">
        <v>798</v>
      </c>
      <c r="N35">
        <v>620</v>
      </c>
      <c r="O35">
        <v>620</v>
      </c>
      <c r="P35">
        <v>575</v>
      </c>
      <c r="Q35">
        <v>579</v>
      </c>
      <c r="R35">
        <v>538</v>
      </c>
      <c r="S35">
        <v>500</v>
      </c>
      <c r="T35">
        <v>460</v>
      </c>
      <c r="U35">
        <v>1411</v>
      </c>
      <c r="V35">
        <v>1279</v>
      </c>
      <c r="W35">
        <v>1204</v>
      </c>
      <c r="X35">
        <v>1162</v>
      </c>
      <c r="Y35">
        <v>1092</v>
      </c>
      <c r="Z35">
        <v>950</v>
      </c>
      <c r="AA35">
        <v>890</v>
      </c>
      <c r="AB35">
        <v>798</v>
      </c>
      <c r="AC35">
        <v>620</v>
      </c>
      <c r="AD35">
        <v>620</v>
      </c>
      <c r="AE35">
        <v>575</v>
      </c>
      <c r="AF35">
        <v>579</v>
      </c>
      <c r="AG35">
        <v>538</v>
      </c>
      <c r="AH35">
        <v>500</v>
      </c>
      <c r="AI35">
        <v>460</v>
      </c>
    </row>
    <row r="36" spans="1:35" x14ac:dyDescent="0.25">
      <c r="A36" t="s">
        <v>102</v>
      </c>
      <c r="B36" t="s">
        <v>62</v>
      </c>
      <c r="C36" t="s">
        <v>103</v>
      </c>
      <c r="D36" t="s">
        <v>104</v>
      </c>
      <c r="E36" t="s">
        <v>59</v>
      </c>
      <c r="F36" t="s">
        <v>49</v>
      </c>
      <c r="G36" t="s">
        <v>49</v>
      </c>
      <c r="H36">
        <v>283</v>
      </c>
      <c r="I36">
        <v>321</v>
      </c>
      <c r="J36">
        <v>325</v>
      </c>
      <c r="K36">
        <v>221</v>
      </c>
      <c r="L36">
        <v>238</v>
      </c>
      <c r="M36">
        <v>235</v>
      </c>
      <c r="N36">
        <v>139</v>
      </c>
      <c r="O36">
        <v>139</v>
      </c>
      <c r="P36">
        <v>141</v>
      </c>
      <c r="Q36">
        <v>156</v>
      </c>
      <c r="R36">
        <v>170</v>
      </c>
      <c r="S36">
        <v>160</v>
      </c>
      <c r="T36">
        <v>144</v>
      </c>
      <c r="U36" t="s">
        <v>49</v>
      </c>
      <c r="V36" t="s">
        <v>49</v>
      </c>
      <c r="W36">
        <v>283</v>
      </c>
      <c r="X36">
        <v>321</v>
      </c>
      <c r="Y36">
        <v>325</v>
      </c>
      <c r="Z36">
        <v>221</v>
      </c>
      <c r="AA36">
        <v>238</v>
      </c>
      <c r="AB36">
        <v>235</v>
      </c>
      <c r="AC36">
        <v>139</v>
      </c>
      <c r="AD36">
        <v>139</v>
      </c>
      <c r="AE36">
        <v>141</v>
      </c>
      <c r="AF36">
        <v>156</v>
      </c>
      <c r="AG36">
        <v>170</v>
      </c>
      <c r="AH36">
        <v>160</v>
      </c>
      <c r="AI36">
        <v>144</v>
      </c>
    </row>
    <row r="37" spans="1:35" x14ac:dyDescent="0.25">
      <c r="A37" t="s">
        <v>105</v>
      </c>
      <c r="B37" t="s">
        <v>49</v>
      </c>
      <c r="E37" t="s">
        <v>50</v>
      </c>
      <c r="F37" t="s">
        <v>49</v>
      </c>
      <c r="G37" t="s">
        <v>49</v>
      </c>
      <c r="H37" t="s">
        <v>49</v>
      </c>
      <c r="I37" t="s">
        <v>49</v>
      </c>
      <c r="J37" t="s">
        <v>49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49</v>
      </c>
      <c r="Z37" t="s">
        <v>49</v>
      </c>
      <c r="AA37" t="s">
        <v>49</v>
      </c>
      <c r="AB37" t="s">
        <v>49</v>
      </c>
      <c r="AC37" t="s">
        <v>49</v>
      </c>
      <c r="AD37" t="s">
        <v>49</v>
      </c>
      <c r="AE37" t="s">
        <v>49</v>
      </c>
      <c r="AF37" t="s">
        <v>49</v>
      </c>
      <c r="AG37" t="s">
        <v>49</v>
      </c>
      <c r="AH37" t="s">
        <v>49</v>
      </c>
      <c r="AI37" t="s">
        <v>49</v>
      </c>
    </row>
    <row r="38" spans="1:35" x14ac:dyDescent="0.25">
      <c r="A38" t="s">
        <v>106</v>
      </c>
      <c r="B38" t="s">
        <v>56</v>
      </c>
      <c r="C38" t="s">
        <v>107</v>
      </c>
      <c r="D38" t="s">
        <v>108</v>
      </c>
      <c r="E38" t="s">
        <v>59</v>
      </c>
      <c r="F38">
        <v>718</v>
      </c>
      <c r="G38">
        <v>662</v>
      </c>
      <c r="H38">
        <v>634</v>
      </c>
      <c r="I38">
        <v>598</v>
      </c>
      <c r="J38">
        <v>558</v>
      </c>
      <c r="K38">
        <v>529</v>
      </c>
      <c r="L38">
        <v>501</v>
      </c>
      <c r="M38">
        <v>448</v>
      </c>
      <c r="N38">
        <v>366</v>
      </c>
      <c r="O38">
        <v>366</v>
      </c>
      <c r="P38">
        <v>338</v>
      </c>
      <c r="Q38">
        <v>327</v>
      </c>
      <c r="R38">
        <v>310</v>
      </c>
      <c r="S38">
        <v>275</v>
      </c>
      <c r="T38">
        <v>221</v>
      </c>
      <c r="U38">
        <v>718</v>
      </c>
      <c r="V38">
        <v>662</v>
      </c>
      <c r="W38">
        <v>634</v>
      </c>
      <c r="X38">
        <v>598</v>
      </c>
      <c r="Y38">
        <v>558</v>
      </c>
      <c r="Z38">
        <v>529</v>
      </c>
      <c r="AA38">
        <v>501</v>
      </c>
      <c r="AB38">
        <v>448</v>
      </c>
      <c r="AC38">
        <v>366</v>
      </c>
      <c r="AD38">
        <v>366</v>
      </c>
      <c r="AE38">
        <v>338</v>
      </c>
      <c r="AF38">
        <v>327</v>
      </c>
      <c r="AG38">
        <v>310</v>
      </c>
      <c r="AH38">
        <v>275</v>
      </c>
      <c r="AI38">
        <v>221</v>
      </c>
    </row>
    <row r="39" spans="1:35" x14ac:dyDescent="0.25">
      <c r="A39" t="s">
        <v>109</v>
      </c>
      <c r="B39" t="s">
        <v>56</v>
      </c>
      <c r="C39" t="s">
        <v>110</v>
      </c>
      <c r="D39" t="s">
        <v>111</v>
      </c>
      <c r="E39" t="s">
        <v>59</v>
      </c>
      <c r="F39" t="s">
        <v>49</v>
      </c>
      <c r="G39" t="s">
        <v>49</v>
      </c>
      <c r="H39">
        <v>295</v>
      </c>
      <c r="I39">
        <v>282</v>
      </c>
      <c r="J39">
        <v>268</v>
      </c>
      <c r="K39">
        <v>244</v>
      </c>
      <c r="L39">
        <v>232</v>
      </c>
      <c r="M39">
        <v>213</v>
      </c>
      <c r="N39">
        <v>187</v>
      </c>
      <c r="O39">
        <v>187</v>
      </c>
      <c r="P39">
        <v>159</v>
      </c>
      <c r="Q39">
        <v>151</v>
      </c>
      <c r="R39">
        <v>141</v>
      </c>
      <c r="S39">
        <v>107</v>
      </c>
      <c r="T39">
        <v>81</v>
      </c>
      <c r="U39" t="s">
        <v>49</v>
      </c>
      <c r="V39" t="s">
        <v>49</v>
      </c>
      <c r="W39">
        <v>295</v>
      </c>
      <c r="X39">
        <v>282</v>
      </c>
      <c r="Y39">
        <v>268</v>
      </c>
      <c r="Z39">
        <v>244</v>
      </c>
      <c r="AA39">
        <v>232</v>
      </c>
      <c r="AB39">
        <v>213</v>
      </c>
      <c r="AC39">
        <v>187</v>
      </c>
      <c r="AD39">
        <v>187</v>
      </c>
      <c r="AE39">
        <v>159</v>
      </c>
      <c r="AF39">
        <v>151</v>
      </c>
      <c r="AG39">
        <v>141</v>
      </c>
      <c r="AH39">
        <v>107</v>
      </c>
      <c r="AI39">
        <v>81</v>
      </c>
    </row>
    <row r="40" spans="1:35" x14ac:dyDescent="0.25">
      <c r="A40" t="s">
        <v>112</v>
      </c>
      <c r="B40" t="s">
        <v>56</v>
      </c>
      <c r="C40" t="s">
        <v>113</v>
      </c>
      <c r="D40" t="s">
        <v>114</v>
      </c>
      <c r="E40" t="s">
        <v>59</v>
      </c>
      <c r="F40">
        <v>234</v>
      </c>
      <c r="G40">
        <v>222</v>
      </c>
      <c r="H40">
        <v>198</v>
      </c>
      <c r="I40">
        <v>189</v>
      </c>
      <c r="J40">
        <v>177</v>
      </c>
      <c r="K40">
        <v>159</v>
      </c>
      <c r="L40">
        <v>148</v>
      </c>
      <c r="M40">
        <v>137</v>
      </c>
      <c r="N40">
        <v>126</v>
      </c>
      <c r="O40">
        <v>126</v>
      </c>
      <c r="P40">
        <v>97</v>
      </c>
      <c r="Q40">
        <v>101</v>
      </c>
      <c r="R40">
        <v>89</v>
      </c>
      <c r="S40">
        <v>71</v>
      </c>
      <c r="T40">
        <v>54</v>
      </c>
      <c r="U40">
        <v>234</v>
      </c>
      <c r="V40">
        <v>222</v>
      </c>
      <c r="W40">
        <v>198</v>
      </c>
      <c r="X40">
        <v>189</v>
      </c>
      <c r="Y40">
        <v>177</v>
      </c>
      <c r="Z40">
        <v>159</v>
      </c>
      <c r="AA40">
        <v>148</v>
      </c>
      <c r="AB40">
        <v>137</v>
      </c>
      <c r="AC40">
        <v>126</v>
      </c>
      <c r="AD40">
        <v>126</v>
      </c>
      <c r="AE40">
        <v>97</v>
      </c>
      <c r="AF40">
        <v>101</v>
      </c>
      <c r="AG40">
        <v>89</v>
      </c>
      <c r="AH40">
        <v>71</v>
      </c>
      <c r="AI40">
        <v>54</v>
      </c>
    </row>
    <row r="41" spans="1:35" x14ac:dyDescent="0.25">
      <c r="A41" t="s">
        <v>115</v>
      </c>
      <c r="B41" t="s">
        <v>56</v>
      </c>
      <c r="C41" t="s">
        <v>116</v>
      </c>
      <c r="D41" t="s">
        <v>117</v>
      </c>
      <c r="E41" t="s">
        <v>59</v>
      </c>
      <c r="F41" t="s">
        <v>49</v>
      </c>
      <c r="G41" t="s">
        <v>49</v>
      </c>
      <c r="H41">
        <v>105</v>
      </c>
      <c r="I41">
        <v>91</v>
      </c>
      <c r="J41">
        <v>88</v>
      </c>
      <c r="K41">
        <v>83</v>
      </c>
      <c r="L41">
        <v>91</v>
      </c>
      <c r="M41">
        <v>80</v>
      </c>
      <c r="N41">
        <v>73</v>
      </c>
      <c r="O41">
        <v>73</v>
      </c>
      <c r="P41">
        <v>59</v>
      </c>
      <c r="Q41">
        <v>59</v>
      </c>
      <c r="R41">
        <v>47</v>
      </c>
      <c r="S41">
        <v>36</v>
      </c>
      <c r="T41">
        <v>26</v>
      </c>
      <c r="U41" t="s">
        <v>49</v>
      </c>
      <c r="V41" t="s">
        <v>49</v>
      </c>
      <c r="W41">
        <v>105</v>
      </c>
      <c r="X41">
        <v>91</v>
      </c>
      <c r="Y41">
        <v>88</v>
      </c>
      <c r="Z41">
        <v>83</v>
      </c>
      <c r="AA41">
        <v>91</v>
      </c>
      <c r="AB41">
        <v>80</v>
      </c>
      <c r="AC41">
        <v>73</v>
      </c>
      <c r="AD41">
        <v>73</v>
      </c>
      <c r="AE41">
        <v>59</v>
      </c>
      <c r="AF41">
        <v>59</v>
      </c>
      <c r="AG41">
        <v>47</v>
      </c>
      <c r="AH41">
        <v>36</v>
      </c>
      <c r="AI41">
        <v>26</v>
      </c>
    </row>
    <row r="42" spans="1:35" x14ac:dyDescent="0.25">
      <c r="A42" t="s">
        <v>118</v>
      </c>
      <c r="B42" t="s">
        <v>56</v>
      </c>
      <c r="C42" t="s">
        <v>119</v>
      </c>
      <c r="D42" t="s">
        <v>120</v>
      </c>
      <c r="E42" t="s">
        <v>59</v>
      </c>
      <c r="F42">
        <v>61</v>
      </c>
      <c r="G42">
        <v>60</v>
      </c>
      <c r="H42">
        <v>92</v>
      </c>
      <c r="I42">
        <v>87</v>
      </c>
      <c r="J42">
        <v>83</v>
      </c>
      <c r="K42">
        <v>76</v>
      </c>
      <c r="L42">
        <v>147</v>
      </c>
      <c r="M42">
        <v>137</v>
      </c>
      <c r="N42">
        <v>97</v>
      </c>
      <c r="O42">
        <v>97</v>
      </c>
      <c r="P42">
        <v>72</v>
      </c>
      <c r="Q42">
        <v>65</v>
      </c>
      <c r="R42">
        <v>41</v>
      </c>
      <c r="S42">
        <v>28</v>
      </c>
      <c r="T42">
        <v>14</v>
      </c>
      <c r="U42">
        <v>61</v>
      </c>
      <c r="V42">
        <v>60</v>
      </c>
      <c r="W42">
        <v>92</v>
      </c>
      <c r="X42">
        <v>87</v>
      </c>
      <c r="Y42">
        <v>83</v>
      </c>
      <c r="Z42">
        <v>76</v>
      </c>
      <c r="AA42">
        <v>147</v>
      </c>
      <c r="AB42">
        <v>137</v>
      </c>
      <c r="AC42">
        <v>97</v>
      </c>
      <c r="AD42">
        <v>97</v>
      </c>
      <c r="AE42">
        <v>72</v>
      </c>
      <c r="AF42">
        <v>65</v>
      </c>
      <c r="AG42">
        <v>41</v>
      </c>
      <c r="AH42">
        <v>28</v>
      </c>
      <c r="AI42">
        <v>14</v>
      </c>
    </row>
    <row r="43" spans="1:35" x14ac:dyDescent="0.25">
      <c r="A43" t="s">
        <v>121</v>
      </c>
      <c r="B43" t="s">
        <v>56</v>
      </c>
      <c r="C43" t="s">
        <v>122</v>
      </c>
      <c r="D43" t="s">
        <v>123</v>
      </c>
      <c r="E43" t="s">
        <v>59</v>
      </c>
      <c r="F43">
        <v>28</v>
      </c>
      <c r="G43">
        <v>25</v>
      </c>
      <c r="H43">
        <v>20</v>
      </c>
      <c r="I43">
        <v>26</v>
      </c>
      <c r="J43">
        <v>21</v>
      </c>
      <c r="K43">
        <v>19</v>
      </c>
      <c r="L43">
        <v>17</v>
      </c>
      <c r="M43">
        <v>15</v>
      </c>
      <c r="N43">
        <v>13</v>
      </c>
      <c r="O43">
        <v>13</v>
      </c>
      <c r="P43">
        <v>7</v>
      </c>
      <c r="Q43">
        <v>6</v>
      </c>
      <c r="R43">
        <v>8</v>
      </c>
      <c r="S43">
        <v>4</v>
      </c>
      <c r="T43">
        <v>0</v>
      </c>
      <c r="U43">
        <v>28</v>
      </c>
      <c r="V43">
        <v>25</v>
      </c>
      <c r="W43">
        <v>20</v>
      </c>
      <c r="X43">
        <v>26</v>
      </c>
      <c r="Y43">
        <v>21</v>
      </c>
      <c r="Z43">
        <v>19</v>
      </c>
      <c r="AA43">
        <v>17</v>
      </c>
      <c r="AB43">
        <v>15</v>
      </c>
      <c r="AC43">
        <v>13</v>
      </c>
      <c r="AD43">
        <v>13</v>
      </c>
      <c r="AE43">
        <v>7</v>
      </c>
      <c r="AF43">
        <v>6</v>
      </c>
      <c r="AG43">
        <v>8</v>
      </c>
      <c r="AH43">
        <v>4</v>
      </c>
      <c r="AI43">
        <v>0</v>
      </c>
    </row>
    <row r="44" spans="1:35" x14ac:dyDescent="0.25">
      <c r="A44" t="s">
        <v>124</v>
      </c>
      <c r="B44" t="s">
        <v>49</v>
      </c>
      <c r="E44" t="s">
        <v>50</v>
      </c>
      <c r="F44" t="s">
        <v>49</v>
      </c>
      <c r="G44" t="s">
        <v>49</v>
      </c>
      <c r="H44" t="s">
        <v>49</v>
      </c>
      <c r="I44" t="s">
        <v>49</v>
      </c>
      <c r="J44" t="s">
        <v>49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49</v>
      </c>
      <c r="Z44" t="s">
        <v>49</v>
      </c>
      <c r="AA44" t="s">
        <v>49</v>
      </c>
      <c r="AB44" t="s">
        <v>49</v>
      </c>
      <c r="AC44" t="s">
        <v>49</v>
      </c>
      <c r="AD44" t="s">
        <v>49</v>
      </c>
      <c r="AE44" t="s">
        <v>49</v>
      </c>
      <c r="AF44" t="s">
        <v>49</v>
      </c>
      <c r="AG44" t="s">
        <v>49</v>
      </c>
      <c r="AH44" t="s">
        <v>49</v>
      </c>
      <c r="AI44" t="s">
        <v>49</v>
      </c>
    </row>
    <row r="45" spans="1:35" x14ac:dyDescent="0.25">
      <c r="A45" t="s">
        <v>125</v>
      </c>
      <c r="B45" t="s">
        <v>56</v>
      </c>
      <c r="C45" t="s">
        <v>126</v>
      </c>
      <c r="D45" t="s">
        <v>127</v>
      </c>
      <c r="E45" t="s">
        <v>59</v>
      </c>
      <c r="F45">
        <v>3.1</v>
      </c>
      <c r="G45" t="s">
        <v>49</v>
      </c>
      <c r="H45">
        <v>3.4</v>
      </c>
      <c r="I45">
        <v>3.4</v>
      </c>
      <c r="J45">
        <v>3.6</v>
      </c>
      <c r="K45">
        <v>3.3</v>
      </c>
      <c r="L45">
        <v>3.8</v>
      </c>
      <c r="M45">
        <v>3.8</v>
      </c>
      <c r="N45">
        <v>4.7</v>
      </c>
      <c r="O45">
        <v>4.7</v>
      </c>
      <c r="P45">
        <v>4.5999999999999996</v>
      </c>
      <c r="Q45">
        <v>6.9</v>
      </c>
      <c r="R45">
        <v>9.1</v>
      </c>
      <c r="S45">
        <v>8.5</v>
      </c>
      <c r="T45">
        <v>4.7</v>
      </c>
      <c r="U45">
        <v>3.1</v>
      </c>
      <c r="V45" t="s">
        <v>49</v>
      </c>
      <c r="W45">
        <v>3.4</v>
      </c>
      <c r="X45">
        <v>3.4</v>
      </c>
      <c r="Y45">
        <v>3.6</v>
      </c>
      <c r="Z45">
        <v>3.3</v>
      </c>
      <c r="AA45">
        <v>3.8</v>
      </c>
      <c r="AB45">
        <v>3.8</v>
      </c>
      <c r="AC45">
        <v>4.7</v>
      </c>
      <c r="AD45">
        <v>4.7</v>
      </c>
      <c r="AE45">
        <v>4.5999999999999996</v>
      </c>
      <c r="AF45">
        <v>6.9</v>
      </c>
      <c r="AG45">
        <v>9.1</v>
      </c>
      <c r="AH45">
        <v>8.5</v>
      </c>
      <c r="AI45">
        <v>4.7</v>
      </c>
    </row>
    <row r="46" spans="1:35" x14ac:dyDescent="0.25">
      <c r="A46" t="s">
        <v>128</v>
      </c>
      <c r="B46" t="s">
        <v>56</v>
      </c>
      <c r="C46" t="s">
        <v>129</v>
      </c>
      <c r="D46" t="s">
        <v>130</v>
      </c>
      <c r="E46" t="s">
        <v>59</v>
      </c>
      <c r="F46" t="s">
        <v>49</v>
      </c>
      <c r="G46" t="s">
        <v>49</v>
      </c>
      <c r="H46">
        <v>19.3</v>
      </c>
      <c r="I46">
        <v>21</v>
      </c>
      <c r="J46">
        <v>22.5</v>
      </c>
      <c r="K46">
        <v>22.7</v>
      </c>
      <c r="L46">
        <v>23.8</v>
      </c>
      <c r="M46">
        <v>24.6</v>
      </c>
      <c r="N46">
        <v>25.7</v>
      </c>
      <c r="O46">
        <v>25.7</v>
      </c>
      <c r="P46">
        <v>26.2</v>
      </c>
      <c r="Q46">
        <v>27.7</v>
      </c>
      <c r="R46">
        <v>31.4</v>
      </c>
      <c r="S46">
        <v>33.4</v>
      </c>
      <c r="T46">
        <v>31</v>
      </c>
      <c r="U46" t="s">
        <v>49</v>
      </c>
      <c r="V46" t="s">
        <v>49</v>
      </c>
      <c r="W46">
        <v>19.3</v>
      </c>
      <c r="X46">
        <v>21</v>
      </c>
      <c r="Y46">
        <v>22.5</v>
      </c>
      <c r="Z46">
        <v>22.7</v>
      </c>
      <c r="AA46">
        <v>23.8</v>
      </c>
      <c r="AB46">
        <v>24.6</v>
      </c>
      <c r="AC46">
        <v>25.7</v>
      </c>
      <c r="AD46">
        <v>25.7</v>
      </c>
      <c r="AE46">
        <v>26.2</v>
      </c>
      <c r="AF46">
        <v>27.7</v>
      </c>
      <c r="AG46">
        <v>31.4</v>
      </c>
      <c r="AH46">
        <v>33.4</v>
      </c>
      <c r="AI46">
        <v>31</v>
      </c>
    </row>
    <row r="47" spans="1:35" x14ac:dyDescent="0.25">
      <c r="A47" t="s">
        <v>131</v>
      </c>
      <c r="B47" t="s">
        <v>56</v>
      </c>
      <c r="C47" t="s">
        <v>132</v>
      </c>
      <c r="D47" t="s">
        <v>133</v>
      </c>
      <c r="E47" t="s">
        <v>59</v>
      </c>
      <c r="F47">
        <v>18.7</v>
      </c>
      <c r="G47" t="s">
        <v>49</v>
      </c>
      <c r="H47">
        <v>35.4</v>
      </c>
      <c r="I47" t="s">
        <v>49</v>
      </c>
      <c r="J47" t="s">
        <v>49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49</v>
      </c>
      <c r="S47" t="s">
        <v>49</v>
      </c>
      <c r="T47" t="s">
        <v>49</v>
      </c>
      <c r="U47">
        <v>18.7</v>
      </c>
      <c r="V47" t="s">
        <v>49</v>
      </c>
      <c r="W47">
        <v>35.4</v>
      </c>
      <c r="X47" t="s">
        <v>49</v>
      </c>
      <c r="Y47" t="s">
        <v>49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49</v>
      </c>
      <c r="AF47" t="s">
        <v>49</v>
      </c>
      <c r="AG47" t="s">
        <v>49</v>
      </c>
      <c r="AH47" t="s">
        <v>49</v>
      </c>
      <c r="AI47" t="s">
        <v>49</v>
      </c>
    </row>
    <row r="48" spans="1:35" x14ac:dyDescent="0.25">
      <c r="A48" t="s">
        <v>49</v>
      </c>
      <c r="B48" t="s">
        <v>49</v>
      </c>
      <c r="E48" t="s">
        <v>50</v>
      </c>
      <c r="F48" t="s">
        <v>49</v>
      </c>
      <c r="G48" t="s">
        <v>49</v>
      </c>
      <c r="H48" t="s">
        <v>49</v>
      </c>
      <c r="I48" t="s">
        <v>49</v>
      </c>
      <c r="J48" t="s">
        <v>49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49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49</v>
      </c>
      <c r="Z48" t="s">
        <v>49</v>
      </c>
      <c r="AA48" t="s">
        <v>49</v>
      </c>
      <c r="AB48" t="s">
        <v>49</v>
      </c>
      <c r="AC48" t="s">
        <v>49</v>
      </c>
      <c r="AD48" t="s">
        <v>49</v>
      </c>
      <c r="AE48" t="s">
        <v>49</v>
      </c>
      <c r="AF48" t="s">
        <v>49</v>
      </c>
      <c r="AG48" t="s">
        <v>49</v>
      </c>
      <c r="AH48" t="s">
        <v>49</v>
      </c>
      <c r="AI48" t="s">
        <v>49</v>
      </c>
    </row>
    <row r="49" spans="1:35" x14ac:dyDescent="0.25">
      <c r="A49" t="s">
        <v>134</v>
      </c>
      <c r="B49" t="s">
        <v>49</v>
      </c>
      <c r="E49" t="s">
        <v>52</v>
      </c>
      <c r="U49" t="s">
        <v>49</v>
      </c>
      <c r="V49" t="s">
        <v>49</v>
      </c>
      <c r="W49" t="s">
        <v>49</v>
      </c>
      <c r="X49" t="s">
        <v>49</v>
      </c>
      <c r="Y49" t="s">
        <v>49</v>
      </c>
      <c r="Z49" t="s">
        <v>49</v>
      </c>
      <c r="AA49" t="s">
        <v>49</v>
      </c>
      <c r="AB49" t="s">
        <v>49</v>
      </c>
      <c r="AC49" t="s">
        <v>49</v>
      </c>
      <c r="AD49" t="s">
        <v>49</v>
      </c>
      <c r="AE49" t="s">
        <v>49</v>
      </c>
      <c r="AF49" t="s">
        <v>49</v>
      </c>
      <c r="AG49" t="s">
        <v>49</v>
      </c>
      <c r="AH49" t="s">
        <v>49</v>
      </c>
      <c r="AI49" t="s">
        <v>49</v>
      </c>
    </row>
    <row r="50" spans="1:35" x14ac:dyDescent="0.25">
      <c r="A50" t="s">
        <v>53</v>
      </c>
      <c r="B50" t="s">
        <v>49</v>
      </c>
      <c r="E50" t="s">
        <v>50</v>
      </c>
      <c r="F50" t="s">
        <v>49</v>
      </c>
      <c r="G50" t="s">
        <v>49</v>
      </c>
      <c r="H50" t="s">
        <v>49</v>
      </c>
      <c r="I50" t="s">
        <v>49</v>
      </c>
      <c r="J50" t="s">
        <v>49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49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49</v>
      </c>
      <c r="Z50" t="s">
        <v>49</v>
      </c>
      <c r="AA50" t="s">
        <v>49</v>
      </c>
      <c r="AB50" t="s">
        <v>49</v>
      </c>
      <c r="AC50" t="s">
        <v>49</v>
      </c>
      <c r="AD50" t="s">
        <v>49</v>
      </c>
      <c r="AE50" t="s">
        <v>49</v>
      </c>
      <c r="AF50" t="s">
        <v>49</v>
      </c>
      <c r="AG50" t="s">
        <v>49</v>
      </c>
      <c r="AH50" t="s">
        <v>49</v>
      </c>
      <c r="AI50" t="s">
        <v>49</v>
      </c>
    </row>
    <row r="51" spans="1:35" x14ac:dyDescent="0.25">
      <c r="A51" t="s">
        <v>135</v>
      </c>
      <c r="B51" t="s">
        <v>49</v>
      </c>
      <c r="E51" t="s">
        <v>50</v>
      </c>
      <c r="F51" t="s">
        <v>49</v>
      </c>
      <c r="G51" t="s">
        <v>49</v>
      </c>
      <c r="H51" t="s">
        <v>49</v>
      </c>
      <c r="I51" t="s">
        <v>49</v>
      </c>
      <c r="J51" t="s">
        <v>49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49</v>
      </c>
      <c r="Z51" t="s">
        <v>49</v>
      </c>
      <c r="AA51" t="s">
        <v>49</v>
      </c>
      <c r="AB51" t="s">
        <v>49</v>
      </c>
      <c r="AC51" t="s">
        <v>49</v>
      </c>
      <c r="AD51" t="s">
        <v>49</v>
      </c>
      <c r="AE51" t="s">
        <v>49</v>
      </c>
      <c r="AF51" t="s">
        <v>49</v>
      </c>
      <c r="AG51" t="s">
        <v>49</v>
      </c>
      <c r="AH51" t="s">
        <v>49</v>
      </c>
      <c r="AI51" t="s">
        <v>49</v>
      </c>
    </row>
    <row r="52" spans="1:35" x14ac:dyDescent="0.25">
      <c r="A52" t="s">
        <v>77</v>
      </c>
      <c r="B52" t="s">
        <v>62</v>
      </c>
      <c r="C52" t="s">
        <v>63</v>
      </c>
      <c r="D52" t="s">
        <v>64</v>
      </c>
      <c r="E52" t="s">
        <v>59</v>
      </c>
      <c r="F52">
        <v>4038.8402160000001</v>
      </c>
      <c r="G52">
        <v>3787.9628699999998</v>
      </c>
      <c r="H52">
        <v>2891.019714</v>
      </c>
      <c r="I52">
        <v>2767.727738</v>
      </c>
      <c r="J52">
        <v>2602.9808969999999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>
        <v>1632.056423</v>
      </c>
      <c r="Q52">
        <v>1611.658195</v>
      </c>
      <c r="R52">
        <v>1484.8735509999999</v>
      </c>
      <c r="S52">
        <v>1151.50865</v>
      </c>
      <c r="T52">
        <v>774.37764570000002</v>
      </c>
      <c r="U52">
        <v>4038.8402160000001</v>
      </c>
      <c r="V52">
        <v>3787.9628699999998</v>
      </c>
      <c r="W52">
        <v>2891.019714</v>
      </c>
      <c r="X52">
        <v>2767.727738</v>
      </c>
      <c r="Y52">
        <v>2602.9808969999999</v>
      </c>
      <c r="Z52" t="s">
        <v>49</v>
      </c>
      <c r="AA52" t="s">
        <v>49</v>
      </c>
      <c r="AB52" t="s">
        <v>49</v>
      </c>
      <c r="AC52" t="s">
        <v>49</v>
      </c>
      <c r="AD52" t="s">
        <v>49</v>
      </c>
      <c r="AE52">
        <v>1632.056423</v>
      </c>
      <c r="AF52">
        <v>1611.658195</v>
      </c>
      <c r="AG52">
        <v>1484.8735509999999</v>
      </c>
      <c r="AH52">
        <v>1151.50865</v>
      </c>
      <c r="AI52">
        <v>774.37764570000002</v>
      </c>
    </row>
    <row r="53" spans="1:35" x14ac:dyDescent="0.25">
      <c r="A53" t="s">
        <v>136</v>
      </c>
      <c r="B53" t="s">
        <v>62</v>
      </c>
      <c r="C53" t="s">
        <v>63</v>
      </c>
      <c r="D53" t="s">
        <v>64</v>
      </c>
      <c r="E53" t="s">
        <v>59</v>
      </c>
      <c r="F53">
        <v>1030.839009</v>
      </c>
      <c r="G53">
        <v>984.00908790000005</v>
      </c>
      <c r="H53">
        <v>807.67998980000004</v>
      </c>
      <c r="I53">
        <v>776.99238960000002</v>
      </c>
      <c r="J53">
        <v>739.88631099999998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>
        <v>572.0958359</v>
      </c>
      <c r="Q53">
        <v>519.98865920000003</v>
      </c>
      <c r="R53">
        <v>458.49076170000001</v>
      </c>
      <c r="S53">
        <v>345.73997489999999</v>
      </c>
      <c r="T53">
        <v>242.6850282</v>
      </c>
      <c r="U53">
        <v>1030.839009</v>
      </c>
      <c r="V53">
        <v>984.00908790000005</v>
      </c>
      <c r="W53">
        <v>807.67998980000004</v>
      </c>
      <c r="X53">
        <v>776.99238960000002</v>
      </c>
      <c r="Y53">
        <v>739.88631099999998</v>
      </c>
      <c r="Z53" t="s">
        <v>49</v>
      </c>
      <c r="AA53" t="s">
        <v>49</v>
      </c>
      <c r="AB53" t="s">
        <v>49</v>
      </c>
      <c r="AC53" t="s">
        <v>49</v>
      </c>
      <c r="AD53" t="s">
        <v>49</v>
      </c>
      <c r="AE53">
        <v>572.0958359</v>
      </c>
      <c r="AF53">
        <v>519.98865920000003</v>
      </c>
      <c r="AG53">
        <v>458.49076170000001</v>
      </c>
      <c r="AH53">
        <v>345.73997489999999</v>
      </c>
      <c r="AI53">
        <v>242.6850282</v>
      </c>
    </row>
    <row r="54" spans="1:35" x14ac:dyDescent="0.25">
      <c r="A54" t="s">
        <v>137</v>
      </c>
      <c r="B54" t="s">
        <v>49</v>
      </c>
      <c r="E54" t="s">
        <v>50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49</v>
      </c>
      <c r="S54" t="s">
        <v>49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49</v>
      </c>
      <c r="Z54" t="s">
        <v>49</v>
      </c>
      <c r="AA54" t="s">
        <v>49</v>
      </c>
      <c r="AB54" t="s">
        <v>49</v>
      </c>
      <c r="AC54" t="s">
        <v>49</v>
      </c>
      <c r="AD54" t="s">
        <v>49</v>
      </c>
      <c r="AE54" t="s">
        <v>49</v>
      </c>
      <c r="AF54" t="s">
        <v>49</v>
      </c>
      <c r="AG54" t="s">
        <v>49</v>
      </c>
      <c r="AH54" t="s">
        <v>49</v>
      </c>
      <c r="AI54" t="s">
        <v>49</v>
      </c>
    </row>
    <row r="55" spans="1:35" x14ac:dyDescent="0.25">
      <c r="A55" t="s">
        <v>77</v>
      </c>
      <c r="B55" t="s">
        <v>62</v>
      </c>
      <c r="C55" t="s">
        <v>63</v>
      </c>
      <c r="D55" t="s">
        <v>64</v>
      </c>
      <c r="E55" t="s">
        <v>59</v>
      </c>
      <c r="F55">
        <v>1980.266286</v>
      </c>
      <c r="G55">
        <v>1939.404943</v>
      </c>
      <c r="H55">
        <v>1722.3888240000001</v>
      </c>
      <c r="I55">
        <v>1674.35968</v>
      </c>
      <c r="J55">
        <v>1563.5621860000001</v>
      </c>
      <c r="K55">
        <v>1418.254921</v>
      </c>
      <c r="L55">
        <v>1382.2965320000001</v>
      </c>
      <c r="M55">
        <v>1775.4161079999999</v>
      </c>
      <c r="N55">
        <v>1620.542381</v>
      </c>
      <c r="O55">
        <v>1236.4507599999999</v>
      </c>
      <c r="P55" t="s">
        <v>49</v>
      </c>
      <c r="Q55" t="s">
        <v>49</v>
      </c>
      <c r="R55" t="s">
        <v>49</v>
      </c>
      <c r="S55" t="s">
        <v>49</v>
      </c>
      <c r="T55" t="s">
        <v>49</v>
      </c>
      <c r="U55">
        <v>1980.266286</v>
      </c>
      <c r="V55">
        <v>1939.404943</v>
      </c>
      <c r="W55">
        <v>1722.3888240000001</v>
      </c>
      <c r="X55">
        <v>1674.35968</v>
      </c>
      <c r="Y55">
        <v>1563.5621860000001</v>
      </c>
      <c r="Z55">
        <v>1418.254921</v>
      </c>
      <c r="AA55">
        <v>1382.2965320000001</v>
      </c>
      <c r="AB55">
        <v>1775.4161079999999</v>
      </c>
      <c r="AC55">
        <v>1620.542381</v>
      </c>
      <c r="AD55">
        <v>1236.4507599999999</v>
      </c>
      <c r="AE55" t="s">
        <v>49</v>
      </c>
      <c r="AF55" t="s">
        <v>49</v>
      </c>
      <c r="AG55" t="s">
        <v>49</v>
      </c>
      <c r="AH55" t="s">
        <v>49</v>
      </c>
      <c r="AI55" t="s">
        <v>49</v>
      </c>
    </row>
    <row r="56" spans="1:35" x14ac:dyDescent="0.25">
      <c r="A56" t="s">
        <v>136</v>
      </c>
      <c r="B56" t="s">
        <v>62</v>
      </c>
      <c r="C56" t="s">
        <v>63</v>
      </c>
      <c r="D56" t="s">
        <v>64</v>
      </c>
      <c r="E56" t="s">
        <v>59</v>
      </c>
      <c r="F56">
        <v>594.29152810000005</v>
      </c>
      <c r="G56">
        <v>577.12891260000004</v>
      </c>
      <c r="H56">
        <v>503.96625449999999</v>
      </c>
      <c r="I56">
        <v>484.63203570000002</v>
      </c>
      <c r="J56">
        <v>434.23788450000001</v>
      </c>
      <c r="K56">
        <v>430.43357900000001</v>
      </c>
      <c r="L56">
        <v>367.85053879999998</v>
      </c>
      <c r="M56">
        <v>525.91300560000002</v>
      </c>
      <c r="N56">
        <v>521.05317200000002</v>
      </c>
      <c r="O56">
        <v>395.83109380000002</v>
      </c>
      <c r="P56" t="s">
        <v>49</v>
      </c>
      <c r="Q56" t="s">
        <v>49</v>
      </c>
      <c r="R56" t="s">
        <v>49</v>
      </c>
      <c r="S56" t="s">
        <v>49</v>
      </c>
      <c r="T56" t="s">
        <v>49</v>
      </c>
      <c r="U56">
        <v>594.29152810000005</v>
      </c>
      <c r="V56">
        <v>577.12891260000004</v>
      </c>
      <c r="W56">
        <v>503.96625449999999</v>
      </c>
      <c r="X56">
        <v>484.63203570000002</v>
      </c>
      <c r="Y56">
        <v>434.23788450000001</v>
      </c>
      <c r="Z56">
        <v>430.43357900000001</v>
      </c>
      <c r="AA56">
        <v>367.85053879999998</v>
      </c>
      <c r="AB56">
        <v>525.91300560000002</v>
      </c>
      <c r="AC56">
        <v>521.05317200000002</v>
      </c>
      <c r="AD56">
        <v>395.83109380000002</v>
      </c>
      <c r="AE56" t="s">
        <v>49</v>
      </c>
      <c r="AF56" t="s">
        <v>49</v>
      </c>
      <c r="AG56" t="s">
        <v>49</v>
      </c>
      <c r="AH56" t="s">
        <v>49</v>
      </c>
      <c r="AI56" t="s">
        <v>49</v>
      </c>
    </row>
    <row r="57" spans="1:35" x14ac:dyDescent="0.25">
      <c r="A57" t="s">
        <v>138</v>
      </c>
      <c r="B57" t="s">
        <v>49</v>
      </c>
      <c r="E57" t="s">
        <v>50</v>
      </c>
      <c r="F57" t="s">
        <v>49</v>
      </c>
      <c r="G57" t="s">
        <v>49</v>
      </c>
      <c r="H57" t="s">
        <v>49</v>
      </c>
      <c r="I57" t="s">
        <v>49</v>
      </c>
      <c r="J57" t="s">
        <v>49</v>
      </c>
      <c r="K57" t="s">
        <v>49</v>
      </c>
      <c r="L57" t="s">
        <v>49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49</v>
      </c>
      <c r="S57" t="s">
        <v>49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49</v>
      </c>
      <c r="Z57" t="s">
        <v>49</v>
      </c>
      <c r="AA57" t="s">
        <v>49</v>
      </c>
      <c r="AB57" t="s">
        <v>49</v>
      </c>
      <c r="AC57" t="s">
        <v>49</v>
      </c>
      <c r="AD57" t="s">
        <v>49</v>
      </c>
      <c r="AE57" t="s">
        <v>49</v>
      </c>
      <c r="AF57" t="s">
        <v>49</v>
      </c>
      <c r="AG57" t="s">
        <v>49</v>
      </c>
      <c r="AH57" t="s">
        <v>49</v>
      </c>
      <c r="AI57" t="s">
        <v>49</v>
      </c>
    </row>
    <row r="58" spans="1:35" x14ac:dyDescent="0.25">
      <c r="A58" t="s">
        <v>77</v>
      </c>
      <c r="B58" t="s">
        <v>62</v>
      </c>
      <c r="C58" t="s">
        <v>63</v>
      </c>
      <c r="D58" t="s">
        <v>64</v>
      </c>
      <c r="E58" t="s">
        <v>59</v>
      </c>
      <c r="F58">
        <v>1690.8807389999999</v>
      </c>
      <c r="G58">
        <v>1491.6078440000001</v>
      </c>
      <c r="H58" t="s">
        <v>49</v>
      </c>
      <c r="I58" t="s">
        <v>49</v>
      </c>
      <c r="J58" t="s">
        <v>49</v>
      </c>
      <c r="K58" t="s">
        <v>49</v>
      </c>
      <c r="L58" t="s">
        <v>49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49</v>
      </c>
      <c r="S58" t="s">
        <v>49</v>
      </c>
      <c r="T58" t="s">
        <v>49</v>
      </c>
      <c r="U58">
        <v>1690.8807389999999</v>
      </c>
      <c r="V58">
        <v>1491.6078440000001</v>
      </c>
      <c r="W58" t="s">
        <v>49</v>
      </c>
      <c r="X58" t="s">
        <v>49</v>
      </c>
      <c r="Y58" t="s">
        <v>49</v>
      </c>
      <c r="Z58" t="s">
        <v>49</v>
      </c>
      <c r="AA58" t="s">
        <v>49</v>
      </c>
      <c r="AB58" t="s">
        <v>49</v>
      </c>
      <c r="AC58" t="s">
        <v>49</v>
      </c>
      <c r="AD58" t="s">
        <v>49</v>
      </c>
      <c r="AE58" t="s">
        <v>49</v>
      </c>
      <c r="AF58" t="s">
        <v>49</v>
      </c>
      <c r="AG58" t="s">
        <v>49</v>
      </c>
      <c r="AH58" t="s">
        <v>49</v>
      </c>
      <c r="AI58" t="s">
        <v>49</v>
      </c>
    </row>
    <row r="59" spans="1:35" x14ac:dyDescent="0.25">
      <c r="A59" t="s">
        <v>136</v>
      </c>
      <c r="B59" t="s">
        <v>62</v>
      </c>
      <c r="C59" t="s">
        <v>63</v>
      </c>
      <c r="D59" t="s">
        <v>64</v>
      </c>
      <c r="E59" t="s">
        <v>59</v>
      </c>
      <c r="F59">
        <v>342.0139279</v>
      </c>
      <c r="G59">
        <v>360.09753910000001</v>
      </c>
      <c r="H59" t="s">
        <v>49</v>
      </c>
      <c r="I59" t="s">
        <v>49</v>
      </c>
      <c r="J59" t="s">
        <v>49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49</v>
      </c>
      <c r="S59" t="s">
        <v>49</v>
      </c>
      <c r="T59" t="s">
        <v>49</v>
      </c>
      <c r="U59">
        <v>342.0139279</v>
      </c>
      <c r="V59">
        <v>360.09753910000001</v>
      </c>
      <c r="W59" t="s">
        <v>49</v>
      </c>
      <c r="X59" t="s">
        <v>49</v>
      </c>
      <c r="Y59" t="s">
        <v>49</v>
      </c>
      <c r="Z59" t="s">
        <v>49</v>
      </c>
      <c r="AA59" t="s">
        <v>49</v>
      </c>
      <c r="AB59" t="s">
        <v>49</v>
      </c>
      <c r="AC59" t="s">
        <v>49</v>
      </c>
      <c r="AD59" t="s">
        <v>49</v>
      </c>
      <c r="AE59" t="s">
        <v>49</v>
      </c>
      <c r="AF59" t="s">
        <v>49</v>
      </c>
      <c r="AG59" t="s">
        <v>49</v>
      </c>
      <c r="AH59" t="s">
        <v>49</v>
      </c>
      <c r="AI59" t="s">
        <v>49</v>
      </c>
    </row>
    <row r="60" spans="1:35" x14ac:dyDescent="0.25">
      <c r="A60" t="s">
        <v>139</v>
      </c>
      <c r="B60" t="s">
        <v>49</v>
      </c>
      <c r="E60" t="s">
        <v>50</v>
      </c>
      <c r="F60" t="s">
        <v>49</v>
      </c>
      <c r="G60" t="s">
        <v>49</v>
      </c>
      <c r="H60" t="s">
        <v>49</v>
      </c>
      <c r="I60" t="s">
        <v>49</v>
      </c>
      <c r="J60" t="s">
        <v>49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49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49</v>
      </c>
      <c r="Z60" t="s">
        <v>49</v>
      </c>
      <c r="AA60" t="s">
        <v>49</v>
      </c>
      <c r="AB60" t="s">
        <v>49</v>
      </c>
      <c r="AC60" t="s">
        <v>49</v>
      </c>
      <c r="AD60" t="s">
        <v>49</v>
      </c>
      <c r="AE60" t="s">
        <v>49</v>
      </c>
      <c r="AF60" t="s">
        <v>49</v>
      </c>
      <c r="AG60" t="s">
        <v>49</v>
      </c>
      <c r="AH60" t="s">
        <v>49</v>
      </c>
      <c r="AI60" t="s">
        <v>49</v>
      </c>
    </row>
    <row r="61" spans="1:35" x14ac:dyDescent="0.25">
      <c r="A61" t="s">
        <v>77</v>
      </c>
      <c r="B61" t="s">
        <v>62</v>
      </c>
      <c r="C61" t="s">
        <v>63</v>
      </c>
      <c r="D61" t="s">
        <v>64</v>
      </c>
      <c r="E61" t="s">
        <v>59</v>
      </c>
      <c r="F61">
        <v>1655.8892149999999</v>
      </c>
      <c r="G61">
        <v>1486.4574620000001</v>
      </c>
      <c r="H61" t="s">
        <v>49</v>
      </c>
      <c r="I61" t="s">
        <v>49</v>
      </c>
      <c r="J61" t="s">
        <v>49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49</v>
      </c>
      <c r="S61" t="s">
        <v>49</v>
      </c>
      <c r="T61" t="s">
        <v>49</v>
      </c>
      <c r="U61">
        <v>1655.8892149999999</v>
      </c>
      <c r="V61">
        <v>1486.4574620000001</v>
      </c>
      <c r="W61" t="s">
        <v>49</v>
      </c>
      <c r="X61" t="s">
        <v>49</v>
      </c>
      <c r="Y61" t="s">
        <v>49</v>
      </c>
      <c r="Z61" t="s">
        <v>49</v>
      </c>
      <c r="AA61" t="s">
        <v>49</v>
      </c>
      <c r="AB61" t="s">
        <v>49</v>
      </c>
      <c r="AC61" t="s">
        <v>49</v>
      </c>
      <c r="AD61" t="s">
        <v>49</v>
      </c>
      <c r="AE61" t="s">
        <v>49</v>
      </c>
      <c r="AF61" t="s">
        <v>49</v>
      </c>
      <c r="AG61" t="s">
        <v>49</v>
      </c>
      <c r="AH61" t="s">
        <v>49</v>
      </c>
      <c r="AI61" t="s">
        <v>49</v>
      </c>
    </row>
    <row r="62" spans="1:35" x14ac:dyDescent="0.25">
      <c r="A62" t="s">
        <v>136</v>
      </c>
      <c r="B62" t="s">
        <v>62</v>
      </c>
      <c r="C62" t="s">
        <v>63</v>
      </c>
      <c r="D62" t="s">
        <v>64</v>
      </c>
      <c r="E62" t="s">
        <v>59</v>
      </c>
      <c r="F62">
        <v>453.76105280000002</v>
      </c>
      <c r="G62">
        <v>363.67419330000001</v>
      </c>
      <c r="H62" t="s">
        <v>49</v>
      </c>
      <c r="I62" t="s">
        <v>49</v>
      </c>
      <c r="J62" t="s">
        <v>49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49</v>
      </c>
      <c r="S62" t="s">
        <v>49</v>
      </c>
      <c r="T62" t="s">
        <v>49</v>
      </c>
      <c r="U62">
        <v>453.76105280000002</v>
      </c>
      <c r="V62">
        <v>363.67419330000001</v>
      </c>
      <c r="W62" t="s">
        <v>49</v>
      </c>
      <c r="X62" t="s">
        <v>49</v>
      </c>
      <c r="Y62" t="s">
        <v>49</v>
      </c>
      <c r="Z62" t="s">
        <v>49</v>
      </c>
      <c r="AA62" t="s">
        <v>49</v>
      </c>
      <c r="AB62" t="s">
        <v>49</v>
      </c>
      <c r="AC62" t="s">
        <v>49</v>
      </c>
      <c r="AD62" t="s">
        <v>49</v>
      </c>
      <c r="AE62" t="s">
        <v>49</v>
      </c>
      <c r="AF62" t="s">
        <v>49</v>
      </c>
      <c r="AG62" t="s">
        <v>49</v>
      </c>
      <c r="AH62" t="s">
        <v>49</v>
      </c>
      <c r="AI62" t="s">
        <v>49</v>
      </c>
    </row>
    <row r="63" spans="1:35" x14ac:dyDescent="0.25">
      <c r="A63" t="s">
        <v>140</v>
      </c>
      <c r="B63" t="s">
        <v>49</v>
      </c>
      <c r="E63" t="s">
        <v>50</v>
      </c>
      <c r="F63" t="s">
        <v>49</v>
      </c>
      <c r="G63" t="s">
        <v>49</v>
      </c>
      <c r="H63" t="s">
        <v>49</v>
      </c>
      <c r="I63" t="s">
        <v>49</v>
      </c>
      <c r="J63" t="s">
        <v>49</v>
      </c>
      <c r="K63" t="s">
        <v>49</v>
      </c>
      <c r="L63" t="s">
        <v>49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49</v>
      </c>
      <c r="S63" t="s">
        <v>49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49</v>
      </c>
      <c r="Z63" t="s">
        <v>49</v>
      </c>
      <c r="AA63" t="s">
        <v>49</v>
      </c>
      <c r="AB63" t="s">
        <v>49</v>
      </c>
      <c r="AC63" t="s">
        <v>49</v>
      </c>
      <c r="AD63" t="s">
        <v>49</v>
      </c>
      <c r="AE63" t="s">
        <v>49</v>
      </c>
      <c r="AF63" t="s">
        <v>49</v>
      </c>
      <c r="AG63" t="s">
        <v>49</v>
      </c>
      <c r="AH63" t="s">
        <v>49</v>
      </c>
      <c r="AI63" t="s">
        <v>49</v>
      </c>
    </row>
    <row r="64" spans="1:35" x14ac:dyDescent="0.25">
      <c r="A64" t="s">
        <v>77</v>
      </c>
      <c r="B64" t="s">
        <v>62</v>
      </c>
      <c r="C64" t="s">
        <v>63</v>
      </c>
      <c r="D64" t="s">
        <v>64</v>
      </c>
      <c r="E64" t="s">
        <v>59</v>
      </c>
      <c r="F64">
        <v>1288.3371179999999</v>
      </c>
      <c r="G64">
        <v>1166.2753829999999</v>
      </c>
      <c r="H64">
        <v>1194.2247440000001</v>
      </c>
      <c r="I64">
        <v>1119.769988</v>
      </c>
      <c r="J64">
        <v>1062.3538100000001</v>
      </c>
      <c r="K64">
        <v>1919.8548269999999</v>
      </c>
      <c r="L64">
        <v>1797.5154869999999</v>
      </c>
      <c r="M64">
        <v>1634.375802</v>
      </c>
      <c r="N64">
        <v>1451.9540360000001</v>
      </c>
      <c r="O64">
        <v>1183.9806369999999</v>
      </c>
      <c r="P64">
        <v>951.24126809999996</v>
      </c>
      <c r="Q64">
        <v>939.44033660000002</v>
      </c>
      <c r="R64">
        <v>610.16069909999999</v>
      </c>
      <c r="S64">
        <v>414.93218209999998</v>
      </c>
      <c r="T64">
        <v>299.17595649999998</v>
      </c>
      <c r="U64">
        <v>1288.3371179999999</v>
      </c>
      <c r="V64">
        <v>1166.2753829999999</v>
      </c>
      <c r="W64">
        <v>1194.2247440000001</v>
      </c>
      <c r="X64">
        <v>1119.769988</v>
      </c>
      <c r="Y64">
        <v>1062.3538100000001</v>
      </c>
      <c r="Z64">
        <v>1919.8548269999999</v>
      </c>
      <c r="AA64">
        <v>1797.5154869999999</v>
      </c>
      <c r="AB64">
        <v>1634.375802</v>
      </c>
      <c r="AC64">
        <v>1451.9540360000001</v>
      </c>
      <c r="AD64">
        <v>1183.9806369999999</v>
      </c>
      <c r="AE64">
        <v>951.24126809999996</v>
      </c>
      <c r="AF64">
        <v>939.44033660000002</v>
      </c>
      <c r="AG64">
        <v>610.16069909999999</v>
      </c>
      <c r="AH64">
        <v>414.93218209999998</v>
      </c>
      <c r="AI64">
        <v>299.17595649999998</v>
      </c>
    </row>
    <row r="65" spans="1:35" x14ac:dyDescent="0.25">
      <c r="A65" t="s">
        <v>136</v>
      </c>
      <c r="B65" t="s">
        <v>62</v>
      </c>
      <c r="C65" t="s">
        <v>63</v>
      </c>
      <c r="D65" t="s">
        <v>64</v>
      </c>
      <c r="E65" t="s">
        <v>59</v>
      </c>
      <c r="F65">
        <v>290.51430590000001</v>
      </c>
      <c r="G65">
        <v>265.10160509999997</v>
      </c>
      <c r="H65">
        <v>282.15285219999998</v>
      </c>
      <c r="I65">
        <v>275.65404799999999</v>
      </c>
      <c r="J65">
        <v>238.52503519999999</v>
      </c>
      <c r="K65">
        <v>474.2785806</v>
      </c>
      <c r="L65">
        <v>406.10964480000001</v>
      </c>
      <c r="M65">
        <v>423.67257510000002</v>
      </c>
      <c r="N65">
        <v>434.76944739999999</v>
      </c>
      <c r="O65">
        <v>375.85292989999999</v>
      </c>
      <c r="P65">
        <v>290.058922</v>
      </c>
      <c r="Q65">
        <v>290.4401694</v>
      </c>
      <c r="R65">
        <v>170.81515909999999</v>
      </c>
      <c r="S65">
        <v>127.5524076</v>
      </c>
      <c r="T65">
        <v>90.83741277</v>
      </c>
      <c r="U65">
        <v>290.51430590000001</v>
      </c>
      <c r="V65">
        <v>265.10160509999997</v>
      </c>
      <c r="W65">
        <v>282.15285219999998</v>
      </c>
      <c r="X65">
        <v>275.65404799999999</v>
      </c>
      <c r="Y65">
        <v>238.52503519999999</v>
      </c>
      <c r="Z65">
        <v>474.2785806</v>
      </c>
      <c r="AA65">
        <v>406.10964480000001</v>
      </c>
      <c r="AB65">
        <v>423.67257510000002</v>
      </c>
      <c r="AC65">
        <v>434.76944739999999</v>
      </c>
      <c r="AD65">
        <v>375.85292989999999</v>
      </c>
      <c r="AE65">
        <v>290.058922</v>
      </c>
      <c r="AF65">
        <v>290.4401694</v>
      </c>
      <c r="AG65">
        <v>170.81515909999999</v>
      </c>
      <c r="AH65">
        <v>127.5524076</v>
      </c>
      <c r="AI65">
        <v>90.83741277</v>
      </c>
    </row>
    <row r="66" spans="1:35" x14ac:dyDescent="0.25">
      <c r="A66" t="s">
        <v>141</v>
      </c>
      <c r="B66" t="s">
        <v>49</v>
      </c>
      <c r="E66" t="s">
        <v>50</v>
      </c>
      <c r="F66" t="s">
        <v>49</v>
      </c>
      <c r="G66" t="s">
        <v>49</v>
      </c>
      <c r="H66" t="s">
        <v>49</v>
      </c>
      <c r="I66" t="s">
        <v>49</v>
      </c>
      <c r="J66" t="s">
        <v>49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49</v>
      </c>
      <c r="Z66" t="s">
        <v>49</v>
      </c>
      <c r="AA66" t="s">
        <v>49</v>
      </c>
      <c r="AB66" t="s">
        <v>49</v>
      </c>
      <c r="AC66" t="s">
        <v>49</v>
      </c>
      <c r="AD66" t="s">
        <v>49</v>
      </c>
      <c r="AE66" t="s">
        <v>49</v>
      </c>
      <c r="AF66" t="s">
        <v>49</v>
      </c>
      <c r="AG66" t="s">
        <v>49</v>
      </c>
      <c r="AH66" t="s">
        <v>49</v>
      </c>
      <c r="AI66" t="s">
        <v>49</v>
      </c>
    </row>
    <row r="67" spans="1:35" x14ac:dyDescent="0.25">
      <c r="A67" t="s">
        <v>77</v>
      </c>
      <c r="B67" t="s">
        <v>62</v>
      </c>
      <c r="C67" t="s">
        <v>63</v>
      </c>
      <c r="D67" t="s">
        <v>64</v>
      </c>
      <c r="E67" t="s">
        <v>59</v>
      </c>
      <c r="F67">
        <v>983.71332710000001</v>
      </c>
      <c r="G67">
        <v>883.71970569999996</v>
      </c>
      <c r="H67">
        <v>782.86170709999999</v>
      </c>
      <c r="I67">
        <v>764.01516979999997</v>
      </c>
      <c r="J67">
        <v>747.83714550000002</v>
      </c>
      <c r="K67" t="s">
        <v>49</v>
      </c>
      <c r="L67" t="s">
        <v>49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49</v>
      </c>
      <c r="S67" t="s">
        <v>49</v>
      </c>
      <c r="T67" t="s">
        <v>49</v>
      </c>
      <c r="U67">
        <v>983.71332710000001</v>
      </c>
      <c r="V67">
        <v>883.71970569999996</v>
      </c>
      <c r="W67">
        <v>782.86170709999999</v>
      </c>
      <c r="X67">
        <v>764.01516979999997</v>
      </c>
      <c r="Y67">
        <v>747.83714550000002</v>
      </c>
      <c r="Z67" t="s">
        <v>49</v>
      </c>
      <c r="AA67" t="s">
        <v>49</v>
      </c>
      <c r="AB67" t="s">
        <v>49</v>
      </c>
      <c r="AC67" t="s">
        <v>49</v>
      </c>
      <c r="AD67" t="s">
        <v>49</v>
      </c>
      <c r="AE67" t="s">
        <v>49</v>
      </c>
      <c r="AF67" t="s">
        <v>49</v>
      </c>
      <c r="AG67" t="s">
        <v>49</v>
      </c>
      <c r="AH67" t="s">
        <v>49</v>
      </c>
      <c r="AI67" t="s">
        <v>49</v>
      </c>
    </row>
    <row r="68" spans="1:35" x14ac:dyDescent="0.25">
      <c r="A68" t="s">
        <v>136</v>
      </c>
      <c r="B68" t="s">
        <v>62</v>
      </c>
      <c r="C68" t="s">
        <v>63</v>
      </c>
      <c r="D68" t="s">
        <v>64</v>
      </c>
      <c r="E68" t="s">
        <v>59</v>
      </c>
      <c r="F68">
        <v>226.316147</v>
      </c>
      <c r="G68">
        <v>221.46642449999999</v>
      </c>
      <c r="H68">
        <v>189.85986320000001</v>
      </c>
      <c r="I68">
        <v>190.4817204</v>
      </c>
      <c r="J68">
        <v>198.92376329999999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49</v>
      </c>
      <c r="S68" t="s">
        <v>49</v>
      </c>
      <c r="T68" t="s">
        <v>49</v>
      </c>
      <c r="U68">
        <v>226.316147</v>
      </c>
      <c r="V68">
        <v>221.46642449999999</v>
      </c>
      <c r="W68">
        <v>189.85986320000001</v>
      </c>
      <c r="X68">
        <v>190.4817204</v>
      </c>
      <c r="Y68">
        <v>198.92376329999999</v>
      </c>
      <c r="Z68" t="s">
        <v>49</v>
      </c>
      <c r="AA68" t="s">
        <v>49</v>
      </c>
      <c r="AB68" t="s">
        <v>49</v>
      </c>
      <c r="AC68" t="s">
        <v>49</v>
      </c>
      <c r="AD68" t="s">
        <v>49</v>
      </c>
      <c r="AE68" t="s">
        <v>49</v>
      </c>
      <c r="AF68" t="s">
        <v>49</v>
      </c>
      <c r="AG68" t="s">
        <v>49</v>
      </c>
      <c r="AH68" t="s">
        <v>49</v>
      </c>
      <c r="AI68" t="s">
        <v>49</v>
      </c>
    </row>
    <row r="69" spans="1:35" x14ac:dyDescent="0.25">
      <c r="A69" t="s">
        <v>142</v>
      </c>
      <c r="B69" t="s">
        <v>49</v>
      </c>
      <c r="E69" t="s">
        <v>50</v>
      </c>
      <c r="F69" t="s">
        <v>49</v>
      </c>
      <c r="G69" t="s">
        <v>49</v>
      </c>
      <c r="H69" t="s">
        <v>49</v>
      </c>
      <c r="I69" t="s">
        <v>49</v>
      </c>
      <c r="J69" t="s">
        <v>49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49</v>
      </c>
      <c r="S69" t="s">
        <v>49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49</v>
      </c>
      <c r="Z69" t="s">
        <v>49</v>
      </c>
      <c r="AA69" t="s">
        <v>49</v>
      </c>
      <c r="AB69" t="s">
        <v>49</v>
      </c>
      <c r="AC69" t="s">
        <v>49</v>
      </c>
      <c r="AD69" t="s">
        <v>49</v>
      </c>
      <c r="AE69" t="s">
        <v>49</v>
      </c>
      <c r="AF69" t="s">
        <v>49</v>
      </c>
      <c r="AG69" t="s">
        <v>49</v>
      </c>
      <c r="AH69" t="s">
        <v>49</v>
      </c>
      <c r="AI69" t="s">
        <v>49</v>
      </c>
    </row>
    <row r="70" spans="1:35" x14ac:dyDescent="0.25">
      <c r="A70" t="s">
        <v>77</v>
      </c>
      <c r="B70" t="s">
        <v>62</v>
      </c>
      <c r="C70" t="s">
        <v>63</v>
      </c>
      <c r="D70" t="s">
        <v>64</v>
      </c>
      <c r="E70" t="s">
        <v>59</v>
      </c>
      <c r="F70">
        <v>823.57066699999996</v>
      </c>
      <c r="G70">
        <v>744.37326029999997</v>
      </c>
      <c r="H70" t="s">
        <v>49</v>
      </c>
      <c r="I70" t="s">
        <v>49</v>
      </c>
      <c r="J70" t="s">
        <v>49</v>
      </c>
      <c r="K70">
        <v>586.34509590000005</v>
      </c>
      <c r="L70">
        <v>562.95541700000001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49</v>
      </c>
      <c r="S70" t="s">
        <v>49</v>
      </c>
      <c r="T70" t="s">
        <v>49</v>
      </c>
      <c r="U70">
        <v>823.57066699999996</v>
      </c>
      <c r="V70">
        <v>744.37326029999997</v>
      </c>
      <c r="W70" t="s">
        <v>49</v>
      </c>
      <c r="X70" t="s">
        <v>49</v>
      </c>
      <c r="Y70" t="s">
        <v>49</v>
      </c>
      <c r="Z70">
        <v>586.34509590000005</v>
      </c>
      <c r="AA70">
        <v>562.95541700000001</v>
      </c>
      <c r="AB70" t="s">
        <v>49</v>
      </c>
      <c r="AC70" t="s">
        <v>49</v>
      </c>
      <c r="AD70" t="s">
        <v>49</v>
      </c>
      <c r="AE70" t="s">
        <v>49</v>
      </c>
      <c r="AF70" t="s">
        <v>49</v>
      </c>
      <c r="AG70" t="s">
        <v>49</v>
      </c>
      <c r="AH70" t="s">
        <v>49</v>
      </c>
      <c r="AI70" t="s">
        <v>49</v>
      </c>
    </row>
    <row r="71" spans="1:35" x14ac:dyDescent="0.25">
      <c r="A71" t="s">
        <v>136</v>
      </c>
      <c r="B71" t="s">
        <v>62</v>
      </c>
      <c r="C71" t="s">
        <v>63</v>
      </c>
      <c r="D71" t="s">
        <v>64</v>
      </c>
      <c r="E71" t="s">
        <v>59</v>
      </c>
      <c r="F71">
        <v>201.90673709999999</v>
      </c>
      <c r="G71">
        <v>203.01088920000001</v>
      </c>
      <c r="H71" t="s">
        <v>49</v>
      </c>
      <c r="I71" t="s">
        <v>49</v>
      </c>
      <c r="J71" t="s">
        <v>49</v>
      </c>
      <c r="K71">
        <v>150.3490913</v>
      </c>
      <c r="L71">
        <v>124.05225280000001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49</v>
      </c>
      <c r="S71" t="s">
        <v>49</v>
      </c>
      <c r="T71" t="s">
        <v>49</v>
      </c>
      <c r="U71">
        <v>201.90673709999999</v>
      </c>
      <c r="V71">
        <v>203.01088920000001</v>
      </c>
      <c r="W71" t="s">
        <v>49</v>
      </c>
      <c r="X71" t="s">
        <v>49</v>
      </c>
      <c r="Y71" t="s">
        <v>49</v>
      </c>
      <c r="Z71">
        <v>150.3490913</v>
      </c>
      <c r="AA71">
        <v>124.05225280000001</v>
      </c>
      <c r="AB71" t="s">
        <v>49</v>
      </c>
      <c r="AC71" t="s">
        <v>49</v>
      </c>
      <c r="AD71" t="s">
        <v>49</v>
      </c>
      <c r="AE71" t="s">
        <v>49</v>
      </c>
      <c r="AF71" t="s">
        <v>49</v>
      </c>
      <c r="AG71" t="s">
        <v>49</v>
      </c>
      <c r="AH71" t="s">
        <v>49</v>
      </c>
      <c r="AI71" t="s">
        <v>49</v>
      </c>
    </row>
    <row r="72" spans="1:35" x14ac:dyDescent="0.25">
      <c r="A72" t="s">
        <v>143</v>
      </c>
      <c r="B72" t="s">
        <v>49</v>
      </c>
      <c r="E72" t="s">
        <v>50</v>
      </c>
      <c r="F72" t="s">
        <v>49</v>
      </c>
      <c r="G72" t="s">
        <v>49</v>
      </c>
      <c r="H72" t="s">
        <v>49</v>
      </c>
      <c r="I72" t="s">
        <v>49</v>
      </c>
      <c r="J72" t="s">
        <v>49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49</v>
      </c>
      <c r="S72" t="s">
        <v>49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49</v>
      </c>
      <c r="Z72" t="s">
        <v>49</v>
      </c>
      <c r="AA72" t="s">
        <v>49</v>
      </c>
      <c r="AB72" t="s">
        <v>49</v>
      </c>
      <c r="AC72" t="s">
        <v>49</v>
      </c>
      <c r="AD72" t="s">
        <v>49</v>
      </c>
      <c r="AE72" t="s">
        <v>49</v>
      </c>
      <c r="AF72" t="s">
        <v>49</v>
      </c>
      <c r="AG72" t="s">
        <v>49</v>
      </c>
      <c r="AH72" t="s">
        <v>49</v>
      </c>
      <c r="AI72" t="s">
        <v>49</v>
      </c>
    </row>
    <row r="73" spans="1:35" x14ac:dyDescent="0.25">
      <c r="A73" t="s">
        <v>77</v>
      </c>
      <c r="B73" t="s">
        <v>62</v>
      </c>
      <c r="C73" t="s">
        <v>63</v>
      </c>
      <c r="D73" t="s">
        <v>64</v>
      </c>
      <c r="E73" t="s">
        <v>59</v>
      </c>
      <c r="F73">
        <v>348.64538599999997</v>
      </c>
      <c r="G73">
        <v>328.19378419999998</v>
      </c>
      <c r="H73">
        <v>311.15922019999999</v>
      </c>
      <c r="I73">
        <v>329.35288850000001</v>
      </c>
      <c r="J73">
        <v>262.22463800000003</v>
      </c>
      <c r="K73" t="s">
        <v>49</v>
      </c>
      <c r="L73" t="s">
        <v>49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49</v>
      </c>
      <c r="S73" t="s">
        <v>49</v>
      </c>
      <c r="T73" t="s">
        <v>49</v>
      </c>
      <c r="U73">
        <v>348.64538599999997</v>
      </c>
      <c r="V73">
        <v>328.19378419999998</v>
      </c>
      <c r="W73">
        <v>311.15922019999999</v>
      </c>
      <c r="X73">
        <v>329.35288850000001</v>
      </c>
      <c r="Y73">
        <v>262.22463800000003</v>
      </c>
      <c r="Z73" t="s">
        <v>49</v>
      </c>
      <c r="AA73" t="s">
        <v>49</v>
      </c>
      <c r="AB73" t="s">
        <v>49</v>
      </c>
      <c r="AC73" t="s">
        <v>49</v>
      </c>
      <c r="AD73" t="s">
        <v>49</v>
      </c>
      <c r="AE73" t="s">
        <v>49</v>
      </c>
      <c r="AF73" t="s">
        <v>49</v>
      </c>
      <c r="AG73" t="s">
        <v>49</v>
      </c>
      <c r="AH73" t="s">
        <v>49</v>
      </c>
      <c r="AI73" t="s">
        <v>49</v>
      </c>
    </row>
    <row r="74" spans="1:35" x14ac:dyDescent="0.25">
      <c r="A74" t="s">
        <v>136</v>
      </c>
      <c r="B74" t="s">
        <v>62</v>
      </c>
      <c r="C74" t="s">
        <v>63</v>
      </c>
      <c r="D74" t="s">
        <v>64</v>
      </c>
      <c r="E74" t="s">
        <v>59</v>
      </c>
      <c r="F74">
        <v>9.0300707019999997</v>
      </c>
      <c r="G74">
        <v>16.59567522</v>
      </c>
      <c r="H74">
        <v>60.339449979999998</v>
      </c>
      <c r="I74">
        <v>43.555726200000002</v>
      </c>
      <c r="J74">
        <v>39.601271859999997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49</v>
      </c>
      <c r="S74" t="s">
        <v>49</v>
      </c>
      <c r="T74" t="s">
        <v>49</v>
      </c>
      <c r="U74">
        <v>9.0300707019999997</v>
      </c>
      <c r="V74">
        <v>16.59567522</v>
      </c>
      <c r="W74">
        <v>60.339449979999998</v>
      </c>
      <c r="X74">
        <v>43.555726200000002</v>
      </c>
      <c r="Y74">
        <v>39.601271859999997</v>
      </c>
      <c r="Z74" t="s">
        <v>49</v>
      </c>
      <c r="AA74" t="s">
        <v>49</v>
      </c>
      <c r="AB74" t="s">
        <v>49</v>
      </c>
      <c r="AC74" t="s">
        <v>49</v>
      </c>
      <c r="AD74" t="s">
        <v>49</v>
      </c>
      <c r="AE74" t="s">
        <v>49</v>
      </c>
      <c r="AF74" t="s">
        <v>49</v>
      </c>
      <c r="AG74" t="s">
        <v>49</v>
      </c>
      <c r="AH74" t="s">
        <v>49</v>
      </c>
      <c r="AI74" t="s">
        <v>49</v>
      </c>
    </row>
    <row r="75" spans="1:35" x14ac:dyDescent="0.25">
      <c r="A75" t="s">
        <v>53</v>
      </c>
      <c r="B75" t="s">
        <v>49</v>
      </c>
      <c r="E75" t="s">
        <v>50</v>
      </c>
      <c r="F75" t="s">
        <v>49</v>
      </c>
      <c r="G75" t="s">
        <v>49</v>
      </c>
      <c r="H75" t="s">
        <v>49</v>
      </c>
      <c r="I75" t="s">
        <v>49</v>
      </c>
      <c r="J75" t="s">
        <v>49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49</v>
      </c>
      <c r="S75" t="s">
        <v>49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49</v>
      </c>
      <c r="Z75" t="s">
        <v>49</v>
      </c>
      <c r="AA75" t="s">
        <v>49</v>
      </c>
      <c r="AB75" t="s">
        <v>49</v>
      </c>
      <c r="AC75" t="s">
        <v>49</v>
      </c>
      <c r="AD75" t="s">
        <v>49</v>
      </c>
      <c r="AE75" t="s">
        <v>49</v>
      </c>
      <c r="AF75" t="s">
        <v>49</v>
      </c>
      <c r="AG75" t="s">
        <v>49</v>
      </c>
      <c r="AH75" t="s">
        <v>49</v>
      </c>
      <c r="AI75" t="s">
        <v>49</v>
      </c>
    </row>
    <row r="76" spans="1:35" x14ac:dyDescent="0.25">
      <c r="A76" t="s">
        <v>144</v>
      </c>
      <c r="B76" t="s">
        <v>49</v>
      </c>
      <c r="E76" t="s">
        <v>50</v>
      </c>
      <c r="F76" t="s">
        <v>49</v>
      </c>
      <c r="G76" t="s">
        <v>49</v>
      </c>
      <c r="H76" t="s">
        <v>49</v>
      </c>
      <c r="I76" t="s">
        <v>49</v>
      </c>
      <c r="J76" t="s">
        <v>49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49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49</v>
      </c>
      <c r="Z76" t="s">
        <v>49</v>
      </c>
      <c r="AA76" t="s">
        <v>49</v>
      </c>
      <c r="AB76" t="s">
        <v>49</v>
      </c>
      <c r="AC76" t="s">
        <v>49</v>
      </c>
      <c r="AD76" t="s">
        <v>49</v>
      </c>
      <c r="AE76" t="s">
        <v>49</v>
      </c>
      <c r="AF76" t="s">
        <v>49</v>
      </c>
      <c r="AG76" t="s">
        <v>49</v>
      </c>
      <c r="AH76" t="s">
        <v>49</v>
      </c>
      <c r="AI76" t="s">
        <v>49</v>
      </c>
    </row>
    <row r="77" spans="1:35" x14ac:dyDescent="0.25">
      <c r="A77" t="s">
        <v>145</v>
      </c>
      <c r="B77" t="s">
        <v>49</v>
      </c>
      <c r="E77" t="s">
        <v>50</v>
      </c>
      <c r="F77" t="s">
        <v>49</v>
      </c>
      <c r="G77" t="s">
        <v>49</v>
      </c>
      <c r="H77" t="s">
        <v>49</v>
      </c>
      <c r="I77" t="s">
        <v>49</v>
      </c>
      <c r="J77" t="s">
        <v>49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49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49</v>
      </c>
      <c r="Z77" t="s">
        <v>49</v>
      </c>
      <c r="AA77" t="s">
        <v>49</v>
      </c>
      <c r="AB77" t="s">
        <v>49</v>
      </c>
      <c r="AC77" t="s">
        <v>49</v>
      </c>
      <c r="AD77" t="s">
        <v>49</v>
      </c>
      <c r="AE77" t="s">
        <v>49</v>
      </c>
      <c r="AF77" t="s">
        <v>49</v>
      </c>
      <c r="AG77" t="s">
        <v>49</v>
      </c>
      <c r="AH77" t="s">
        <v>49</v>
      </c>
      <c r="AI77" t="s">
        <v>49</v>
      </c>
    </row>
    <row r="78" spans="1:35" x14ac:dyDescent="0.25">
      <c r="A78" t="s">
        <v>49</v>
      </c>
      <c r="B78" t="s">
        <v>49</v>
      </c>
      <c r="E78" t="s">
        <v>50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49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49</v>
      </c>
      <c r="Z78" t="s">
        <v>49</v>
      </c>
      <c r="AA78" t="s">
        <v>49</v>
      </c>
      <c r="AB78" t="s">
        <v>49</v>
      </c>
      <c r="AC78" t="s">
        <v>49</v>
      </c>
      <c r="AD78" t="s">
        <v>49</v>
      </c>
      <c r="AE78" t="s">
        <v>49</v>
      </c>
      <c r="AF78" t="s">
        <v>49</v>
      </c>
      <c r="AG78" t="s">
        <v>49</v>
      </c>
      <c r="AH78" t="s">
        <v>49</v>
      </c>
      <c r="AI78" t="s">
        <v>49</v>
      </c>
    </row>
    <row r="79" spans="1:35" x14ac:dyDescent="0.25">
      <c r="A79" t="s">
        <v>146</v>
      </c>
      <c r="B79" t="s">
        <v>49</v>
      </c>
      <c r="E79" t="s">
        <v>52</v>
      </c>
      <c r="U79" t="s">
        <v>49</v>
      </c>
      <c r="V79" t="s">
        <v>49</v>
      </c>
      <c r="W79" t="s">
        <v>49</v>
      </c>
      <c r="X79" t="s">
        <v>49</v>
      </c>
      <c r="Y79" t="s">
        <v>49</v>
      </c>
      <c r="Z79" t="s">
        <v>49</v>
      </c>
      <c r="AA79" t="s">
        <v>49</v>
      </c>
      <c r="AB79" t="s">
        <v>49</v>
      </c>
      <c r="AC79" t="s">
        <v>49</v>
      </c>
      <c r="AD79" t="s">
        <v>49</v>
      </c>
      <c r="AE79" t="s">
        <v>49</v>
      </c>
      <c r="AF79" t="s">
        <v>49</v>
      </c>
      <c r="AG79" t="s">
        <v>49</v>
      </c>
      <c r="AH79" t="s">
        <v>49</v>
      </c>
      <c r="AI79" t="s">
        <v>49</v>
      </c>
    </row>
    <row r="80" spans="1:35" x14ac:dyDescent="0.25">
      <c r="A80" t="s">
        <v>53</v>
      </c>
      <c r="B80" t="s">
        <v>49</v>
      </c>
      <c r="E80" t="s">
        <v>50</v>
      </c>
      <c r="F80" t="s">
        <v>49</v>
      </c>
      <c r="G80" t="s">
        <v>49</v>
      </c>
      <c r="H80" t="s">
        <v>49</v>
      </c>
      <c r="I80" t="s">
        <v>49</v>
      </c>
      <c r="J80" t="s">
        <v>49</v>
      </c>
      <c r="K80" t="s">
        <v>49</v>
      </c>
      <c r="L80" t="s">
        <v>49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49</v>
      </c>
      <c r="S80" t="s">
        <v>49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49</v>
      </c>
      <c r="Z80" t="s">
        <v>49</v>
      </c>
      <c r="AA80" t="s">
        <v>49</v>
      </c>
      <c r="AB80" t="s">
        <v>49</v>
      </c>
      <c r="AC80" t="s">
        <v>49</v>
      </c>
      <c r="AD80" t="s">
        <v>49</v>
      </c>
      <c r="AE80" t="s">
        <v>49</v>
      </c>
      <c r="AF80" t="s">
        <v>49</v>
      </c>
      <c r="AG80" t="s">
        <v>49</v>
      </c>
      <c r="AH80" t="s">
        <v>49</v>
      </c>
      <c r="AI80" t="s">
        <v>49</v>
      </c>
    </row>
    <row r="81" spans="1:35" x14ac:dyDescent="0.25">
      <c r="A81" t="s">
        <v>147</v>
      </c>
      <c r="B81" t="s">
        <v>49</v>
      </c>
      <c r="E81" t="s">
        <v>50</v>
      </c>
      <c r="F81" t="s">
        <v>49</v>
      </c>
      <c r="G81" t="s">
        <v>49</v>
      </c>
      <c r="H81" t="s">
        <v>49</v>
      </c>
      <c r="I81" t="s">
        <v>49</v>
      </c>
      <c r="J81" t="s">
        <v>49</v>
      </c>
      <c r="K81" t="s">
        <v>49</v>
      </c>
      <c r="L81" t="s">
        <v>49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49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49</v>
      </c>
      <c r="Z81" t="s">
        <v>49</v>
      </c>
      <c r="AA81" t="s">
        <v>49</v>
      </c>
      <c r="AB81" t="s">
        <v>49</v>
      </c>
      <c r="AC81" t="s">
        <v>49</v>
      </c>
      <c r="AD81" t="s">
        <v>49</v>
      </c>
      <c r="AE81" t="s">
        <v>49</v>
      </c>
      <c r="AF81" t="s">
        <v>49</v>
      </c>
      <c r="AG81" t="s">
        <v>49</v>
      </c>
      <c r="AH81" t="s">
        <v>49</v>
      </c>
      <c r="AI81" t="s">
        <v>49</v>
      </c>
    </row>
    <row r="82" spans="1:35" x14ac:dyDescent="0.25">
      <c r="A82" t="s">
        <v>148</v>
      </c>
      <c r="B82" t="s">
        <v>62</v>
      </c>
      <c r="C82" t="s">
        <v>63</v>
      </c>
      <c r="D82" t="s">
        <v>64</v>
      </c>
      <c r="E82" t="s">
        <v>59</v>
      </c>
      <c r="F82">
        <v>7874.0805579999997</v>
      </c>
      <c r="G82">
        <v>7158.7448009999998</v>
      </c>
      <c r="H82">
        <v>6603.9899299999997</v>
      </c>
      <c r="I82">
        <v>6325.7234129999997</v>
      </c>
      <c r="J82">
        <v>5984.3790710000003</v>
      </c>
      <c r="K82">
        <v>5365.1230679999999</v>
      </c>
      <c r="L82">
        <v>5037.1177109999999</v>
      </c>
      <c r="M82">
        <v>4616.0818810000001</v>
      </c>
      <c r="N82">
        <v>4510.4188770000001</v>
      </c>
      <c r="O82">
        <v>3942.5040389999999</v>
      </c>
      <c r="P82">
        <v>3160.6711639999999</v>
      </c>
      <c r="Q82">
        <v>3008.6622670000002</v>
      </c>
      <c r="R82">
        <v>2573.167512</v>
      </c>
      <c r="S82">
        <v>1945.7821349999999</v>
      </c>
      <c r="T82">
        <v>1393.7441839999999</v>
      </c>
      <c r="U82">
        <v>7874.0805579999997</v>
      </c>
      <c r="V82">
        <v>7158.7448009999998</v>
      </c>
      <c r="W82">
        <v>6603.9899299999997</v>
      </c>
      <c r="X82">
        <v>6325.7234129999997</v>
      </c>
      <c r="Y82">
        <v>5984.3790710000003</v>
      </c>
      <c r="Z82">
        <v>5365.1230679999999</v>
      </c>
      <c r="AA82">
        <v>5037.1177109999999</v>
      </c>
      <c r="AB82">
        <v>4616.0818810000001</v>
      </c>
      <c r="AC82">
        <v>4510.4188770000001</v>
      </c>
      <c r="AD82">
        <v>3942.5040389999999</v>
      </c>
      <c r="AE82">
        <v>3160.6711639999999</v>
      </c>
      <c r="AF82">
        <v>3008.6622670000002</v>
      </c>
      <c r="AG82">
        <v>2573.167512</v>
      </c>
      <c r="AH82">
        <v>1945.7821349999999</v>
      </c>
      <c r="AI82">
        <v>1393.7441839999999</v>
      </c>
    </row>
    <row r="83" spans="1:35" x14ac:dyDescent="0.25">
      <c r="A83" t="s">
        <v>149</v>
      </c>
      <c r="B83" t="s">
        <v>62</v>
      </c>
      <c r="C83" t="s">
        <v>63</v>
      </c>
      <c r="D83" t="s">
        <v>64</v>
      </c>
      <c r="E83" t="s">
        <v>59</v>
      </c>
      <c r="F83">
        <v>3092.2348360000001</v>
      </c>
      <c r="G83">
        <v>2853.0254770000001</v>
      </c>
      <c r="H83">
        <v>2596.3026060000002</v>
      </c>
      <c r="I83">
        <v>2295.9237589999998</v>
      </c>
      <c r="J83">
        <v>2197.6412369999998</v>
      </c>
      <c r="K83">
        <v>2098.8340499999999</v>
      </c>
      <c r="L83">
        <v>2028.8919860000001</v>
      </c>
      <c r="M83">
        <v>1717.124352</v>
      </c>
      <c r="N83">
        <v>1549.9656460000001</v>
      </c>
      <c r="O83">
        <v>1301.215138</v>
      </c>
      <c r="P83">
        <v>1105.5593699999999</v>
      </c>
      <c r="Q83">
        <v>1249.5936400000001</v>
      </c>
      <c r="R83">
        <v>1164.377569</v>
      </c>
      <c r="S83">
        <v>809.96884139999997</v>
      </c>
      <c r="T83">
        <v>528.07719810000003</v>
      </c>
      <c r="U83">
        <v>3092.2348360000001</v>
      </c>
      <c r="V83">
        <v>2853.0254770000001</v>
      </c>
      <c r="W83">
        <v>2596.3026060000002</v>
      </c>
      <c r="X83">
        <v>2295.9237589999998</v>
      </c>
      <c r="Y83">
        <v>2197.6412369999998</v>
      </c>
      <c r="Z83">
        <v>2098.8340499999999</v>
      </c>
      <c r="AA83">
        <v>2028.8919860000001</v>
      </c>
      <c r="AB83">
        <v>1717.124352</v>
      </c>
      <c r="AC83">
        <v>1549.9656460000001</v>
      </c>
      <c r="AD83">
        <v>1301.215138</v>
      </c>
      <c r="AE83">
        <v>1105.5593699999999</v>
      </c>
      <c r="AF83">
        <v>1249.5936400000001</v>
      </c>
      <c r="AG83">
        <v>1164.377569</v>
      </c>
      <c r="AH83">
        <v>809.96884139999997</v>
      </c>
      <c r="AI83">
        <v>528.07719810000003</v>
      </c>
    </row>
    <row r="84" spans="1:35" x14ac:dyDescent="0.25">
      <c r="A84" t="s">
        <v>150</v>
      </c>
      <c r="B84" t="s">
        <v>62</v>
      </c>
      <c r="C84" t="s">
        <v>63</v>
      </c>
      <c r="D84" t="s">
        <v>64</v>
      </c>
      <c r="E84" t="s">
        <v>59</v>
      </c>
      <c r="F84">
        <v>333.68933140000001</v>
      </c>
      <c r="G84">
        <v>292.99950740000003</v>
      </c>
      <c r="H84">
        <v>346.05993030000002</v>
      </c>
      <c r="I84">
        <v>325.176312</v>
      </c>
      <c r="J84">
        <v>248.15777700000001</v>
      </c>
      <c r="K84">
        <v>210.06336580000001</v>
      </c>
      <c r="L84">
        <v>214.31724320000001</v>
      </c>
      <c r="M84">
        <v>154.6478453</v>
      </c>
      <c r="N84">
        <v>156.65103400000001</v>
      </c>
      <c r="O84">
        <v>131.5046174</v>
      </c>
      <c r="P84">
        <v>56.998478120000001</v>
      </c>
      <c r="Q84">
        <v>62.205888459999997</v>
      </c>
      <c r="R84">
        <v>54.45199393</v>
      </c>
      <c r="S84">
        <v>47.528193479999999</v>
      </c>
      <c r="T84">
        <v>37.284012709999999</v>
      </c>
      <c r="U84">
        <v>333.68933140000001</v>
      </c>
      <c r="V84">
        <v>292.99950740000003</v>
      </c>
      <c r="W84">
        <v>346.05993030000002</v>
      </c>
      <c r="X84">
        <v>325.176312</v>
      </c>
      <c r="Y84">
        <v>248.15777700000001</v>
      </c>
      <c r="Z84">
        <v>210.06336580000001</v>
      </c>
      <c r="AA84">
        <v>214.31724320000001</v>
      </c>
      <c r="AB84">
        <v>154.6478453</v>
      </c>
      <c r="AC84">
        <v>156.65103400000001</v>
      </c>
      <c r="AD84">
        <v>131.5046174</v>
      </c>
      <c r="AE84">
        <v>56.998478120000001</v>
      </c>
      <c r="AF84">
        <v>62.205888459999997</v>
      </c>
      <c r="AG84">
        <v>54.45199393</v>
      </c>
      <c r="AH84">
        <v>47.528193479999999</v>
      </c>
      <c r="AI84">
        <v>37.284012709999999</v>
      </c>
    </row>
    <row r="85" spans="1:35" x14ac:dyDescent="0.25">
      <c r="A85" t="s">
        <v>151</v>
      </c>
      <c r="B85" t="s">
        <v>62</v>
      </c>
      <c r="C85" t="s">
        <v>63</v>
      </c>
      <c r="D85" t="s">
        <v>64</v>
      </c>
      <c r="E85" t="s">
        <v>59</v>
      </c>
      <c r="F85">
        <v>1510.13823</v>
      </c>
      <c r="G85">
        <v>1523.225467</v>
      </c>
      <c r="H85">
        <v>1392.615892</v>
      </c>
      <c r="I85">
        <v>1268.485944</v>
      </c>
      <c r="J85">
        <v>1117.0922479999999</v>
      </c>
      <c r="K85">
        <v>1049.0080230000001</v>
      </c>
      <c r="L85">
        <v>1022.8928079999999</v>
      </c>
      <c r="M85">
        <v>932.3003281</v>
      </c>
      <c r="N85">
        <v>847.75853710000001</v>
      </c>
      <c r="O85">
        <v>662.35297279999997</v>
      </c>
      <c r="P85">
        <v>477.73168879999997</v>
      </c>
      <c r="Q85">
        <v>431.0605228</v>
      </c>
      <c r="R85">
        <v>358.28914730000002</v>
      </c>
      <c r="S85">
        <v>267.92637439999999</v>
      </c>
      <c r="T85">
        <v>192.29512009999999</v>
      </c>
      <c r="U85">
        <v>1510.13823</v>
      </c>
      <c r="V85">
        <v>1523.225467</v>
      </c>
      <c r="W85">
        <v>1392.615892</v>
      </c>
      <c r="X85">
        <v>1268.485944</v>
      </c>
      <c r="Y85">
        <v>1117.0922479999999</v>
      </c>
      <c r="Z85">
        <v>1049.0080230000001</v>
      </c>
      <c r="AA85">
        <v>1022.8928079999999</v>
      </c>
      <c r="AB85">
        <v>932.3003281</v>
      </c>
      <c r="AC85">
        <v>847.75853710000001</v>
      </c>
      <c r="AD85">
        <v>662.35297279999997</v>
      </c>
      <c r="AE85">
        <v>477.73168879999997</v>
      </c>
      <c r="AF85">
        <v>431.0605228</v>
      </c>
      <c r="AG85">
        <v>358.28914730000002</v>
      </c>
      <c r="AH85">
        <v>267.92637439999999</v>
      </c>
      <c r="AI85">
        <v>192.29512009999999</v>
      </c>
    </row>
    <row r="86" spans="1:35" x14ac:dyDescent="0.25">
      <c r="A86" t="s">
        <v>49</v>
      </c>
      <c r="B86" t="s">
        <v>49</v>
      </c>
      <c r="E86" t="s">
        <v>50</v>
      </c>
      <c r="F86" t="s">
        <v>49</v>
      </c>
      <c r="G86" t="s">
        <v>49</v>
      </c>
      <c r="H86" t="s">
        <v>49</v>
      </c>
      <c r="I86" t="s">
        <v>49</v>
      </c>
      <c r="J86" t="s">
        <v>49</v>
      </c>
      <c r="K86" t="s">
        <v>49</v>
      </c>
      <c r="L86" t="s">
        <v>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49</v>
      </c>
      <c r="S86" t="s">
        <v>49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49</v>
      </c>
      <c r="Z86" t="s">
        <v>49</v>
      </c>
      <c r="AA86" t="s">
        <v>49</v>
      </c>
      <c r="AB86" t="s">
        <v>49</v>
      </c>
      <c r="AC86" t="s">
        <v>49</v>
      </c>
      <c r="AD86" t="s">
        <v>49</v>
      </c>
      <c r="AE86" t="s">
        <v>49</v>
      </c>
      <c r="AF86" t="s">
        <v>49</v>
      </c>
      <c r="AG86" t="s">
        <v>49</v>
      </c>
      <c r="AH86" t="s">
        <v>49</v>
      </c>
      <c r="AI86" t="s">
        <v>49</v>
      </c>
    </row>
    <row r="87" spans="1:35" x14ac:dyDescent="0.25">
      <c r="U87" t="s">
        <v>49</v>
      </c>
      <c r="V87" t="s">
        <v>49</v>
      </c>
      <c r="W87" t="s">
        <v>49</v>
      </c>
      <c r="X87" t="s">
        <v>49</v>
      </c>
      <c r="Y87" t="s">
        <v>49</v>
      </c>
      <c r="Z87" t="s">
        <v>49</v>
      </c>
      <c r="AA87" t="s">
        <v>49</v>
      </c>
      <c r="AB87" t="s">
        <v>49</v>
      </c>
      <c r="AC87" t="s">
        <v>49</v>
      </c>
      <c r="AD87" t="s">
        <v>49</v>
      </c>
      <c r="AE87" t="s">
        <v>49</v>
      </c>
      <c r="AF87" t="s">
        <v>49</v>
      </c>
      <c r="AG87" t="s">
        <v>49</v>
      </c>
      <c r="AH87" t="s">
        <v>49</v>
      </c>
      <c r="AI87" t="s">
        <v>49</v>
      </c>
    </row>
    <row r="88" spans="1:35" x14ac:dyDescent="0.25">
      <c r="U88" t="s">
        <v>49</v>
      </c>
      <c r="V88" t="s">
        <v>49</v>
      </c>
      <c r="W88" t="s">
        <v>49</v>
      </c>
      <c r="X88" t="s">
        <v>49</v>
      </c>
      <c r="Y88" t="s">
        <v>49</v>
      </c>
      <c r="Z88" t="s">
        <v>49</v>
      </c>
      <c r="AA88" t="s">
        <v>49</v>
      </c>
      <c r="AB88" t="s">
        <v>49</v>
      </c>
      <c r="AC88" t="s">
        <v>49</v>
      </c>
      <c r="AD88" t="s">
        <v>49</v>
      </c>
      <c r="AE88" t="s">
        <v>49</v>
      </c>
      <c r="AF88" t="s">
        <v>49</v>
      </c>
      <c r="AG88" t="s">
        <v>49</v>
      </c>
      <c r="AH88" t="s">
        <v>49</v>
      </c>
      <c r="AI88" t="s">
        <v>49</v>
      </c>
    </row>
    <row r="89" spans="1:35" x14ac:dyDescent="0.25">
      <c r="U89" t="s">
        <v>49</v>
      </c>
      <c r="V89" t="s">
        <v>49</v>
      </c>
      <c r="W89" t="s">
        <v>49</v>
      </c>
      <c r="X89" t="s">
        <v>49</v>
      </c>
      <c r="Y89" t="s">
        <v>49</v>
      </c>
      <c r="Z89" t="s">
        <v>49</v>
      </c>
      <c r="AA89" t="s">
        <v>49</v>
      </c>
      <c r="AB89" t="s">
        <v>49</v>
      </c>
      <c r="AC89" t="s">
        <v>49</v>
      </c>
      <c r="AD89" t="s">
        <v>49</v>
      </c>
      <c r="AE89" t="s">
        <v>49</v>
      </c>
      <c r="AF89" t="s">
        <v>49</v>
      </c>
      <c r="AG89" t="s">
        <v>49</v>
      </c>
      <c r="AH89" t="s">
        <v>49</v>
      </c>
      <c r="AI89" t="s">
        <v>49</v>
      </c>
    </row>
    <row r="90" spans="1:35" x14ac:dyDescent="0.25">
      <c r="U90" t="s">
        <v>49</v>
      </c>
      <c r="V90" t="s">
        <v>49</v>
      </c>
      <c r="W90" t="s">
        <v>49</v>
      </c>
      <c r="X90" t="s">
        <v>49</v>
      </c>
      <c r="Y90" t="s">
        <v>49</v>
      </c>
      <c r="Z90" t="s">
        <v>49</v>
      </c>
      <c r="AA90" t="s">
        <v>49</v>
      </c>
      <c r="AB90" t="s">
        <v>49</v>
      </c>
      <c r="AC90" t="s">
        <v>49</v>
      </c>
      <c r="AD90" t="s">
        <v>49</v>
      </c>
      <c r="AE90" t="s">
        <v>49</v>
      </c>
      <c r="AF90" t="s">
        <v>49</v>
      </c>
      <c r="AG90" t="s">
        <v>49</v>
      </c>
      <c r="AH90" t="s">
        <v>49</v>
      </c>
      <c r="AI90" t="s">
        <v>49</v>
      </c>
    </row>
    <row r="91" spans="1:35" x14ac:dyDescent="0.25">
      <c r="U91" t="s">
        <v>49</v>
      </c>
      <c r="V91" t="s">
        <v>49</v>
      </c>
      <c r="W91" t="s">
        <v>49</v>
      </c>
      <c r="X91" t="s">
        <v>49</v>
      </c>
      <c r="Y91" t="s">
        <v>49</v>
      </c>
      <c r="Z91" t="s">
        <v>49</v>
      </c>
      <c r="AA91" t="s">
        <v>49</v>
      </c>
      <c r="AB91" t="s">
        <v>49</v>
      </c>
      <c r="AC91" t="s">
        <v>49</v>
      </c>
      <c r="AD91" t="s">
        <v>49</v>
      </c>
      <c r="AE91" t="s">
        <v>49</v>
      </c>
      <c r="AF91" t="s">
        <v>49</v>
      </c>
      <c r="AG91" t="s">
        <v>49</v>
      </c>
      <c r="AH91" t="s">
        <v>49</v>
      </c>
      <c r="AI91" t="s">
        <v>49</v>
      </c>
    </row>
    <row r="92" spans="1:35" x14ac:dyDescent="0.25">
      <c r="U92" t="s">
        <v>49</v>
      </c>
      <c r="V92" t="s">
        <v>49</v>
      </c>
      <c r="W92" t="s">
        <v>49</v>
      </c>
      <c r="X92" t="s">
        <v>49</v>
      </c>
      <c r="Y92" t="s">
        <v>49</v>
      </c>
      <c r="Z92" t="s">
        <v>49</v>
      </c>
      <c r="AA92" t="s">
        <v>49</v>
      </c>
      <c r="AB92" t="s">
        <v>49</v>
      </c>
      <c r="AC92" t="s">
        <v>49</v>
      </c>
      <c r="AD92" t="s">
        <v>49</v>
      </c>
      <c r="AE92" t="s">
        <v>49</v>
      </c>
      <c r="AF92" t="s">
        <v>49</v>
      </c>
      <c r="AG92" t="s">
        <v>49</v>
      </c>
      <c r="AH92" t="s">
        <v>49</v>
      </c>
      <c r="AI92" t="s">
        <v>49</v>
      </c>
    </row>
    <row r="93" spans="1:35" x14ac:dyDescent="0.25">
      <c r="U93" t="s">
        <v>49</v>
      </c>
      <c r="V93" t="s">
        <v>49</v>
      </c>
      <c r="W93" t="s">
        <v>49</v>
      </c>
      <c r="X93" t="s">
        <v>49</v>
      </c>
      <c r="Y93" t="s">
        <v>49</v>
      </c>
      <c r="Z93" t="s">
        <v>49</v>
      </c>
      <c r="AA93" t="s">
        <v>49</v>
      </c>
      <c r="AB93" t="s">
        <v>49</v>
      </c>
      <c r="AC93" t="s">
        <v>49</v>
      </c>
      <c r="AD93" t="s">
        <v>49</v>
      </c>
      <c r="AE93" t="s">
        <v>49</v>
      </c>
      <c r="AF93" t="s">
        <v>49</v>
      </c>
      <c r="AG93" t="s">
        <v>49</v>
      </c>
      <c r="AH93" t="s">
        <v>49</v>
      </c>
      <c r="AI93" t="s">
        <v>49</v>
      </c>
    </row>
    <row r="94" spans="1:35" x14ac:dyDescent="0.25">
      <c r="A94" t="s">
        <v>152</v>
      </c>
      <c r="B94" t="s">
        <v>152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49</v>
      </c>
      <c r="V94" t="s">
        <v>49</v>
      </c>
      <c r="W94" t="s">
        <v>49</v>
      </c>
      <c r="X94" t="s">
        <v>49</v>
      </c>
      <c r="Y94" t="s">
        <v>49</v>
      </c>
      <c r="Z94" t="s">
        <v>49</v>
      </c>
      <c r="AA94" t="s">
        <v>49</v>
      </c>
      <c r="AB94" t="s">
        <v>49</v>
      </c>
      <c r="AC94" t="s">
        <v>49</v>
      </c>
      <c r="AD94" t="s">
        <v>49</v>
      </c>
      <c r="AE94" t="s">
        <v>49</v>
      </c>
      <c r="AF94" t="s">
        <v>49</v>
      </c>
      <c r="AG94" t="s">
        <v>49</v>
      </c>
      <c r="AH94" t="s">
        <v>49</v>
      </c>
      <c r="AI94" t="s">
        <v>49</v>
      </c>
    </row>
    <row r="95" spans="1:35" x14ac:dyDescent="0.25">
      <c r="A95" t="s">
        <v>153</v>
      </c>
      <c r="U95" t="s">
        <v>49</v>
      </c>
      <c r="V95" t="s">
        <v>49</v>
      </c>
      <c r="W95" t="s">
        <v>49</v>
      </c>
      <c r="X95" t="s">
        <v>49</v>
      </c>
      <c r="Y95" t="s">
        <v>49</v>
      </c>
      <c r="Z95" t="s">
        <v>49</v>
      </c>
      <c r="AA95" t="s">
        <v>49</v>
      </c>
      <c r="AB95" t="s">
        <v>49</v>
      </c>
      <c r="AC95" t="s">
        <v>49</v>
      </c>
      <c r="AD95" t="s">
        <v>49</v>
      </c>
      <c r="AE95" t="s">
        <v>49</v>
      </c>
      <c r="AF95" t="s">
        <v>49</v>
      </c>
      <c r="AG95" t="s">
        <v>49</v>
      </c>
      <c r="AH95" t="s">
        <v>49</v>
      </c>
      <c r="AI95" t="s">
        <v>49</v>
      </c>
    </row>
    <row r="96" spans="1:35" x14ac:dyDescent="0.25">
      <c r="A96">
        <v>0</v>
      </c>
      <c r="U96" t="s">
        <v>49</v>
      </c>
      <c r="V96" t="s">
        <v>49</v>
      </c>
      <c r="W96" t="s">
        <v>49</v>
      </c>
      <c r="X96" t="s">
        <v>49</v>
      </c>
      <c r="Y96" t="s">
        <v>49</v>
      </c>
      <c r="Z96" t="s">
        <v>49</v>
      </c>
      <c r="AA96" t="s">
        <v>49</v>
      </c>
      <c r="AB96" t="s">
        <v>49</v>
      </c>
      <c r="AC96" t="s">
        <v>49</v>
      </c>
      <c r="AD96" t="s">
        <v>49</v>
      </c>
      <c r="AE96" t="s">
        <v>49</v>
      </c>
      <c r="AF96" t="s">
        <v>49</v>
      </c>
      <c r="AG96" t="s">
        <v>49</v>
      </c>
      <c r="AH96" t="s">
        <v>49</v>
      </c>
      <c r="AI96" t="s">
        <v>49</v>
      </c>
    </row>
    <row r="97" spans="1:35" x14ac:dyDescent="0.25">
      <c r="A97" t="s">
        <v>154</v>
      </c>
      <c r="B97" t="s">
        <v>155</v>
      </c>
      <c r="U97" t="s">
        <v>49</v>
      </c>
      <c r="V97" t="s">
        <v>49</v>
      </c>
      <c r="W97" t="s">
        <v>49</v>
      </c>
      <c r="X97" t="s">
        <v>49</v>
      </c>
      <c r="Y97" t="s">
        <v>49</v>
      </c>
      <c r="Z97" t="s">
        <v>49</v>
      </c>
      <c r="AA97" t="s">
        <v>49</v>
      </c>
      <c r="AB97" t="s">
        <v>49</v>
      </c>
      <c r="AC97" t="s">
        <v>49</v>
      </c>
      <c r="AD97" t="s">
        <v>49</v>
      </c>
      <c r="AE97" t="s">
        <v>49</v>
      </c>
      <c r="AF97" t="s">
        <v>49</v>
      </c>
      <c r="AG97" t="s">
        <v>49</v>
      </c>
      <c r="AH97" t="s">
        <v>49</v>
      </c>
      <c r="AI97" t="s">
        <v>49</v>
      </c>
    </row>
    <row r="98" spans="1:35" x14ac:dyDescent="0.25">
      <c r="A98" t="s">
        <v>156</v>
      </c>
      <c r="B98" t="s">
        <v>157</v>
      </c>
      <c r="C98" t="s">
        <v>158</v>
      </c>
      <c r="U98" t="s">
        <v>49</v>
      </c>
      <c r="V98" t="s">
        <v>49</v>
      </c>
      <c r="W98" t="s">
        <v>49</v>
      </c>
      <c r="X98" t="s">
        <v>49</v>
      </c>
      <c r="Y98" t="s">
        <v>49</v>
      </c>
      <c r="Z98" t="s">
        <v>49</v>
      </c>
      <c r="AA98" t="s">
        <v>49</v>
      </c>
      <c r="AB98" t="s">
        <v>49</v>
      </c>
      <c r="AC98" t="s">
        <v>49</v>
      </c>
      <c r="AD98" t="s">
        <v>49</v>
      </c>
      <c r="AE98" t="s">
        <v>49</v>
      </c>
      <c r="AF98" t="s">
        <v>49</v>
      </c>
      <c r="AG98" t="s">
        <v>49</v>
      </c>
      <c r="AH98" t="s">
        <v>49</v>
      </c>
      <c r="AI98" t="s">
        <v>49</v>
      </c>
    </row>
    <row r="99" spans="1:35" x14ac:dyDescent="0.25">
      <c r="A99" t="s">
        <v>159</v>
      </c>
      <c r="B99">
        <v>15</v>
      </c>
      <c r="U99" t="s">
        <v>49</v>
      </c>
      <c r="V99" t="s">
        <v>49</v>
      </c>
      <c r="W99" t="s">
        <v>49</v>
      </c>
      <c r="X99" t="s">
        <v>49</v>
      </c>
      <c r="Y99" t="s">
        <v>49</v>
      </c>
      <c r="Z99" t="s">
        <v>49</v>
      </c>
      <c r="AA99" t="s">
        <v>49</v>
      </c>
      <c r="AB99" t="s">
        <v>49</v>
      </c>
      <c r="AC99" t="s">
        <v>49</v>
      </c>
      <c r="AD99" t="s">
        <v>49</v>
      </c>
      <c r="AE99" t="s">
        <v>49</v>
      </c>
      <c r="AF99" t="s">
        <v>49</v>
      </c>
      <c r="AG99" t="s">
        <v>49</v>
      </c>
      <c r="AH99" t="s">
        <v>49</v>
      </c>
      <c r="AI99" t="s">
        <v>49</v>
      </c>
    </row>
    <row r="100" spans="1:35" x14ac:dyDescent="0.25">
      <c r="A100" t="s">
        <v>160</v>
      </c>
      <c r="B100" t="s">
        <v>161</v>
      </c>
      <c r="C100" t="s">
        <v>162</v>
      </c>
      <c r="U100" t="s">
        <v>49</v>
      </c>
      <c r="V100" t="s">
        <v>49</v>
      </c>
      <c r="W100" t="s">
        <v>49</v>
      </c>
      <c r="X100" t="s">
        <v>49</v>
      </c>
      <c r="Y100" t="s">
        <v>49</v>
      </c>
      <c r="Z100" t="s">
        <v>49</v>
      </c>
      <c r="AA100" t="s">
        <v>49</v>
      </c>
      <c r="AB100" t="s">
        <v>49</v>
      </c>
      <c r="AC100" t="s">
        <v>49</v>
      </c>
      <c r="AD100" t="s">
        <v>49</v>
      </c>
      <c r="AE100" t="s">
        <v>49</v>
      </c>
      <c r="AF100" t="s">
        <v>49</v>
      </c>
      <c r="AG100" t="s">
        <v>49</v>
      </c>
      <c r="AH100" t="s">
        <v>49</v>
      </c>
      <c r="AI100" t="s">
        <v>49</v>
      </c>
    </row>
    <row r="101" spans="1:35" x14ac:dyDescent="0.25">
      <c r="A101" t="s">
        <v>163</v>
      </c>
      <c r="B101">
        <v>43999</v>
      </c>
      <c r="U101" t="s">
        <v>49</v>
      </c>
      <c r="V101" t="s">
        <v>49</v>
      </c>
      <c r="W101" t="s">
        <v>49</v>
      </c>
      <c r="X101" t="s">
        <v>49</v>
      </c>
      <c r="Y101" t="s">
        <v>49</v>
      </c>
      <c r="Z101" t="s">
        <v>49</v>
      </c>
      <c r="AA101" t="s">
        <v>49</v>
      </c>
      <c r="AB101" t="s">
        <v>49</v>
      </c>
      <c r="AC101" t="s">
        <v>49</v>
      </c>
      <c r="AD101" t="s">
        <v>49</v>
      </c>
      <c r="AE101" t="s">
        <v>49</v>
      </c>
      <c r="AF101" t="s">
        <v>49</v>
      </c>
      <c r="AG101" t="s">
        <v>49</v>
      </c>
      <c r="AH101" t="s">
        <v>49</v>
      </c>
      <c r="AI101" t="s">
        <v>49</v>
      </c>
    </row>
    <row r="102" spans="1:35" x14ac:dyDescent="0.25">
      <c r="A102" t="s">
        <v>164</v>
      </c>
      <c r="B102">
        <v>4</v>
      </c>
      <c r="U102" t="s">
        <v>49</v>
      </c>
      <c r="V102" t="s">
        <v>49</v>
      </c>
      <c r="W102" t="s">
        <v>49</v>
      </c>
      <c r="X102" t="s">
        <v>49</v>
      </c>
      <c r="Y102" t="s">
        <v>49</v>
      </c>
      <c r="Z102" t="s">
        <v>49</v>
      </c>
      <c r="AA102" t="s">
        <v>49</v>
      </c>
      <c r="AB102" t="s">
        <v>49</v>
      </c>
      <c r="AC102" t="s">
        <v>49</v>
      </c>
      <c r="AD102" t="s">
        <v>49</v>
      </c>
      <c r="AE102" t="s">
        <v>49</v>
      </c>
      <c r="AF102" t="s">
        <v>49</v>
      </c>
      <c r="AG102" t="s">
        <v>49</v>
      </c>
      <c r="AH102" t="s">
        <v>49</v>
      </c>
      <c r="AI102" t="s">
        <v>49</v>
      </c>
    </row>
    <row r="103" spans="1:35" x14ac:dyDescent="0.25">
      <c r="U103" t="s">
        <v>49</v>
      </c>
      <c r="V103" t="s">
        <v>49</v>
      </c>
      <c r="W103" t="s">
        <v>49</v>
      </c>
      <c r="X103" t="s">
        <v>49</v>
      </c>
      <c r="Y103" t="s">
        <v>49</v>
      </c>
      <c r="Z103" t="s">
        <v>49</v>
      </c>
      <c r="AA103" t="s">
        <v>49</v>
      </c>
      <c r="AB103" t="s">
        <v>49</v>
      </c>
      <c r="AC103" t="s">
        <v>49</v>
      </c>
      <c r="AD103" t="s">
        <v>49</v>
      </c>
      <c r="AE103" t="s">
        <v>49</v>
      </c>
      <c r="AF103" t="s">
        <v>49</v>
      </c>
      <c r="AG103" t="s">
        <v>49</v>
      </c>
      <c r="AH103" t="s">
        <v>49</v>
      </c>
      <c r="AI103" t="s">
        <v>49</v>
      </c>
    </row>
    <row r="104" spans="1:35" x14ac:dyDescent="0.25">
      <c r="B104" t="s">
        <v>62</v>
      </c>
      <c r="C104" t="s">
        <v>165</v>
      </c>
      <c r="D104" t="s">
        <v>166</v>
      </c>
      <c r="E104" t="s">
        <v>59</v>
      </c>
      <c r="F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49</v>
      </c>
      <c r="Z104" t="s">
        <v>49</v>
      </c>
      <c r="AA104" t="s">
        <v>49</v>
      </c>
      <c r="AB104" t="s">
        <v>49</v>
      </c>
      <c r="AC104" t="s">
        <v>49</v>
      </c>
      <c r="AD104" t="s">
        <v>49</v>
      </c>
      <c r="AE104" t="s">
        <v>49</v>
      </c>
      <c r="AF104" t="s">
        <v>49</v>
      </c>
      <c r="AG104" t="s">
        <v>49</v>
      </c>
      <c r="AH104" t="s">
        <v>49</v>
      </c>
      <c r="AI104" t="s">
        <v>49</v>
      </c>
    </row>
    <row r="105" spans="1:35" x14ac:dyDescent="0.25">
      <c r="A105" t="s">
        <v>55</v>
      </c>
      <c r="B105" t="s">
        <v>56</v>
      </c>
      <c r="C105" t="s">
        <v>57</v>
      </c>
      <c r="D105" t="s">
        <v>58</v>
      </c>
      <c r="E105" t="s">
        <v>59</v>
      </c>
      <c r="F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49</v>
      </c>
      <c r="Z105" t="s">
        <v>49</v>
      </c>
      <c r="AA105" t="s">
        <v>49</v>
      </c>
      <c r="AB105" t="s">
        <v>49</v>
      </c>
      <c r="AC105" t="s">
        <v>49</v>
      </c>
      <c r="AD105" t="s">
        <v>49</v>
      </c>
      <c r="AE105" t="s">
        <v>49</v>
      </c>
      <c r="AF105" t="s">
        <v>49</v>
      </c>
      <c r="AG105" t="s">
        <v>49</v>
      </c>
      <c r="AH105" t="s">
        <v>49</v>
      </c>
      <c r="AI105" t="s">
        <v>49</v>
      </c>
    </row>
    <row r="106" spans="1:35" x14ac:dyDescent="0.25">
      <c r="A106" t="s">
        <v>61</v>
      </c>
      <c r="B106" t="s">
        <v>62</v>
      </c>
      <c r="C106" t="s">
        <v>63</v>
      </c>
      <c r="D106" t="s">
        <v>64</v>
      </c>
      <c r="E106" t="s">
        <v>59</v>
      </c>
      <c r="F106" t="s">
        <v>49</v>
      </c>
      <c r="H106">
        <v>7.1</v>
      </c>
      <c r="U106" t="s">
        <v>49</v>
      </c>
      <c r="V106" t="s">
        <v>49</v>
      </c>
      <c r="W106" t="s">
        <v>49</v>
      </c>
      <c r="X106" t="s">
        <v>49</v>
      </c>
      <c r="Y106" t="s">
        <v>49</v>
      </c>
      <c r="Z106" t="s">
        <v>49</v>
      </c>
      <c r="AA106" t="s">
        <v>49</v>
      </c>
      <c r="AB106" t="s">
        <v>49</v>
      </c>
      <c r="AC106" t="s">
        <v>49</v>
      </c>
      <c r="AD106" t="s">
        <v>49</v>
      </c>
      <c r="AE106" t="s">
        <v>49</v>
      </c>
      <c r="AF106" t="s">
        <v>49</v>
      </c>
      <c r="AG106" t="s">
        <v>49</v>
      </c>
      <c r="AH106" t="s">
        <v>49</v>
      </c>
      <c r="AI106" t="s">
        <v>49</v>
      </c>
    </row>
    <row r="107" spans="1:35" x14ac:dyDescent="0.25">
      <c r="A107" t="s">
        <v>65</v>
      </c>
      <c r="B107" t="s">
        <v>62</v>
      </c>
      <c r="C107" t="s">
        <v>63</v>
      </c>
      <c r="D107" t="s">
        <v>64</v>
      </c>
      <c r="E107" t="s">
        <v>59</v>
      </c>
      <c r="F107" t="s">
        <v>49</v>
      </c>
      <c r="H107">
        <v>3.3</v>
      </c>
      <c r="U107" t="s">
        <v>49</v>
      </c>
      <c r="V107" t="s">
        <v>49</v>
      </c>
      <c r="W107" t="s">
        <v>49</v>
      </c>
      <c r="X107" t="s">
        <v>49</v>
      </c>
      <c r="Y107" t="s">
        <v>49</v>
      </c>
      <c r="Z107" t="s">
        <v>49</v>
      </c>
      <c r="AA107" t="s">
        <v>49</v>
      </c>
      <c r="AB107" t="s">
        <v>49</v>
      </c>
      <c r="AC107" t="s">
        <v>49</v>
      </c>
      <c r="AD107" t="s">
        <v>49</v>
      </c>
      <c r="AE107" t="s">
        <v>49</v>
      </c>
      <c r="AF107" t="s">
        <v>49</v>
      </c>
      <c r="AG107" t="s">
        <v>49</v>
      </c>
      <c r="AH107" t="s">
        <v>49</v>
      </c>
      <c r="AI107" t="s">
        <v>49</v>
      </c>
    </row>
    <row r="108" spans="1:35" x14ac:dyDescent="0.25">
      <c r="A108" t="s">
        <v>66</v>
      </c>
      <c r="B108" t="s">
        <v>62</v>
      </c>
      <c r="C108" t="s">
        <v>63</v>
      </c>
      <c r="D108" t="s">
        <v>64</v>
      </c>
      <c r="E108" t="s">
        <v>59</v>
      </c>
      <c r="F108" t="s">
        <v>49</v>
      </c>
      <c r="H108">
        <v>4.2</v>
      </c>
      <c r="U108" t="s">
        <v>49</v>
      </c>
      <c r="V108" t="s">
        <v>49</v>
      </c>
      <c r="W108" t="s">
        <v>49</v>
      </c>
      <c r="X108" t="s">
        <v>49</v>
      </c>
      <c r="Y108" t="s">
        <v>49</v>
      </c>
      <c r="Z108" t="s">
        <v>49</v>
      </c>
      <c r="AA108" t="s">
        <v>49</v>
      </c>
      <c r="AB108" t="s">
        <v>49</v>
      </c>
      <c r="AC108" t="s">
        <v>49</v>
      </c>
      <c r="AD108" t="s">
        <v>49</v>
      </c>
      <c r="AE108" t="s">
        <v>49</v>
      </c>
      <c r="AF108" t="s">
        <v>49</v>
      </c>
      <c r="AG108" t="s">
        <v>49</v>
      </c>
      <c r="AH108" t="s">
        <v>49</v>
      </c>
      <c r="AI108" t="s">
        <v>49</v>
      </c>
    </row>
    <row r="109" spans="1:35" x14ac:dyDescent="0.25">
      <c r="A109" t="s">
        <v>67</v>
      </c>
      <c r="B109" t="s">
        <v>62</v>
      </c>
      <c r="C109" t="s">
        <v>68</v>
      </c>
      <c r="D109" t="s">
        <v>69</v>
      </c>
      <c r="E109" t="s">
        <v>59</v>
      </c>
      <c r="F109">
        <v>9.8000000000000007</v>
      </c>
      <c r="G109">
        <v>9</v>
      </c>
      <c r="N109">
        <v>22.3</v>
      </c>
      <c r="O109">
        <v>22.3</v>
      </c>
      <c r="Q109">
        <v>5.9</v>
      </c>
      <c r="U109" t="s">
        <v>49</v>
      </c>
      <c r="V109" t="s">
        <v>49</v>
      </c>
      <c r="W109" t="s">
        <v>49</v>
      </c>
      <c r="X109" t="s">
        <v>49</v>
      </c>
      <c r="Y109" t="s">
        <v>49</v>
      </c>
      <c r="Z109" t="s">
        <v>49</v>
      </c>
      <c r="AA109" t="s">
        <v>49</v>
      </c>
      <c r="AB109" t="s">
        <v>49</v>
      </c>
      <c r="AC109" t="s">
        <v>49</v>
      </c>
      <c r="AD109" t="s">
        <v>49</v>
      </c>
      <c r="AE109" t="s">
        <v>49</v>
      </c>
      <c r="AF109" t="s">
        <v>49</v>
      </c>
      <c r="AG109" t="s">
        <v>49</v>
      </c>
      <c r="AH109" t="s">
        <v>49</v>
      </c>
      <c r="AI109" t="s">
        <v>49</v>
      </c>
    </row>
    <row r="110" spans="1:35" x14ac:dyDescent="0.25">
      <c r="A110" t="s">
        <v>61</v>
      </c>
      <c r="B110" t="s">
        <v>62</v>
      </c>
      <c r="C110" t="s">
        <v>63</v>
      </c>
      <c r="D110" t="s">
        <v>64</v>
      </c>
      <c r="E110" t="s">
        <v>59</v>
      </c>
      <c r="F110" t="s">
        <v>49</v>
      </c>
      <c r="H110">
        <v>5.9</v>
      </c>
      <c r="U110" t="s">
        <v>49</v>
      </c>
      <c r="V110" t="s">
        <v>49</v>
      </c>
      <c r="W110" t="s">
        <v>49</v>
      </c>
      <c r="X110" t="s">
        <v>49</v>
      </c>
      <c r="Y110" t="s">
        <v>49</v>
      </c>
      <c r="Z110" t="s">
        <v>49</v>
      </c>
      <c r="AA110" t="s">
        <v>49</v>
      </c>
      <c r="AB110" t="s">
        <v>49</v>
      </c>
      <c r="AC110" t="s">
        <v>49</v>
      </c>
      <c r="AD110" t="s">
        <v>49</v>
      </c>
      <c r="AE110" t="s">
        <v>49</v>
      </c>
      <c r="AF110" t="s">
        <v>49</v>
      </c>
      <c r="AG110" t="s">
        <v>49</v>
      </c>
      <c r="AH110" t="s">
        <v>49</v>
      </c>
      <c r="AI110" t="s">
        <v>49</v>
      </c>
    </row>
    <row r="111" spans="1:35" x14ac:dyDescent="0.25">
      <c r="A111" t="s">
        <v>65</v>
      </c>
      <c r="B111" t="s">
        <v>62</v>
      </c>
      <c r="C111" t="s">
        <v>63</v>
      </c>
      <c r="D111" t="s">
        <v>64</v>
      </c>
      <c r="E111" t="s">
        <v>59</v>
      </c>
      <c r="F111" t="s">
        <v>49</v>
      </c>
      <c r="H111">
        <v>2</v>
      </c>
      <c r="U111" t="s">
        <v>49</v>
      </c>
      <c r="V111" t="s">
        <v>49</v>
      </c>
      <c r="W111" t="s">
        <v>49</v>
      </c>
      <c r="X111" t="s">
        <v>49</v>
      </c>
      <c r="Y111" t="s">
        <v>49</v>
      </c>
      <c r="Z111" t="s">
        <v>49</v>
      </c>
      <c r="AA111" t="s">
        <v>49</v>
      </c>
      <c r="AB111" t="s">
        <v>49</v>
      </c>
      <c r="AC111" t="s">
        <v>49</v>
      </c>
      <c r="AD111" t="s">
        <v>49</v>
      </c>
      <c r="AE111" t="s">
        <v>49</v>
      </c>
      <c r="AF111" t="s">
        <v>49</v>
      </c>
      <c r="AG111" t="s">
        <v>49</v>
      </c>
      <c r="AH111" t="s">
        <v>49</v>
      </c>
      <c r="AI111" t="s">
        <v>49</v>
      </c>
    </row>
    <row r="112" spans="1:35" x14ac:dyDescent="0.25">
      <c r="A112" t="s">
        <v>66</v>
      </c>
      <c r="B112" t="s">
        <v>62</v>
      </c>
      <c r="C112" t="s">
        <v>63</v>
      </c>
      <c r="D112" t="s">
        <v>64</v>
      </c>
      <c r="E112" t="s">
        <v>59</v>
      </c>
      <c r="F112" t="s">
        <v>49</v>
      </c>
      <c r="H112">
        <v>3.1</v>
      </c>
      <c r="U112" t="s">
        <v>49</v>
      </c>
      <c r="V112" t="s">
        <v>49</v>
      </c>
      <c r="W112" t="s">
        <v>49</v>
      </c>
      <c r="X112" t="s">
        <v>49</v>
      </c>
      <c r="Y112" t="s">
        <v>49</v>
      </c>
      <c r="Z112" t="s">
        <v>49</v>
      </c>
      <c r="AA112" t="s">
        <v>49</v>
      </c>
      <c r="AB112" t="s">
        <v>49</v>
      </c>
      <c r="AC112" t="s">
        <v>49</v>
      </c>
      <c r="AD112" t="s">
        <v>49</v>
      </c>
      <c r="AE112" t="s">
        <v>49</v>
      </c>
      <c r="AF112" t="s">
        <v>49</v>
      </c>
      <c r="AG112" t="s">
        <v>49</v>
      </c>
      <c r="AH112" t="s">
        <v>49</v>
      </c>
      <c r="AI112" t="s">
        <v>49</v>
      </c>
    </row>
    <row r="113" spans="1:35" x14ac:dyDescent="0.25">
      <c r="A113" t="s">
        <v>70</v>
      </c>
      <c r="B113" t="s">
        <v>56</v>
      </c>
      <c r="C113" t="s">
        <v>71</v>
      </c>
      <c r="D113" t="s">
        <v>72</v>
      </c>
      <c r="E113" t="s">
        <v>59</v>
      </c>
      <c r="F113">
        <v>9.8168000000000006</v>
      </c>
      <c r="G113">
        <v>17.232900000000001</v>
      </c>
      <c r="H113">
        <v>2.9759000000000002</v>
      </c>
      <c r="I113">
        <v>9.6778999999999993</v>
      </c>
      <c r="J113">
        <v>17.1083</v>
      </c>
      <c r="K113">
        <v>6.3551000000000002</v>
      </c>
      <c r="L113">
        <v>24.2392</v>
      </c>
      <c r="M113">
        <v>19.618200000000002</v>
      </c>
      <c r="N113">
        <v>22.6646</v>
      </c>
      <c r="O113">
        <v>20.925999999999998</v>
      </c>
      <c r="P113">
        <v>4.8357000000000001</v>
      </c>
      <c r="Q113">
        <v>29.9605</v>
      </c>
      <c r="R113">
        <v>20.146799999999999</v>
      </c>
      <c r="S113">
        <v>45.919499999999999</v>
      </c>
      <c r="T113">
        <v>33.540900000000001</v>
      </c>
      <c r="U113" t="s">
        <v>49</v>
      </c>
      <c r="V113" t="s">
        <v>49</v>
      </c>
      <c r="W113" t="s">
        <v>49</v>
      </c>
      <c r="X113" t="s">
        <v>49</v>
      </c>
      <c r="Y113" t="s">
        <v>49</v>
      </c>
      <c r="Z113" t="s">
        <v>49</v>
      </c>
      <c r="AA113" t="s">
        <v>49</v>
      </c>
      <c r="AB113" t="s">
        <v>49</v>
      </c>
      <c r="AC113" t="s">
        <v>49</v>
      </c>
      <c r="AD113" t="s">
        <v>49</v>
      </c>
      <c r="AE113" t="s">
        <v>49</v>
      </c>
      <c r="AF113" t="s">
        <v>49</v>
      </c>
      <c r="AG113" t="s">
        <v>49</v>
      </c>
      <c r="AH113" t="s">
        <v>49</v>
      </c>
      <c r="AI113" t="s">
        <v>49</v>
      </c>
    </row>
    <row r="114" spans="1:35" x14ac:dyDescent="0.25">
      <c r="A114" t="s">
        <v>73</v>
      </c>
      <c r="B114" t="s">
        <v>62</v>
      </c>
      <c r="C114" t="s">
        <v>74</v>
      </c>
      <c r="D114" t="s">
        <v>75</v>
      </c>
      <c r="E114" t="s">
        <v>59</v>
      </c>
      <c r="F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49</v>
      </c>
      <c r="Z114" t="s">
        <v>49</v>
      </c>
      <c r="AA114" t="s">
        <v>49</v>
      </c>
      <c r="AB114" t="s">
        <v>49</v>
      </c>
      <c r="AC114" t="s">
        <v>49</v>
      </c>
      <c r="AD114" t="s">
        <v>49</v>
      </c>
      <c r="AE114" t="s">
        <v>49</v>
      </c>
      <c r="AF114" t="s">
        <v>49</v>
      </c>
      <c r="AG114" t="s">
        <v>49</v>
      </c>
      <c r="AH114" t="s">
        <v>49</v>
      </c>
      <c r="AI114" t="s">
        <v>49</v>
      </c>
    </row>
    <row r="115" spans="1:35" x14ac:dyDescent="0.25">
      <c r="A115" t="s">
        <v>77</v>
      </c>
      <c r="B115" t="s">
        <v>56</v>
      </c>
      <c r="C115" t="s">
        <v>78</v>
      </c>
      <c r="D115" t="s">
        <v>79</v>
      </c>
      <c r="E115" t="s">
        <v>59</v>
      </c>
      <c r="F115">
        <v>5025.3753999999999</v>
      </c>
      <c r="G115">
        <v>3690.6779000000001</v>
      </c>
      <c r="U115" t="s">
        <v>49</v>
      </c>
      <c r="V115" t="s">
        <v>49</v>
      </c>
      <c r="W115" t="s">
        <v>49</v>
      </c>
      <c r="X115" t="s">
        <v>49</v>
      </c>
      <c r="Y115" t="s">
        <v>49</v>
      </c>
      <c r="Z115" t="s">
        <v>49</v>
      </c>
      <c r="AA115" t="s">
        <v>49</v>
      </c>
      <c r="AB115" t="s">
        <v>49</v>
      </c>
      <c r="AC115" t="s">
        <v>49</v>
      </c>
      <c r="AD115" t="s">
        <v>49</v>
      </c>
      <c r="AE115" t="s">
        <v>49</v>
      </c>
      <c r="AF115" t="s">
        <v>49</v>
      </c>
      <c r="AG115" t="s">
        <v>49</v>
      </c>
      <c r="AH115" t="s">
        <v>49</v>
      </c>
      <c r="AI115" t="s">
        <v>49</v>
      </c>
    </row>
    <row r="116" spans="1:35" x14ac:dyDescent="0.25">
      <c r="A116" t="s">
        <v>82</v>
      </c>
      <c r="B116" t="s">
        <v>62</v>
      </c>
      <c r="C116" t="s">
        <v>83</v>
      </c>
      <c r="D116" t="s">
        <v>84</v>
      </c>
      <c r="E116" t="s">
        <v>59</v>
      </c>
      <c r="F116">
        <v>37.799999999999997</v>
      </c>
      <c r="U116" t="s">
        <v>49</v>
      </c>
      <c r="V116" t="s">
        <v>49</v>
      </c>
      <c r="W116" t="s">
        <v>49</v>
      </c>
      <c r="X116" t="s">
        <v>49</v>
      </c>
      <c r="Y116" t="s">
        <v>49</v>
      </c>
      <c r="Z116" t="s">
        <v>49</v>
      </c>
      <c r="AA116" t="s">
        <v>49</v>
      </c>
      <c r="AB116" t="s">
        <v>49</v>
      </c>
      <c r="AC116" t="s">
        <v>49</v>
      </c>
      <c r="AD116" t="s">
        <v>49</v>
      </c>
      <c r="AE116" t="s">
        <v>49</v>
      </c>
      <c r="AF116" t="s">
        <v>49</v>
      </c>
      <c r="AG116" t="s">
        <v>49</v>
      </c>
      <c r="AH116" t="s">
        <v>49</v>
      </c>
      <c r="AI116" t="s">
        <v>49</v>
      </c>
    </row>
    <row r="117" spans="1:35" x14ac:dyDescent="0.25">
      <c r="A117" t="s">
        <v>86</v>
      </c>
      <c r="B117" t="s">
        <v>62</v>
      </c>
      <c r="C117" t="s">
        <v>87</v>
      </c>
      <c r="D117" t="s">
        <v>88</v>
      </c>
      <c r="E117" t="s">
        <v>59</v>
      </c>
      <c r="F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49</v>
      </c>
      <c r="Z117" t="s">
        <v>49</v>
      </c>
      <c r="AA117" t="s">
        <v>49</v>
      </c>
      <c r="AB117" t="s">
        <v>49</v>
      </c>
      <c r="AC117" t="s">
        <v>49</v>
      </c>
      <c r="AD117" t="s">
        <v>49</v>
      </c>
      <c r="AE117" t="s">
        <v>49</v>
      </c>
      <c r="AF117" t="s">
        <v>49</v>
      </c>
      <c r="AG117" t="s">
        <v>49</v>
      </c>
      <c r="AH117" t="s">
        <v>49</v>
      </c>
      <c r="AI117" t="s">
        <v>49</v>
      </c>
    </row>
    <row r="118" spans="1:35" x14ac:dyDescent="0.25">
      <c r="A118" t="s">
        <v>89</v>
      </c>
      <c r="B118" t="s">
        <v>62</v>
      </c>
      <c r="C118" t="s">
        <v>90</v>
      </c>
      <c r="D118" t="s">
        <v>91</v>
      </c>
      <c r="E118" t="s">
        <v>59</v>
      </c>
      <c r="F118" t="s">
        <v>49</v>
      </c>
      <c r="H118">
        <v>3743</v>
      </c>
      <c r="I118">
        <v>6320</v>
      </c>
      <c r="J118">
        <v>17857</v>
      </c>
      <c r="K118">
        <v>15782</v>
      </c>
      <c r="L118">
        <v>3717</v>
      </c>
      <c r="M118">
        <v>6694</v>
      </c>
      <c r="N118">
        <v>17024</v>
      </c>
      <c r="O118">
        <v>17024</v>
      </c>
      <c r="P118">
        <v>8946</v>
      </c>
      <c r="Q118">
        <v>13663</v>
      </c>
      <c r="R118">
        <v>18946</v>
      </c>
      <c r="S118">
        <v>2809</v>
      </c>
      <c r="T118">
        <v>3293</v>
      </c>
      <c r="U118" t="s">
        <v>49</v>
      </c>
      <c r="V118" t="s">
        <v>49</v>
      </c>
      <c r="W118" t="s">
        <v>49</v>
      </c>
      <c r="X118" t="s">
        <v>49</v>
      </c>
      <c r="Y118" t="s">
        <v>49</v>
      </c>
      <c r="Z118" t="s">
        <v>49</v>
      </c>
      <c r="AA118" t="s">
        <v>49</v>
      </c>
      <c r="AB118" t="s">
        <v>49</v>
      </c>
      <c r="AC118" t="s">
        <v>49</v>
      </c>
      <c r="AD118" t="s">
        <v>49</v>
      </c>
      <c r="AE118" t="s">
        <v>49</v>
      </c>
      <c r="AF118" t="s">
        <v>49</v>
      </c>
      <c r="AG118" t="s">
        <v>49</v>
      </c>
      <c r="AH118" t="s">
        <v>49</v>
      </c>
      <c r="AI118" t="s">
        <v>49</v>
      </c>
    </row>
    <row r="119" spans="1:35" x14ac:dyDescent="0.25">
      <c r="A119" t="s">
        <v>92</v>
      </c>
      <c r="B119" t="s">
        <v>62</v>
      </c>
      <c r="C119" t="s">
        <v>93</v>
      </c>
      <c r="D119" t="s">
        <v>94</v>
      </c>
      <c r="E119" t="s">
        <v>59</v>
      </c>
      <c r="F119" t="s">
        <v>49</v>
      </c>
      <c r="H119">
        <v>20</v>
      </c>
      <c r="I119">
        <v>19.2</v>
      </c>
      <c r="J119">
        <v>18.7</v>
      </c>
      <c r="K119">
        <v>18.899999999999999</v>
      </c>
      <c r="L119">
        <v>18.7</v>
      </c>
      <c r="M119">
        <v>16.3</v>
      </c>
      <c r="N119">
        <v>17</v>
      </c>
      <c r="O119">
        <v>17</v>
      </c>
      <c r="P119">
        <v>13.4</v>
      </c>
      <c r="Q119">
        <v>11.1</v>
      </c>
      <c r="R119">
        <v>13.4</v>
      </c>
      <c r="S119">
        <v>13.7</v>
      </c>
      <c r="T119">
        <v>11.2</v>
      </c>
      <c r="U119" t="s">
        <v>49</v>
      </c>
      <c r="V119" t="s">
        <v>49</v>
      </c>
      <c r="W119" t="s">
        <v>49</v>
      </c>
      <c r="X119" t="s">
        <v>49</v>
      </c>
      <c r="Y119" t="s">
        <v>49</v>
      </c>
      <c r="Z119" t="s">
        <v>49</v>
      </c>
      <c r="AA119" t="s">
        <v>49</v>
      </c>
      <c r="AB119" t="s">
        <v>49</v>
      </c>
      <c r="AC119" t="s">
        <v>49</v>
      </c>
      <c r="AD119" t="s">
        <v>49</v>
      </c>
      <c r="AE119" t="s">
        <v>49</v>
      </c>
      <c r="AF119" t="s">
        <v>49</v>
      </c>
      <c r="AG119" t="s">
        <v>49</v>
      </c>
      <c r="AH119" t="s">
        <v>49</v>
      </c>
      <c r="AI119" t="s">
        <v>49</v>
      </c>
    </row>
    <row r="120" spans="1:35" x14ac:dyDescent="0.25">
      <c r="A120" t="s">
        <v>95</v>
      </c>
      <c r="B120" t="s">
        <v>62</v>
      </c>
      <c r="C120" t="s">
        <v>96</v>
      </c>
      <c r="D120" t="s">
        <v>97</v>
      </c>
      <c r="E120" t="s">
        <v>59</v>
      </c>
      <c r="F120">
        <v>84</v>
      </c>
      <c r="G120">
        <v>84.3</v>
      </c>
      <c r="H120">
        <v>84.6</v>
      </c>
      <c r="I120">
        <v>81.7</v>
      </c>
      <c r="J120">
        <v>80.599999999999994</v>
      </c>
      <c r="K120">
        <v>80.900000000000006</v>
      </c>
      <c r="L120">
        <v>77.400000000000006</v>
      </c>
      <c r="M120">
        <v>73</v>
      </c>
      <c r="N120">
        <v>78.900000000000006</v>
      </c>
      <c r="O120">
        <v>78.900000000000006</v>
      </c>
      <c r="P120">
        <v>74.400000000000006</v>
      </c>
      <c r="Q120">
        <v>73.7</v>
      </c>
      <c r="R120">
        <v>75.900000000000006</v>
      </c>
      <c r="S120">
        <v>75.5</v>
      </c>
      <c r="T120">
        <v>77</v>
      </c>
      <c r="U120" t="s">
        <v>49</v>
      </c>
      <c r="V120" t="s">
        <v>49</v>
      </c>
      <c r="W120" t="s">
        <v>49</v>
      </c>
      <c r="X120" t="s">
        <v>49</v>
      </c>
      <c r="Y120" t="s">
        <v>49</v>
      </c>
      <c r="Z120" t="s">
        <v>49</v>
      </c>
      <c r="AA120" t="s">
        <v>49</v>
      </c>
      <c r="AB120" t="s">
        <v>49</v>
      </c>
      <c r="AC120" t="s">
        <v>49</v>
      </c>
      <c r="AD120" t="s">
        <v>49</v>
      </c>
      <c r="AE120" t="s">
        <v>49</v>
      </c>
      <c r="AF120" t="s">
        <v>49</v>
      </c>
      <c r="AG120" t="s">
        <v>49</v>
      </c>
      <c r="AH120" t="s">
        <v>49</v>
      </c>
      <c r="AI120" t="s">
        <v>49</v>
      </c>
    </row>
    <row r="121" spans="1:35" x14ac:dyDescent="0.25">
      <c r="A121" t="s">
        <v>99</v>
      </c>
      <c r="B121" t="s">
        <v>62</v>
      </c>
      <c r="C121" t="s">
        <v>100</v>
      </c>
      <c r="D121" t="s">
        <v>101</v>
      </c>
      <c r="E121" t="s">
        <v>59</v>
      </c>
      <c r="F121">
        <v>1411</v>
      </c>
      <c r="G121">
        <v>1279</v>
      </c>
      <c r="H121">
        <v>1204</v>
      </c>
      <c r="I121">
        <v>1162</v>
      </c>
      <c r="J121">
        <v>1092</v>
      </c>
      <c r="K121">
        <v>950</v>
      </c>
      <c r="L121">
        <v>890</v>
      </c>
      <c r="M121">
        <v>798</v>
      </c>
      <c r="N121">
        <v>620</v>
      </c>
      <c r="O121">
        <v>620</v>
      </c>
      <c r="P121">
        <v>575</v>
      </c>
      <c r="Q121">
        <v>579</v>
      </c>
      <c r="R121">
        <v>538</v>
      </c>
      <c r="S121">
        <v>500</v>
      </c>
      <c r="T121">
        <v>460</v>
      </c>
      <c r="U121" t="s">
        <v>49</v>
      </c>
      <c r="V121" t="s">
        <v>49</v>
      </c>
      <c r="W121" t="s">
        <v>49</v>
      </c>
      <c r="X121" t="s">
        <v>49</v>
      </c>
      <c r="Y121" t="s">
        <v>49</v>
      </c>
      <c r="Z121" t="s">
        <v>49</v>
      </c>
      <c r="AA121" t="s">
        <v>49</v>
      </c>
      <c r="AB121" t="s">
        <v>49</v>
      </c>
      <c r="AC121" t="s">
        <v>49</v>
      </c>
      <c r="AD121" t="s">
        <v>49</v>
      </c>
      <c r="AE121" t="s">
        <v>49</v>
      </c>
      <c r="AF121" t="s">
        <v>49</v>
      </c>
      <c r="AG121" t="s">
        <v>49</v>
      </c>
      <c r="AH121" t="s">
        <v>49</v>
      </c>
      <c r="AI121" t="s">
        <v>49</v>
      </c>
    </row>
    <row r="122" spans="1:35" x14ac:dyDescent="0.25">
      <c r="A122" t="s">
        <v>102</v>
      </c>
      <c r="B122" t="s">
        <v>62</v>
      </c>
      <c r="C122" t="s">
        <v>103</v>
      </c>
      <c r="D122" t="s">
        <v>104</v>
      </c>
      <c r="E122" t="s">
        <v>59</v>
      </c>
      <c r="F122" t="s">
        <v>49</v>
      </c>
      <c r="H122">
        <v>283</v>
      </c>
      <c r="I122">
        <v>321</v>
      </c>
      <c r="J122">
        <v>325</v>
      </c>
      <c r="K122">
        <v>221</v>
      </c>
      <c r="L122">
        <v>238</v>
      </c>
      <c r="M122">
        <v>235</v>
      </c>
      <c r="N122">
        <v>139</v>
      </c>
      <c r="O122">
        <v>139</v>
      </c>
      <c r="P122">
        <v>141</v>
      </c>
      <c r="Q122">
        <v>156</v>
      </c>
      <c r="R122">
        <v>170</v>
      </c>
      <c r="S122">
        <v>160</v>
      </c>
      <c r="T122">
        <v>144</v>
      </c>
      <c r="U122" t="s">
        <v>49</v>
      </c>
      <c r="V122" t="s">
        <v>49</v>
      </c>
      <c r="W122" t="s">
        <v>49</v>
      </c>
      <c r="X122" t="s">
        <v>49</v>
      </c>
      <c r="Y122" t="s">
        <v>49</v>
      </c>
      <c r="Z122" t="s">
        <v>49</v>
      </c>
      <c r="AA122" t="s">
        <v>49</v>
      </c>
      <c r="AB122" t="s">
        <v>49</v>
      </c>
      <c r="AC122" t="s">
        <v>49</v>
      </c>
      <c r="AD122" t="s">
        <v>49</v>
      </c>
      <c r="AE122" t="s">
        <v>49</v>
      </c>
      <c r="AF122" t="s">
        <v>49</v>
      </c>
      <c r="AG122" t="s">
        <v>49</v>
      </c>
      <c r="AH122" t="s">
        <v>49</v>
      </c>
      <c r="AI122" t="s">
        <v>49</v>
      </c>
    </row>
    <row r="123" spans="1:35" x14ac:dyDescent="0.25">
      <c r="A123" t="s">
        <v>106</v>
      </c>
      <c r="B123" t="s">
        <v>56</v>
      </c>
      <c r="C123" t="s">
        <v>107</v>
      </c>
      <c r="D123" t="s">
        <v>108</v>
      </c>
      <c r="E123" t="s">
        <v>59</v>
      </c>
      <c r="F123">
        <v>718</v>
      </c>
      <c r="G123">
        <v>662</v>
      </c>
      <c r="H123">
        <v>634</v>
      </c>
      <c r="I123">
        <v>598</v>
      </c>
      <c r="J123">
        <v>558</v>
      </c>
      <c r="K123">
        <v>529</v>
      </c>
      <c r="L123">
        <v>501</v>
      </c>
      <c r="M123">
        <v>448</v>
      </c>
      <c r="N123">
        <v>366</v>
      </c>
      <c r="O123">
        <v>366</v>
      </c>
      <c r="P123">
        <v>338</v>
      </c>
      <c r="Q123">
        <v>327</v>
      </c>
      <c r="R123">
        <v>310</v>
      </c>
      <c r="S123">
        <v>275</v>
      </c>
      <c r="T123">
        <v>221</v>
      </c>
      <c r="U123" t="s">
        <v>49</v>
      </c>
      <c r="V123" t="s">
        <v>49</v>
      </c>
      <c r="W123" t="s">
        <v>49</v>
      </c>
      <c r="X123" t="s">
        <v>49</v>
      </c>
      <c r="Y123" t="s">
        <v>49</v>
      </c>
      <c r="Z123" t="s">
        <v>49</v>
      </c>
      <c r="AA123" t="s">
        <v>49</v>
      </c>
      <c r="AB123" t="s">
        <v>49</v>
      </c>
      <c r="AC123" t="s">
        <v>49</v>
      </c>
      <c r="AD123" t="s">
        <v>49</v>
      </c>
      <c r="AE123" t="s">
        <v>49</v>
      </c>
      <c r="AF123" t="s">
        <v>49</v>
      </c>
      <c r="AG123" t="s">
        <v>49</v>
      </c>
      <c r="AH123" t="s">
        <v>49</v>
      </c>
      <c r="AI123" t="s">
        <v>49</v>
      </c>
    </row>
    <row r="124" spans="1:35" x14ac:dyDescent="0.25">
      <c r="A124" t="s">
        <v>109</v>
      </c>
      <c r="B124" t="s">
        <v>56</v>
      </c>
      <c r="C124" t="s">
        <v>110</v>
      </c>
      <c r="D124" t="s">
        <v>111</v>
      </c>
      <c r="E124" t="s">
        <v>59</v>
      </c>
      <c r="F124" t="s">
        <v>49</v>
      </c>
      <c r="H124">
        <v>295</v>
      </c>
      <c r="I124">
        <v>282</v>
      </c>
      <c r="J124">
        <v>268</v>
      </c>
      <c r="K124">
        <v>244</v>
      </c>
      <c r="L124">
        <v>232</v>
      </c>
      <c r="M124">
        <v>213</v>
      </c>
      <c r="N124">
        <v>187</v>
      </c>
      <c r="O124">
        <v>187</v>
      </c>
      <c r="P124">
        <v>159</v>
      </c>
      <c r="Q124">
        <v>151</v>
      </c>
      <c r="R124">
        <v>141</v>
      </c>
      <c r="S124">
        <v>107</v>
      </c>
      <c r="T124">
        <v>81</v>
      </c>
      <c r="U124" t="s">
        <v>49</v>
      </c>
      <c r="V124" t="s">
        <v>49</v>
      </c>
      <c r="W124" t="s">
        <v>49</v>
      </c>
      <c r="X124" t="s">
        <v>49</v>
      </c>
      <c r="Y124" t="s">
        <v>49</v>
      </c>
      <c r="Z124" t="s">
        <v>49</v>
      </c>
      <c r="AA124" t="s">
        <v>49</v>
      </c>
      <c r="AB124" t="s">
        <v>49</v>
      </c>
      <c r="AC124" t="s">
        <v>49</v>
      </c>
      <c r="AD124" t="s">
        <v>49</v>
      </c>
      <c r="AE124" t="s">
        <v>49</v>
      </c>
      <c r="AF124" t="s">
        <v>49</v>
      </c>
      <c r="AG124" t="s">
        <v>49</v>
      </c>
      <c r="AH124" t="s">
        <v>49</v>
      </c>
      <c r="AI124" t="s">
        <v>49</v>
      </c>
    </row>
    <row r="125" spans="1:35" x14ac:dyDescent="0.25">
      <c r="A125" t="s">
        <v>112</v>
      </c>
      <c r="B125" t="s">
        <v>56</v>
      </c>
      <c r="C125" t="s">
        <v>113</v>
      </c>
      <c r="D125" t="s">
        <v>114</v>
      </c>
      <c r="E125" t="s">
        <v>59</v>
      </c>
      <c r="F125">
        <v>234</v>
      </c>
      <c r="G125">
        <v>222</v>
      </c>
      <c r="H125">
        <v>198</v>
      </c>
      <c r="I125">
        <v>189</v>
      </c>
      <c r="J125">
        <v>177</v>
      </c>
      <c r="K125">
        <v>159</v>
      </c>
      <c r="L125">
        <v>148</v>
      </c>
      <c r="M125">
        <v>137</v>
      </c>
      <c r="N125">
        <v>126</v>
      </c>
      <c r="O125">
        <v>126</v>
      </c>
      <c r="P125">
        <v>97</v>
      </c>
      <c r="Q125">
        <v>101</v>
      </c>
      <c r="R125">
        <v>89</v>
      </c>
      <c r="S125">
        <v>71</v>
      </c>
      <c r="T125">
        <v>54</v>
      </c>
      <c r="U125" t="s">
        <v>49</v>
      </c>
      <c r="V125" t="s">
        <v>49</v>
      </c>
      <c r="W125" t="s">
        <v>49</v>
      </c>
      <c r="X125" t="s">
        <v>49</v>
      </c>
      <c r="Y125" t="s">
        <v>49</v>
      </c>
      <c r="Z125" t="s">
        <v>49</v>
      </c>
      <c r="AA125" t="s">
        <v>49</v>
      </c>
      <c r="AB125" t="s">
        <v>49</v>
      </c>
      <c r="AC125" t="s">
        <v>49</v>
      </c>
      <c r="AD125" t="s">
        <v>49</v>
      </c>
      <c r="AE125" t="s">
        <v>49</v>
      </c>
      <c r="AF125" t="s">
        <v>49</v>
      </c>
      <c r="AG125" t="s">
        <v>49</v>
      </c>
      <c r="AH125" t="s">
        <v>49</v>
      </c>
      <c r="AI125" t="s">
        <v>49</v>
      </c>
    </row>
    <row r="126" spans="1:35" x14ac:dyDescent="0.25">
      <c r="A126" t="s">
        <v>115</v>
      </c>
      <c r="B126" t="s">
        <v>56</v>
      </c>
      <c r="C126" t="s">
        <v>116</v>
      </c>
      <c r="D126" t="s">
        <v>117</v>
      </c>
      <c r="E126" t="s">
        <v>59</v>
      </c>
      <c r="F126" t="s">
        <v>49</v>
      </c>
      <c r="H126">
        <v>105</v>
      </c>
      <c r="I126">
        <v>91</v>
      </c>
      <c r="J126">
        <v>88</v>
      </c>
      <c r="K126">
        <v>83</v>
      </c>
      <c r="L126">
        <v>91</v>
      </c>
      <c r="M126">
        <v>80</v>
      </c>
      <c r="N126">
        <v>73</v>
      </c>
      <c r="O126">
        <v>73</v>
      </c>
      <c r="P126">
        <v>59</v>
      </c>
      <c r="Q126">
        <v>59</v>
      </c>
      <c r="R126">
        <v>47</v>
      </c>
      <c r="S126">
        <v>36</v>
      </c>
      <c r="T126">
        <v>26</v>
      </c>
      <c r="U126" t="s">
        <v>49</v>
      </c>
      <c r="V126" t="s">
        <v>49</v>
      </c>
      <c r="W126" t="s">
        <v>49</v>
      </c>
      <c r="X126" t="s">
        <v>49</v>
      </c>
      <c r="Y126" t="s">
        <v>49</v>
      </c>
      <c r="Z126" t="s">
        <v>49</v>
      </c>
      <c r="AA126" t="s">
        <v>49</v>
      </c>
      <c r="AB126" t="s">
        <v>49</v>
      </c>
      <c r="AC126" t="s">
        <v>49</v>
      </c>
      <c r="AD126" t="s">
        <v>49</v>
      </c>
      <c r="AE126" t="s">
        <v>49</v>
      </c>
      <c r="AF126" t="s">
        <v>49</v>
      </c>
      <c r="AG126" t="s">
        <v>49</v>
      </c>
      <c r="AH126" t="s">
        <v>49</v>
      </c>
      <c r="AI126" t="s">
        <v>49</v>
      </c>
    </row>
    <row r="127" spans="1:35" x14ac:dyDescent="0.25">
      <c r="A127" t="s">
        <v>118</v>
      </c>
      <c r="B127" t="s">
        <v>56</v>
      </c>
      <c r="C127" t="s">
        <v>119</v>
      </c>
      <c r="D127" t="s">
        <v>120</v>
      </c>
      <c r="E127" t="s">
        <v>59</v>
      </c>
      <c r="F127">
        <v>61</v>
      </c>
      <c r="G127">
        <v>60</v>
      </c>
      <c r="H127">
        <v>92</v>
      </c>
      <c r="I127">
        <v>87</v>
      </c>
      <c r="J127">
        <v>83</v>
      </c>
      <c r="K127">
        <v>76</v>
      </c>
      <c r="L127">
        <v>147</v>
      </c>
      <c r="M127">
        <v>137</v>
      </c>
      <c r="N127">
        <v>97</v>
      </c>
      <c r="O127">
        <v>97</v>
      </c>
      <c r="P127">
        <v>72</v>
      </c>
      <c r="Q127">
        <v>65</v>
      </c>
      <c r="R127">
        <v>41</v>
      </c>
      <c r="S127">
        <v>28</v>
      </c>
      <c r="T127">
        <v>14</v>
      </c>
      <c r="U127" t="s">
        <v>49</v>
      </c>
      <c r="V127" t="s">
        <v>49</v>
      </c>
      <c r="W127" t="s">
        <v>49</v>
      </c>
      <c r="X127" t="s">
        <v>49</v>
      </c>
      <c r="Y127" t="s">
        <v>49</v>
      </c>
      <c r="Z127" t="s">
        <v>49</v>
      </c>
      <c r="AA127" t="s">
        <v>49</v>
      </c>
      <c r="AB127" t="s">
        <v>49</v>
      </c>
      <c r="AC127" t="s">
        <v>49</v>
      </c>
      <c r="AD127" t="s">
        <v>49</v>
      </c>
      <c r="AE127" t="s">
        <v>49</v>
      </c>
      <c r="AF127" t="s">
        <v>49</v>
      </c>
      <c r="AG127" t="s">
        <v>49</v>
      </c>
      <c r="AH127" t="s">
        <v>49</v>
      </c>
      <c r="AI127" t="s">
        <v>49</v>
      </c>
    </row>
    <row r="128" spans="1:35" x14ac:dyDescent="0.25">
      <c r="A128" t="s">
        <v>121</v>
      </c>
      <c r="B128" t="s">
        <v>56</v>
      </c>
      <c r="C128" t="s">
        <v>122</v>
      </c>
      <c r="D128" t="s">
        <v>123</v>
      </c>
      <c r="E128" t="s">
        <v>59</v>
      </c>
      <c r="F128">
        <v>28</v>
      </c>
      <c r="G128">
        <v>25</v>
      </c>
      <c r="H128">
        <v>20</v>
      </c>
      <c r="I128">
        <v>26</v>
      </c>
      <c r="J128">
        <v>21</v>
      </c>
      <c r="K128">
        <v>19</v>
      </c>
      <c r="L128">
        <v>17</v>
      </c>
      <c r="M128">
        <v>15</v>
      </c>
      <c r="N128">
        <v>13</v>
      </c>
      <c r="O128">
        <v>13</v>
      </c>
      <c r="P128">
        <v>7</v>
      </c>
      <c r="Q128">
        <v>6</v>
      </c>
      <c r="R128">
        <v>8</v>
      </c>
      <c r="S128">
        <v>4</v>
      </c>
      <c r="T128">
        <v>0</v>
      </c>
      <c r="U128" t="s">
        <v>49</v>
      </c>
      <c r="V128" t="s">
        <v>49</v>
      </c>
      <c r="W128" t="s">
        <v>49</v>
      </c>
      <c r="X128" t="s">
        <v>49</v>
      </c>
      <c r="Y128" t="s">
        <v>49</v>
      </c>
      <c r="Z128" t="s">
        <v>49</v>
      </c>
      <c r="AA128" t="s">
        <v>49</v>
      </c>
      <c r="AB128" t="s">
        <v>49</v>
      </c>
      <c r="AC128" t="s">
        <v>49</v>
      </c>
      <c r="AD128" t="s">
        <v>49</v>
      </c>
      <c r="AE128" t="s">
        <v>49</v>
      </c>
      <c r="AF128" t="s">
        <v>49</v>
      </c>
      <c r="AG128" t="s">
        <v>49</v>
      </c>
      <c r="AH128" t="s">
        <v>49</v>
      </c>
      <c r="AI128" t="s">
        <v>49</v>
      </c>
    </row>
    <row r="129" spans="1:35" x14ac:dyDescent="0.25">
      <c r="A129" t="s">
        <v>125</v>
      </c>
      <c r="B129" t="s">
        <v>56</v>
      </c>
      <c r="C129" t="s">
        <v>126</v>
      </c>
      <c r="D129" t="s">
        <v>127</v>
      </c>
      <c r="E129" t="s">
        <v>59</v>
      </c>
      <c r="F129">
        <v>3.1</v>
      </c>
      <c r="H129">
        <v>3.4</v>
      </c>
      <c r="I129">
        <v>3.4</v>
      </c>
      <c r="J129">
        <v>3.6</v>
      </c>
      <c r="K129">
        <v>3.3</v>
      </c>
      <c r="L129">
        <v>3.8</v>
      </c>
      <c r="M129">
        <v>3.8</v>
      </c>
      <c r="N129">
        <v>4.7</v>
      </c>
      <c r="O129">
        <v>4.7</v>
      </c>
      <c r="P129">
        <v>4.5999999999999996</v>
      </c>
      <c r="Q129">
        <v>6.9</v>
      </c>
      <c r="R129">
        <v>9.1</v>
      </c>
      <c r="S129">
        <v>8.5</v>
      </c>
      <c r="T129">
        <v>4.7</v>
      </c>
      <c r="U129" t="s">
        <v>49</v>
      </c>
      <c r="V129" t="s">
        <v>49</v>
      </c>
      <c r="W129" t="s">
        <v>49</v>
      </c>
      <c r="X129" t="s">
        <v>49</v>
      </c>
      <c r="Y129" t="s">
        <v>49</v>
      </c>
      <c r="Z129" t="s">
        <v>49</v>
      </c>
      <c r="AA129" t="s">
        <v>49</v>
      </c>
      <c r="AB129" t="s">
        <v>49</v>
      </c>
      <c r="AC129" t="s">
        <v>49</v>
      </c>
      <c r="AD129" t="s">
        <v>49</v>
      </c>
      <c r="AE129" t="s">
        <v>49</v>
      </c>
      <c r="AF129" t="s">
        <v>49</v>
      </c>
      <c r="AG129" t="s">
        <v>49</v>
      </c>
      <c r="AH129" t="s">
        <v>49</v>
      </c>
      <c r="AI129" t="s">
        <v>49</v>
      </c>
    </row>
    <row r="130" spans="1:35" x14ac:dyDescent="0.25">
      <c r="A130" t="s">
        <v>128</v>
      </c>
      <c r="B130" t="s">
        <v>56</v>
      </c>
      <c r="C130" t="s">
        <v>129</v>
      </c>
      <c r="D130" t="s">
        <v>130</v>
      </c>
      <c r="E130" t="s">
        <v>59</v>
      </c>
      <c r="F130" t="s">
        <v>49</v>
      </c>
      <c r="H130">
        <v>19.3</v>
      </c>
      <c r="I130">
        <v>21</v>
      </c>
      <c r="J130">
        <v>22.5</v>
      </c>
      <c r="K130">
        <v>22.7</v>
      </c>
      <c r="L130">
        <v>23.8</v>
      </c>
      <c r="M130">
        <v>24.6</v>
      </c>
      <c r="N130">
        <v>25.7</v>
      </c>
      <c r="O130">
        <v>25.7</v>
      </c>
      <c r="P130">
        <v>26.2</v>
      </c>
      <c r="Q130">
        <v>27.7</v>
      </c>
      <c r="R130">
        <v>31.4</v>
      </c>
      <c r="S130">
        <v>33.4</v>
      </c>
      <c r="T130">
        <v>31</v>
      </c>
      <c r="U130" t="s">
        <v>49</v>
      </c>
      <c r="V130" t="s">
        <v>49</v>
      </c>
      <c r="W130" t="s">
        <v>49</v>
      </c>
      <c r="X130" t="s">
        <v>49</v>
      </c>
      <c r="Y130" t="s">
        <v>49</v>
      </c>
      <c r="Z130" t="s">
        <v>49</v>
      </c>
      <c r="AA130" t="s">
        <v>49</v>
      </c>
      <c r="AB130" t="s">
        <v>49</v>
      </c>
      <c r="AC130" t="s">
        <v>49</v>
      </c>
      <c r="AD130" t="s">
        <v>49</v>
      </c>
      <c r="AE130" t="s">
        <v>49</v>
      </c>
      <c r="AF130" t="s">
        <v>49</v>
      </c>
      <c r="AG130" t="s">
        <v>49</v>
      </c>
      <c r="AH130" t="s">
        <v>49</v>
      </c>
      <c r="AI130" t="s">
        <v>49</v>
      </c>
    </row>
    <row r="131" spans="1:35" x14ac:dyDescent="0.25">
      <c r="A131" t="s">
        <v>131</v>
      </c>
      <c r="B131" t="s">
        <v>56</v>
      </c>
      <c r="C131" t="s">
        <v>132</v>
      </c>
      <c r="D131" t="s">
        <v>133</v>
      </c>
      <c r="E131" t="s">
        <v>59</v>
      </c>
      <c r="F131">
        <v>18.7</v>
      </c>
      <c r="H131">
        <v>35.4</v>
      </c>
      <c r="U131" t="s">
        <v>49</v>
      </c>
      <c r="V131" t="s">
        <v>49</v>
      </c>
      <c r="W131" t="s">
        <v>49</v>
      </c>
      <c r="X131" t="s">
        <v>49</v>
      </c>
      <c r="Y131" t="s">
        <v>49</v>
      </c>
      <c r="Z131" t="s">
        <v>49</v>
      </c>
      <c r="AA131" t="s">
        <v>49</v>
      </c>
      <c r="AB131" t="s">
        <v>49</v>
      </c>
      <c r="AC131" t="s">
        <v>49</v>
      </c>
      <c r="AD131" t="s">
        <v>49</v>
      </c>
      <c r="AE131" t="s">
        <v>49</v>
      </c>
      <c r="AF131" t="s">
        <v>49</v>
      </c>
      <c r="AG131" t="s">
        <v>49</v>
      </c>
      <c r="AH131" t="s">
        <v>49</v>
      </c>
      <c r="AI131" t="s">
        <v>49</v>
      </c>
    </row>
    <row r="132" spans="1:35" x14ac:dyDescent="0.25">
      <c r="A132" t="s">
        <v>77</v>
      </c>
      <c r="B132" t="s">
        <v>62</v>
      </c>
      <c r="C132" t="s">
        <v>63</v>
      </c>
      <c r="D132" t="s">
        <v>64</v>
      </c>
      <c r="E132" t="s">
        <v>59</v>
      </c>
      <c r="F132">
        <v>4038.8402000000001</v>
      </c>
      <c r="G132">
        <v>3787.9629</v>
      </c>
      <c r="H132">
        <v>2891.0196999999998</v>
      </c>
      <c r="I132">
        <v>2767.7276999999999</v>
      </c>
      <c r="J132">
        <v>2602.9809</v>
      </c>
      <c r="P132">
        <v>1632.0563999999999</v>
      </c>
      <c r="Q132">
        <v>1611.6582000000001</v>
      </c>
      <c r="R132">
        <v>1484.8735999999999</v>
      </c>
      <c r="S132">
        <v>1151.5087000000001</v>
      </c>
      <c r="T132">
        <v>774.37760000000003</v>
      </c>
      <c r="U132" t="s">
        <v>49</v>
      </c>
      <c r="V132" t="s">
        <v>49</v>
      </c>
      <c r="W132" t="s">
        <v>49</v>
      </c>
      <c r="X132" t="s">
        <v>49</v>
      </c>
      <c r="Y132" t="s">
        <v>49</v>
      </c>
      <c r="Z132" t="s">
        <v>49</v>
      </c>
      <c r="AA132" t="s">
        <v>49</v>
      </c>
      <c r="AB132" t="s">
        <v>49</v>
      </c>
      <c r="AC132" t="s">
        <v>49</v>
      </c>
      <c r="AD132" t="s">
        <v>49</v>
      </c>
      <c r="AE132" t="s">
        <v>49</v>
      </c>
      <c r="AF132" t="s">
        <v>49</v>
      </c>
      <c r="AG132" t="s">
        <v>49</v>
      </c>
      <c r="AH132" t="s">
        <v>49</v>
      </c>
      <c r="AI132" t="s">
        <v>49</v>
      </c>
    </row>
    <row r="133" spans="1:35" x14ac:dyDescent="0.25">
      <c r="A133" t="s">
        <v>136</v>
      </c>
      <c r="B133" t="s">
        <v>62</v>
      </c>
      <c r="C133" t="s">
        <v>63</v>
      </c>
      <c r="D133" t="s">
        <v>64</v>
      </c>
      <c r="E133" t="s">
        <v>59</v>
      </c>
      <c r="F133">
        <v>1030.8389999999999</v>
      </c>
      <c r="G133">
        <v>984.00909999999999</v>
      </c>
      <c r="H133">
        <v>807.68</v>
      </c>
      <c r="I133">
        <v>776.99239999999998</v>
      </c>
      <c r="J133">
        <v>739.88630000000001</v>
      </c>
      <c r="P133">
        <v>572.09580000000005</v>
      </c>
      <c r="Q133">
        <v>519.98869999999999</v>
      </c>
      <c r="R133">
        <v>458.49079999999998</v>
      </c>
      <c r="S133">
        <v>345.74</v>
      </c>
      <c r="T133">
        <v>242.685</v>
      </c>
      <c r="U133" t="s">
        <v>49</v>
      </c>
      <c r="V133" t="s">
        <v>49</v>
      </c>
      <c r="W133" t="s">
        <v>49</v>
      </c>
      <c r="X133" t="s">
        <v>49</v>
      </c>
      <c r="Y133" t="s">
        <v>49</v>
      </c>
      <c r="Z133" t="s">
        <v>49</v>
      </c>
      <c r="AA133" t="s">
        <v>49</v>
      </c>
      <c r="AB133" t="s">
        <v>49</v>
      </c>
      <c r="AC133" t="s">
        <v>49</v>
      </c>
      <c r="AD133" t="s">
        <v>49</v>
      </c>
      <c r="AE133" t="s">
        <v>49</v>
      </c>
      <c r="AF133" t="s">
        <v>49</v>
      </c>
      <c r="AG133" t="s">
        <v>49</v>
      </c>
      <c r="AH133" t="s">
        <v>49</v>
      </c>
      <c r="AI133" t="s">
        <v>49</v>
      </c>
    </row>
    <row r="134" spans="1:35" x14ac:dyDescent="0.25">
      <c r="A134" t="s">
        <v>77</v>
      </c>
      <c r="B134" t="s">
        <v>62</v>
      </c>
      <c r="C134" t="s">
        <v>63</v>
      </c>
      <c r="D134" t="s">
        <v>64</v>
      </c>
      <c r="E134" t="s">
        <v>59</v>
      </c>
      <c r="F134">
        <v>1980.2663</v>
      </c>
      <c r="G134">
        <v>1939.4049</v>
      </c>
      <c r="H134">
        <v>1722.3887999999999</v>
      </c>
      <c r="I134">
        <v>1674.3597</v>
      </c>
      <c r="J134">
        <v>1563.5622000000001</v>
      </c>
      <c r="K134">
        <v>1418.2548999999999</v>
      </c>
      <c r="L134">
        <v>1382.2964999999999</v>
      </c>
      <c r="M134">
        <v>1775.4160999999999</v>
      </c>
      <c r="N134">
        <v>1620.5424</v>
      </c>
      <c r="O134">
        <v>1236.4508000000001</v>
      </c>
      <c r="U134" t="s">
        <v>49</v>
      </c>
      <c r="V134" t="s">
        <v>49</v>
      </c>
      <c r="W134" t="s">
        <v>49</v>
      </c>
      <c r="X134" t="s">
        <v>49</v>
      </c>
      <c r="Y134" t="s">
        <v>49</v>
      </c>
      <c r="Z134" t="s">
        <v>49</v>
      </c>
      <c r="AA134" t="s">
        <v>49</v>
      </c>
      <c r="AB134" t="s">
        <v>49</v>
      </c>
      <c r="AC134" t="s">
        <v>49</v>
      </c>
      <c r="AD134" t="s">
        <v>49</v>
      </c>
      <c r="AE134" t="s">
        <v>49</v>
      </c>
      <c r="AF134" t="s">
        <v>49</v>
      </c>
      <c r="AG134" t="s">
        <v>49</v>
      </c>
      <c r="AH134" t="s">
        <v>49</v>
      </c>
      <c r="AI134" t="s">
        <v>49</v>
      </c>
    </row>
    <row r="135" spans="1:35" x14ac:dyDescent="0.25">
      <c r="A135" t="s">
        <v>136</v>
      </c>
      <c r="B135" t="s">
        <v>62</v>
      </c>
      <c r="C135" t="s">
        <v>63</v>
      </c>
      <c r="D135" t="s">
        <v>64</v>
      </c>
      <c r="E135" t="s">
        <v>59</v>
      </c>
      <c r="F135">
        <v>594.29150000000004</v>
      </c>
      <c r="G135">
        <v>577.12890000000004</v>
      </c>
      <c r="H135">
        <v>503.96629999999999</v>
      </c>
      <c r="I135">
        <v>484.63200000000001</v>
      </c>
      <c r="J135">
        <v>434.23790000000002</v>
      </c>
      <c r="K135">
        <v>430.43360000000001</v>
      </c>
      <c r="L135">
        <v>367.85050000000001</v>
      </c>
      <c r="M135">
        <v>525.91300000000001</v>
      </c>
      <c r="N135">
        <v>521.05319999999995</v>
      </c>
      <c r="O135">
        <v>395.83109999999999</v>
      </c>
      <c r="U135" t="s">
        <v>49</v>
      </c>
      <c r="V135" t="s">
        <v>49</v>
      </c>
      <c r="W135" t="s">
        <v>49</v>
      </c>
      <c r="X135" t="s">
        <v>49</v>
      </c>
      <c r="Y135" t="s">
        <v>49</v>
      </c>
      <c r="Z135" t="s">
        <v>49</v>
      </c>
      <c r="AA135" t="s">
        <v>49</v>
      </c>
      <c r="AB135" t="s">
        <v>49</v>
      </c>
      <c r="AC135" t="s">
        <v>49</v>
      </c>
      <c r="AD135" t="s">
        <v>49</v>
      </c>
      <c r="AE135" t="s">
        <v>49</v>
      </c>
      <c r="AF135" t="s">
        <v>49</v>
      </c>
      <c r="AG135" t="s">
        <v>49</v>
      </c>
      <c r="AH135" t="s">
        <v>49</v>
      </c>
      <c r="AI135" t="s">
        <v>49</v>
      </c>
    </row>
    <row r="136" spans="1:35" x14ac:dyDescent="0.25">
      <c r="A136" t="s">
        <v>77</v>
      </c>
      <c r="B136" t="s">
        <v>62</v>
      </c>
      <c r="C136" t="s">
        <v>63</v>
      </c>
      <c r="D136" t="s">
        <v>64</v>
      </c>
      <c r="E136" t="s">
        <v>59</v>
      </c>
      <c r="F136">
        <v>1690.8806999999999</v>
      </c>
      <c r="G136">
        <v>1491.6078</v>
      </c>
      <c r="U136" t="s">
        <v>49</v>
      </c>
      <c r="V136" t="s">
        <v>49</v>
      </c>
      <c r="W136" t="s">
        <v>49</v>
      </c>
      <c r="X136" t="s">
        <v>49</v>
      </c>
      <c r="Y136" t="s">
        <v>49</v>
      </c>
      <c r="Z136" t="s">
        <v>49</v>
      </c>
      <c r="AA136" t="s">
        <v>49</v>
      </c>
      <c r="AB136" t="s">
        <v>49</v>
      </c>
      <c r="AC136" t="s">
        <v>49</v>
      </c>
      <c r="AD136" t="s">
        <v>49</v>
      </c>
      <c r="AE136" t="s">
        <v>49</v>
      </c>
      <c r="AF136" t="s">
        <v>49</v>
      </c>
      <c r="AG136" t="s">
        <v>49</v>
      </c>
      <c r="AH136" t="s">
        <v>49</v>
      </c>
      <c r="AI136" t="s">
        <v>49</v>
      </c>
    </row>
    <row r="137" spans="1:35" x14ac:dyDescent="0.25">
      <c r="A137" t="s">
        <v>136</v>
      </c>
      <c r="B137" t="s">
        <v>62</v>
      </c>
      <c r="C137" t="s">
        <v>63</v>
      </c>
      <c r="D137" t="s">
        <v>64</v>
      </c>
      <c r="E137" t="s">
        <v>59</v>
      </c>
      <c r="F137">
        <v>342.01389999999998</v>
      </c>
      <c r="G137">
        <v>360.09750000000003</v>
      </c>
      <c r="U137" t="s">
        <v>49</v>
      </c>
      <c r="V137" t="s">
        <v>49</v>
      </c>
      <c r="W137" t="s">
        <v>49</v>
      </c>
      <c r="X137" t="s">
        <v>49</v>
      </c>
      <c r="Y137" t="s">
        <v>49</v>
      </c>
      <c r="Z137" t="s">
        <v>49</v>
      </c>
      <c r="AA137" t="s">
        <v>49</v>
      </c>
      <c r="AB137" t="s">
        <v>49</v>
      </c>
      <c r="AC137" t="s">
        <v>49</v>
      </c>
      <c r="AD137" t="s">
        <v>49</v>
      </c>
      <c r="AE137" t="s">
        <v>49</v>
      </c>
      <c r="AF137" t="s">
        <v>49</v>
      </c>
      <c r="AG137" t="s">
        <v>49</v>
      </c>
      <c r="AH137" t="s">
        <v>49</v>
      </c>
      <c r="AI137" t="s">
        <v>49</v>
      </c>
    </row>
    <row r="138" spans="1:35" x14ac:dyDescent="0.25">
      <c r="A138" t="s">
        <v>77</v>
      </c>
      <c r="B138" t="s">
        <v>62</v>
      </c>
      <c r="C138" t="s">
        <v>63</v>
      </c>
      <c r="D138" t="s">
        <v>64</v>
      </c>
      <c r="E138" t="s">
        <v>59</v>
      </c>
      <c r="F138">
        <v>1655.8892000000001</v>
      </c>
      <c r="G138">
        <v>1486.4575</v>
      </c>
      <c r="U138" t="s">
        <v>49</v>
      </c>
      <c r="V138" t="s">
        <v>49</v>
      </c>
      <c r="W138" t="s">
        <v>49</v>
      </c>
      <c r="X138" t="s">
        <v>49</v>
      </c>
      <c r="Y138" t="s">
        <v>49</v>
      </c>
      <c r="Z138" t="s">
        <v>49</v>
      </c>
      <c r="AA138" t="s">
        <v>49</v>
      </c>
      <c r="AB138" t="s">
        <v>49</v>
      </c>
      <c r="AC138" t="s">
        <v>49</v>
      </c>
      <c r="AD138" t="s">
        <v>49</v>
      </c>
      <c r="AE138" t="s">
        <v>49</v>
      </c>
      <c r="AF138" t="s">
        <v>49</v>
      </c>
      <c r="AG138" t="s">
        <v>49</v>
      </c>
      <c r="AH138" t="s">
        <v>49</v>
      </c>
      <c r="AI138" t="s">
        <v>49</v>
      </c>
    </row>
    <row r="139" spans="1:35" x14ac:dyDescent="0.25">
      <c r="A139" t="s">
        <v>136</v>
      </c>
      <c r="B139" t="s">
        <v>62</v>
      </c>
      <c r="C139" t="s">
        <v>63</v>
      </c>
      <c r="D139" t="s">
        <v>64</v>
      </c>
      <c r="E139" t="s">
        <v>59</v>
      </c>
      <c r="F139">
        <v>453.7611</v>
      </c>
      <c r="G139">
        <v>363.67419999999998</v>
      </c>
      <c r="U139" t="s">
        <v>49</v>
      </c>
      <c r="V139" t="s">
        <v>49</v>
      </c>
      <c r="W139" t="s">
        <v>49</v>
      </c>
      <c r="X139" t="s">
        <v>49</v>
      </c>
      <c r="Y139" t="s">
        <v>49</v>
      </c>
      <c r="Z139" t="s">
        <v>49</v>
      </c>
      <c r="AA139" t="s">
        <v>49</v>
      </c>
      <c r="AB139" t="s">
        <v>49</v>
      </c>
      <c r="AC139" t="s">
        <v>49</v>
      </c>
      <c r="AD139" t="s">
        <v>49</v>
      </c>
      <c r="AE139" t="s">
        <v>49</v>
      </c>
      <c r="AF139" t="s">
        <v>49</v>
      </c>
      <c r="AG139" t="s">
        <v>49</v>
      </c>
      <c r="AH139" t="s">
        <v>49</v>
      </c>
      <c r="AI139" t="s">
        <v>49</v>
      </c>
    </row>
    <row r="140" spans="1:35" x14ac:dyDescent="0.25">
      <c r="A140" t="s">
        <v>77</v>
      </c>
      <c r="B140" t="s">
        <v>62</v>
      </c>
      <c r="C140" t="s">
        <v>63</v>
      </c>
      <c r="D140" t="s">
        <v>64</v>
      </c>
      <c r="E140" t="s">
        <v>59</v>
      </c>
      <c r="F140">
        <v>1288.3371</v>
      </c>
      <c r="G140">
        <v>1166.2754</v>
      </c>
      <c r="H140">
        <v>1194.2247</v>
      </c>
      <c r="I140">
        <v>1119.77</v>
      </c>
      <c r="J140">
        <v>1062.3538000000001</v>
      </c>
      <c r="K140">
        <v>1919.8548000000001</v>
      </c>
      <c r="L140">
        <v>1797.5155</v>
      </c>
      <c r="M140">
        <v>1634.3758</v>
      </c>
      <c r="N140">
        <v>1451.954</v>
      </c>
      <c r="O140">
        <v>1183.9806000000001</v>
      </c>
      <c r="P140">
        <v>951.24130000000002</v>
      </c>
      <c r="Q140">
        <v>939.44029999999998</v>
      </c>
      <c r="R140">
        <v>610.16070000000002</v>
      </c>
      <c r="S140">
        <v>414.93220000000002</v>
      </c>
      <c r="T140">
        <v>299.17599999999999</v>
      </c>
      <c r="U140" t="s">
        <v>49</v>
      </c>
      <c r="V140" t="s">
        <v>49</v>
      </c>
      <c r="W140" t="s">
        <v>49</v>
      </c>
      <c r="X140" t="s">
        <v>49</v>
      </c>
      <c r="Y140" t="s">
        <v>49</v>
      </c>
      <c r="Z140" t="s">
        <v>49</v>
      </c>
      <c r="AA140" t="s">
        <v>49</v>
      </c>
      <c r="AB140" t="s">
        <v>49</v>
      </c>
      <c r="AC140" t="s">
        <v>49</v>
      </c>
      <c r="AD140" t="s">
        <v>49</v>
      </c>
      <c r="AE140" t="s">
        <v>49</v>
      </c>
      <c r="AF140" t="s">
        <v>49</v>
      </c>
      <c r="AG140" t="s">
        <v>49</v>
      </c>
      <c r="AH140" t="s">
        <v>49</v>
      </c>
      <c r="AI140" t="s">
        <v>49</v>
      </c>
    </row>
    <row r="141" spans="1:35" x14ac:dyDescent="0.25">
      <c r="A141" t="s">
        <v>136</v>
      </c>
      <c r="B141" t="s">
        <v>62</v>
      </c>
      <c r="C141" t="s">
        <v>63</v>
      </c>
      <c r="D141" t="s">
        <v>64</v>
      </c>
      <c r="E141" t="s">
        <v>59</v>
      </c>
      <c r="F141">
        <v>290.51429999999999</v>
      </c>
      <c r="G141">
        <v>265.10160000000002</v>
      </c>
      <c r="H141">
        <v>282.15289999999999</v>
      </c>
      <c r="I141">
        <v>275.654</v>
      </c>
      <c r="J141">
        <v>238.52500000000001</v>
      </c>
      <c r="K141">
        <v>474.27859999999998</v>
      </c>
      <c r="L141">
        <v>406.1096</v>
      </c>
      <c r="M141">
        <v>423.67259999999999</v>
      </c>
      <c r="N141">
        <v>434.76940000000002</v>
      </c>
      <c r="O141">
        <v>375.85289999999998</v>
      </c>
      <c r="P141">
        <v>290.05889999999999</v>
      </c>
      <c r="Q141">
        <v>290.4402</v>
      </c>
      <c r="R141">
        <v>170.8152</v>
      </c>
      <c r="S141">
        <v>127.55240000000001</v>
      </c>
      <c r="T141">
        <v>90.837400000000002</v>
      </c>
      <c r="U141" t="s">
        <v>49</v>
      </c>
      <c r="V141" t="s">
        <v>49</v>
      </c>
      <c r="W141" t="s">
        <v>49</v>
      </c>
      <c r="X141" t="s">
        <v>49</v>
      </c>
      <c r="Y141" t="s">
        <v>49</v>
      </c>
      <c r="Z141" t="s">
        <v>49</v>
      </c>
      <c r="AA141" t="s">
        <v>49</v>
      </c>
      <c r="AB141" t="s">
        <v>49</v>
      </c>
      <c r="AC141" t="s">
        <v>49</v>
      </c>
      <c r="AD141" t="s">
        <v>49</v>
      </c>
      <c r="AE141" t="s">
        <v>49</v>
      </c>
      <c r="AF141" t="s">
        <v>49</v>
      </c>
      <c r="AG141" t="s">
        <v>49</v>
      </c>
      <c r="AH141" t="s">
        <v>49</v>
      </c>
      <c r="AI141" t="s">
        <v>49</v>
      </c>
    </row>
    <row r="142" spans="1:35" x14ac:dyDescent="0.25">
      <c r="A142" t="s">
        <v>77</v>
      </c>
      <c r="B142" t="s">
        <v>62</v>
      </c>
      <c r="C142" t="s">
        <v>63</v>
      </c>
      <c r="D142" t="s">
        <v>64</v>
      </c>
      <c r="E142" t="s">
        <v>59</v>
      </c>
      <c r="F142">
        <v>983.7133</v>
      </c>
      <c r="G142">
        <v>883.71969999999999</v>
      </c>
      <c r="H142">
        <v>782.86170000000004</v>
      </c>
      <c r="I142">
        <v>764.01520000000005</v>
      </c>
      <c r="J142">
        <v>747.83709999999996</v>
      </c>
      <c r="U142" t="s">
        <v>49</v>
      </c>
      <c r="V142" t="s">
        <v>49</v>
      </c>
      <c r="W142" t="s">
        <v>49</v>
      </c>
      <c r="X142" t="s">
        <v>49</v>
      </c>
      <c r="Y142" t="s">
        <v>49</v>
      </c>
      <c r="Z142" t="s">
        <v>49</v>
      </c>
      <c r="AA142" t="s">
        <v>49</v>
      </c>
      <c r="AB142" t="s">
        <v>49</v>
      </c>
      <c r="AC142" t="s">
        <v>49</v>
      </c>
      <c r="AD142" t="s">
        <v>49</v>
      </c>
      <c r="AE142" t="s">
        <v>49</v>
      </c>
      <c r="AF142" t="s">
        <v>49</v>
      </c>
      <c r="AG142" t="s">
        <v>49</v>
      </c>
      <c r="AH142" t="s">
        <v>49</v>
      </c>
      <c r="AI142" t="s">
        <v>49</v>
      </c>
    </row>
    <row r="143" spans="1:35" x14ac:dyDescent="0.25">
      <c r="A143" t="s">
        <v>136</v>
      </c>
      <c r="B143" t="s">
        <v>62</v>
      </c>
      <c r="C143" t="s">
        <v>63</v>
      </c>
      <c r="D143" t="s">
        <v>64</v>
      </c>
      <c r="E143" t="s">
        <v>59</v>
      </c>
      <c r="F143">
        <v>226.31610000000001</v>
      </c>
      <c r="G143">
        <v>221.46639999999999</v>
      </c>
      <c r="H143">
        <v>189.85990000000001</v>
      </c>
      <c r="I143">
        <v>190.48169999999999</v>
      </c>
      <c r="J143">
        <v>198.9238</v>
      </c>
      <c r="U143" t="s">
        <v>49</v>
      </c>
      <c r="V143" t="s">
        <v>49</v>
      </c>
      <c r="W143" t="s">
        <v>49</v>
      </c>
      <c r="X143" t="s">
        <v>49</v>
      </c>
      <c r="Y143" t="s">
        <v>49</v>
      </c>
      <c r="Z143" t="s">
        <v>49</v>
      </c>
      <c r="AA143" t="s">
        <v>49</v>
      </c>
      <c r="AB143" t="s">
        <v>49</v>
      </c>
      <c r="AC143" t="s">
        <v>49</v>
      </c>
      <c r="AD143" t="s">
        <v>49</v>
      </c>
      <c r="AE143" t="s">
        <v>49</v>
      </c>
      <c r="AF143" t="s">
        <v>49</v>
      </c>
      <c r="AG143" t="s">
        <v>49</v>
      </c>
      <c r="AH143" t="s">
        <v>49</v>
      </c>
      <c r="AI143" t="s">
        <v>49</v>
      </c>
    </row>
    <row r="144" spans="1:35" x14ac:dyDescent="0.25">
      <c r="A144" t="s">
        <v>77</v>
      </c>
      <c r="B144" t="s">
        <v>62</v>
      </c>
      <c r="C144" t="s">
        <v>63</v>
      </c>
      <c r="D144" t="s">
        <v>64</v>
      </c>
      <c r="E144" t="s">
        <v>59</v>
      </c>
      <c r="F144">
        <v>823.57069999999999</v>
      </c>
      <c r="G144">
        <v>744.37329999999997</v>
      </c>
      <c r="K144">
        <v>586.3451</v>
      </c>
      <c r="L144">
        <v>562.95540000000005</v>
      </c>
      <c r="U144" t="s">
        <v>49</v>
      </c>
      <c r="V144" t="s">
        <v>49</v>
      </c>
      <c r="W144" t="s">
        <v>49</v>
      </c>
      <c r="X144" t="s">
        <v>49</v>
      </c>
      <c r="Y144" t="s">
        <v>49</v>
      </c>
      <c r="Z144" t="s">
        <v>49</v>
      </c>
      <c r="AA144" t="s">
        <v>49</v>
      </c>
      <c r="AB144" t="s">
        <v>49</v>
      </c>
      <c r="AC144" t="s">
        <v>49</v>
      </c>
      <c r="AD144" t="s">
        <v>49</v>
      </c>
      <c r="AE144" t="s">
        <v>49</v>
      </c>
      <c r="AF144" t="s">
        <v>49</v>
      </c>
      <c r="AG144" t="s">
        <v>49</v>
      </c>
      <c r="AH144" t="s">
        <v>49</v>
      </c>
      <c r="AI144" t="s">
        <v>49</v>
      </c>
    </row>
    <row r="145" spans="1:35" x14ac:dyDescent="0.25">
      <c r="A145" t="s">
        <v>136</v>
      </c>
      <c r="B145" t="s">
        <v>62</v>
      </c>
      <c r="C145" t="s">
        <v>63</v>
      </c>
      <c r="D145" t="s">
        <v>64</v>
      </c>
      <c r="E145" t="s">
        <v>59</v>
      </c>
      <c r="F145">
        <v>201.9067</v>
      </c>
      <c r="G145">
        <v>203.01089999999999</v>
      </c>
      <c r="K145">
        <v>150.34909999999999</v>
      </c>
      <c r="L145">
        <v>124.0523</v>
      </c>
      <c r="U145" t="s">
        <v>49</v>
      </c>
      <c r="V145" t="s">
        <v>49</v>
      </c>
      <c r="W145" t="s">
        <v>49</v>
      </c>
      <c r="X145" t="s">
        <v>49</v>
      </c>
      <c r="Y145" t="s">
        <v>49</v>
      </c>
      <c r="Z145" t="s">
        <v>49</v>
      </c>
      <c r="AA145" t="s">
        <v>49</v>
      </c>
      <c r="AB145" t="s">
        <v>49</v>
      </c>
      <c r="AC145" t="s">
        <v>49</v>
      </c>
      <c r="AD145" t="s">
        <v>49</v>
      </c>
      <c r="AE145" t="s">
        <v>49</v>
      </c>
      <c r="AF145" t="s">
        <v>49</v>
      </c>
      <c r="AG145" t="s">
        <v>49</v>
      </c>
      <c r="AH145" t="s">
        <v>49</v>
      </c>
      <c r="AI145" t="s">
        <v>49</v>
      </c>
    </row>
    <row r="146" spans="1:35" x14ac:dyDescent="0.25">
      <c r="A146" t="s">
        <v>77</v>
      </c>
      <c r="B146" t="s">
        <v>62</v>
      </c>
      <c r="C146" t="s">
        <v>63</v>
      </c>
      <c r="D146" t="s">
        <v>64</v>
      </c>
      <c r="E146" t="s">
        <v>59</v>
      </c>
      <c r="F146">
        <v>348.6454</v>
      </c>
      <c r="G146">
        <v>328.19380000000001</v>
      </c>
      <c r="H146">
        <v>311.1592</v>
      </c>
      <c r="I146">
        <v>329.35289999999998</v>
      </c>
      <c r="J146">
        <v>262.22460000000001</v>
      </c>
      <c r="U146" t="s">
        <v>49</v>
      </c>
      <c r="V146" t="s">
        <v>49</v>
      </c>
      <c r="W146" t="s">
        <v>49</v>
      </c>
      <c r="X146" t="s">
        <v>49</v>
      </c>
      <c r="Y146" t="s">
        <v>49</v>
      </c>
      <c r="Z146" t="s">
        <v>49</v>
      </c>
      <c r="AA146" t="s">
        <v>49</v>
      </c>
      <c r="AB146" t="s">
        <v>49</v>
      </c>
      <c r="AC146" t="s">
        <v>49</v>
      </c>
      <c r="AD146" t="s">
        <v>49</v>
      </c>
      <c r="AE146" t="s">
        <v>49</v>
      </c>
      <c r="AF146" t="s">
        <v>49</v>
      </c>
      <c r="AG146" t="s">
        <v>49</v>
      </c>
      <c r="AH146" t="s">
        <v>49</v>
      </c>
      <c r="AI146" t="s">
        <v>49</v>
      </c>
    </row>
    <row r="147" spans="1:35" x14ac:dyDescent="0.25">
      <c r="A147" t="s">
        <v>136</v>
      </c>
      <c r="B147" t="s">
        <v>62</v>
      </c>
      <c r="C147" t="s">
        <v>63</v>
      </c>
      <c r="D147" t="s">
        <v>64</v>
      </c>
      <c r="E147" t="s">
        <v>59</v>
      </c>
      <c r="F147">
        <v>9.0300999999999991</v>
      </c>
      <c r="G147">
        <v>16.595700000000001</v>
      </c>
      <c r="H147">
        <v>60.339399999999998</v>
      </c>
      <c r="I147">
        <v>43.555700000000002</v>
      </c>
      <c r="J147">
        <v>39.601300000000002</v>
      </c>
      <c r="U147" t="s">
        <v>49</v>
      </c>
      <c r="V147" t="s">
        <v>49</v>
      </c>
      <c r="W147" t="s">
        <v>49</v>
      </c>
      <c r="X147" t="s">
        <v>49</v>
      </c>
      <c r="Y147" t="s">
        <v>49</v>
      </c>
      <c r="Z147" t="s">
        <v>49</v>
      </c>
      <c r="AA147" t="s">
        <v>49</v>
      </c>
      <c r="AB147" t="s">
        <v>49</v>
      </c>
      <c r="AC147" t="s">
        <v>49</v>
      </c>
      <c r="AD147" t="s">
        <v>49</v>
      </c>
      <c r="AE147" t="s">
        <v>49</v>
      </c>
      <c r="AF147" t="s">
        <v>49</v>
      </c>
      <c r="AG147" t="s">
        <v>49</v>
      </c>
      <c r="AH147" t="s">
        <v>49</v>
      </c>
      <c r="AI147" t="s">
        <v>49</v>
      </c>
    </row>
    <row r="148" spans="1:35" x14ac:dyDescent="0.25">
      <c r="A148" t="s">
        <v>148</v>
      </c>
      <c r="B148" t="s">
        <v>62</v>
      </c>
      <c r="C148" t="s">
        <v>63</v>
      </c>
      <c r="D148" t="s">
        <v>64</v>
      </c>
      <c r="E148" t="s">
        <v>59</v>
      </c>
      <c r="F148">
        <v>7874.0806000000002</v>
      </c>
      <c r="G148">
        <v>7158.7448000000004</v>
      </c>
      <c r="H148">
        <v>6603.9898999999996</v>
      </c>
      <c r="I148">
        <v>6325.7233999999999</v>
      </c>
      <c r="J148">
        <v>5984.3791000000001</v>
      </c>
      <c r="K148">
        <v>5365.1230999999998</v>
      </c>
      <c r="L148">
        <v>5037.1176999999998</v>
      </c>
      <c r="M148">
        <v>4616.0819000000001</v>
      </c>
      <c r="N148">
        <v>4510.4188999999997</v>
      </c>
      <c r="O148">
        <v>3942.5039999999999</v>
      </c>
      <c r="P148">
        <v>3160.6712000000002</v>
      </c>
      <c r="Q148">
        <v>3008.6623</v>
      </c>
      <c r="R148">
        <v>2573.1675</v>
      </c>
      <c r="S148">
        <v>1945.7820999999999</v>
      </c>
      <c r="T148">
        <v>1393.7442000000001</v>
      </c>
      <c r="U148" t="s">
        <v>49</v>
      </c>
      <c r="V148" t="s">
        <v>49</v>
      </c>
      <c r="W148" t="s">
        <v>49</v>
      </c>
      <c r="X148" t="s">
        <v>49</v>
      </c>
      <c r="Y148" t="s">
        <v>49</v>
      </c>
      <c r="Z148" t="s">
        <v>49</v>
      </c>
      <c r="AA148" t="s">
        <v>49</v>
      </c>
      <c r="AB148" t="s">
        <v>49</v>
      </c>
      <c r="AC148" t="s">
        <v>49</v>
      </c>
      <c r="AD148" t="s">
        <v>49</v>
      </c>
      <c r="AE148" t="s">
        <v>49</v>
      </c>
      <c r="AF148" t="s">
        <v>49</v>
      </c>
      <c r="AG148" t="s">
        <v>49</v>
      </c>
      <c r="AH148" t="s">
        <v>49</v>
      </c>
      <c r="AI148" t="s">
        <v>49</v>
      </c>
    </row>
    <row r="149" spans="1:35" x14ac:dyDescent="0.25">
      <c r="A149" t="s">
        <v>149</v>
      </c>
      <c r="B149" t="s">
        <v>62</v>
      </c>
      <c r="C149" t="s">
        <v>63</v>
      </c>
      <c r="D149" t="s">
        <v>64</v>
      </c>
      <c r="E149" t="s">
        <v>59</v>
      </c>
      <c r="F149">
        <v>3092.2348000000002</v>
      </c>
      <c r="G149">
        <v>2853.0255000000002</v>
      </c>
      <c r="H149">
        <v>2596.3026</v>
      </c>
      <c r="I149">
        <v>2295.9238</v>
      </c>
      <c r="J149">
        <v>2197.6412</v>
      </c>
      <c r="K149">
        <v>2098.8339999999998</v>
      </c>
      <c r="L149">
        <v>2028.8920000000001</v>
      </c>
      <c r="M149">
        <v>1717.1243999999999</v>
      </c>
      <c r="N149">
        <v>1549.9656</v>
      </c>
      <c r="O149">
        <v>1301.2150999999999</v>
      </c>
      <c r="P149">
        <v>1105.5594000000001</v>
      </c>
      <c r="Q149">
        <v>1249.5935999999999</v>
      </c>
      <c r="R149">
        <v>1164.3776</v>
      </c>
      <c r="S149">
        <v>809.96879999999999</v>
      </c>
      <c r="T149">
        <v>528.07719999999995</v>
      </c>
      <c r="U149" t="s">
        <v>49</v>
      </c>
      <c r="V149" t="s">
        <v>49</v>
      </c>
      <c r="W149" t="s">
        <v>49</v>
      </c>
      <c r="X149" t="s">
        <v>49</v>
      </c>
      <c r="Y149" t="s">
        <v>49</v>
      </c>
      <c r="Z149" t="s">
        <v>49</v>
      </c>
      <c r="AA149" t="s">
        <v>49</v>
      </c>
      <c r="AB149" t="s">
        <v>49</v>
      </c>
      <c r="AC149" t="s">
        <v>49</v>
      </c>
      <c r="AD149" t="s">
        <v>49</v>
      </c>
      <c r="AE149" t="s">
        <v>49</v>
      </c>
      <c r="AF149" t="s">
        <v>49</v>
      </c>
      <c r="AG149" t="s">
        <v>49</v>
      </c>
      <c r="AH149" t="s">
        <v>49</v>
      </c>
      <c r="AI149" t="s">
        <v>49</v>
      </c>
    </row>
    <row r="150" spans="1:35" x14ac:dyDescent="0.25">
      <c r="A150" t="s">
        <v>150</v>
      </c>
      <c r="B150" t="s">
        <v>62</v>
      </c>
      <c r="C150" t="s">
        <v>63</v>
      </c>
      <c r="D150" t="s">
        <v>64</v>
      </c>
      <c r="E150" t="s">
        <v>59</v>
      </c>
      <c r="F150">
        <v>333.6893</v>
      </c>
      <c r="G150">
        <v>292.99950000000001</v>
      </c>
      <c r="H150">
        <v>346.05990000000003</v>
      </c>
      <c r="I150">
        <v>325.17630000000003</v>
      </c>
      <c r="J150">
        <v>248.15780000000001</v>
      </c>
      <c r="K150">
        <v>210.0634</v>
      </c>
      <c r="L150">
        <v>214.31720000000001</v>
      </c>
      <c r="M150">
        <v>154.64779999999999</v>
      </c>
      <c r="N150">
        <v>156.65100000000001</v>
      </c>
      <c r="O150">
        <v>131.50460000000001</v>
      </c>
      <c r="P150">
        <v>56.9985</v>
      </c>
      <c r="Q150">
        <v>62.2059</v>
      </c>
      <c r="R150">
        <v>54.451999999999998</v>
      </c>
      <c r="S150">
        <v>47.528199999999998</v>
      </c>
      <c r="T150">
        <v>37.283999999999999</v>
      </c>
      <c r="U150" t="s">
        <v>49</v>
      </c>
      <c r="V150" t="s">
        <v>49</v>
      </c>
      <c r="W150" t="s">
        <v>49</v>
      </c>
      <c r="X150" t="s">
        <v>49</v>
      </c>
      <c r="Y150" t="s">
        <v>49</v>
      </c>
      <c r="Z150" t="s">
        <v>49</v>
      </c>
      <c r="AA150" t="s">
        <v>49</v>
      </c>
      <c r="AB150" t="s">
        <v>49</v>
      </c>
      <c r="AC150" t="s">
        <v>49</v>
      </c>
      <c r="AD150" t="s">
        <v>49</v>
      </c>
      <c r="AE150" t="s">
        <v>49</v>
      </c>
      <c r="AF150" t="s">
        <v>49</v>
      </c>
      <c r="AG150" t="s">
        <v>49</v>
      </c>
      <c r="AH150" t="s">
        <v>49</v>
      </c>
      <c r="AI150" t="s">
        <v>49</v>
      </c>
    </row>
    <row r="151" spans="1:35" x14ac:dyDescent="0.25">
      <c r="A151" t="s">
        <v>151</v>
      </c>
      <c r="B151" t="s">
        <v>62</v>
      </c>
      <c r="C151" t="s">
        <v>63</v>
      </c>
      <c r="D151" t="s">
        <v>64</v>
      </c>
      <c r="E151" t="s">
        <v>59</v>
      </c>
      <c r="F151">
        <v>1510.1382000000001</v>
      </c>
      <c r="G151">
        <v>1523.2255</v>
      </c>
      <c r="H151">
        <v>1392.6159</v>
      </c>
      <c r="I151">
        <v>1268.4858999999999</v>
      </c>
      <c r="J151">
        <v>1117.0922</v>
      </c>
      <c r="K151">
        <v>1049.008</v>
      </c>
      <c r="L151">
        <v>1022.8928</v>
      </c>
      <c r="M151">
        <v>932.30029999999999</v>
      </c>
      <c r="N151">
        <v>847.75850000000003</v>
      </c>
      <c r="O151">
        <v>662.35299999999995</v>
      </c>
      <c r="P151">
        <v>477.73169999999999</v>
      </c>
      <c r="Q151">
        <v>431.06049999999999</v>
      </c>
      <c r="R151">
        <v>358.28910000000002</v>
      </c>
      <c r="S151">
        <v>267.9264</v>
      </c>
      <c r="T151">
        <v>192.29509999999999</v>
      </c>
      <c r="U151" t="s">
        <v>49</v>
      </c>
      <c r="V151" t="s">
        <v>49</v>
      </c>
      <c r="W151" t="s">
        <v>49</v>
      </c>
      <c r="X151" t="s">
        <v>49</v>
      </c>
      <c r="Y151" t="s">
        <v>49</v>
      </c>
      <c r="Z151" t="s">
        <v>49</v>
      </c>
      <c r="AA151" t="s">
        <v>49</v>
      </c>
      <c r="AB151" t="s">
        <v>49</v>
      </c>
      <c r="AC151" t="s">
        <v>49</v>
      </c>
      <c r="AD151" t="s">
        <v>49</v>
      </c>
      <c r="AE151" t="s">
        <v>49</v>
      </c>
      <c r="AF151" t="s">
        <v>49</v>
      </c>
      <c r="AG151" t="s">
        <v>49</v>
      </c>
      <c r="AH151" t="s">
        <v>49</v>
      </c>
      <c r="AI151" t="s">
        <v>49</v>
      </c>
    </row>
    <row r="152" spans="1:35" x14ac:dyDescent="0.25">
      <c r="A152" t="s">
        <v>49</v>
      </c>
      <c r="B152" t="s">
        <v>49</v>
      </c>
      <c r="C152" t="s">
        <v>49</v>
      </c>
      <c r="D152" t="s">
        <v>49</v>
      </c>
      <c r="E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49</v>
      </c>
      <c r="Z152" t="s">
        <v>49</v>
      </c>
      <c r="AA152" t="s">
        <v>49</v>
      </c>
      <c r="AB152" t="s">
        <v>49</v>
      </c>
      <c r="AC152" t="s">
        <v>49</v>
      </c>
      <c r="AD152" t="s">
        <v>49</v>
      </c>
      <c r="AE152" t="s">
        <v>49</v>
      </c>
      <c r="AF152" t="s">
        <v>49</v>
      </c>
      <c r="AG152" t="s">
        <v>49</v>
      </c>
      <c r="AH152" t="s">
        <v>49</v>
      </c>
      <c r="AI152" t="s">
        <v>49</v>
      </c>
    </row>
    <row r="153" spans="1:35" x14ac:dyDescent="0.25">
      <c r="A153" t="s">
        <v>49</v>
      </c>
      <c r="B153" t="s">
        <v>49</v>
      </c>
      <c r="C153" t="s">
        <v>49</v>
      </c>
      <c r="D153" t="s">
        <v>49</v>
      </c>
      <c r="E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49</v>
      </c>
      <c r="Z153" t="s">
        <v>49</v>
      </c>
      <c r="AA153" t="s">
        <v>49</v>
      </c>
      <c r="AB153" t="s">
        <v>49</v>
      </c>
      <c r="AC153" t="s">
        <v>49</v>
      </c>
      <c r="AD153" t="s">
        <v>49</v>
      </c>
      <c r="AE153" t="s">
        <v>49</v>
      </c>
      <c r="AF153" t="s">
        <v>49</v>
      </c>
      <c r="AG153" t="s">
        <v>49</v>
      </c>
      <c r="AH153" t="s">
        <v>49</v>
      </c>
      <c r="AI153" t="s">
        <v>49</v>
      </c>
    </row>
    <row r="154" spans="1:35" x14ac:dyDescent="0.25">
      <c r="A154" t="s">
        <v>49</v>
      </c>
      <c r="B154" t="s">
        <v>49</v>
      </c>
      <c r="C154" t="s">
        <v>49</v>
      </c>
      <c r="D154" t="s">
        <v>49</v>
      </c>
      <c r="E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49</v>
      </c>
      <c r="Z154" t="s">
        <v>49</v>
      </c>
      <c r="AA154" t="s">
        <v>49</v>
      </c>
      <c r="AB154" t="s">
        <v>49</v>
      </c>
      <c r="AC154" t="s">
        <v>49</v>
      </c>
      <c r="AD154" t="s">
        <v>49</v>
      </c>
      <c r="AE154" t="s">
        <v>49</v>
      </c>
      <c r="AF154" t="s">
        <v>49</v>
      </c>
      <c r="AG154" t="s">
        <v>49</v>
      </c>
      <c r="AH154" t="s">
        <v>49</v>
      </c>
      <c r="AI154" t="s">
        <v>49</v>
      </c>
    </row>
    <row r="155" spans="1:35" x14ac:dyDescent="0.25">
      <c r="A155" t="s">
        <v>49</v>
      </c>
      <c r="B155" t="s">
        <v>49</v>
      </c>
      <c r="C155" t="s">
        <v>49</v>
      </c>
      <c r="D155" t="s">
        <v>49</v>
      </c>
      <c r="E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49</v>
      </c>
      <c r="Z155" t="s">
        <v>49</v>
      </c>
      <c r="AA155" t="s">
        <v>49</v>
      </c>
      <c r="AB155" t="s">
        <v>49</v>
      </c>
      <c r="AC155" t="s">
        <v>49</v>
      </c>
      <c r="AD155" t="s">
        <v>49</v>
      </c>
      <c r="AE155" t="s">
        <v>49</v>
      </c>
      <c r="AF155" t="s">
        <v>49</v>
      </c>
      <c r="AG155" t="s">
        <v>49</v>
      </c>
      <c r="AH155" t="s">
        <v>49</v>
      </c>
      <c r="AI155" t="s">
        <v>49</v>
      </c>
    </row>
    <row r="156" spans="1:35" x14ac:dyDescent="0.25">
      <c r="A156" t="s">
        <v>49</v>
      </c>
      <c r="B156" t="s">
        <v>49</v>
      </c>
      <c r="C156" t="s">
        <v>49</v>
      </c>
      <c r="D156" t="s">
        <v>49</v>
      </c>
      <c r="E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49</v>
      </c>
      <c r="Z156" t="s">
        <v>49</v>
      </c>
      <c r="AA156" t="s">
        <v>49</v>
      </c>
      <c r="AB156" t="s">
        <v>49</v>
      </c>
      <c r="AC156" t="s">
        <v>49</v>
      </c>
      <c r="AD156" t="s">
        <v>49</v>
      </c>
      <c r="AE156" t="s">
        <v>49</v>
      </c>
      <c r="AF156" t="s">
        <v>49</v>
      </c>
      <c r="AG156" t="s">
        <v>49</v>
      </c>
      <c r="AH156" t="s">
        <v>49</v>
      </c>
      <c r="AI156" t="s">
        <v>49</v>
      </c>
    </row>
    <row r="157" spans="1:35" x14ac:dyDescent="0.25">
      <c r="A157" t="s">
        <v>167</v>
      </c>
      <c r="B157" t="s">
        <v>167</v>
      </c>
      <c r="C157" t="s">
        <v>167</v>
      </c>
      <c r="D157" t="s">
        <v>167</v>
      </c>
      <c r="E157" t="s">
        <v>167</v>
      </c>
      <c r="U157" t="s">
        <v>49</v>
      </c>
      <c r="V157" t="s">
        <v>49</v>
      </c>
      <c r="W157" t="s">
        <v>49</v>
      </c>
      <c r="X157" t="s">
        <v>49</v>
      </c>
      <c r="Y157" t="s">
        <v>49</v>
      </c>
      <c r="Z157" t="s">
        <v>49</v>
      </c>
      <c r="AA157" t="s">
        <v>49</v>
      </c>
      <c r="AB157" t="s">
        <v>49</v>
      </c>
      <c r="AC157" t="s">
        <v>49</v>
      </c>
      <c r="AD157" t="s">
        <v>49</v>
      </c>
      <c r="AE157" t="s">
        <v>49</v>
      </c>
      <c r="AF157" t="s">
        <v>49</v>
      </c>
      <c r="AG157" t="s">
        <v>49</v>
      </c>
      <c r="AH157" t="s">
        <v>49</v>
      </c>
      <c r="AI157" t="s">
        <v>49</v>
      </c>
    </row>
    <row r="158" spans="1:35" x14ac:dyDescent="0.25">
      <c r="A158" t="s">
        <v>168</v>
      </c>
      <c r="U158" t="s">
        <v>49</v>
      </c>
      <c r="V158" t="s">
        <v>49</v>
      </c>
      <c r="W158" t="s">
        <v>49</v>
      </c>
      <c r="X158" t="s">
        <v>49</v>
      </c>
      <c r="Y158" t="s">
        <v>49</v>
      </c>
      <c r="Z158" t="s">
        <v>49</v>
      </c>
      <c r="AA158" t="s">
        <v>49</v>
      </c>
      <c r="AB158" t="s">
        <v>49</v>
      </c>
      <c r="AC158" t="s">
        <v>49</v>
      </c>
      <c r="AD158" t="s">
        <v>49</v>
      </c>
      <c r="AE158" t="s">
        <v>49</v>
      </c>
      <c r="AF158" t="s">
        <v>49</v>
      </c>
      <c r="AG158" t="s">
        <v>49</v>
      </c>
      <c r="AH158" t="s">
        <v>49</v>
      </c>
      <c r="AI158" t="s">
        <v>49</v>
      </c>
    </row>
    <row r="159" spans="1:35" x14ac:dyDescent="0.25">
      <c r="A159" t="s">
        <v>169</v>
      </c>
      <c r="B159">
        <v>43999</v>
      </c>
      <c r="C159" t="s">
        <v>49</v>
      </c>
      <c r="D159" t="s">
        <v>49</v>
      </c>
      <c r="E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49</v>
      </c>
      <c r="Z159" t="s">
        <v>49</v>
      </c>
      <c r="AA159" t="s">
        <v>49</v>
      </c>
      <c r="AB159" t="s">
        <v>49</v>
      </c>
      <c r="AC159" t="s">
        <v>49</v>
      </c>
      <c r="AD159" t="s">
        <v>49</v>
      </c>
      <c r="AE159" t="s">
        <v>49</v>
      </c>
      <c r="AF159" t="s">
        <v>49</v>
      </c>
      <c r="AG159" t="s">
        <v>49</v>
      </c>
      <c r="AH159" t="s">
        <v>49</v>
      </c>
      <c r="AI159" t="s">
        <v>49</v>
      </c>
    </row>
    <row r="160" spans="1:35" x14ac:dyDescent="0.25">
      <c r="A160" t="s">
        <v>170</v>
      </c>
      <c r="B160">
        <v>43999</v>
      </c>
      <c r="C160" t="s">
        <v>49</v>
      </c>
      <c r="D160" t="s">
        <v>49</v>
      </c>
      <c r="E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49</v>
      </c>
      <c r="Z160" t="s">
        <v>49</v>
      </c>
      <c r="AA160" t="s">
        <v>49</v>
      </c>
      <c r="AB160" t="s">
        <v>49</v>
      </c>
      <c r="AC160" t="s">
        <v>49</v>
      </c>
      <c r="AD160" t="s">
        <v>49</v>
      </c>
      <c r="AE160" t="s">
        <v>49</v>
      </c>
      <c r="AF160" t="s">
        <v>49</v>
      </c>
      <c r="AG160" t="s">
        <v>49</v>
      </c>
      <c r="AH160" t="s">
        <v>49</v>
      </c>
      <c r="AI160" t="s">
        <v>49</v>
      </c>
    </row>
    <row r="161" spans="1:35" x14ac:dyDescent="0.25">
      <c r="A161" t="s">
        <v>28</v>
      </c>
      <c r="B161" t="s">
        <v>29</v>
      </c>
      <c r="C161" t="s">
        <v>30</v>
      </c>
      <c r="D161" t="s">
        <v>31</v>
      </c>
      <c r="E161" t="s">
        <v>32</v>
      </c>
      <c r="U161" t="s">
        <v>49</v>
      </c>
      <c r="V161" t="s">
        <v>49</v>
      </c>
      <c r="W161" t="s">
        <v>49</v>
      </c>
      <c r="X161" t="s">
        <v>49</v>
      </c>
      <c r="Y161" t="s">
        <v>49</v>
      </c>
      <c r="Z161" t="s">
        <v>49</v>
      </c>
      <c r="AA161" t="s">
        <v>49</v>
      </c>
      <c r="AB161" t="s">
        <v>49</v>
      </c>
      <c r="AC161" t="s">
        <v>49</v>
      </c>
      <c r="AD161" t="s">
        <v>49</v>
      </c>
      <c r="AE161" t="s">
        <v>49</v>
      </c>
      <c r="AF161" t="s">
        <v>49</v>
      </c>
      <c r="AG161" t="s">
        <v>49</v>
      </c>
      <c r="AH161" t="s">
        <v>49</v>
      </c>
      <c r="AI161" t="s">
        <v>49</v>
      </c>
    </row>
    <row r="162" spans="1:35" x14ac:dyDescent="0.25">
      <c r="A162" t="s">
        <v>171</v>
      </c>
      <c r="B162">
        <v>43999</v>
      </c>
      <c r="C162" t="s">
        <v>49</v>
      </c>
      <c r="D162" t="s">
        <v>49</v>
      </c>
      <c r="E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49</v>
      </c>
      <c r="Z162" t="s">
        <v>49</v>
      </c>
      <c r="AA162" t="s">
        <v>49</v>
      </c>
      <c r="AB162" t="s">
        <v>49</v>
      </c>
      <c r="AC162" t="s">
        <v>49</v>
      </c>
      <c r="AD162" t="s">
        <v>49</v>
      </c>
      <c r="AE162" t="s">
        <v>49</v>
      </c>
      <c r="AF162" t="s">
        <v>49</v>
      </c>
      <c r="AG162" t="s">
        <v>49</v>
      </c>
      <c r="AH162" t="s">
        <v>49</v>
      </c>
      <c r="AI162" t="s">
        <v>49</v>
      </c>
    </row>
    <row r="163" spans="1:35" x14ac:dyDescent="0.25">
      <c r="A163" t="s">
        <v>172</v>
      </c>
      <c r="B163">
        <v>2</v>
      </c>
      <c r="C163" t="s">
        <v>47</v>
      </c>
      <c r="D163" t="s">
        <v>46</v>
      </c>
      <c r="E163" t="s">
        <v>45</v>
      </c>
      <c r="F163" t="s">
        <v>44</v>
      </c>
      <c r="G163" t="s">
        <v>43</v>
      </c>
      <c r="H163" t="s">
        <v>42</v>
      </c>
      <c r="I163" t="s">
        <v>41</v>
      </c>
      <c r="J163" t="s">
        <v>40</v>
      </c>
      <c r="K163" t="s">
        <v>39</v>
      </c>
      <c r="L163" t="s">
        <v>38</v>
      </c>
      <c r="M163" t="s">
        <v>37</v>
      </c>
      <c r="N163" t="s">
        <v>36</v>
      </c>
      <c r="O163" t="s">
        <v>35</v>
      </c>
      <c r="P163" t="s">
        <v>34</v>
      </c>
      <c r="Q163" t="s">
        <v>33</v>
      </c>
      <c r="U163" t="s">
        <v>49</v>
      </c>
      <c r="V163" t="s">
        <v>49</v>
      </c>
      <c r="W163" t="s">
        <v>49</v>
      </c>
      <c r="X163" t="s">
        <v>49</v>
      </c>
      <c r="Y163" t="s">
        <v>49</v>
      </c>
      <c r="Z163" t="s">
        <v>49</v>
      </c>
      <c r="AA163" t="s">
        <v>49</v>
      </c>
      <c r="AB163" t="s">
        <v>49</v>
      </c>
      <c r="AC163" t="s">
        <v>49</v>
      </c>
      <c r="AD163" t="s">
        <v>49</v>
      </c>
      <c r="AE163" t="s">
        <v>49</v>
      </c>
      <c r="AF163" t="s">
        <v>49</v>
      </c>
      <c r="AG163" t="s">
        <v>49</v>
      </c>
      <c r="AH163" t="s">
        <v>49</v>
      </c>
      <c r="AI163" t="s">
        <v>49</v>
      </c>
    </row>
    <row r="164" spans="1:35" x14ac:dyDescent="0.25">
      <c r="A164" t="s">
        <v>173</v>
      </c>
      <c r="B164">
        <v>0</v>
      </c>
      <c r="C164" t="s">
        <v>174</v>
      </c>
      <c r="U164" t="s">
        <v>49</v>
      </c>
      <c r="V164" t="s">
        <v>49</v>
      </c>
      <c r="W164" t="s">
        <v>49</v>
      </c>
      <c r="X164" t="s">
        <v>49</v>
      </c>
      <c r="Y164" t="s">
        <v>49</v>
      </c>
      <c r="Z164" t="s">
        <v>49</v>
      </c>
      <c r="AA164" t="s">
        <v>49</v>
      </c>
      <c r="AB164" t="s">
        <v>49</v>
      </c>
      <c r="AC164" t="s">
        <v>49</v>
      </c>
      <c r="AD164" t="s">
        <v>49</v>
      </c>
      <c r="AE164" t="s">
        <v>49</v>
      </c>
      <c r="AF164" t="s">
        <v>49</v>
      </c>
      <c r="AG164" t="s">
        <v>49</v>
      </c>
      <c r="AH164" t="s">
        <v>49</v>
      </c>
      <c r="AI164" t="s">
        <v>49</v>
      </c>
    </row>
    <row r="165" spans="1:35" x14ac:dyDescent="0.25">
      <c r="A165" t="s">
        <v>175</v>
      </c>
      <c r="U165" t="s">
        <v>49</v>
      </c>
      <c r="V165" t="s">
        <v>49</v>
      </c>
      <c r="W165" t="s">
        <v>49</v>
      </c>
      <c r="X165" t="s">
        <v>49</v>
      </c>
      <c r="Y165" t="s">
        <v>49</v>
      </c>
      <c r="Z165" t="s">
        <v>49</v>
      </c>
      <c r="AA165" t="s">
        <v>49</v>
      </c>
      <c r="AB165" t="s">
        <v>49</v>
      </c>
      <c r="AC165" t="s">
        <v>49</v>
      </c>
      <c r="AD165" t="s">
        <v>49</v>
      </c>
      <c r="AE165" t="s">
        <v>49</v>
      </c>
      <c r="AF165" t="s">
        <v>49</v>
      </c>
      <c r="AG165" t="s">
        <v>49</v>
      </c>
      <c r="AH165" t="s">
        <v>49</v>
      </c>
      <c r="AI165" t="s">
        <v>49</v>
      </c>
    </row>
    <row r="166" spans="1:35" x14ac:dyDescent="0.25">
      <c r="A166" t="s">
        <v>176</v>
      </c>
      <c r="B166">
        <v>0</v>
      </c>
      <c r="C166" t="s">
        <v>174</v>
      </c>
      <c r="U166" t="s">
        <v>49</v>
      </c>
      <c r="V166" t="s">
        <v>49</v>
      </c>
      <c r="W166" t="s">
        <v>49</v>
      </c>
      <c r="X166" t="s">
        <v>49</v>
      </c>
      <c r="Y166" t="s">
        <v>49</v>
      </c>
      <c r="Z166" t="s">
        <v>49</v>
      </c>
      <c r="AA166" t="s">
        <v>49</v>
      </c>
      <c r="AB166" t="s">
        <v>49</v>
      </c>
      <c r="AC166" t="s">
        <v>49</v>
      </c>
      <c r="AD166" t="s">
        <v>49</v>
      </c>
      <c r="AE166" t="s">
        <v>49</v>
      </c>
      <c r="AF166" t="s">
        <v>49</v>
      </c>
      <c r="AG166" t="s">
        <v>49</v>
      </c>
      <c r="AH166" t="s">
        <v>49</v>
      </c>
      <c r="AI166" t="s">
        <v>49</v>
      </c>
    </row>
    <row r="167" spans="1:35" x14ac:dyDescent="0.25">
      <c r="A167" t="s">
        <v>177</v>
      </c>
      <c r="U167" t="s">
        <v>49</v>
      </c>
      <c r="V167" t="s">
        <v>49</v>
      </c>
      <c r="W167" t="s">
        <v>49</v>
      </c>
      <c r="X167" t="s">
        <v>49</v>
      </c>
      <c r="Y167" t="s">
        <v>49</v>
      </c>
      <c r="Z167" t="s">
        <v>49</v>
      </c>
      <c r="AA167" t="s">
        <v>49</v>
      </c>
      <c r="AB167" t="s">
        <v>49</v>
      </c>
      <c r="AC167" t="s">
        <v>49</v>
      </c>
      <c r="AD167" t="s">
        <v>49</v>
      </c>
      <c r="AE167" t="s">
        <v>49</v>
      </c>
      <c r="AF167" t="s">
        <v>49</v>
      </c>
      <c r="AG167" t="s">
        <v>49</v>
      </c>
      <c r="AH167" t="s">
        <v>49</v>
      </c>
      <c r="AI167" t="s">
        <v>49</v>
      </c>
    </row>
    <row r="168" spans="1:35" x14ac:dyDescent="0.25">
      <c r="A168" t="s">
        <v>178</v>
      </c>
      <c r="B168">
        <v>0</v>
      </c>
      <c r="C168" t="s">
        <v>174</v>
      </c>
      <c r="U168" t="s">
        <v>49</v>
      </c>
      <c r="V168" t="s">
        <v>49</v>
      </c>
      <c r="W168" t="s">
        <v>49</v>
      </c>
      <c r="X168" t="s">
        <v>49</v>
      </c>
      <c r="Y168" t="s">
        <v>49</v>
      </c>
      <c r="Z168" t="s">
        <v>49</v>
      </c>
      <c r="AA168" t="s">
        <v>49</v>
      </c>
      <c r="AB168" t="s">
        <v>49</v>
      </c>
      <c r="AC168" t="s">
        <v>49</v>
      </c>
      <c r="AD168" t="s">
        <v>49</v>
      </c>
      <c r="AE168" t="s">
        <v>49</v>
      </c>
      <c r="AF168" t="s">
        <v>49</v>
      </c>
      <c r="AG168" t="s">
        <v>49</v>
      </c>
      <c r="AH168" t="s">
        <v>49</v>
      </c>
      <c r="AI168" t="s">
        <v>49</v>
      </c>
    </row>
    <row r="169" spans="1:35" x14ac:dyDescent="0.25">
      <c r="A169" t="s">
        <v>179</v>
      </c>
      <c r="U169" t="s">
        <v>49</v>
      </c>
      <c r="V169" t="s">
        <v>49</v>
      </c>
      <c r="W169" t="s">
        <v>49</v>
      </c>
      <c r="X169" t="s">
        <v>49</v>
      </c>
      <c r="Y169" t="s">
        <v>49</v>
      </c>
      <c r="Z169" t="s">
        <v>49</v>
      </c>
      <c r="AA169" t="s">
        <v>49</v>
      </c>
      <c r="AB169" t="s">
        <v>49</v>
      </c>
      <c r="AC169" t="s">
        <v>49</v>
      </c>
      <c r="AD169" t="s">
        <v>49</v>
      </c>
      <c r="AE169" t="s">
        <v>49</v>
      </c>
      <c r="AF169" t="s">
        <v>49</v>
      </c>
      <c r="AG169" t="s">
        <v>49</v>
      </c>
      <c r="AH169" t="s">
        <v>49</v>
      </c>
      <c r="AI169" t="s">
        <v>49</v>
      </c>
    </row>
    <row r="170" spans="1:35" x14ac:dyDescent="0.25">
      <c r="A170" t="s">
        <v>180</v>
      </c>
      <c r="B170">
        <v>2</v>
      </c>
      <c r="C170" t="s">
        <v>47</v>
      </c>
      <c r="D170" t="s">
        <v>46</v>
      </c>
      <c r="E170" t="s">
        <v>45</v>
      </c>
      <c r="F170" t="s">
        <v>44</v>
      </c>
      <c r="G170" t="s">
        <v>43</v>
      </c>
      <c r="H170" t="s">
        <v>42</v>
      </c>
      <c r="I170" t="s">
        <v>41</v>
      </c>
      <c r="J170" t="s">
        <v>40</v>
      </c>
      <c r="K170" t="s">
        <v>39</v>
      </c>
      <c r="L170" t="s">
        <v>38</v>
      </c>
      <c r="M170" t="s">
        <v>37</v>
      </c>
      <c r="N170" t="s">
        <v>36</v>
      </c>
      <c r="O170" t="s">
        <v>35</v>
      </c>
      <c r="P170" t="s">
        <v>34</v>
      </c>
      <c r="Q170" t="s">
        <v>33</v>
      </c>
      <c r="U170" t="s">
        <v>49</v>
      </c>
      <c r="V170" t="s">
        <v>49</v>
      </c>
      <c r="W170" t="s">
        <v>49</v>
      </c>
      <c r="X170" t="s">
        <v>49</v>
      </c>
      <c r="Y170" t="s">
        <v>49</v>
      </c>
      <c r="Z170" t="s">
        <v>49</v>
      </c>
      <c r="AA170" t="s">
        <v>49</v>
      </c>
      <c r="AB170" t="s">
        <v>49</v>
      </c>
      <c r="AC170" t="s">
        <v>49</v>
      </c>
      <c r="AD170" t="s">
        <v>49</v>
      </c>
      <c r="AE170" t="s">
        <v>49</v>
      </c>
      <c r="AF170" t="s">
        <v>49</v>
      </c>
      <c r="AG170" t="s">
        <v>49</v>
      </c>
      <c r="AH170" t="s">
        <v>49</v>
      </c>
      <c r="AI170" t="s">
        <v>49</v>
      </c>
    </row>
    <row r="171" spans="1:35" x14ac:dyDescent="0.25">
      <c r="A171" t="s">
        <v>181</v>
      </c>
      <c r="B171">
        <v>2</v>
      </c>
      <c r="C171" t="s">
        <v>47</v>
      </c>
      <c r="D171" t="s">
        <v>46</v>
      </c>
      <c r="E171" t="s">
        <v>45</v>
      </c>
      <c r="F171" t="s">
        <v>44</v>
      </c>
      <c r="G171" t="s">
        <v>43</v>
      </c>
      <c r="H171" t="s">
        <v>42</v>
      </c>
      <c r="I171" t="s">
        <v>41</v>
      </c>
      <c r="J171" t="s">
        <v>40</v>
      </c>
      <c r="K171" t="s">
        <v>39</v>
      </c>
      <c r="L171" t="s">
        <v>38</v>
      </c>
      <c r="M171" t="s">
        <v>37</v>
      </c>
      <c r="N171" t="s">
        <v>36</v>
      </c>
      <c r="O171" t="s">
        <v>35</v>
      </c>
      <c r="P171" t="s">
        <v>34</v>
      </c>
      <c r="Q171" t="s">
        <v>33</v>
      </c>
      <c r="U171" t="s">
        <v>49</v>
      </c>
      <c r="V171" t="s">
        <v>49</v>
      </c>
      <c r="W171" t="s">
        <v>49</v>
      </c>
      <c r="X171" t="s">
        <v>49</v>
      </c>
      <c r="Y171" t="s">
        <v>49</v>
      </c>
      <c r="Z171" t="s">
        <v>49</v>
      </c>
      <c r="AA171" t="s">
        <v>49</v>
      </c>
      <c r="AB171" t="s">
        <v>49</v>
      </c>
      <c r="AC171" t="s">
        <v>49</v>
      </c>
      <c r="AD171" t="s">
        <v>49</v>
      </c>
      <c r="AE171" t="s">
        <v>49</v>
      </c>
      <c r="AF171" t="s">
        <v>49</v>
      </c>
      <c r="AG171" t="s">
        <v>49</v>
      </c>
      <c r="AH171" t="s">
        <v>49</v>
      </c>
      <c r="AI171" t="s">
        <v>49</v>
      </c>
    </row>
    <row r="172" spans="1:35" x14ac:dyDescent="0.25">
      <c r="A172" t="s">
        <v>182</v>
      </c>
      <c r="B172">
        <v>0</v>
      </c>
      <c r="C172" t="s">
        <v>174</v>
      </c>
      <c r="U172" t="s">
        <v>49</v>
      </c>
      <c r="V172" t="s">
        <v>49</v>
      </c>
      <c r="W172" t="s">
        <v>49</v>
      </c>
      <c r="X172" t="s">
        <v>49</v>
      </c>
      <c r="Y172" t="s">
        <v>49</v>
      </c>
      <c r="Z172" t="s">
        <v>49</v>
      </c>
      <c r="AA172" t="s">
        <v>49</v>
      </c>
      <c r="AB172" t="s">
        <v>49</v>
      </c>
      <c r="AC172" t="s">
        <v>49</v>
      </c>
      <c r="AD172" t="s">
        <v>49</v>
      </c>
      <c r="AE172" t="s">
        <v>49</v>
      </c>
      <c r="AF172" t="s">
        <v>49</v>
      </c>
      <c r="AG172" t="s">
        <v>49</v>
      </c>
      <c r="AH172" t="s">
        <v>49</v>
      </c>
      <c r="AI172" t="s">
        <v>49</v>
      </c>
    </row>
    <row r="173" spans="1:35" x14ac:dyDescent="0.25">
      <c r="A173" t="s">
        <v>183</v>
      </c>
      <c r="U173" t="s">
        <v>49</v>
      </c>
      <c r="V173" t="s">
        <v>49</v>
      </c>
      <c r="W173" t="s">
        <v>49</v>
      </c>
      <c r="X173" t="s">
        <v>49</v>
      </c>
      <c r="Y173" t="s">
        <v>49</v>
      </c>
      <c r="Z173" t="s">
        <v>49</v>
      </c>
      <c r="AA173" t="s">
        <v>49</v>
      </c>
      <c r="AB173" t="s">
        <v>49</v>
      </c>
      <c r="AC173" t="s">
        <v>49</v>
      </c>
      <c r="AD173" t="s">
        <v>49</v>
      </c>
      <c r="AE173" t="s">
        <v>49</v>
      </c>
      <c r="AF173" t="s">
        <v>49</v>
      </c>
      <c r="AG173" t="s">
        <v>49</v>
      </c>
      <c r="AH173" t="s">
        <v>49</v>
      </c>
      <c r="AI173" t="s">
        <v>49</v>
      </c>
    </row>
    <row r="174" spans="1:35" x14ac:dyDescent="0.25">
      <c r="A174" t="s">
        <v>184</v>
      </c>
      <c r="B174">
        <v>0</v>
      </c>
      <c r="C174" t="s">
        <v>174</v>
      </c>
      <c r="U174" t="s">
        <v>49</v>
      </c>
      <c r="V174" t="s">
        <v>49</v>
      </c>
      <c r="W174" t="s">
        <v>49</v>
      </c>
      <c r="X174" t="s">
        <v>49</v>
      </c>
      <c r="Y174" t="s">
        <v>49</v>
      </c>
      <c r="Z174" t="s">
        <v>49</v>
      </c>
      <c r="AA174" t="s">
        <v>49</v>
      </c>
      <c r="AB174" t="s">
        <v>49</v>
      </c>
      <c r="AC174" t="s">
        <v>49</v>
      </c>
      <c r="AD174" t="s">
        <v>49</v>
      </c>
      <c r="AE174" t="s">
        <v>49</v>
      </c>
      <c r="AF174" t="s">
        <v>49</v>
      </c>
      <c r="AG174" t="s">
        <v>49</v>
      </c>
      <c r="AH174" t="s">
        <v>49</v>
      </c>
      <c r="AI174" t="s">
        <v>49</v>
      </c>
    </row>
    <row r="175" spans="1:35" x14ac:dyDescent="0.25">
      <c r="A175" t="s">
        <v>185</v>
      </c>
      <c r="U175" t="s">
        <v>49</v>
      </c>
      <c r="V175" t="s">
        <v>49</v>
      </c>
      <c r="W175" t="s">
        <v>49</v>
      </c>
      <c r="X175" t="s">
        <v>49</v>
      </c>
      <c r="Y175" t="s">
        <v>49</v>
      </c>
      <c r="Z175" t="s">
        <v>49</v>
      </c>
      <c r="AA175" t="s">
        <v>49</v>
      </c>
      <c r="AB175" t="s">
        <v>49</v>
      </c>
      <c r="AC175" t="s">
        <v>49</v>
      </c>
      <c r="AD175" t="s">
        <v>49</v>
      </c>
      <c r="AE175" t="s">
        <v>49</v>
      </c>
      <c r="AF175" t="s">
        <v>49</v>
      </c>
      <c r="AG175" t="s">
        <v>49</v>
      </c>
      <c r="AH175" t="s">
        <v>49</v>
      </c>
      <c r="AI175" t="s">
        <v>49</v>
      </c>
    </row>
    <row r="176" spans="1:35" x14ac:dyDescent="0.25">
      <c r="A176" t="s">
        <v>186</v>
      </c>
      <c r="B176">
        <v>0</v>
      </c>
      <c r="C176" t="s">
        <v>174</v>
      </c>
      <c r="U176" t="s">
        <v>49</v>
      </c>
      <c r="V176" t="s">
        <v>49</v>
      </c>
      <c r="W176" t="s">
        <v>49</v>
      </c>
      <c r="X176" t="s">
        <v>49</v>
      </c>
      <c r="Y176" t="s">
        <v>49</v>
      </c>
      <c r="Z176" t="s">
        <v>49</v>
      </c>
      <c r="AA176" t="s">
        <v>49</v>
      </c>
      <c r="AB176" t="s">
        <v>49</v>
      </c>
      <c r="AC176" t="s">
        <v>49</v>
      </c>
      <c r="AD176" t="s">
        <v>49</v>
      </c>
      <c r="AE176" t="s">
        <v>49</v>
      </c>
      <c r="AF176" t="s">
        <v>49</v>
      </c>
      <c r="AG176" t="s">
        <v>49</v>
      </c>
      <c r="AH176" t="s">
        <v>49</v>
      </c>
      <c r="AI176" t="s">
        <v>49</v>
      </c>
    </row>
    <row r="177" spans="1:35" x14ac:dyDescent="0.25">
      <c r="A177" t="s">
        <v>187</v>
      </c>
      <c r="U177" t="s">
        <v>49</v>
      </c>
      <c r="V177" t="s">
        <v>49</v>
      </c>
      <c r="W177" t="s">
        <v>49</v>
      </c>
      <c r="X177" t="s">
        <v>49</v>
      </c>
      <c r="Y177" t="s">
        <v>49</v>
      </c>
      <c r="Z177" t="s">
        <v>49</v>
      </c>
      <c r="AA177" t="s">
        <v>49</v>
      </c>
      <c r="AB177" t="s">
        <v>49</v>
      </c>
      <c r="AC177" t="s">
        <v>49</v>
      </c>
      <c r="AD177" t="s">
        <v>49</v>
      </c>
      <c r="AE177" t="s">
        <v>49</v>
      </c>
      <c r="AF177" t="s">
        <v>49</v>
      </c>
      <c r="AG177" t="s">
        <v>49</v>
      </c>
      <c r="AH177" t="s">
        <v>49</v>
      </c>
      <c r="AI177" t="s">
        <v>49</v>
      </c>
    </row>
    <row r="178" spans="1:35" x14ac:dyDescent="0.25">
      <c r="A178" t="s">
        <v>188</v>
      </c>
      <c r="B178">
        <v>2</v>
      </c>
      <c r="C178" t="s">
        <v>47</v>
      </c>
      <c r="D178" t="s">
        <v>46</v>
      </c>
      <c r="E178" t="s">
        <v>45</v>
      </c>
      <c r="F178" t="s">
        <v>44</v>
      </c>
      <c r="G178" t="s">
        <v>43</v>
      </c>
      <c r="H178" t="s">
        <v>42</v>
      </c>
      <c r="I178" t="s">
        <v>41</v>
      </c>
      <c r="J178" t="s">
        <v>40</v>
      </c>
      <c r="K178" t="s">
        <v>39</v>
      </c>
      <c r="L178" t="s">
        <v>38</v>
      </c>
      <c r="M178" t="s">
        <v>37</v>
      </c>
      <c r="N178" t="s">
        <v>36</v>
      </c>
      <c r="O178" t="s">
        <v>35</v>
      </c>
      <c r="P178" t="s">
        <v>34</v>
      </c>
      <c r="Q178" t="s">
        <v>33</v>
      </c>
      <c r="U178" t="s">
        <v>49</v>
      </c>
      <c r="V178" t="s">
        <v>49</v>
      </c>
      <c r="W178" t="s">
        <v>49</v>
      </c>
      <c r="X178" t="s">
        <v>49</v>
      </c>
      <c r="Y178" t="s">
        <v>49</v>
      </c>
      <c r="Z178" t="s">
        <v>49</v>
      </c>
      <c r="AA178" t="s">
        <v>49</v>
      </c>
      <c r="AB178" t="s">
        <v>49</v>
      </c>
      <c r="AC178" t="s">
        <v>49</v>
      </c>
      <c r="AD178" t="s">
        <v>49</v>
      </c>
      <c r="AE178" t="s">
        <v>49</v>
      </c>
      <c r="AF178" t="s">
        <v>49</v>
      </c>
      <c r="AG178" t="s">
        <v>49</v>
      </c>
      <c r="AH178" t="s">
        <v>49</v>
      </c>
      <c r="AI178" t="s">
        <v>49</v>
      </c>
    </row>
    <row r="179" spans="1:35" x14ac:dyDescent="0.25">
      <c r="A179" t="s">
        <v>189</v>
      </c>
      <c r="B179">
        <v>2</v>
      </c>
      <c r="C179" t="s">
        <v>47</v>
      </c>
      <c r="D179" t="s">
        <v>46</v>
      </c>
      <c r="E179" t="s">
        <v>45</v>
      </c>
      <c r="F179" t="s">
        <v>44</v>
      </c>
      <c r="G179" t="s">
        <v>43</v>
      </c>
      <c r="H179" t="s">
        <v>42</v>
      </c>
      <c r="I179" t="s">
        <v>41</v>
      </c>
      <c r="J179" t="s">
        <v>40</v>
      </c>
      <c r="K179" t="s">
        <v>39</v>
      </c>
      <c r="L179" t="s">
        <v>38</v>
      </c>
      <c r="M179" t="s">
        <v>37</v>
      </c>
      <c r="N179" t="s">
        <v>36</v>
      </c>
      <c r="O179" t="s">
        <v>35</v>
      </c>
      <c r="P179" t="s">
        <v>34</v>
      </c>
      <c r="Q179" t="s">
        <v>33</v>
      </c>
      <c r="U179" t="s">
        <v>49</v>
      </c>
      <c r="V179" t="s">
        <v>49</v>
      </c>
      <c r="W179" t="s">
        <v>49</v>
      </c>
      <c r="X179" t="s">
        <v>49</v>
      </c>
      <c r="Y179" t="s">
        <v>49</v>
      </c>
      <c r="Z179" t="s">
        <v>49</v>
      </c>
      <c r="AA179" t="s">
        <v>49</v>
      </c>
      <c r="AB179" t="s">
        <v>49</v>
      </c>
      <c r="AC179" t="s">
        <v>49</v>
      </c>
      <c r="AD179" t="s">
        <v>49</v>
      </c>
      <c r="AE179" t="s">
        <v>49</v>
      </c>
      <c r="AF179" t="s">
        <v>49</v>
      </c>
      <c r="AG179" t="s">
        <v>49</v>
      </c>
      <c r="AH179" t="s">
        <v>49</v>
      </c>
      <c r="AI179" t="s">
        <v>49</v>
      </c>
    </row>
    <row r="180" spans="1:35" x14ac:dyDescent="0.25">
      <c r="A180" t="s">
        <v>190</v>
      </c>
      <c r="B180" t="s">
        <v>49</v>
      </c>
      <c r="C180" t="s">
        <v>49</v>
      </c>
      <c r="D180" t="s">
        <v>49</v>
      </c>
      <c r="E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49</v>
      </c>
      <c r="Z180" t="s">
        <v>49</v>
      </c>
      <c r="AA180" t="s">
        <v>49</v>
      </c>
      <c r="AB180" t="s">
        <v>49</v>
      </c>
      <c r="AC180" t="s">
        <v>49</v>
      </c>
      <c r="AD180" t="s">
        <v>49</v>
      </c>
      <c r="AE180" t="s">
        <v>49</v>
      </c>
      <c r="AF180" t="s">
        <v>49</v>
      </c>
      <c r="AG180" t="s">
        <v>49</v>
      </c>
      <c r="AH180" t="s">
        <v>49</v>
      </c>
      <c r="AI180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BIData</vt:lpstr>
      <vt:lpstr>Sheet1</vt:lpstr>
      <vt:lpstr>ReferenceData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F20180290</cp:lastModifiedBy>
  <dcterms:created xsi:type="dcterms:W3CDTF">2013-04-03T15:49:21Z</dcterms:created>
  <dcterms:modified xsi:type="dcterms:W3CDTF">2020-06-17T00:32:54Z</dcterms:modified>
</cp:coreProperties>
</file>