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ad\PS1\Bloomberg Session and Data\IT sector\"/>
    </mc:Choice>
  </mc:AlternateContent>
  <xr:revisionPtr revIDLastSave="0" documentId="13_ncr:1_{A49B5E5D-AADB-40A8-A9F0-EA574D4C059A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BIData" sheetId="2" r:id="rId1"/>
    <sheet name="Sheet1" sheetId="5" r:id="rId2"/>
    <sheet name="ReferenceData" sheetId="3" r:id="rId3"/>
    <sheet name="Sheet2" sheetId="6" r:id="rId4"/>
    <sheet name="Help-Referenc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6" l="1"/>
  <c r="H10" i="6"/>
  <c r="I10" i="6"/>
  <c r="J10" i="6"/>
  <c r="K10" i="6"/>
  <c r="L10" i="6"/>
  <c r="F10" i="6"/>
  <c r="C336" i="3" l="1"/>
  <c r="C332" i="3"/>
  <c r="C334" i="3"/>
  <c r="S348" i="3"/>
  <c r="R348" i="3"/>
  <c r="Q348" i="3"/>
  <c r="P348" i="3"/>
  <c r="O348" i="3"/>
  <c r="N348" i="3"/>
  <c r="M348" i="3"/>
  <c r="E348" i="3"/>
  <c r="D348" i="3"/>
  <c r="C348" i="3"/>
  <c r="B348" i="3"/>
  <c r="A348" i="3"/>
  <c r="S347" i="3"/>
  <c r="R347" i="3"/>
  <c r="Q347" i="3"/>
  <c r="P347" i="3"/>
  <c r="O347" i="3"/>
  <c r="N347" i="3"/>
  <c r="M347" i="3"/>
  <c r="A347" i="3"/>
  <c r="S346" i="3"/>
  <c r="R346" i="3"/>
  <c r="Q346" i="3"/>
  <c r="P346" i="3"/>
  <c r="O346" i="3"/>
  <c r="N346" i="3"/>
  <c r="M346" i="3"/>
  <c r="A346" i="3"/>
  <c r="S345" i="3"/>
  <c r="R345" i="3"/>
  <c r="Q345" i="3"/>
  <c r="P345" i="3"/>
  <c r="O345" i="3"/>
  <c r="N345" i="3"/>
  <c r="M345" i="3"/>
  <c r="A345" i="3"/>
  <c r="S344" i="3"/>
  <c r="R344" i="3"/>
  <c r="Q344" i="3"/>
  <c r="P344" i="3"/>
  <c r="O344" i="3"/>
  <c r="N344" i="3"/>
  <c r="M344" i="3"/>
  <c r="A344" i="3"/>
  <c r="S343" i="3"/>
  <c r="R343" i="3"/>
  <c r="Q343" i="3"/>
  <c r="P343" i="3"/>
  <c r="O343" i="3"/>
  <c r="N343" i="3"/>
  <c r="M343" i="3"/>
  <c r="A343" i="3"/>
  <c r="S342" i="3"/>
  <c r="R342" i="3"/>
  <c r="Q342" i="3"/>
  <c r="P342" i="3"/>
  <c r="O342" i="3"/>
  <c r="N342" i="3"/>
  <c r="M342" i="3"/>
  <c r="A342" i="3"/>
  <c r="S341" i="3"/>
  <c r="R341" i="3"/>
  <c r="Q341" i="3"/>
  <c r="P341" i="3"/>
  <c r="O341" i="3"/>
  <c r="N341" i="3"/>
  <c r="M341" i="3"/>
  <c r="A341" i="3"/>
  <c r="S340" i="3"/>
  <c r="R340" i="3"/>
  <c r="Q340" i="3"/>
  <c r="P340" i="3"/>
  <c r="O340" i="3"/>
  <c r="N340" i="3"/>
  <c r="M340" i="3"/>
  <c r="A340" i="3"/>
  <c r="S339" i="3"/>
  <c r="R339" i="3"/>
  <c r="Q339" i="3"/>
  <c r="P339" i="3"/>
  <c r="O339" i="3"/>
  <c r="N339" i="3"/>
  <c r="M339" i="3"/>
  <c r="A339" i="3"/>
  <c r="S338" i="3"/>
  <c r="R338" i="3"/>
  <c r="Q338" i="3"/>
  <c r="P338" i="3"/>
  <c r="O338" i="3"/>
  <c r="N338" i="3"/>
  <c r="M338" i="3"/>
  <c r="A338" i="3"/>
  <c r="S337" i="3"/>
  <c r="R337" i="3"/>
  <c r="Q337" i="3"/>
  <c r="P337" i="3"/>
  <c r="O337" i="3"/>
  <c r="N337" i="3"/>
  <c r="M337" i="3"/>
  <c r="A337" i="3"/>
  <c r="S336" i="3"/>
  <c r="R336" i="3"/>
  <c r="Q336" i="3"/>
  <c r="P336" i="3"/>
  <c r="O336" i="3"/>
  <c r="N336" i="3"/>
  <c r="M336" i="3"/>
  <c r="A336" i="3"/>
  <c r="S335" i="3"/>
  <c r="R335" i="3"/>
  <c r="Q335" i="3"/>
  <c r="P335" i="3"/>
  <c r="O335" i="3"/>
  <c r="N335" i="3"/>
  <c r="M335" i="3"/>
  <c r="A335" i="3"/>
  <c r="S334" i="3"/>
  <c r="R334" i="3"/>
  <c r="Q334" i="3"/>
  <c r="P334" i="3"/>
  <c r="O334" i="3"/>
  <c r="N334" i="3"/>
  <c r="M334" i="3"/>
  <c r="A334" i="3"/>
  <c r="S333" i="3"/>
  <c r="R333" i="3"/>
  <c r="Q333" i="3"/>
  <c r="P333" i="3"/>
  <c r="O333" i="3"/>
  <c r="N333" i="3"/>
  <c r="M333" i="3"/>
  <c r="A333" i="3"/>
  <c r="S332" i="3"/>
  <c r="R332" i="3"/>
  <c r="Q332" i="3"/>
  <c r="P332" i="3"/>
  <c r="O332" i="3"/>
  <c r="N332" i="3"/>
  <c r="M332" i="3"/>
  <c r="A332" i="3"/>
  <c r="S331" i="3"/>
  <c r="R331" i="3"/>
  <c r="Q331" i="3"/>
  <c r="P331" i="3"/>
  <c r="O331" i="3"/>
  <c r="N331" i="3"/>
  <c r="M331" i="3"/>
  <c r="I331" i="3"/>
  <c r="H331" i="3"/>
  <c r="G331" i="3"/>
  <c r="F331" i="3"/>
  <c r="E331" i="3"/>
  <c r="D331" i="3"/>
  <c r="C331" i="3"/>
  <c r="B331" i="3"/>
  <c r="A331" i="3"/>
  <c r="S330" i="3"/>
  <c r="R330" i="3"/>
  <c r="Q330" i="3"/>
  <c r="P330" i="3"/>
  <c r="O330" i="3"/>
  <c r="N330" i="3"/>
  <c r="M330" i="3"/>
  <c r="E330" i="3"/>
  <c r="D330" i="3"/>
  <c r="C330" i="3"/>
  <c r="B330" i="3"/>
  <c r="A330" i="3"/>
  <c r="S329" i="3"/>
  <c r="R329" i="3"/>
  <c r="Q329" i="3"/>
  <c r="P329" i="3"/>
  <c r="O329" i="3"/>
  <c r="N329" i="3"/>
  <c r="M329" i="3"/>
  <c r="E329" i="3"/>
  <c r="D329" i="3"/>
  <c r="C329" i="3"/>
  <c r="B329" i="3"/>
  <c r="A329" i="3"/>
  <c r="S328" i="3"/>
  <c r="R328" i="3"/>
  <c r="Q328" i="3"/>
  <c r="P328" i="3"/>
  <c r="O328" i="3"/>
  <c r="N328" i="3"/>
  <c r="M328" i="3"/>
  <c r="E328" i="3"/>
  <c r="D328" i="3"/>
  <c r="C328" i="3"/>
  <c r="A328" i="3"/>
  <c r="S327" i="3"/>
  <c r="R327" i="3"/>
  <c r="Q327" i="3"/>
  <c r="P327" i="3"/>
  <c r="O327" i="3"/>
  <c r="N327" i="3"/>
  <c r="M327" i="3"/>
  <c r="E327" i="3"/>
  <c r="D327" i="3"/>
  <c r="C327" i="3"/>
  <c r="B327" i="3"/>
  <c r="A327" i="3"/>
  <c r="S326" i="3"/>
  <c r="R326" i="3"/>
  <c r="Q326" i="3"/>
  <c r="P326" i="3"/>
  <c r="O326" i="3"/>
  <c r="N326" i="3"/>
  <c r="M326" i="3"/>
  <c r="A326" i="3"/>
  <c r="S325" i="3"/>
  <c r="R325" i="3"/>
  <c r="Q325" i="3"/>
  <c r="P325" i="3"/>
  <c r="O325" i="3"/>
  <c r="N325" i="3"/>
  <c r="M325" i="3"/>
  <c r="E325" i="3"/>
  <c r="D325" i="3"/>
  <c r="C325" i="3"/>
  <c r="B325" i="3"/>
  <c r="A325" i="3"/>
  <c r="S324" i="3"/>
  <c r="R324" i="3"/>
  <c r="Q324" i="3"/>
  <c r="P324" i="3"/>
  <c r="O324" i="3"/>
  <c r="N324" i="3"/>
  <c r="M324" i="3"/>
  <c r="E324" i="3"/>
  <c r="D324" i="3"/>
  <c r="C324" i="3"/>
  <c r="B324" i="3"/>
  <c r="A324" i="3"/>
  <c r="S323" i="3"/>
  <c r="R323" i="3"/>
  <c r="Q323" i="3"/>
  <c r="P323" i="3"/>
  <c r="O323" i="3"/>
  <c r="N323" i="3"/>
  <c r="M323" i="3"/>
  <c r="E323" i="3"/>
  <c r="D323" i="3"/>
  <c r="C323" i="3"/>
  <c r="B323" i="3"/>
  <c r="A323" i="3"/>
  <c r="S322" i="3"/>
  <c r="R322" i="3"/>
  <c r="Q322" i="3"/>
  <c r="P322" i="3"/>
  <c r="O322" i="3"/>
  <c r="N322" i="3"/>
  <c r="M322" i="3"/>
  <c r="E322" i="3"/>
  <c r="D322" i="3"/>
  <c r="C322" i="3"/>
  <c r="B322" i="3"/>
  <c r="A322" i="3"/>
  <c r="S321" i="3"/>
  <c r="R321" i="3"/>
  <c r="Q321" i="3"/>
  <c r="P321" i="3"/>
  <c r="O321" i="3"/>
  <c r="N321" i="3"/>
  <c r="M321" i="3"/>
  <c r="E321" i="3"/>
  <c r="D321" i="3"/>
  <c r="C321" i="3"/>
  <c r="B321" i="3"/>
  <c r="A321" i="3"/>
  <c r="S320" i="3"/>
  <c r="R320" i="3"/>
  <c r="Q320" i="3"/>
  <c r="P320" i="3"/>
  <c r="O320" i="3"/>
  <c r="N320" i="3"/>
  <c r="M320" i="3"/>
  <c r="E320" i="3"/>
  <c r="D320" i="3"/>
  <c r="C320" i="3"/>
  <c r="B320" i="3"/>
  <c r="A320" i="3"/>
  <c r="S319" i="3"/>
  <c r="R319" i="3"/>
  <c r="Q319" i="3"/>
  <c r="P319" i="3"/>
  <c r="O319" i="3"/>
  <c r="N319" i="3"/>
  <c r="M319" i="3"/>
  <c r="S318" i="3"/>
  <c r="R318" i="3"/>
  <c r="Q318" i="3"/>
  <c r="P318" i="3"/>
  <c r="O318" i="3"/>
  <c r="N318" i="3"/>
  <c r="M318" i="3"/>
  <c r="S317" i="3"/>
  <c r="R317" i="3"/>
  <c r="Q317" i="3"/>
  <c r="P317" i="3"/>
  <c r="O317" i="3"/>
  <c r="N317" i="3"/>
  <c r="M317" i="3"/>
  <c r="S316" i="3"/>
  <c r="R316" i="3"/>
  <c r="Q316" i="3"/>
  <c r="P316" i="3"/>
  <c r="O316" i="3"/>
  <c r="N316" i="3"/>
  <c r="M316" i="3"/>
  <c r="C316" i="3"/>
  <c r="S315" i="3"/>
  <c r="R315" i="3"/>
  <c r="Q315" i="3"/>
  <c r="P315" i="3"/>
  <c r="O315" i="3"/>
  <c r="N315" i="3"/>
  <c r="M315" i="3"/>
  <c r="S314" i="3"/>
  <c r="R314" i="3"/>
  <c r="Q314" i="3"/>
  <c r="P314" i="3"/>
  <c r="O314" i="3"/>
  <c r="N314" i="3"/>
  <c r="M314" i="3"/>
  <c r="S313" i="3"/>
  <c r="R313" i="3"/>
  <c r="Q313" i="3"/>
  <c r="P313" i="3"/>
  <c r="O313" i="3"/>
  <c r="N313" i="3"/>
  <c r="M313" i="3"/>
  <c r="S312" i="3"/>
  <c r="R312" i="3"/>
  <c r="Q312" i="3"/>
  <c r="P312" i="3"/>
  <c r="O312" i="3"/>
  <c r="N312" i="3"/>
  <c r="M312" i="3"/>
  <c r="S311" i="3"/>
  <c r="R311" i="3"/>
  <c r="Q311" i="3"/>
  <c r="P311" i="3"/>
  <c r="O311" i="3"/>
  <c r="N311" i="3"/>
  <c r="M311" i="3"/>
  <c r="S310" i="3"/>
  <c r="R310" i="3"/>
  <c r="Q310" i="3"/>
  <c r="P310" i="3"/>
  <c r="O310" i="3"/>
  <c r="N310" i="3"/>
  <c r="M310" i="3"/>
  <c r="C310" i="3"/>
  <c r="S309" i="3"/>
  <c r="R309" i="3"/>
  <c r="Q309" i="3"/>
  <c r="P309" i="3"/>
  <c r="O309" i="3"/>
  <c r="N309" i="3"/>
  <c r="M309" i="3"/>
  <c r="S308" i="3"/>
  <c r="R308" i="3"/>
  <c r="Q308" i="3"/>
  <c r="P308" i="3"/>
  <c r="O308" i="3"/>
  <c r="N308" i="3"/>
  <c r="M308" i="3"/>
  <c r="S307" i="3"/>
  <c r="R307" i="3"/>
  <c r="Q307" i="3"/>
  <c r="P307" i="3"/>
  <c r="O307" i="3"/>
  <c r="N307" i="3"/>
  <c r="M307" i="3"/>
  <c r="S306" i="3"/>
  <c r="R306" i="3"/>
  <c r="Q306" i="3"/>
  <c r="P306" i="3"/>
  <c r="O306" i="3"/>
  <c r="N306" i="3"/>
  <c r="M306" i="3"/>
  <c r="S305" i="3"/>
  <c r="R305" i="3"/>
  <c r="Q305" i="3"/>
  <c r="P305" i="3"/>
  <c r="O305" i="3"/>
  <c r="N305" i="3"/>
  <c r="M305" i="3"/>
  <c r="S304" i="3"/>
  <c r="R304" i="3"/>
  <c r="Q304" i="3"/>
  <c r="P304" i="3"/>
  <c r="O304" i="3"/>
  <c r="N304" i="3"/>
  <c r="M304" i="3"/>
  <c r="S303" i="3"/>
  <c r="R303" i="3"/>
  <c r="Q303" i="3"/>
  <c r="P303" i="3"/>
  <c r="O303" i="3"/>
  <c r="N303" i="3"/>
  <c r="M303" i="3"/>
  <c r="S302" i="3"/>
  <c r="R302" i="3"/>
  <c r="Q302" i="3"/>
  <c r="P302" i="3"/>
  <c r="O302" i="3"/>
  <c r="N302" i="3"/>
  <c r="M302" i="3"/>
  <c r="S301" i="3"/>
  <c r="R301" i="3"/>
  <c r="Q301" i="3"/>
  <c r="P301" i="3"/>
  <c r="O301" i="3"/>
  <c r="N301" i="3"/>
  <c r="M301" i="3"/>
  <c r="S300" i="3"/>
  <c r="R300" i="3"/>
  <c r="Q300" i="3"/>
  <c r="P300" i="3"/>
  <c r="O300" i="3"/>
  <c r="N300" i="3"/>
  <c r="M300" i="3"/>
  <c r="S299" i="3"/>
  <c r="R299" i="3"/>
  <c r="Q299" i="3"/>
  <c r="P299" i="3"/>
  <c r="O299" i="3"/>
  <c r="N299" i="3"/>
  <c r="M299" i="3"/>
  <c r="S298" i="3"/>
  <c r="R298" i="3"/>
  <c r="Q298" i="3"/>
  <c r="P298" i="3"/>
  <c r="O298" i="3"/>
  <c r="N298" i="3"/>
  <c r="M298" i="3"/>
  <c r="S297" i="3"/>
  <c r="R297" i="3"/>
  <c r="Q297" i="3"/>
  <c r="P297" i="3"/>
  <c r="O297" i="3"/>
  <c r="N297" i="3"/>
  <c r="M297" i="3"/>
  <c r="S296" i="3"/>
  <c r="R296" i="3"/>
  <c r="Q296" i="3"/>
  <c r="P296" i="3"/>
  <c r="O296" i="3"/>
  <c r="N296" i="3"/>
  <c r="M296" i="3"/>
  <c r="S295" i="3"/>
  <c r="R295" i="3"/>
  <c r="Q295" i="3"/>
  <c r="P295" i="3"/>
  <c r="O295" i="3"/>
  <c r="N295" i="3"/>
  <c r="M295" i="3"/>
  <c r="S294" i="3"/>
  <c r="R294" i="3"/>
  <c r="Q294" i="3"/>
  <c r="P294" i="3"/>
  <c r="O294" i="3"/>
  <c r="N294" i="3"/>
  <c r="M294" i="3"/>
  <c r="S293" i="3"/>
  <c r="R293" i="3"/>
  <c r="Q293" i="3"/>
  <c r="P293" i="3"/>
  <c r="O293" i="3"/>
  <c r="N293" i="3"/>
  <c r="M293" i="3"/>
  <c r="S292" i="3"/>
  <c r="R292" i="3"/>
  <c r="Q292" i="3"/>
  <c r="P292" i="3"/>
  <c r="O292" i="3"/>
  <c r="N292" i="3"/>
  <c r="M292" i="3"/>
  <c r="S291" i="3"/>
  <c r="R291" i="3"/>
  <c r="Q291" i="3"/>
  <c r="P291" i="3"/>
  <c r="O291" i="3"/>
  <c r="N291" i="3"/>
  <c r="M291" i="3"/>
  <c r="S290" i="3"/>
  <c r="R290" i="3"/>
  <c r="Q290" i="3"/>
  <c r="P290" i="3"/>
  <c r="O290" i="3"/>
  <c r="N290" i="3"/>
  <c r="M290" i="3"/>
  <c r="S289" i="3"/>
  <c r="R289" i="3"/>
  <c r="Q289" i="3"/>
  <c r="P289" i="3"/>
  <c r="O289" i="3"/>
  <c r="N289" i="3"/>
  <c r="M289" i="3"/>
  <c r="S288" i="3"/>
  <c r="R288" i="3"/>
  <c r="Q288" i="3"/>
  <c r="P288" i="3"/>
  <c r="O288" i="3"/>
  <c r="N288" i="3"/>
  <c r="M288" i="3"/>
  <c r="S287" i="3"/>
  <c r="R287" i="3"/>
  <c r="Q287" i="3"/>
  <c r="P287" i="3"/>
  <c r="O287" i="3"/>
  <c r="N287" i="3"/>
  <c r="M287" i="3"/>
  <c r="S286" i="3"/>
  <c r="R286" i="3"/>
  <c r="Q286" i="3"/>
  <c r="P286" i="3"/>
  <c r="O286" i="3"/>
  <c r="N286" i="3"/>
  <c r="M286" i="3"/>
  <c r="S285" i="3"/>
  <c r="R285" i="3"/>
  <c r="Q285" i="3"/>
  <c r="P285" i="3"/>
  <c r="O285" i="3"/>
  <c r="N285" i="3"/>
  <c r="M285" i="3"/>
  <c r="S284" i="3"/>
  <c r="R284" i="3"/>
  <c r="Q284" i="3"/>
  <c r="P284" i="3"/>
  <c r="O284" i="3"/>
  <c r="N284" i="3"/>
  <c r="M284" i="3"/>
  <c r="S283" i="3"/>
  <c r="R283" i="3"/>
  <c r="Q283" i="3"/>
  <c r="P283" i="3"/>
  <c r="O283" i="3"/>
  <c r="N283" i="3"/>
  <c r="M283" i="3"/>
  <c r="S282" i="3"/>
  <c r="R282" i="3"/>
  <c r="Q282" i="3"/>
  <c r="P282" i="3"/>
  <c r="O282" i="3"/>
  <c r="N282" i="3"/>
  <c r="M282" i="3"/>
  <c r="S281" i="3"/>
  <c r="R281" i="3"/>
  <c r="Q281" i="3"/>
  <c r="P281" i="3"/>
  <c r="O281" i="3"/>
  <c r="N281" i="3"/>
  <c r="M281" i="3"/>
  <c r="S280" i="3"/>
  <c r="R280" i="3"/>
  <c r="Q280" i="3"/>
  <c r="P280" i="3"/>
  <c r="O280" i="3"/>
  <c r="N280" i="3"/>
  <c r="M280" i="3"/>
  <c r="S279" i="3"/>
  <c r="R279" i="3"/>
  <c r="Q279" i="3"/>
  <c r="P279" i="3"/>
  <c r="O279" i="3"/>
  <c r="N279" i="3"/>
  <c r="M279" i="3"/>
  <c r="S278" i="3"/>
  <c r="R278" i="3"/>
  <c r="Q278" i="3"/>
  <c r="P278" i="3"/>
  <c r="O278" i="3"/>
  <c r="N278" i="3"/>
  <c r="M278" i="3"/>
  <c r="S277" i="3"/>
  <c r="R277" i="3"/>
  <c r="Q277" i="3"/>
  <c r="P277" i="3"/>
  <c r="O277" i="3"/>
  <c r="N277" i="3"/>
  <c r="M277" i="3"/>
  <c r="S276" i="3"/>
  <c r="R276" i="3"/>
  <c r="Q276" i="3"/>
  <c r="P276" i="3"/>
  <c r="O276" i="3"/>
  <c r="N276" i="3"/>
  <c r="M276" i="3"/>
  <c r="S275" i="3"/>
  <c r="R275" i="3"/>
  <c r="Q275" i="3"/>
  <c r="P275" i="3"/>
  <c r="O275" i="3"/>
  <c r="N275" i="3"/>
  <c r="M275" i="3"/>
  <c r="S274" i="3"/>
  <c r="R274" i="3"/>
  <c r="Q274" i="3"/>
  <c r="P274" i="3"/>
  <c r="O274" i="3"/>
  <c r="N274" i="3"/>
  <c r="M274" i="3"/>
  <c r="S273" i="3"/>
  <c r="R273" i="3"/>
  <c r="Q273" i="3"/>
  <c r="P273" i="3"/>
  <c r="O273" i="3"/>
  <c r="N273" i="3"/>
  <c r="M273" i="3"/>
  <c r="S272" i="3"/>
  <c r="R272" i="3"/>
  <c r="Q272" i="3"/>
  <c r="P272" i="3"/>
  <c r="O272" i="3"/>
  <c r="N272" i="3"/>
  <c r="M272" i="3"/>
  <c r="S271" i="3"/>
  <c r="R271" i="3"/>
  <c r="Q271" i="3"/>
  <c r="P271" i="3"/>
  <c r="O271" i="3"/>
  <c r="N271" i="3"/>
  <c r="M271" i="3"/>
  <c r="S270" i="3"/>
  <c r="R270" i="3"/>
  <c r="Q270" i="3"/>
  <c r="P270" i="3"/>
  <c r="O270" i="3"/>
  <c r="N270" i="3"/>
  <c r="M270" i="3"/>
  <c r="S269" i="3"/>
  <c r="R269" i="3"/>
  <c r="Q269" i="3"/>
  <c r="P269" i="3"/>
  <c r="O269" i="3"/>
  <c r="N269" i="3"/>
  <c r="M269" i="3"/>
  <c r="S268" i="3"/>
  <c r="R268" i="3"/>
  <c r="Q268" i="3"/>
  <c r="P268" i="3"/>
  <c r="O268" i="3"/>
  <c r="N268" i="3"/>
  <c r="M268" i="3"/>
  <c r="S267" i="3"/>
  <c r="R267" i="3"/>
  <c r="Q267" i="3"/>
  <c r="P267" i="3"/>
  <c r="O267" i="3"/>
  <c r="N267" i="3"/>
  <c r="M267" i="3"/>
  <c r="S266" i="3"/>
  <c r="R266" i="3"/>
  <c r="Q266" i="3"/>
  <c r="P266" i="3"/>
  <c r="O266" i="3"/>
  <c r="N266" i="3"/>
  <c r="M266" i="3"/>
  <c r="S265" i="3"/>
  <c r="R265" i="3"/>
  <c r="Q265" i="3"/>
  <c r="P265" i="3"/>
  <c r="O265" i="3"/>
  <c r="N265" i="3"/>
  <c r="M265" i="3"/>
  <c r="S264" i="3"/>
  <c r="R264" i="3"/>
  <c r="Q264" i="3"/>
  <c r="P264" i="3"/>
  <c r="O264" i="3"/>
  <c r="N264" i="3"/>
  <c r="M264" i="3"/>
  <c r="S263" i="3"/>
  <c r="R263" i="3"/>
  <c r="Q263" i="3"/>
  <c r="P263" i="3"/>
  <c r="O263" i="3"/>
  <c r="N263" i="3"/>
  <c r="M263" i="3"/>
  <c r="S262" i="3"/>
  <c r="R262" i="3"/>
  <c r="Q262" i="3"/>
  <c r="P262" i="3"/>
  <c r="O262" i="3"/>
  <c r="N262" i="3"/>
  <c r="M262" i="3"/>
  <c r="S261" i="3"/>
  <c r="R261" i="3"/>
  <c r="Q261" i="3"/>
  <c r="P261" i="3"/>
  <c r="O261" i="3"/>
  <c r="N261" i="3"/>
  <c r="M261" i="3"/>
  <c r="S260" i="3"/>
  <c r="R260" i="3"/>
  <c r="Q260" i="3"/>
  <c r="P260" i="3"/>
  <c r="O260" i="3"/>
  <c r="N260" i="3"/>
  <c r="M260" i="3"/>
  <c r="S259" i="3"/>
  <c r="R259" i="3"/>
  <c r="Q259" i="3"/>
  <c r="P259" i="3"/>
  <c r="O259" i="3"/>
  <c r="N259" i="3"/>
  <c r="M259" i="3"/>
  <c r="S258" i="3"/>
  <c r="R258" i="3"/>
  <c r="Q258" i="3"/>
  <c r="P258" i="3"/>
  <c r="O258" i="3"/>
  <c r="N258" i="3"/>
  <c r="M258" i="3"/>
  <c r="S257" i="3"/>
  <c r="R257" i="3"/>
  <c r="Q257" i="3"/>
  <c r="P257" i="3"/>
  <c r="O257" i="3"/>
  <c r="N257" i="3"/>
  <c r="M257" i="3"/>
  <c r="S256" i="3"/>
  <c r="R256" i="3"/>
  <c r="Q256" i="3"/>
  <c r="P256" i="3"/>
  <c r="O256" i="3"/>
  <c r="N256" i="3"/>
  <c r="M256" i="3"/>
  <c r="S255" i="3"/>
  <c r="R255" i="3"/>
  <c r="Q255" i="3"/>
  <c r="P255" i="3"/>
  <c r="O255" i="3"/>
  <c r="N255" i="3"/>
  <c r="M255" i="3"/>
  <c r="S254" i="3"/>
  <c r="R254" i="3"/>
  <c r="Q254" i="3"/>
  <c r="P254" i="3"/>
  <c r="O254" i="3"/>
  <c r="N254" i="3"/>
  <c r="M254" i="3"/>
  <c r="S253" i="3"/>
  <c r="R253" i="3"/>
  <c r="Q253" i="3"/>
  <c r="P253" i="3"/>
  <c r="O253" i="3"/>
  <c r="N253" i="3"/>
  <c r="M253" i="3"/>
  <c r="S252" i="3"/>
  <c r="R252" i="3"/>
  <c r="Q252" i="3"/>
  <c r="P252" i="3"/>
  <c r="O252" i="3"/>
  <c r="N252" i="3"/>
  <c r="M252" i="3"/>
  <c r="S251" i="3"/>
  <c r="R251" i="3"/>
  <c r="Q251" i="3"/>
  <c r="P251" i="3"/>
  <c r="O251" i="3"/>
  <c r="N251" i="3"/>
  <c r="M251" i="3"/>
  <c r="S250" i="3"/>
  <c r="R250" i="3"/>
  <c r="Q250" i="3"/>
  <c r="P250" i="3"/>
  <c r="O250" i="3"/>
  <c r="N250" i="3"/>
  <c r="M250" i="3"/>
  <c r="S249" i="3"/>
  <c r="R249" i="3"/>
  <c r="Q249" i="3"/>
  <c r="P249" i="3"/>
  <c r="O249" i="3"/>
  <c r="N249" i="3"/>
  <c r="M249" i="3"/>
  <c r="S248" i="3"/>
  <c r="R248" i="3"/>
  <c r="Q248" i="3"/>
  <c r="P248" i="3"/>
  <c r="O248" i="3"/>
  <c r="N248" i="3"/>
  <c r="M248" i="3"/>
  <c r="S247" i="3"/>
  <c r="R247" i="3"/>
  <c r="Q247" i="3"/>
  <c r="P247" i="3"/>
  <c r="O247" i="3"/>
  <c r="N247" i="3"/>
  <c r="M247" i="3"/>
  <c r="S246" i="3"/>
  <c r="R246" i="3"/>
  <c r="Q246" i="3"/>
  <c r="P246" i="3"/>
  <c r="O246" i="3"/>
  <c r="N246" i="3"/>
  <c r="M246" i="3"/>
  <c r="S245" i="3"/>
  <c r="R245" i="3"/>
  <c r="Q245" i="3"/>
  <c r="P245" i="3"/>
  <c r="O245" i="3"/>
  <c r="N245" i="3"/>
  <c r="M245" i="3"/>
  <c r="S244" i="3"/>
  <c r="R244" i="3"/>
  <c r="Q244" i="3"/>
  <c r="P244" i="3"/>
  <c r="O244" i="3"/>
  <c r="N244" i="3"/>
  <c r="M244" i="3"/>
  <c r="S243" i="3"/>
  <c r="R243" i="3"/>
  <c r="Q243" i="3"/>
  <c r="P243" i="3"/>
  <c r="O243" i="3"/>
  <c r="N243" i="3"/>
  <c r="M243" i="3"/>
  <c r="S242" i="3"/>
  <c r="R242" i="3"/>
  <c r="Q242" i="3"/>
  <c r="P242" i="3"/>
  <c r="O242" i="3"/>
  <c r="N242" i="3"/>
  <c r="M242" i="3"/>
  <c r="S241" i="3"/>
  <c r="R241" i="3"/>
  <c r="Q241" i="3"/>
  <c r="P241" i="3"/>
  <c r="O241" i="3"/>
  <c r="N241" i="3"/>
  <c r="M241" i="3"/>
  <c r="S240" i="3"/>
  <c r="R240" i="3"/>
  <c r="Q240" i="3"/>
  <c r="P240" i="3"/>
  <c r="O240" i="3"/>
  <c r="N240" i="3"/>
  <c r="M240" i="3"/>
  <c r="S239" i="3"/>
  <c r="R239" i="3"/>
  <c r="Q239" i="3"/>
  <c r="P239" i="3"/>
  <c r="O239" i="3"/>
  <c r="N239" i="3"/>
  <c r="M239" i="3"/>
  <c r="S238" i="3"/>
  <c r="R238" i="3"/>
  <c r="Q238" i="3"/>
  <c r="P238" i="3"/>
  <c r="O238" i="3"/>
  <c r="N238" i="3"/>
  <c r="M238" i="3"/>
  <c r="S237" i="3"/>
  <c r="R237" i="3"/>
  <c r="Q237" i="3"/>
  <c r="P237" i="3"/>
  <c r="O237" i="3"/>
  <c r="N237" i="3"/>
  <c r="M237" i="3"/>
  <c r="S236" i="3"/>
  <c r="R236" i="3"/>
  <c r="Q236" i="3"/>
  <c r="P236" i="3"/>
  <c r="O236" i="3"/>
  <c r="N236" i="3"/>
  <c r="M236" i="3"/>
  <c r="S235" i="3"/>
  <c r="R235" i="3"/>
  <c r="Q235" i="3"/>
  <c r="P235" i="3"/>
  <c r="O235" i="3"/>
  <c r="N235" i="3"/>
  <c r="M235" i="3"/>
  <c r="S234" i="3"/>
  <c r="R234" i="3"/>
  <c r="Q234" i="3"/>
  <c r="P234" i="3"/>
  <c r="O234" i="3"/>
  <c r="N234" i="3"/>
  <c r="M234" i="3"/>
  <c r="S233" i="3"/>
  <c r="R233" i="3"/>
  <c r="Q233" i="3"/>
  <c r="P233" i="3"/>
  <c r="O233" i="3"/>
  <c r="N233" i="3"/>
  <c r="M233" i="3"/>
  <c r="S232" i="3"/>
  <c r="R232" i="3"/>
  <c r="Q232" i="3"/>
  <c r="P232" i="3"/>
  <c r="O232" i="3"/>
  <c r="N232" i="3"/>
  <c r="M232" i="3"/>
  <c r="S231" i="3"/>
  <c r="R231" i="3"/>
  <c r="Q231" i="3"/>
  <c r="P231" i="3"/>
  <c r="O231" i="3"/>
  <c r="N231" i="3"/>
  <c r="M231" i="3"/>
  <c r="S230" i="3"/>
  <c r="R230" i="3"/>
  <c r="Q230" i="3"/>
  <c r="P230" i="3"/>
  <c r="O230" i="3"/>
  <c r="N230" i="3"/>
  <c r="M230" i="3"/>
  <c r="S229" i="3"/>
  <c r="R229" i="3"/>
  <c r="Q229" i="3"/>
  <c r="P229" i="3"/>
  <c r="O229" i="3"/>
  <c r="N229" i="3"/>
  <c r="M229" i="3"/>
  <c r="S228" i="3"/>
  <c r="R228" i="3"/>
  <c r="Q228" i="3"/>
  <c r="P228" i="3"/>
  <c r="O228" i="3"/>
  <c r="N228" i="3"/>
  <c r="M228" i="3"/>
  <c r="S227" i="3"/>
  <c r="R227" i="3"/>
  <c r="Q227" i="3"/>
  <c r="P227" i="3"/>
  <c r="O227" i="3"/>
  <c r="N227" i="3"/>
  <c r="M227" i="3"/>
  <c r="S226" i="3"/>
  <c r="R226" i="3"/>
  <c r="Q226" i="3"/>
  <c r="P226" i="3"/>
  <c r="O226" i="3"/>
  <c r="N226" i="3"/>
  <c r="M226" i="3"/>
  <c r="S225" i="3"/>
  <c r="R225" i="3"/>
  <c r="Q225" i="3"/>
  <c r="P225" i="3"/>
  <c r="O225" i="3"/>
  <c r="N225" i="3"/>
  <c r="M225" i="3"/>
  <c r="S224" i="3"/>
  <c r="R224" i="3"/>
  <c r="Q224" i="3"/>
  <c r="P224" i="3"/>
  <c r="O224" i="3"/>
  <c r="N224" i="3"/>
  <c r="M224" i="3"/>
  <c r="S223" i="3"/>
  <c r="R223" i="3"/>
  <c r="Q223" i="3"/>
  <c r="P223" i="3"/>
  <c r="O223" i="3"/>
  <c r="N223" i="3"/>
  <c r="M223" i="3"/>
  <c r="S222" i="3"/>
  <c r="R222" i="3"/>
  <c r="Q222" i="3"/>
  <c r="P222" i="3"/>
  <c r="O222" i="3"/>
  <c r="N222" i="3"/>
  <c r="M222" i="3"/>
  <c r="S221" i="3"/>
  <c r="R221" i="3"/>
  <c r="Q221" i="3"/>
  <c r="P221" i="3"/>
  <c r="O221" i="3"/>
  <c r="N221" i="3"/>
  <c r="M221" i="3"/>
  <c r="S220" i="3"/>
  <c r="R220" i="3"/>
  <c r="Q220" i="3"/>
  <c r="P220" i="3"/>
  <c r="O220" i="3"/>
  <c r="N220" i="3"/>
  <c r="M220" i="3"/>
  <c r="S219" i="3"/>
  <c r="R219" i="3"/>
  <c r="Q219" i="3"/>
  <c r="P219" i="3"/>
  <c r="O219" i="3"/>
  <c r="N219" i="3"/>
  <c r="M219" i="3"/>
  <c r="S218" i="3"/>
  <c r="R218" i="3"/>
  <c r="Q218" i="3"/>
  <c r="P218" i="3"/>
  <c r="O218" i="3"/>
  <c r="N218" i="3"/>
  <c r="M218" i="3"/>
  <c r="S217" i="3"/>
  <c r="R217" i="3"/>
  <c r="Q217" i="3"/>
  <c r="P217" i="3"/>
  <c r="O217" i="3"/>
  <c r="N217" i="3"/>
  <c r="M217" i="3"/>
  <c r="E217" i="3"/>
  <c r="D217" i="3"/>
  <c r="C217" i="3"/>
  <c r="B217" i="3"/>
  <c r="S216" i="3"/>
  <c r="R216" i="3"/>
  <c r="Q216" i="3"/>
  <c r="P216" i="3"/>
  <c r="O216" i="3"/>
  <c r="N216" i="3"/>
  <c r="M216" i="3"/>
  <c r="E216" i="3"/>
  <c r="D216" i="3"/>
  <c r="C216" i="3"/>
  <c r="B216" i="3"/>
  <c r="S215" i="3"/>
  <c r="R215" i="3"/>
  <c r="Q215" i="3"/>
  <c r="P215" i="3"/>
  <c r="O215" i="3"/>
  <c r="N215" i="3"/>
  <c r="M215" i="3"/>
  <c r="E215" i="3"/>
  <c r="D215" i="3"/>
  <c r="C215" i="3"/>
  <c r="B215" i="3"/>
  <c r="S214" i="3"/>
  <c r="R214" i="3"/>
  <c r="Q214" i="3"/>
  <c r="P214" i="3"/>
  <c r="O214" i="3"/>
  <c r="N214" i="3"/>
  <c r="M214" i="3"/>
  <c r="E214" i="3"/>
  <c r="D214" i="3"/>
  <c r="C214" i="3"/>
  <c r="B214" i="3"/>
  <c r="S213" i="3"/>
  <c r="R213" i="3"/>
  <c r="Q213" i="3"/>
  <c r="P213" i="3"/>
  <c r="O213" i="3"/>
  <c r="N213" i="3"/>
  <c r="M213" i="3"/>
  <c r="E213" i="3"/>
  <c r="D213" i="3"/>
  <c r="C213" i="3"/>
  <c r="B213" i="3"/>
  <c r="S212" i="3"/>
  <c r="R212" i="3"/>
  <c r="Q212" i="3"/>
  <c r="P212" i="3"/>
  <c r="O212" i="3"/>
  <c r="N212" i="3"/>
  <c r="M212" i="3"/>
  <c r="E212" i="3"/>
  <c r="D212" i="3"/>
  <c r="C212" i="3"/>
  <c r="B212" i="3"/>
  <c r="S211" i="3"/>
  <c r="R211" i="3"/>
  <c r="Q211" i="3"/>
  <c r="P211" i="3"/>
  <c r="O211" i="3"/>
  <c r="N211" i="3"/>
  <c r="M211" i="3"/>
  <c r="E211" i="3"/>
  <c r="D211" i="3"/>
  <c r="C211" i="3"/>
  <c r="B211" i="3"/>
  <c r="S210" i="3"/>
  <c r="R210" i="3"/>
  <c r="Q210" i="3"/>
  <c r="P210" i="3"/>
  <c r="O210" i="3"/>
  <c r="N210" i="3"/>
  <c r="M210" i="3"/>
  <c r="E210" i="3"/>
  <c r="D210" i="3"/>
  <c r="C210" i="3"/>
  <c r="B210" i="3"/>
  <c r="S209" i="3"/>
  <c r="R209" i="3"/>
  <c r="Q209" i="3"/>
  <c r="P209" i="3"/>
  <c r="O209" i="3"/>
  <c r="N209" i="3"/>
  <c r="M209" i="3"/>
  <c r="E209" i="3"/>
  <c r="D209" i="3"/>
  <c r="C209" i="3"/>
  <c r="B209" i="3"/>
  <c r="S208" i="3"/>
  <c r="R208" i="3"/>
  <c r="Q208" i="3"/>
  <c r="P208" i="3"/>
  <c r="O208" i="3"/>
  <c r="N208" i="3"/>
  <c r="M208" i="3"/>
  <c r="E208" i="3"/>
  <c r="D208" i="3"/>
  <c r="C208" i="3"/>
  <c r="B208" i="3"/>
  <c r="S207" i="3"/>
  <c r="R207" i="3"/>
  <c r="Q207" i="3"/>
  <c r="P207" i="3"/>
  <c r="O207" i="3"/>
  <c r="N207" i="3"/>
  <c r="M207" i="3"/>
  <c r="E207" i="3"/>
  <c r="D207" i="3"/>
  <c r="C207" i="3"/>
  <c r="B207" i="3"/>
  <c r="S206" i="3"/>
  <c r="R206" i="3"/>
  <c r="Q206" i="3"/>
  <c r="P206" i="3"/>
  <c r="O206" i="3"/>
  <c r="N206" i="3"/>
  <c r="M206" i="3"/>
  <c r="E206" i="3"/>
  <c r="D206" i="3"/>
  <c r="C206" i="3"/>
  <c r="B206" i="3"/>
  <c r="S205" i="3"/>
  <c r="R205" i="3"/>
  <c r="Q205" i="3"/>
  <c r="P205" i="3"/>
  <c r="O205" i="3"/>
  <c r="N205" i="3"/>
  <c r="M205" i="3"/>
  <c r="E205" i="3"/>
  <c r="D205" i="3"/>
  <c r="C205" i="3"/>
  <c r="B205" i="3"/>
  <c r="S204" i="3"/>
  <c r="R204" i="3"/>
  <c r="Q204" i="3"/>
  <c r="P204" i="3"/>
  <c r="O204" i="3"/>
  <c r="N204" i="3"/>
  <c r="M204" i="3"/>
  <c r="E204" i="3"/>
  <c r="D204" i="3"/>
  <c r="C204" i="3"/>
  <c r="B204" i="3"/>
  <c r="S203" i="3"/>
  <c r="R203" i="3"/>
  <c r="Q203" i="3"/>
  <c r="P203" i="3"/>
  <c r="O203" i="3"/>
  <c r="N203" i="3"/>
  <c r="M203" i="3"/>
  <c r="E203" i="3"/>
  <c r="D203" i="3"/>
  <c r="C203" i="3"/>
  <c r="B203" i="3"/>
  <c r="S202" i="3"/>
  <c r="R202" i="3"/>
  <c r="Q202" i="3"/>
  <c r="P202" i="3"/>
  <c r="O202" i="3"/>
  <c r="N202" i="3"/>
  <c r="M202" i="3"/>
  <c r="E202" i="3"/>
  <c r="D202" i="3"/>
  <c r="C202" i="3"/>
  <c r="B202" i="3"/>
  <c r="S201" i="3"/>
  <c r="R201" i="3"/>
  <c r="Q201" i="3"/>
  <c r="P201" i="3"/>
  <c r="O201" i="3"/>
  <c r="N201" i="3"/>
  <c r="M201" i="3"/>
  <c r="E201" i="3"/>
  <c r="D201" i="3"/>
  <c r="C201" i="3"/>
  <c r="B201" i="3"/>
  <c r="S200" i="3"/>
  <c r="R200" i="3"/>
  <c r="Q200" i="3"/>
  <c r="P200" i="3"/>
  <c r="O200" i="3"/>
  <c r="N200" i="3"/>
  <c r="M200" i="3"/>
  <c r="E200" i="3"/>
  <c r="D200" i="3"/>
  <c r="C200" i="3"/>
  <c r="B200" i="3"/>
  <c r="S199" i="3"/>
  <c r="R199" i="3"/>
  <c r="Q199" i="3"/>
  <c r="P199" i="3"/>
  <c r="O199" i="3"/>
  <c r="N199" i="3"/>
  <c r="M199" i="3"/>
  <c r="E199" i="3"/>
  <c r="D199" i="3"/>
  <c r="C199" i="3"/>
  <c r="B199" i="3"/>
  <c r="S198" i="3"/>
  <c r="R198" i="3"/>
  <c r="Q198" i="3"/>
  <c r="P198" i="3"/>
  <c r="O198" i="3"/>
  <c r="N198" i="3"/>
  <c r="M198" i="3"/>
  <c r="E198" i="3"/>
  <c r="D198" i="3"/>
  <c r="C198" i="3"/>
  <c r="B198" i="3"/>
  <c r="S197" i="3"/>
  <c r="R197" i="3"/>
  <c r="Q197" i="3"/>
  <c r="P197" i="3"/>
  <c r="O197" i="3"/>
  <c r="N197" i="3"/>
  <c r="M197" i="3"/>
  <c r="E197" i="3"/>
  <c r="D197" i="3"/>
  <c r="C197" i="3"/>
  <c r="B197" i="3"/>
  <c r="S196" i="3"/>
  <c r="R196" i="3"/>
  <c r="Q196" i="3"/>
  <c r="P196" i="3"/>
  <c r="O196" i="3"/>
  <c r="N196" i="3"/>
  <c r="M196" i="3"/>
  <c r="E196" i="3"/>
  <c r="D196" i="3"/>
  <c r="C196" i="3"/>
  <c r="B196" i="3"/>
  <c r="S195" i="3"/>
  <c r="R195" i="3"/>
  <c r="Q195" i="3"/>
  <c r="P195" i="3"/>
  <c r="O195" i="3"/>
  <c r="N195" i="3"/>
  <c r="M195" i="3"/>
  <c r="E195" i="3"/>
  <c r="D195" i="3"/>
  <c r="C195" i="3"/>
  <c r="B195" i="3"/>
  <c r="S194" i="3"/>
  <c r="R194" i="3"/>
  <c r="Q194" i="3"/>
  <c r="P194" i="3"/>
  <c r="O194" i="3"/>
  <c r="N194" i="3"/>
  <c r="M194" i="3"/>
  <c r="E194" i="3"/>
  <c r="D194" i="3"/>
  <c r="C194" i="3"/>
  <c r="B194" i="3"/>
  <c r="S193" i="3"/>
  <c r="R193" i="3"/>
  <c r="Q193" i="3"/>
  <c r="P193" i="3"/>
  <c r="O193" i="3"/>
  <c r="N193" i="3"/>
  <c r="M193" i="3"/>
  <c r="E193" i="3"/>
  <c r="D193" i="3"/>
  <c r="C193" i="3"/>
  <c r="B193" i="3"/>
  <c r="S192" i="3"/>
  <c r="R192" i="3"/>
  <c r="Q192" i="3"/>
  <c r="P192" i="3"/>
  <c r="O192" i="3"/>
  <c r="N192" i="3"/>
  <c r="M192" i="3"/>
  <c r="E192" i="3"/>
  <c r="D192" i="3"/>
  <c r="C192" i="3"/>
  <c r="B192" i="3"/>
  <c r="S191" i="3"/>
  <c r="R191" i="3"/>
  <c r="Q191" i="3"/>
  <c r="P191" i="3"/>
  <c r="O191" i="3"/>
  <c r="N191" i="3"/>
  <c r="M191" i="3"/>
  <c r="E191" i="3"/>
  <c r="D191" i="3"/>
  <c r="C191" i="3"/>
  <c r="B191" i="3"/>
  <c r="S190" i="3"/>
  <c r="R190" i="3"/>
  <c r="Q190" i="3"/>
  <c r="P190" i="3"/>
  <c r="O190" i="3"/>
  <c r="N190" i="3"/>
  <c r="M190" i="3"/>
  <c r="E190" i="3"/>
  <c r="D190" i="3"/>
  <c r="C190" i="3"/>
  <c r="B190" i="3"/>
  <c r="S189" i="3"/>
  <c r="R189" i="3"/>
  <c r="Q189" i="3"/>
  <c r="P189" i="3"/>
  <c r="O189" i="3"/>
  <c r="N189" i="3"/>
  <c r="M189" i="3"/>
  <c r="E189" i="3"/>
  <c r="D189" i="3"/>
  <c r="C189" i="3"/>
  <c r="B189" i="3"/>
  <c r="S188" i="3"/>
  <c r="R188" i="3"/>
  <c r="Q188" i="3"/>
  <c r="P188" i="3"/>
  <c r="O188" i="3"/>
  <c r="N188" i="3"/>
  <c r="M188" i="3"/>
  <c r="E188" i="3"/>
  <c r="D188" i="3"/>
  <c r="C188" i="3"/>
  <c r="B188" i="3"/>
  <c r="S187" i="3"/>
  <c r="R187" i="3"/>
  <c r="Q187" i="3"/>
  <c r="P187" i="3"/>
  <c r="O187" i="3"/>
  <c r="N187" i="3"/>
  <c r="M187" i="3"/>
  <c r="E187" i="3"/>
  <c r="D187" i="3"/>
  <c r="C187" i="3"/>
  <c r="B187" i="3"/>
  <c r="S186" i="3"/>
  <c r="R186" i="3"/>
  <c r="Q186" i="3"/>
  <c r="P186" i="3"/>
  <c r="O186" i="3"/>
  <c r="N186" i="3"/>
  <c r="M186" i="3"/>
  <c r="E186" i="3"/>
  <c r="D186" i="3"/>
  <c r="C186" i="3"/>
  <c r="B186" i="3"/>
  <c r="S185" i="3"/>
  <c r="R185" i="3"/>
  <c r="Q185" i="3"/>
  <c r="P185" i="3"/>
  <c r="O185" i="3"/>
  <c r="N185" i="3"/>
  <c r="M185" i="3"/>
  <c r="E185" i="3"/>
  <c r="D185" i="3"/>
  <c r="C185" i="3"/>
  <c r="B185" i="3"/>
  <c r="S184" i="3"/>
  <c r="R184" i="3"/>
  <c r="Q184" i="3"/>
  <c r="P184" i="3"/>
  <c r="O184" i="3"/>
  <c r="N184" i="3"/>
  <c r="M184" i="3"/>
  <c r="E184" i="3"/>
  <c r="D184" i="3"/>
  <c r="C184" i="3"/>
  <c r="B184" i="3"/>
  <c r="S183" i="3"/>
  <c r="R183" i="3"/>
  <c r="Q183" i="3"/>
  <c r="P183" i="3"/>
  <c r="O183" i="3"/>
  <c r="N183" i="3"/>
  <c r="M183" i="3"/>
  <c r="E183" i="3"/>
  <c r="D183" i="3"/>
  <c r="C183" i="3"/>
  <c r="B183" i="3"/>
  <c r="S182" i="3"/>
  <c r="R182" i="3"/>
  <c r="Q182" i="3"/>
  <c r="P182" i="3"/>
  <c r="O182" i="3"/>
  <c r="N182" i="3"/>
  <c r="M182" i="3"/>
  <c r="E182" i="3"/>
  <c r="D182" i="3"/>
  <c r="C182" i="3"/>
  <c r="B182" i="3"/>
  <c r="S181" i="3"/>
  <c r="R181" i="3"/>
  <c r="Q181" i="3"/>
  <c r="P181" i="3"/>
  <c r="O181" i="3"/>
  <c r="N181" i="3"/>
  <c r="M181" i="3"/>
  <c r="E181" i="3"/>
  <c r="D181" i="3"/>
  <c r="C181" i="3"/>
  <c r="B181" i="3"/>
  <c r="S180" i="3"/>
  <c r="R180" i="3"/>
  <c r="Q180" i="3"/>
  <c r="P180" i="3"/>
  <c r="O180" i="3"/>
  <c r="N180" i="3"/>
  <c r="M180" i="3"/>
  <c r="E180" i="3"/>
  <c r="D180" i="3"/>
  <c r="C180" i="3"/>
  <c r="B180" i="3"/>
  <c r="S179" i="3"/>
  <c r="R179" i="3"/>
  <c r="Q179" i="3"/>
  <c r="P179" i="3"/>
  <c r="O179" i="3"/>
  <c r="N179" i="3"/>
  <c r="M179" i="3"/>
  <c r="E179" i="3"/>
  <c r="D179" i="3"/>
  <c r="C179" i="3"/>
  <c r="B179" i="3"/>
  <c r="S178" i="3"/>
  <c r="R178" i="3"/>
  <c r="Q178" i="3"/>
  <c r="P178" i="3"/>
  <c r="O178" i="3"/>
  <c r="N178" i="3"/>
  <c r="M178" i="3"/>
  <c r="E178" i="3"/>
  <c r="D178" i="3"/>
  <c r="C178" i="3"/>
  <c r="B178" i="3"/>
  <c r="S177" i="3"/>
  <c r="R177" i="3"/>
  <c r="Q177" i="3"/>
  <c r="P177" i="3"/>
  <c r="O177" i="3"/>
  <c r="N177" i="3"/>
  <c r="M177" i="3"/>
  <c r="E177" i="3"/>
  <c r="D177" i="3"/>
  <c r="C177" i="3"/>
  <c r="B177" i="3"/>
  <c r="S176" i="3"/>
  <c r="R176" i="3"/>
  <c r="Q176" i="3"/>
  <c r="P176" i="3"/>
  <c r="O176" i="3"/>
  <c r="N176" i="3"/>
  <c r="M176" i="3"/>
  <c r="E176" i="3"/>
  <c r="D176" i="3"/>
  <c r="C176" i="3"/>
  <c r="B176" i="3"/>
  <c r="S175" i="3"/>
  <c r="R175" i="3"/>
  <c r="Q175" i="3"/>
  <c r="P175" i="3"/>
  <c r="O175" i="3"/>
  <c r="N175" i="3"/>
  <c r="M175" i="3"/>
  <c r="E175" i="3"/>
  <c r="D175" i="3"/>
  <c r="C175" i="3"/>
  <c r="B175" i="3"/>
  <c r="S174" i="3"/>
  <c r="R174" i="3"/>
  <c r="Q174" i="3"/>
  <c r="P174" i="3"/>
  <c r="O174" i="3"/>
  <c r="N174" i="3"/>
  <c r="M174" i="3"/>
  <c r="E174" i="3"/>
  <c r="D174" i="3"/>
  <c r="C174" i="3"/>
  <c r="B174" i="3"/>
  <c r="S173" i="3"/>
  <c r="R173" i="3"/>
  <c r="Q173" i="3"/>
  <c r="P173" i="3"/>
  <c r="O173" i="3"/>
  <c r="N173" i="3"/>
  <c r="M173" i="3"/>
  <c r="E173" i="3"/>
  <c r="D173" i="3"/>
  <c r="C173" i="3"/>
  <c r="B173" i="3"/>
  <c r="S172" i="3"/>
  <c r="R172" i="3"/>
  <c r="Q172" i="3"/>
  <c r="P172" i="3"/>
  <c r="O172" i="3"/>
  <c r="N172" i="3"/>
  <c r="M172" i="3"/>
  <c r="E172" i="3"/>
  <c r="D172" i="3"/>
  <c r="C172" i="3"/>
  <c r="B172" i="3"/>
  <c r="S171" i="3"/>
  <c r="R171" i="3"/>
  <c r="Q171" i="3"/>
  <c r="P171" i="3"/>
  <c r="O171" i="3"/>
  <c r="N171" i="3"/>
  <c r="M171" i="3"/>
  <c r="E171" i="3"/>
  <c r="D171" i="3"/>
  <c r="C171" i="3"/>
  <c r="B171" i="3"/>
  <c r="S170" i="3"/>
  <c r="R170" i="3"/>
  <c r="Q170" i="3"/>
  <c r="P170" i="3"/>
  <c r="O170" i="3"/>
  <c r="N170" i="3"/>
  <c r="M170" i="3"/>
  <c r="E170" i="3"/>
  <c r="D170" i="3"/>
  <c r="C170" i="3"/>
  <c r="B170" i="3"/>
  <c r="S169" i="3"/>
  <c r="R169" i="3"/>
  <c r="Q169" i="3"/>
  <c r="P169" i="3"/>
  <c r="O169" i="3"/>
  <c r="N169" i="3"/>
  <c r="M169" i="3"/>
  <c r="E169" i="3"/>
  <c r="D169" i="3"/>
  <c r="C169" i="3"/>
  <c r="B169" i="3"/>
  <c r="S168" i="3"/>
  <c r="R168" i="3"/>
  <c r="Q168" i="3"/>
  <c r="P168" i="3"/>
  <c r="O168" i="3"/>
  <c r="N168" i="3"/>
  <c r="M168" i="3"/>
  <c r="E168" i="3"/>
  <c r="D168" i="3"/>
  <c r="C168" i="3"/>
  <c r="B168" i="3"/>
  <c r="S167" i="3"/>
  <c r="R167" i="3"/>
  <c r="Q167" i="3"/>
  <c r="P167" i="3"/>
  <c r="O167" i="3"/>
  <c r="N167" i="3"/>
  <c r="M167" i="3"/>
  <c r="E167" i="3"/>
  <c r="D167" i="3"/>
  <c r="C167" i="3"/>
  <c r="B167" i="3"/>
  <c r="S166" i="3"/>
  <c r="R166" i="3"/>
  <c r="Q166" i="3"/>
  <c r="P166" i="3"/>
  <c r="O166" i="3"/>
  <c r="N166" i="3"/>
  <c r="M166" i="3"/>
  <c r="S165" i="3"/>
  <c r="R165" i="3"/>
  <c r="Q165" i="3"/>
  <c r="P165" i="3"/>
  <c r="O165" i="3"/>
  <c r="N165" i="3"/>
  <c r="M165" i="3"/>
  <c r="A165" i="3"/>
  <c r="S164" i="3"/>
  <c r="R164" i="3"/>
  <c r="Q164" i="3"/>
  <c r="P164" i="3"/>
  <c r="O164" i="3"/>
  <c r="N164" i="3"/>
  <c r="M164" i="3"/>
  <c r="B164" i="3"/>
  <c r="A164" i="3"/>
  <c r="S163" i="3"/>
  <c r="R163" i="3"/>
  <c r="Q163" i="3"/>
  <c r="P163" i="3"/>
  <c r="O163" i="3"/>
  <c r="N163" i="3"/>
  <c r="M163" i="3"/>
  <c r="A163" i="3"/>
  <c r="S162" i="3"/>
  <c r="R162" i="3"/>
  <c r="Q162" i="3"/>
  <c r="P162" i="3"/>
  <c r="O162" i="3"/>
  <c r="N162" i="3"/>
  <c r="M162" i="3"/>
  <c r="B162" i="3"/>
  <c r="A162" i="3"/>
  <c r="S161" i="3"/>
  <c r="R161" i="3"/>
  <c r="Q161" i="3"/>
  <c r="P161" i="3"/>
  <c r="O161" i="3"/>
  <c r="N161" i="3"/>
  <c r="M161" i="3"/>
  <c r="C161" i="3"/>
  <c r="C163" i="3" s="1"/>
  <c r="B161" i="3"/>
  <c r="A161" i="3"/>
  <c r="S160" i="3"/>
  <c r="R160" i="3"/>
  <c r="Q160" i="3"/>
  <c r="P160" i="3"/>
  <c r="O160" i="3"/>
  <c r="N160" i="3"/>
  <c r="M160" i="3"/>
  <c r="B160" i="3"/>
  <c r="A160" i="3"/>
  <c r="S159" i="3"/>
  <c r="R159" i="3"/>
  <c r="Q159" i="3"/>
  <c r="P159" i="3"/>
  <c r="O159" i="3"/>
  <c r="N159" i="3"/>
  <c r="M159" i="3"/>
  <c r="S158" i="3"/>
  <c r="R158" i="3"/>
  <c r="Q158" i="3"/>
  <c r="P158" i="3"/>
  <c r="O158" i="3"/>
  <c r="N158" i="3"/>
  <c r="M158" i="3"/>
  <c r="A158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S156" i="3"/>
  <c r="R156" i="3"/>
  <c r="Q156" i="3"/>
  <c r="P156" i="3"/>
  <c r="O156" i="3"/>
  <c r="N156" i="3"/>
  <c r="M156" i="3"/>
  <c r="S155" i="3"/>
  <c r="R155" i="3"/>
  <c r="Q155" i="3"/>
  <c r="P155" i="3"/>
  <c r="O155" i="3"/>
  <c r="N155" i="3"/>
  <c r="M155" i="3"/>
  <c r="S154" i="3"/>
  <c r="R154" i="3"/>
  <c r="Q154" i="3"/>
  <c r="P154" i="3"/>
  <c r="O154" i="3"/>
  <c r="N154" i="3"/>
  <c r="M154" i="3"/>
  <c r="S153" i="3"/>
  <c r="R153" i="3"/>
  <c r="Q153" i="3"/>
  <c r="P153" i="3"/>
  <c r="O153" i="3"/>
  <c r="N153" i="3"/>
  <c r="M153" i="3"/>
  <c r="S152" i="3"/>
  <c r="R152" i="3"/>
  <c r="Q152" i="3"/>
  <c r="P152" i="3"/>
  <c r="O152" i="3"/>
  <c r="N152" i="3"/>
  <c r="M152" i="3"/>
  <c r="S151" i="3"/>
  <c r="R151" i="3"/>
  <c r="Q151" i="3"/>
  <c r="P151" i="3"/>
  <c r="O151" i="3"/>
  <c r="N151" i="3"/>
  <c r="M151" i="3"/>
  <c r="S150" i="3"/>
  <c r="R150" i="3"/>
  <c r="Q150" i="3"/>
  <c r="P150" i="3"/>
  <c r="O150" i="3"/>
  <c r="N150" i="3"/>
  <c r="M150" i="3"/>
  <c r="S149" i="3"/>
  <c r="R149" i="3"/>
  <c r="Q149" i="3"/>
  <c r="P149" i="3"/>
  <c r="O149" i="3"/>
  <c r="N149" i="3"/>
  <c r="M149" i="3"/>
  <c r="E149" i="3"/>
  <c r="E319" i="3" s="1"/>
  <c r="D149" i="3"/>
  <c r="D319" i="3" s="1"/>
  <c r="C149" i="3"/>
  <c r="C319" i="3" s="1"/>
  <c r="B149" i="3"/>
  <c r="B149" i="2" s="1"/>
  <c r="A149" i="3"/>
  <c r="A319" i="3" s="1"/>
  <c r="S148" i="3"/>
  <c r="R148" i="3"/>
  <c r="Q148" i="3"/>
  <c r="P148" i="3"/>
  <c r="O148" i="3"/>
  <c r="N148" i="3"/>
  <c r="M148" i="3"/>
  <c r="E148" i="3"/>
  <c r="E318" i="3" s="1"/>
  <c r="D148" i="3"/>
  <c r="D318" i="3" s="1"/>
  <c r="C148" i="3"/>
  <c r="C318" i="3" s="1"/>
  <c r="B148" i="3"/>
  <c r="A148" i="3"/>
  <c r="A318" i="3" s="1"/>
  <c r="S147" i="3"/>
  <c r="R147" i="3"/>
  <c r="Q147" i="3"/>
  <c r="P147" i="3"/>
  <c r="O147" i="3"/>
  <c r="N147" i="3"/>
  <c r="M147" i="3"/>
  <c r="E147" i="3"/>
  <c r="E317" i="3" s="1"/>
  <c r="D147" i="3"/>
  <c r="D317" i="3" s="1"/>
  <c r="C147" i="3"/>
  <c r="C317" i="3" s="1"/>
  <c r="B147" i="3"/>
  <c r="A147" i="3"/>
  <c r="A317" i="3" s="1"/>
  <c r="S146" i="3"/>
  <c r="R146" i="3"/>
  <c r="Q146" i="3"/>
  <c r="P146" i="3"/>
  <c r="O146" i="3"/>
  <c r="N146" i="3"/>
  <c r="M146" i="3"/>
  <c r="E146" i="3"/>
  <c r="E316" i="3" s="1"/>
  <c r="D146" i="3"/>
  <c r="D316" i="3" s="1"/>
  <c r="C146" i="3"/>
  <c r="B146" i="3"/>
  <c r="B316" i="3" s="1"/>
  <c r="A146" i="3"/>
  <c r="A316" i="3" s="1"/>
  <c r="S145" i="3"/>
  <c r="R145" i="3"/>
  <c r="Q145" i="3"/>
  <c r="P145" i="3"/>
  <c r="O145" i="3"/>
  <c r="N145" i="3"/>
  <c r="M145" i="3"/>
  <c r="E145" i="3"/>
  <c r="E315" i="3" s="1"/>
  <c r="D145" i="3"/>
  <c r="D315" i="3" s="1"/>
  <c r="C145" i="3"/>
  <c r="C315" i="3" s="1"/>
  <c r="B145" i="3"/>
  <c r="A145" i="3"/>
  <c r="A315" i="3" s="1"/>
  <c r="S144" i="3"/>
  <c r="R144" i="3"/>
  <c r="Q144" i="3"/>
  <c r="P144" i="3"/>
  <c r="O144" i="3"/>
  <c r="N144" i="3"/>
  <c r="M144" i="3"/>
  <c r="E144" i="3"/>
  <c r="E314" i="3" s="1"/>
  <c r="D144" i="3"/>
  <c r="D314" i="3" s="1"/>
  <c r="C144" i="3"/>
  <c r="C314" i="3" s="1"/>
  <c r="B144" i="3"/>
  <c r="A144" i="3"/>
  <c r="A314" i="3" s="1"/>
  <c r="S143" i="3"/>
  <c r="R143" i="3"/>
  <c r="Q143" i="3"/>
  <c r="P143" i="3"/>
  <c r="O143" i="3"/>
  <c r="N143" i="3"/>
  <c r="M143" i="3"/>
  <c r="E143" i="3"/>
  <c r="E313" i="3" s="1"/>
  <c r="D143" i="3"/>
  <c r="D313" i="3" s="1"/>
  <c r="C143" i="3"/>
  <c r="C313" i="3" s="1"/>
  <c r="B143" i="3"/>
  <c r="B313" i="3" s="1"/>
  <c r="A143" i="3"/>
  <c r="A313" i="3" s="1"/>
  <c r="S142" i="3"/>
  <c r="R142" i="3"/>
  <c r="Q142" i="3"/>
  <c r="P142" i="3"/>
  <c r="O142" i="3"/>
  <c r="N142" i="3"/>
  <c r="M142" i="3"/>
  <c r="E142" i="3"/>
  <c r="E312" i="3" s="1"/>
  <c r="D142" i="3"/>
  <c r="D312" i="3" s="1"/>
  <c r="C142" i="3"/>
  <c r="C312" i="3" s="1"/>
  <c r="B142" i="3"/>
  <c r="B312" i="3" s="1"/>
  <c r="A142" i="3"/>
  <c r="A312" i="3" s="1"/>
  <c r="S141" i="3"/>
  <c r="R141" i="3"/>
  <c r="Q141" i="3"/>
  <c r="P141" i="3"/>
  <c r="O141" i="3"/>
  <c r="N141" i="3"/>
  <c r="M141" i="3"/>
  <c r="E141" i="3"/>
  <c r="E311" i="3" s="1"/>
  <c r="D141" i="3"/>
  <c r="D311" i="3" s="1"/>
  <c r="C141" i="3"/>
  <c r="C311" i="3" s="1"/>
  <c r="B141" i="3"/>
  <c r="A141" i="3"/>
  <c r="A311" i="3" s="1"/>
  <c r="S140" i="3"/>
  <c r="R140" i="3"/>
  <c r="Q140" i="3"/>
  <c r="P140" i="3"/>
  <c r="O140" i="3"/>
  <c r="N140" i="3"/>
  <c r="M140" i="3"/>
  <c r="E140" i="3"/>
  <c r="E310" i="3" s="1"/>
  <c r="D140" i="3"/>
  <c r="D310" i="3" s="1"/>
  <c r="C140" i="3"/>
  <c r="B140" i="3"/>
  <c r="B310" i="3" s="1"/>
  <c r="A140" i="3"/>
  <c r="A310" i="3" s="1"/>
  <c r="S139" i="3"/>
  <c r="R139" i="3"/>
  <c r="Q139" i="3"/>
  <c r="P139" i="3"/>
  <c r="O139" i="3"/>
  <c r="N139" i="3"/>
  <c r="M139" i="3"/>
  <c r="E139" i="3"/>
  <c r="E309" i="3" s="1"/>
  <c r="D139" i="3"/>
  <c r="D309" i="3" s="1"/>
  <c r="C139" i="3"/>
  <c r="C309" i="3" s="1"/>
  <c r="B139" i="3"/>
  <c r="A139" i="3"/>
  <c r="A309" i="3" s="1"/>
  <c r="S138" i="3"/>
  <c r="R138" i="3"/>
  <c r="Q138" i="3"/>
  <c r="P138" i="3"/>
  <c r="O138" i="3"/>
  <c r="N138" i="3"/>
  <c r="M138" i="3"/>
  <c r="E138" i="3"/>
  <c r="E308" i="3" s="1"/>
  <c r="D138" i="3"/>
  <c r="D308" i="3" s="1"/>
  <c r="C138" i="3"/>
  <c r="C308" i="3" s="1"/>
  <c r="B138" i="3"/>
  <c r="B138" i="2" s="1"/>
  <c r="A138" i="3"/>
  <c r="A308" i="3" s="1"/>
  <c r="S137" i="3"/>
  <c r="R137" i="3"/>
  <c r="Q137" i="3"/>
  <c r="P137" i="3"/>
  <c r="O137" i="3"/>
  <c r="N137" i="3"/>
  <c r="M137" i="3"/>
  <c r="E137" i="3"/>
  <c r="E307" i="3" s="1"/>
  <c r="D137" i="3"/>
  <c r="D307" i="3" s="1"/>
  <c r="C137" i="3"/>
  <c r="C307" i="3" s="1"/>
  <c r="B137" i="3"/>
  <c r="B307" i="3" s="1"/>
  <c r="A137" i="3"/>
  <c r="A307" i="3" s="1"/>
  <c r="S136" i="3"/>
  <c r="R136" i="3"/>
  <c r="Q136" i="3"/>
  <c r="P136" i="3"/>
  <c r="O136" i="3"/>
  <c r="N136" i="3"/>
  <c r="M136" i="3"/>
  <c r="E136" i="3"/>
  <c r="E306" i="3" s="1"/>
  <c r="D136" i="3"/>
  <c r="D306" i="3" s="1"/>
  <c r="C136" i="3"/>
  <c r="C306" i="3" s="1"/>
  <c r="B136" i="3"/>
  <c r="A136" i="3"/>
  <c r="A306" i="3" s="1"/>
  <c r="S135" i="3"/>
  <c r="R135" i="3"/>
  <c r="Q135" i="3"/>
  <c r="P135" i="3"/>
  <c r="O135" i="3"/>
  <c r="N135" i="3"/>
  <c r="M135" i="3"/>
  <c r="E135" i="3"/>
  <c r="E305" i="3" s="1"/>
  <c r="D135" i="3"/>
  <c r="D305" i="3" s="1"/>
  <c r="C135" i="3"/>
  <c r="C305" i="3" s="1"/>
  <c r="B135" i="3"/>
  <c r="B305" i="3" s="1"/>
  <c r="A135" i="3"/>
  <c r="A305" i="3" s="1"/>
  <c r="S134" i="3"/>
  <c r="R134" i="3"/>
  <c r="Q134" i="3"/>
  <c r="P134" i="3"/>
  <c r="O134" i="3"/>
  <c r="N134" i="3"/>
  <c r="M134" i="3"/>
  <c r="E134" i="3"/>
  <c r="E304" i="3" s="1"/>
  <c r="D134" i="3"/>
  <c r="D304" i="3" s="1"/>
  <c r="C134" i="3"/>
  <c r="C304" i="3" s="1"/>
  <c r="B134" i="3"/>
  <c r="A134" i="3"/>
  <c r="A304" i="3" s="1"/>
  <c r="S133" i="3"/>
  <c r="R133" i="3"/>
  <c r="Q133" i="3"/>
  <c r="P133" i="3"/>
  <c r="O133" i="3"/>
  <c r="N133" i="3"/>
  <c r="M133" i="3"/>
  <c r="E133" i="3"/>
  <c r="E303" i="3" s="1"/>
  <c r="D133" i="3"/>
  <c r="D303" i="3" s="1"/>
  <c r="C133" i="3"/>
  <c r="C303" i="3" s="1"/>
  <c r="B133" i="3"/>
  <c r="B133" i="2" s="1"/>
  <c r="A133" i="3"/>
  <c r="A303" i="3" s="1"/>
  <c r="S132" i="3"/>
  <c r="R132" i="3"/>
  <c r="Q132" i="3"/>
  <c r="P132" i="3"/>
  <c r="O132" i="3"/>
  <c r="N132" i="3"/>
  <c r="M132" i="3"/>
  <c r="E132" i="3"/>
  <c r="B132" i="3"/>
  <c r="B132" i="2" s="1"/>
  <c r="A132" i="3"/>
  <c r="S131" i="3"/>
  <c r="R131" i="3"/>
  <c r="Q131" i="3"/>
  <c r="P131" i="3"/>
  <c r="O131" i="3"/>
  <c r="N131" i="3"/>
  <c r="M131" i="3"/>
  <c r="E131" i="3"/>
  <c r="E302" i="3" s="1"/>
  <c r="D131" i="3"/>
  <c r="D302" i="3" s="1"/>
  <c r="C131" i="3"/>
  <c r="C302" i="3" s="1"/>
  <c r="B131" i="3"/>
  <c r="B302" i="3" s="1"/>
  <c r="A131" i="3"/>
  <c r="A302" i="3" s="1"/>
  <c r="S130" i="3"/>
  <c r="R130" i="3"/>
  <c r="Q130" i="3"/>
  <c r="P130" i="3"/>
  <c r="O130" i="3"/>
  <c r="N130" i="3"/>
  <c r="M130" i="3"/>
  <c r="E130" i="3"/>
  <c r="E301" i="3" s="1"/>
  <c r="D130" i="3"/>
  <c r="D301" i="3" s="1"/>
  <c r="C130" i="3"/>
  <c r="C301" i="3" s="1"/>
  <c r="B130" i="3"/>
  <c r="A130" i="3"/>
  <c r="A301" i="3" s="1"/>
  <c r="S129" i="3"/>
  <c r="R129" i="3"/>
  <c r="Q129" i="3"/>
  <c r="P129" i="3"/>
  <c r="O129" i="3"/>
  <c r="N129" i="3"/>
  <c r="M129" i="3"/>
  <c r="E129" i="3"/>
  <c r="E300" i="3" s="1"/>
  <c r="D129" i="3"/>
  <c r="D300" i="3" s="1"/>
  <c r="C129" i="3"/>
  <c r="C300" i="3" s="1"/>
  <c r="B129" i="3"/>
  <c r="A129" i="3"/>
  <c r="A300" i="3" s="1"/>
  <c r="S128" i="3"/>
  <c r="R128" i="3"/>
  <c r="Q128" i="3"/>
  <c r="P128" i="3"/>
  <c r="O128" i="3"/>
  <c r="N128" i="3"/>
  <c r="M128" i="3"/>
  <c r="E128" i="3"/>
  <c r="E299" i="3" s="1"/>
  <c r="D128" i="3"/>
  <c r="D299" i="3" s="1"/>
  <c r="C128" i="3"/>
  <c r="C299" i="3" s="1"/>
  <c r="B128" i="3"/>
  <c r="A128" i="3"/>
  <c r="A299" i="3" s="1"/>
  <c r="S127" i="3"/>
  <c r="R127" i="3"/>
  <c r="Q127" i="3"/>
  <c r="P127" i="3"/>
  <c r="O127" i="3"/>
  <c r="N127" i="3"/>
  <c r="M127" i="3"/>
  <c r="E127" i="3"/>
  <c r="E298" i="3" s="1"/>
  <c r="D127" i="3"/>
  <c r="D298" i="3" s="1"/>
  <c r="C127" i="3"/>
  <c r="C298" i="3" s="1"/>
  <c r="B127" i="3"/>
  <c r="B298" i="3" s="1"/>
  <c r="A127" i="3"/>
  <c r="A298" i="3" s="1"/>
  <c r="S126" i="3"/>
  <c r="R126" i="3"/>
  <c r="Q126" i="3"/>
  <c r="P126" i="3"/>
  <c r="O126" i="3"/>
  <c r="N126" i="3"/>
  <c r="M126" i="3"/>
  <c r="E126" i="3"/>
  <c r="E297" i="3" s="1"/>
  <c r="D126" i="3"/>
  <c r="D297" i="3" s="1"/>
  <c r="C126" i="3"/>
  <c r="C297" i="3" s="1"/>
  <c r="B126" i="3"/>
  <c r="A126" i="3"/>
  <c r="A297" i="3" s="1"/>
  <c r="S125" i="3"/>
  <c r="R125" i="3"/>
  <c r="Q125" i="3"/>
  <c r="P125" i="3"/>
  <c r="O125" i="3"/>
  <c r="N125" i="3"/>
  <c r="M125" i="3"/>
  <c r="E125" i="3"/>
  <c r="E296" i="3" s="1"/>
  <c r="D125" i="3"/>
  <c r="D296" i="3" s="1"/>
  <c r="C125" i="3"/>
  <c r="C296" i="3" s="1"/>
  <c r="B125" i="3"/>
  <c r="A125" i="3"/>
  <c r="A296" i="3" s="1"/>
  <c r="S124" i="3"/>
  <c r="R124" i="3"/>
  <c r="Q124" i="3"/>
  <c r="P124" i="3"/>
  <c r="O124" i="3"/>
  <c r="N124" i="3"/>
  <c r="M124" i="3"/>
  <c r="E124" i="3"/>
  <c r="E295" i="3" s="1"/>
  <c r="D124" i="3"/>
  <c r="D295" i="3" s="1"/>
  <c r="C124" i="3"/>
  <c r="C295" i="3" s="1"/>
  <c r="B124" i="3"/>
  <c r="B295" i="3" s="1"/>
  <c r="A124" i="3"/>
  <c r="A295" i="3" s="1"/>
  <c r="S123" i="3"/>
  <c r="R123" i="3"/>
  <c r="Q123" i="3"/>
  <c r="P123" i="3"/>
  <c r="O123" i="3"/>
  <c r="N123" i="3"/>
  <c r="M123" i="3"/>
  <c r="E123" i="3"/>
  <c r="E294" i="3" s="1"/>
  <c r="D123" i="3"/>
  <c r="D294" i="3" s="1"/>
  <c r="C123" i="3"/>
  <c r="C294" i="3" s="1"/>
  <c r="B123" i="3"/>
  <c r="B294" i="3" s="1"/>
  <c r="A123" i="3"/>
  <c r="A294" i="3" s="1"/>
  <c r="S122" i="3"/>
  <c r="R122" i="3"/>
  <c r="Q122" i="3"/>
  <c r="P122" i="3"/>
  <c r="O122" i="3"/>
  <c r="N122" i="3"/>
  <c r="M122" i="3"/>
  <c r="E122" i="3"/>
  <c r="E293" i="3" s="1"/>
  <c r="D122" i="3"/>
  <c r="D293" i="3" s="1"/>
  <c r="C122" i="3"/>
  <c r="C293" i="3" s="1"/>
  <c r="B122" i="3"/>
  <c r="A122" i="3"/>
  <c r="A293" i="3" s="1"/>
  <c r="S121" i="3"/>
  <c r="R121" i="3"/>
  <c r="Q121" i="3"/>
  <c r="P121" i="3"/>
  <c r="O121" i="3"/>
  <c r="N121" i="3"/>
  <c r="M121" i="3"/>
  <c r="E121" i="3"/>
  <c r="E292" i="3" s="1"/>
  <c r="D121" i="3"/>
  <c r="D292" i="3" s="1"/>
  <c r="C121" i="3"/>
  <c r="C292" i="3" s="1"/>
  <c r="B121" i="3"/>
  <c r="B292" i="3" s="1"/>
  <c r="A121" i="3"/>
  <c r="A292" i="3" s="1"/>
  <c r="S120" i="3"/>
  <c r="R120" i="3"/>
  <c r="Q120" i="3"/>
  <c r="P120" i="3"/>
  <c r="O120" i="3"/>
  <c r="N120" i="3"/>
  <c r="M120" i="3"/>
  <c r="E120" i="3"/>
  <c r="E291" i="3" s="1"/>
  <c r="D120" i="3"/>
  <c r="D291" i="3" s="1"/>
  <c r="C120" i="3"/>
  <c r="C291" i="3" s="1"/>
  <c r="B120" i="3"/>
  <c r="B291" i="3" s="1"/>
  <c r="A120" i="3"/>
  <c r="A291" i="3" s="1"/>
  <c r="S119" i="3"/>
  <c r="R119" i="3"/>
  <c r="Q119" i="3"/>
  <c r="P119" i="3"/>
  <c r="O119" i="3"/>
  <c r="N119" i="3"/>
  <c r="M119" i="3"/>
  <c r="E119" i="3"/>
  <c r="E290" i="3" s="1"/>
  <c r="D119" i="3"/>
  <c r="D290" i="3" s="1"/>
  <c r="C119" i="3"/>
  <c r="C290" i="3" s="1"/>
  <c r="B119" i="3"/>
  <c r="B290" i="3" s="1"/>
  <c r="A119" i="3"/>
  <c r="A290" i="3" s="1"/>
  <c r="S118" i="3"/>
  <c r="R118" i="3"/>
  <c r="Q118" i="3"/>
  <c r="P118" i="3"/>
  <c r="O118" i="3"/>
  <c r="N118" i="3"/>
  <c r="M118" i="3"/>
  <c r="E118" i="3"/>
  <c r="E289" i="3" s="1"/>
  <c r="D118" i="3"/>
  <c r="D289" i="3" s="1"/>
  <c r="C118" i="3"/>
  <c r="C289" i="3" s="1"/>
  <c r="B118" i="3"/>
  <c r="B289" i="3" s="1"/>
  <c r="A118" i="3"/>
  <c r="A289" i="3" s="1"/>
  <c r="S117" i="3"/>
  <c r="R117" i="3"/>
  <c r="Q117" i="3"/>
  <c r="P117" i="3"/>
  <c r="O117" i="3"/>
  <c r="N117" i="3"/>
  <c r="M117" i="3"/>
  <c r="E117" i="3"/>
  <c r="E288" i="3" s="1"/>
  <c r="D117" i="3"/>
  <c r="D288" i="3" s="1"/>
  <c r="C117" i="3"/>
  <c r="C288" i="3" s="1"/>
  <c r="B117" i="3"/>
  <c r="B288" i="3" s="1"/>
  <c r="A117" i="3"/>
  <c r="A288" i="3" s="1"/>
  <c r="S116" i="3"/>
  <c r="R116" i="3"/>
  <c r="Q116" i="3"/>
  <c r="P116" i="3"/>
  <c r="O116" i="3"/>
  <c r="N116" i="3"/>
  <c r="M116" i="3"/>
  <c r="E116" i="3"/>
  <c r="E287" i="3" s="1"/>
  <c r="D116" i="3"/>
  <c r="D287" i="3" s="1"/>
  <c r="C116" i="3"/>
  <c r="C287" i="3" s="1"/>
  <c r="B116" i="3"/>
  <c r="B287" i="3" s="1"/>
  <c r="A116" i="3"/>
  <c r="A287" i="3" s="1"/>
  <c r="S115" i="3"/>
  <c r="R115" i="3"/>
  <c r="Q115" i="3"/>
  <c r="P115" i="3"/>
  <c r="O115" i="3"/>
  <c r="N115" i="3"/>
  <c r="M115" i="3"/>
  <c r="E115" i="3"/>
  <c r="E286" i="3" s="1"/>
  <c r="D115" i="3"/>
  <c r="D286" i="3" s="1"/>
  <c r="C115" i="3"/>
  <c r="C286" i="3" s="1"/>
  <c r="B115" i="3"/>
  <c r="B286" i="3" s="1"/>
  <c r="A115" i="3"/>
  <c r="A286" i="3" s="1"/>
  <c r="S114" i="3"/>
  <c r="R114" i="3"/>
  <c r="Q114" i="3"/>
  <c r="P114" i="3"/>
  <c r="O114" i="3"/>
  <c r="N114" i="3"/>
  <c r="M114" i="3"/>
  <c r="E114" i="3"/>
  <c r="B114" i="3"/>
  <c r="A114" i="3"/>
  <c r="S113" i="3"/>
  <c r="R113" i="3"/>
  <c r="Q113" i="3"/>
  <c r="P113" i="3"/>
  <c r="O113" i="3"/>
  <c r="N113" i="3"/>
  <c r="M113" i="3"/>
  <c r="E113" i="3"/>
  <c r="E285" i="3" s="1"/>
  <c r="D113" i="3"/>
  <c r="D285" i="3" s="1"/>
  <c r="C113" i="3"/>
  <c r="C285" i="3" s="1"/>
  <c r="B113" i="3"/>
  <c r="B285" i="3" s="1"/>
  <c r="A113" i="3"/>
  <c r="A285" i="3" s="1"/>
  <c r="S112" i="3"/>
  <c r="R112" i="3"/>
  <c r="Q112" i="3"/>
  <c r="P112" i="3"/>
  <c r="O112" i="3"/>
  <c r="N112" i="3"/>
  <c r="M112" i="3"/>
  <c r="E112" i="3"/>
  <c r="E284" i="3" s="1"/>
  <c r="D112" i="3"/>
  <c r="D284" i="3" s="1"/>
  <c r="C112" i="3"/>
  <c r="C284" i="3" s="1"/>
  <c r="B112" i="3"/>
  <c r="B284" i="3" s="1"/>
  <c r="A112" i="3"/>
  <c r="A284" i="3" s="1"/>
  <c r="S111" i="3"/>
  <c r="R111" i="3"/>
  <c r="Q111" i="3"/>
  <c r="P111" i="3"/>
  <c r="O111" i="3"/>
  <c r="N111" i="3"/>
  <c r="M111" i="3"/>
  <c r="E111" i="3"/>
  <c r="E283" i="3" s="1"/>
  <c r="D111" i="3"/>
  <c r="D283" i="3" s="1"/>
  <c r="C111" i="3"/>
  <c r="C283" i="3" s="1"/>
  <c r="B111" i="3"/>
  <c r="B283" i="3" s="1"/>
  <c r="A111" i="3"/>
  <c r="A283" i="3" s="1"/>
  <c r="S110" i="3"/>
  <c r="R110" i="3"/>
  <c r="Q110" i="3"/>
  <c r="P110" i="3"/>
  <c r="O110" i="3"/>
  <c r="N110" i="3"/>
  <c r="M110" i="3"/>
  <c r="E110" i="3"/>
  <c r="E282" i="3" s="1"/>
  <c r="D110" i="3"/>
  <c r="D282" i="3" s="1"/>
  <c r="C110" i="3"/>
  <c r="C282" i="3" s="1"/>
  <c r="B110" i="3"/>
  <c r="B282" i="3" s="1"/>
  <c r="A110" i="3"/>
  <c r="A282" i="3" s="1"/>
  <c r="S109" i="3"/>
  <c r="R109" i="3"/>
  <c r="Q109" i="3"/>
  <c r="P109" i="3"/>
  <c r="O109" i="3"/>
  <c r="N109" i="3"/>
  <c r="M109" i="3"/>
  <c r="E109" i="3"/>
  <c r="E281" i="3" s="1"/>
  <c r="D109" i="3"/>
  <c r="D281" i="3" s="1"/>
  <c r="C109" i="3"/>
  <c r="C281" i="3" s="1"/>
  <c r="B109" i="3"/>
  <c r="B281" i="3" s="1"/>
  <c r="A109" i="3"/>
  <c r="A281" i="3" s="1"/>
  <c r="S108" i="3"/>
  <c r="R108" i="3"/>
  <c r="Q108" i="3"/>
  <c r="P108" i="3"/>
  <c r="O108" i="3"/>
  <c r="N108" i="3"/>
  <c r="M108" i="3"/>
  <c r="E108" i="3"/>
  <c r="E280" i="3" s="1"/>
  <c r="D108" i="3"/>
  <c r="D280" i="3" s="1"/>
  <c r="C108" i="3"/>
  <c r="C280" i="3" s="1"/>
  <c r="B108" i="3"/>
  <c r="B280" i="3" s="1"/>
  <c r="A108" i="3"/>
  <c r="A280" i="3" s="1"/>
  <c r="S107" i="3"/>
  <c r="R107" i="3"/>
  <c r="Q107" i="3"/>
  <c r="P107" i="3"/>
  <c r="O107" i="3"/>
  <c r="N107" i="3"/>
  <c r="M107" i="3"/>
  <c r="E107" i="3"/>
  <c r="E279" i="3" s="1"/>
  <c r="D107" i="3"/>
  <c r="D279" i="3" s="1"/>
  <c r="C107" i="3"/>
  <c r="C279" i="3" s="1"/>
  <c r="B107" i="3"/>
  <c r="B279" i="3" s="1"/>
  <c r="A107" i="3"/>
  <c r="A279" i="3" s="1"/>
  <c r="S106" i="3"/>
  <c r="R106" i="3"/>
  <c r="Q106" i="3"/>
  <c r="P106" i="3"/>
  <c r="O106" i="3"/>
  <c r="N106" i="3"/>
  <c r="M106" i="3"/>
  <c r="E106" i="3"/>
  <c r="E278" i="3" s="1"/>
  <c r="D106" i="3"/>
  <c r="D278" i="3" s="1"/>
  <c r="C106" i="3"/>
  <c r="C278" i="3" s="1"/>
  <c r="B106" i="3"/>
  <c r="B278" i="3" s="1"/>
  <c r="A106" i="3"/>
  <c r="A278" i="3" s="1"/>
  <c r="S105" i="3"/>
  <c r="R105" i="3"/>
  <c r="Q105" i="3"/>
  <c r="P105" i="3"/>
  <c r="O105" i="3"/>
  <c r="N105" i="3"/>
  <c r="M105" i="3"/>
  <c r="E105" i="3"/>
  <c r="E277" i="3" s="1"/>
  <c r="D105" i="3"/>
  <c r="D277" i="3" s="1"/>
  <c r="C105" i="3"/>
  <c r="C277" i="3" s="1"/>
  <c r="B105" i="3"/>
  <c r="B277" i="3" s="1"/>
  <c r="A105" i="3"/>
  <c r="A277" i="3" s="1"/>
  <c r="S104" i="3"/>
  <c r="R104" i="3"/>
  <c r="Q104" i="3"/>
  <c r="P104" i="3"/>
  <c r="O104" i="3"/>
  <c r="N104" i="3"/>
  <c r="M104" i="3"/>
  <c r="E104" i="3"/>
  <c r="E276" i="3" s="1"/>
  <c r="D104" i="3"/>
  <c r="D276" i="3" s="1"/>
  <c r="C104" i="3"/>
  <c r="C276" i="3" s="1"/>
  <c r="B104" i="3"/>
  <c r="B276" i="3" s="1"/>
  <c r="A104" i="3"/>
  <c r="A276" i="3" s="1"/>
  <c r="S103" i="3"/>
  <c r="R103" i="3"/>
  <c r="Q103" i="3"/>
  <c r="P103" i="3"/>
  <c r="O103" i="3"/>
  <c r="N103" i="3"/>
  <c r="M103" i="3"/>
  <c r="E103" i="3"/>
  <c r="E275" i="3" s="1"/>
  <c r="D103" i="3"/>
  <c r="D275" i="3" s="1"/>
  <c r="C103" i="3"/>
  <c r="C275" i="3" s="1"/>
  <c r="B103" i="3"/>
  <c r="B275" i="3" s="1"/>
  <c r="A103" i="3"/>
  <c r="A275" i="3" s="1"/>
  <c r="S102" i="3"/>
  <c r="R102" i="3"/>
  <c r="Q102" i="3"/>
  <c r="P102" i="3"/>
  <c r="O102" i="3"/>
  <c r="N102" i="3"/>
  <c r="M102" i="3"/>
  <c r="E102" i="3"/>
  <c r="E274" i="3" s="1"/>
  <c r="D102" i="3"/>
  <c r="D274" i="3" s="1"/>
  <c r="C102" i="3"/>
  <c r="C274" i="3" s="1"/>
  <c r="B102" i="3"/>
  <c r="B274" i="3" s="1"/>
  <c r="A102" i="3"/>
  <c r="A274" i="3" s="1"/>
  <c r="S101" i="3"/>
  <c r="R101" i="3"/>
  <c r="Q101" i="3"/>
  <c r="P101" i="3"/>
  <c r="O101" i="3"/>
  <c r="N101" i="3"/>
  <c r="M101" i="3"/>
  <c r="E101" i="3"/>
  <c r="E273" i="3" s="1"/>
  <c r="D101" i="3"/>
  <c r="D273" i="3" s="1"/>
  <c r="C101" i="3"/>
  <c r="C273" i="3" s="1"/>
  <c r="B101" i="3"/>
  <c r="B273" i="3" s="1"/>
  <c r="A101" i="3"/>
  <c r="A273" i="3" s="1"/>
  <c r="S100" i="3"/>
  <c r="R100" i="3"/>
  <c r="Q100" i="3"/>
  <c r="P100" i="3"/>
  <c r="O100" i="3"/>
  <c r="N100" i="3"/>
  <c r="M100" i="3"/>
  <c r="E100" i="3"/>
  <c r="E272" i="3" s="1"/>
  <c r="D100" i="3"/>
  <c r="D272" i="3" s="1"/>
  <c r="C100" i="3"/>
  <c r="C272" i="3" s="1"/>
  <c r="B100" i="3"/>
  <c r="B272" i="3" s="1"/>
  <c r="A100" i="3"/>
  <c r="A272" i="3" s="1"/>
  <c r="S99" i="3"/>
  <c r="R99" i="3"/>
  <c r="Q99" i="3"/>
  <c r="P99" i="3"/>
  <c r="O99" i="3"/>
  <c r="N99" i="3"/>
  <c r="M99" i="3"/>
  <c r="E99" i="3"/>
  <c r="E271" i="3" s="1"/>
  <c r="D99" i="3"/>
  <c r="D271" i="3" s="1"/>
  <c r="C99" i="3"/>
  <c r="C271" i="3" s="1"/>
  <c r="B99" i="3"/>
  <c r="B271" i="3" s="1"/>
  <c r="A99" i="3"/>
  <c r="A271" i="3" s="1"/>
  <c r="S98" i="3"/>
  <c r="R98" i="3"/>
  <c r="Q98" i="3"/>
  <c r="P98" i="3"/>
  <c r="O98" i="3"/>
  <c r="N98" i="3"/>
  <c r="M98" i="3"/>
  <c r="E98" i="3"/>
  <c r="E270" i="3" s="1"/>
  <c r="D98" i="3"/>
  <c r="D270" i="3" s="1"/>
  <c r="C98" i="3"/>
  <c r="C270" i="3" s="1"/>
  <c r="B98" i="3"/>
  <c r="B270" i="3" s="1"/>
  <c r="A98" i="3"/>
  <c r="A270" i="3" s="1"/>
  <c r="S97" i="3"/>
  <c r="R97" i="3"/>
  <c r="Q97" i="3"/>
  <c r="P97" i="3"/>
  <c r="O97" i="3"/>
  <c r="N97" i="3"/>
  <c r="M97" i="3"/>
  <c r="E97" i="3"/>
  <c r="E269" i="3" s="1"/>
  <c r="D97" i="3"/>
  <c r="D269" i="3" s="1"/>
  <c r="C97" i="3"/>
  <c r="C269" i="3" s="1"/>
  <c r="B97" i="3"/>
  <c r="B269" i="3" s="1"/>
  <c r="A97" i="3"/>
  <c r="A269" i="3" s="1"/>
  <c r="S96" i="3"/>
  <c r="R96" i="3"/>
  <c r="Q96" i="3"/>
  <c r="P96" i="3"/>
  <c r="O96" i="3"/>
  <c r="N96" i="3"/>
  <c r="M96" i="3"/>
  <c r="E96" i="3"/>
  <c r="B96" i="3"/>
  <c r="A96" i="3"/>
  <c r="S95" i="3"/>
  <c r="R95" i="3"/>
  <c r="Q95" i="3"/>
  <c r="P95" i="3"/>
  <c r="O95" i="3"/>
  <c r="N95" i="3"/>
  <c r="M95" i="3"/>
  <c r="E95" i="3"/>
  <c r="B95" i="3"/>
  <c r="A95" i="3"/>
  <c r="S94" i="3"/>
  <c r="R94" i="3"/>
  <c r="Q94" i="3"/>
  <c r="P94" i="3"/>
  <c r="O94" i="3"/>
  <c r="N94" i="3"/>
  <c r="M94" i="3"/>
  <c r="E94" i="3"/>
  <c r="E268" i="3" s="1"/>
  <c r="D94" i="3"/>
  <c r="D268" i="3" s="1"/>
  <c r="C94" i="3"/>
  <c r="C268" i="3" s="1"/>
  <c r="B94" i="3"/>
  <c r="B268" i="3" s="1"/>
  <c r="A94" i="3"/>
  <c r="A268" i="3" s="1"/>
  <c r="S93" i="3"/>
  <c r="R93" i="3"/>
  <c r="Q93" i="3"/>
  <c r="P93" i="3"/>
  <c r="O93" i="3"/>
  <c r="N93" i="3"/>
  <c r="M93" i="3"/>
  <c r="E93" i="3"/>
  <c r="E267" i="3" s="1"/>
  <c r="D93" i="3"/>
  <c r="D267" i="3" s="1"/>
  <c r="C93" i="3"/>
  <c r="C267" i="3" s="1"/>
  <c r="B93" i="3"/>
  <c r="B267" i="3" s="1"/>
  <c r="A93" i="3"/>
  <c r="A267" i="3" s="1"/>
  <c r="S92" i="3"/>
  <c r="R92" i="3"/>
  <c r="Q92" i="3"/>
  <c r="P92" i="3"/>
  <c r="O92" i="3"/>
  <c r="N92" i="3"/>
  <c r="M92" i="3"/>
  <c r="E92" i="3"/>
  <c r="E266" i="3" s="1"/>
  <c r="D92" i="3"/>
  <c r="D266" i="3" s="1"/>
  <c r="C92" i="3"/>
  <c r="C266" i="3" s="1"/>
  <c r="B92" i="3"/>
  <c r="B266" i="3" s="1"/>
  <c r="A92" i="3"/>
  <c r="A266" i="3" s="1"/>
  <c r="S91" i="3"/>
  <c r="R91" i="3"/>
  <c r="Q91" i="3"/>
  <c r="P91" i="3"/>
  <c r="O91" i="3"/>
  <c r="N91" i="3"/>
  <c r="M91" i="3"/>
  <c r="E91" i="3"/>
  <c r="E265" i="3" s="1"/>
  <c r="D91" i="3"/>
  <c r="D265" i="3" s="1"/>
  <c r="C91" i="3"/>
  <c r="C265" i="3" s="1"/>
  <c r="B91" i="3"/>
  <c r="B265" i="3" s="1"/>
  <c r="A91" i="3"/>
  <c r="A265" i="3" s="1"/>
  <c r="S90" i="3"/>
  <c r="R90" i="3"/>
  <c r="Q90" i="3"/>
  <c r="P90" i="3"/>
  <c r="O90" i="3"/>
  <c r="N90" i="3"/>
  <c r="M90" i="3"/>
  <c r="E90" i="3"/>
  <c r="E264" i="3" s="1"/>
  <c r="D90" i="3"/>
  <c r="D264" i="3" s="1"/>
  <c r="C90" i="3"/>
  <c r="C264" i="3" s="1"/>
  <c r="B90" i="3"/>
  <c r="B264" i="3" s="1"/>
  <c r="A90" i="3"/>
  <c r="A264" i="3" s="1"/>
  <c r="S89" i="3"/>
  <c r="R89" i="3"/>
  <c r="Q89" i="3"/>
  <c r="P89" i="3"/>
  <c r="O89" i="3"/>
  <c r="N89" i="3"/>
  <c r="M89" i="3"/>
  <c r="E89" i="3"/>
  <c r="E263" i="3" s="1"/>
  <c r="D89" i="3"/>
  <c r="D263" i="3" s="1"/>
  <c r="C89" i="3"/>
  <c r="C263" i="3" s="1"/>
  <c r="B89" i="3"/>
  <c r="B263" i="3" s="1"/>
  <c r="A89" i="3"/>
  <c r="A263" i="3" s="1"/>
  <c r="S88" i="3"/>
  <c r="R88" i="3"/>
  <c r="Q88" i="3"/>
  <c r="P88" i="3"/>
  <c r="O88" i="3"/>
  <c r="N88" i="3"/>
  <c r="M88" i="3"/>
  <c r="E88" i="3"/>
  <c r="E262" i="3" s="1"/>
  <c r="D88" i="3"/>
  <c r="D262" i="3" s="1"/>
  <c r="C88" i="3"/>
  <c r="C262" i="3" s="1"/>
  <c r="B88" i="3"/>
  <c r="B262" i="3" s="1"/>
  <c r="A88" i="3"/>
  <c r="A262" i="3" s="1"/>
  <c r="S87" i="3"/>
  <c r="R87" i="3"/>
  <c r="Q87" i="3"/>
  <c r="P87" i="3"/>
  <c r="O87" i="3"/>
  <c r="N87" i="3"/>
  <c r="M87" i="3"/>
  <c r="E87" i="3"/>
  <c r="E261" i="3" s="1"/>
  <c r="D87" i="3"/>
  <c r="D261" i="3" s="1"/>
  <c r="C87" i="3"/>
  <c r="C261" i="3" s="1"/>
  <c r="B87" i="3"/>
  <c r="B261" i="3" s="1"/>
  <c r="A87" i="3"/>
  <c r="A261" i="3" s="1"/>
  <c r="S86" i="3"/>
  <c r="R86" i="3"/>
  <c r="Q86" i="3"/>
  <c r="P86" i="3"/>
  <c r="O86" i="3"/>
  <c r="N86" i="3"/>
  <c r="M86" i="3"/>
  <c r="E86" i="3"/>
  <c r="E260" i="3" s="1"/>
  <c r="D86" i="3"/>
  <c r="D260" i="3" s="1"/>
  <c r="C86" i="3"/>
  <c r="C260" i="3" s="1"/>
  <c r="B86" i="3"/>
  <c r="B260" i="3" s="1"/>
  <c r="A86" i="3"/>
  <c r="A260" i="3" s="1"/>
  <c r="S85" i="3"/>
  <c r="R85" i="3"/>
  <c r="Q85" i="3"/>
  <c r="P85" i="3"/>
  <c r="O85" i="3"/>
  <c r="N85" i="3"/>
  <c r="M85" i="3"/>
  <c r="E85" i="3"/>
  <c r="E259" i="3" s="1"/>
  <c r="D85" i="3"/>
  <c r="D259" i="3" s="1"/>
  <c r="C85" i="3"/>
  <c r="C259" i="3" s="1"/>
  <c r="B85" i="3"/>
  <c r="B259" i="3" s="1"/>
  <c r="A85" i="3"/>
  <c r="A259" i="3" s="1"/>
  <c r="S84" i="3"/>
  <c r="R84" i="3"/>
  <c r="Q84" i="3"/>
  <c r="P84" i="3"/>
  <c r="O84" i="3"/>
  <c r="N84" i="3"/>
  <c r="M84" i="3"/>
  <c r="E84" i="3"/>
  <c r="E258" i="3" s="1"/>
  <c r="D84" i="3"/>
  <c r="D258" i="3" s="1"/>
  <c r="C84" i="3"/>
  <c r="C258" i="3" s="1"/>
  <c r="B84" i="3"/>
  <c r="B258" i="3" s="1"/>
  <c r="A84" i="3"/>
  <c r="A258" i="3" s="1"/>
  <c r="S83" i="3"/>
  <c r="R83" i="3"/>
  <c r="Q83" i="3"/>
  <c r="P83" i="3"/>
  <c r="O83" i="3"/>
  <c r="N83" i="3"/>
  <c r="M83" i="3"/>
  <c r="E83" i="3"/>
  <c r="E257" i="3" s="1"/>
  <c r="D83" i="3"/>
  <c r="D257" i="3" s="1"/>
  <c r="C83" i="3"/>
  <c r="C257" i="3" s="1"/>
  <c r="B83" i="3"/>
  <c r="B257" i="3" s="1"/>
  <c r="A83" i="3"/>
  <c r="A257" i="3" s="1"/>
  <c r="S82" i="3"/>
  <c r="R82" i="3"/>
  <c r="Q82" i="3"/>
  <c r="P82" i="3"/>
  <c r="O82" i="3"/>
  <c r="N82" i="3"/>
  <c r="M82" i="3"/>
  <c r="E82" i="3"/>
  <c r="E256" i="3" s="1"/>
  <c r="D82" i="3"/>
  <c r="D256" i="3" s="1"/>
  <c r="C82" i="3"/>
  <c r="C256" i="3" s="1"/>
  <c r="B82" i="3"/>
  <c r="B256" i="3" s="1"/>
  <c r="A82" i="3"/>
  <c r="A256" i="3" s="1"/>
  <c r="S81" i="3"/>
  <c r="R81" i="3"/>
  <c r="Q81" i="3"/>
  <c r="P81" i="3"/>
  <c r="O81" i="3"/>
  <c r="N81" i="3"/>
  <c r="M81" i="3"/>
  <c r="E81" i="3"/>
  <c r="E255" i="3" s="1"/>
  <c r="D81" i="3"/>
  <c r="D255" i="3" s="1"/>
  <c r="C81" i="3"/>
  <c r="C255" i="3" s="1"/>
  <c r="B81" i="3"/>
  <c r="B255" i="3" s="1"/>
  <c r="A81" i="3"/>
  <c r="A255" i="3" s="1"/>
  <c r="S80" i="3"/>
  <c r="R80" i="3"/>
  <c r="Q80" i="3"/>
  <c r="P80" i="3"/>
  <c r="O80" i="3"/>
  <c r="N80" i="3"/>
  <c r="M80" i="3"/>
  <c r="E80" i="3"/>
  <c r="E254" i="3" s="1"/>
  <c r="D80" i="3"/>
  <c r="D254" i="3" s="1"/>
  <c r="C80" i="3"/>
  <c r="C254" i="3" s="1"/>
  <c r="B80" i="3"/>
  <c r="B254" i="3" s="1"/>
  <c r="A80" i="3"/>
  <c r="A254" i="3" s="1"/>
  <c r="S79" i="3"/>
  <c r="R79" i="3"/>
  <c r="Q79" i="3"/>
  <c r="P79" i="3"/>
  <c r="O79" i="3"/>
  <c r="N79" i="3"/>
  <c r="M79" i="3"/>
  <c r="E79" i="3"/>
  <c r="E253" i="3" s="1"/>
  <c r="D79" i="3"/>
  <c r="D253" i="3" s="1"/>
  <c r="C79" i="3"/>
  <c r="C253" i="3" s="1"/>
  <c r="B79" i="3"/>
  <c r="B253" i="3" s="1"/>
  <c r="A79" i="3"/>
  <c r="A253" i="3" s="1"/>
  <c r="S78" i="3"/>
  <c r="R78" i="3"/>
  <c r="Q78" i="3"/>
  <c r="P78" i="3"/>
  <c r="O78" i="3"/>
  <c r="N78" i="3"/>
  <c r="M78" i="3"/>
  <c r="E78" i="3"/>
  <c r="E252" i="3" s="1"/>
  <c r="D78" i="3"/>
  <c r="D252" i="3" s="1"/>
  <c r="C78" i="3"/>
  <c r="C252" i="3" s="1"/>
  <c r="B78" i="3"/>
  <c r="B252" i="3" s="1"/>
  <c r="A78" i="3"/>
  <c r="A252" i="3" s="1"/>
  <c r="S77" i="3"/>
  <c r="R77" i="3"/>
  <c r="Q77" i="3"/>
  <c r="P77" i="3"/>
  <c r="O77" i="3"/>
  <c r="N77" i="3"/>
  <c r="M77" i="3"/>
  <c r="E77" i="3"/>
  <c r="B77" i="3"/>
  <c r="A77" i="3"/>
  <c r="S76" i="3"/>
  <c r="R76" i="3"/>
  <c r="Q76" i="3"/>
  <c r="P76" i="3"/>
  <c r="O76" i="3"/>
  <c r="N76" i="3"/>
  <c r="M76" i="3"/>
  <c r="E76" i="3"/>
  <c r="E251" i="3" s="1"/>
  <c r="D76" i="3"/>
  <c r="D251" i="3" s="1"/>
  <c r="C76" i="3"/>
  <c r="C251" i="3" s="1"/>
  <c r="B76" i="3"/>
  <c r="B251" i="3" s="1"/>
  <c r="A76" i="3"/>
  <c r="A251" i="3" s="1"/>
  <c r="S75" i="3"/>
  <c r="R75" i="3"/>
  <c r="Q75" i="3"/>
  <c r="P75" i="3"/>
  <c r="O75" i="3"/>
  <c r="N75" i="3"/>
  <c r="M75" i="3"/>
  <c r="E75" i="3"/>
  <c r="E250" i="3" s="1"/>
  <c r="D75" i="3"/>
  <c r="D250" i="3" s="1"/>
  <c r="C75" i="3"/>
  <c r="C250" i="3" s="1"/>
  <c r="B75" i="3"/>
  <c r="B250" i="3" s="1"/>
  <c r="A75" i="3"/>
  <c r="A250" i="3" s="1"/>
  <c r="S74" i="3"/>
  <c r="R74" i="3"/>
  <c r="Q74" i="3"/>
  <c r="P74" i="3"/>
  <c r="O74" i="3"/>
  <c r="N74" i="3"/>
  <c r="M74" i="3"/>
  <c r="E74" i="3"/>
  <c r="E249" i="3" s="1"/>
  <c r="D74" i="3"/>
  <c r="D249" i="3" s="1"/>
  <c r="C74" i="3"/>
  <c r="C249" i="3" s="1"/>
  <c r="B74" i="3"/>
  <c r="B249" i="3" s="1"/>
  <c r="A74" i="3"/>
  <c r="A249" i="3" s="1"/>
  <c r="S73" i="3"/>
  <c r="R73" i="3"/>
  <c r="Q73" i="3"/>
  <c r="P73" i="3"/>
  <c r="O73" i="3"/>
  <c r="N73" i="3"/>
  <c r="M73" i="3"/>
  <c r="E73" i="3"/>
  <c r="E248" i="3" s="1"/>
  <c r="D73" i="3"/>
  <c r="D248" i="3" s="1"/>
  <c r="C73" i="3"/>
  <c r="C248" i="3" s="1"/>
  <c r="B73" i="3"/>
  <c r="B248" i="3" s="1"/>
  <c r="A73" i="3"/>
  <c r="A248" i="3" s="1"/>
  <c r="S72" i="3"/>
  <c r="R72" i="3"/>
  <c r="Q72" i="3"/>
  <c r="P72" i="3"/>
  <c r="O72" i="3"/>
  <c r="N72" i="3"/>
  <c r="M72" i="3"/>
  <c r="E72" i="3"/>
  <c r="E247" i="3" s="1"/>
  <c r="D72" i="3"/>
  <c r="D247" i="3" s="1"/>
  <c r="C72" i="3"/>
  <c r="C247" i="3" s="1"/>
  <c r="B72" i="3"/>
  <c r="B247" i="3" s="1"/>
  <c r="A72" i="3"/>
  <c r="A247" i="3" s="1"/>
  <c r="S71" i="3"/>
  <c r="R71" i="3"/>
  <c r="Q71" i="3"/>
  <c r="P71" i="3"/>
  <c r="O71" i="3"/>
  <c r="N71" i="3"/>
  <c r="M71" i="3"/>
  <c r="E71" i="3"/>
  <c r="E246" i="3" s="1"/>
  <c r="D71" i="3"/>
  <c r="D246" i="3" s="1"/>
  <c r="C71" i="3"/>
  <c r="C246" i="3" s="1"/>
  <c r="B71" i="3"/>
  <c r="B246" i="3" s="1"/>
  <c r="A71" i="3"/>
  <c r="A246" i="3" s="1"/>
  <c r="S70" i="3"/>
  <c r="R70" i="3"/>
  <c r="Q70" i="3"/>
  <c r="P70" i="3"/>
  <c r="O70" i="3"/>
  <c r="N70" i="3"/>
  <c r="M70" i="3"/>
  <c r="E70" i="3"/>
  <c r="E245" i="3" s="1"/>
  <c r="D70" i="3"/>
  <c r="D245" i="3" s="1"/>
  <c r="C70" i="3"/>
  <c r="C245" i="3" s="1"/>
  <c r="B70" i="3"/>
  <c r="B245" i="3" s="1"/>
  <c r="A70" i="3"/>
  <c r="A245" i="3" s="1"/>
  <c r="S69" i="3"/>
  <c r="R69" i="3"/>
  <c r="Q69" i="3"/>
  <c r="P69" i="3"/>
  <c r="O69" i="3"/>
  <c r="N69" i="3"/>
  <c r="M69" i="3"/>
  <c r="E69" i="3"/>
  <c r="E244" i="3" s="1"/>
  <c r="D69" i="3"/>
  <c r="D244" i="3" s="1"/>
  <c r="C69" i="3"/>
  <c r="C244" i="3" s="1"/>
  <c r="B69" i="3"/>
  <c r="B244" i="3" s="1"/>
  <c r="A69" i="3"/>
  <c r="A244" i="3" s="1"/>
  <c r="S68" i="3"/>
  <c r="R68" i="3"/>
  <c r="Q68" i="3"/>
  <c r="P68" i="3"/>
  <c r="O68" i="3"/>
  <c r="N68" i="3"/>
  <c r="M68" i="3"/>
  <c r="E68" i="3"/>
  <c r="E243" i="3" s="1"/>
  <c r="D68" i="3"/>
  <c r="D243" i="3" s="1"/>
  <c r="C68" i="3"/>
  <c r="C243" i="3" s="1"/>
  <c r="B68" i="3"/>
  <c r="B243" i="3" s="1"/>
  <c r="A68" i="3"/>
  <c r="A243" i="3" s="1"/>
  <c r="S67" i="3"/>
  <c r="R67" i="3"/>
  <c r="Q67" i="3"/>
  <c r="P67" i="3"/>
  <c r="O67" i="3"/>
  <c r="N67" i="3"/>
  <c r="M67" i="3"/>
  <c r="E67" i="3"/>
  <c r="E242" i="3" s="1"/>
  <c r="D67" i="3"/>
  <c r="D242" i="3" s="1"/>
  <c r="C67" i="3"/>
  <c r="C242" i="3" s="1"/>
  <c r="B67" i="3"/>
  <c r="B242" i="3" s="1"/>
  <c r="A67" i="3"/>
  <c r="A242" i="3" s="1"/>
  <c r="S66" i="3"/>
  <c r="R66" i="3"/>
  <c r="Q66" i="3"/>
  <c r="P66" i="3"/>
  <c r="O66" i="3"/>
  <c r="N66" i="3"/>
  <c r="M66" i="3"/>
  <c r="E66" i="3"/>
  <c r="E241" i="3" s="1"/>
  <c r="D66" i="3"/>
  <c r="D241" i="3" s="1"/>
  <c r="C66" i="3"/>
  <c r="C241" i="3" s="1"/>
  <c r="B66" i="3"/>
  <c r="B241" i="3" s="1"/>
  <c r="A66" i="3"/>
  <c r="A241" i="3" s="1"/>
  <c r="S65" i="3"/>
  <c r="R65" i="3"/>
  <c r="Q65" i="3"/>
  <c r="P65" i="3"/>
  <c r="O65" i="3"/>
  <c r="N65" i="3"/>
  <c r="M65" i="3"/>
  <c r="E65" i="3"/>
  <c r="E240" i="3" s="1"/>
  <c r="D65" i="3"/>
  <c r="D240" i="3" s="1"/>
  <c r="C65" i="3"/>
  <c r="C240" i="3" s="1"/>
  <c r="B65" i="3"/>
  <c r="B240" i="3" s="1"/>
  <c r="A65" i="3"/>
  <c r="A240" i="3" s="1"/>
  <c r="S64" i="3"/>
  <c r="R64" i="3"/>
  <c r="Q64" i="3"/>
  <c r="P64" i="3"/>
  <c r="O64" i="3"/>
  <c r="N64" i="3"/>
  <c r="M64" i="3"/>
  <c r="E64" i="3"/>
  <c r="E239" i="3" s="1"/>
  <c r="D64" i="3"/>
  <c r="D239" i="3" s="1"/>
  <c r="C64" i="3"/>
  <c r="C239" i="3" s="1"/>
  <c r="B64" i="3"/>
  <c r="B239" i="3" s="1"/>
  <c r="A64" i="3"/>
  <c r="A239" i="3" s="1"/>
  <c r="S63" i="3"/>
  <c r="R63" i="3"/>
  <c r="Q63" i="3"/>
  <c r="P63" i="3"/>
  <c r="O63" i="3"/>
  <c r="N63" i="3"/>
  <c r="M63" i="3"/>
  <c r="E63" i="3"/>
  <c r="E238" i="3" s="1"/>
  <c r="D63" i="3"/>
  <c r="D238" i="3" s="1"/>
  <c r="C63" i="3"/>
  <c r="C238" i="3" s="1"/>
  <c r="B63" i="3"/>
  <c r="B238" i="3" s="1"/>
  <c r="A63" i="3"/>
  <c r="A238" i="3" s="1"/>
  <c r="S62" i="3"/>
  <c r="R62" i="3"/>
  <c r="Q62" i="3"/>
  <c r="P62" i="3"/>
  <c r="O62" i="3"/>
  <c r="N62" i="3"/>
  <c r="M62" i="3"/>
  <c r="E62" i="3"/>
  <c r="E237" i="3" s="1"/>
  <c r="D62" i="3"/>
  <c r="D237" i="3" s="1"/>
  <c r="C62" i="3"/>
  <c r="C237" i="3" s="1"/>
  <c r="B62" i="3"/>
  <c r="B237" i="3" s="1"/>
  <c r="A62" i="3"/>
  <c r="A237" i="3" s="1"/>
  <c r="S61" i="3"/>
  <c r="R61" i="3"/>
  <c r="Q61" i="3"/>
  <c r="P61" i="3"/>
  <c r="O61" i="3"/>
  <c r="N61" i="3"/>
  <c r="M61" i="3"/>
  <c r="E61" i="3"/>
  <c r="E236" i="3" s="1"/>
  <c r="D61" i="3"/>
  <c r="D236" i="3" s="1"/>
  <c r="C61" i="3"/>
  <c r="C236" i="3" s="1"/>
  <c r="B61" i="3"/>
  <c r="B236" i="3" s="1"/>
  <c r="A61" i="3"/>
  <c r="A236" i="3" s="1"/>
  <c r="S60" i="3"/>
  <c r="R60" i="3"/>
  <c r="Q60" i="3"/>
  <c r="P60" i="3"/>
  <c r="O60" i="3"/>
  <c r="N60" i="3"/>
  <c r="M60" i="3"/>
  <c r="E60" i="3"/>
  <c r="E235" i="3" s="1"/>
  <c r="D60" i="3"/>
  <c r="D235" i="3" s="1"/>
  <c r="C60" i="3"/>
  <c r="C235" i="3" s="1"/>
  <c r="B60" i="3"/>
  <c r="B235" i="3" s="1"/>
  <c r="A60" i="3"/>
  <c r="A235" i="3" s="1"/>
  <c r="S59" i="3"/>
  <c r="R59" i="3"/>
  <c r="Q59" i="3"/>
  <c r="P59" i="3"/>
  <c r="O59" i="3"/>
  <c r="N59" i="3"/>
  <c r="M59" i="3"/>
  <c r="E59" i="3"/>
  <c r="B59" i="3"/>
  <c r="A59" i="3"/>
  <c r="S58" i="3"/>
  <c r="R58" i="3"/>
  <c r="Q58" i="3"/>
  <c r="P58" i="3"/>
  <c r="O58" i="3"/>
  <c r="N58" i="3"/>
  <c r="M58" i="3"/>
  <c r="E58" i="3"/>
  <c r="B58" i="3"/>
  <c r="A58" i="3"/>
  <c r="S57" i="3"/>
  <c r="R57" i="3"/>
  <c r="Q57" i="3"/>
  <c r="P57" i="3"/>
  <c r="O57" i="3"/>
  <c r="N57" i="3"/>
  <c r="M57" i="3"/>
  <c r="E57" i="3"/>
  <c r="B57" i="3"/>
  <c r="A57" i="3"/>
  <c r="S56" i="3"/>
  <c r="R56" i="3"/>
  <c r="Q56" i="3"/>
  <c r="P56" i="3"/>
  <c r="O56" i="3"/>
  <c r="N56" i="3"/>
  <c r="M56" i="3"/>
  <c r="E56" i="3"/>
  <c r="B56" i="3"/>
  <c r="A56" i="3"/>
  <c r="S55" i="3"/>
  <c r="R55" i="3"/>
  <c r="Q55" i="3"/>
  <c r="P55" i="3"/>
  <c r="O55" i="3"/>
  <c r="N55" i="3"/>
  <c r="M55" i="3"/>
  <c r="E55" i="3"/>
  <c r="B55" i="3"/>
  <c r="A55" i="3"/>
  <c r="S54" i="3"/>
  <c r="R54" i="3"/>
  <c r="Q54" i="3"/>
  <c r="P54" i="3"/>
  <c r="O54" i="3"/>
  <c r="N54" i="3"/>
  <c r="M54" i="3"/>
  <c r="E54" i="3"/>
  <c r="B54" i="3"/>
  <c r="A54" i="3"/>
  <c r="S53" i="3"/>
  <c r="R53" i="3"/>
  <c r="Q53" i="3"/>
  <c r="P53" i="3"/>
  <c r="O53" i="3"/>
  <c r="N53" i="3"/>
  <c r="M53" i="3"/>
  <c r="E53" i="3"/>
  <c r="B53" i="3"/>
  <c r="A53" i="3"/>
  <c r="S52" i="3"/>
  <c r="R52" i="3"/>
  <c r="Q52" i="3"/>
  <c r="P52" i="3"/>
  <c r="O52" i="3"/>
  <c r="N52" i="3"/>
  <c r="M52" i="3"/>
  <c r="E52" i="3"/>
  <c r="B52" i="3"/>
  <c r="A52" i="3"/>
  <c r="S51" i="3"/>
  <c r="R51" i="3"/>
  <c r="Q51" i="3"/>
  <c r="P51" i="3"/>
  <c r="O51" i="3"/>
  <c r="N51" i="3"/>
  <c r="M51" i="3"/>
  <c r="E51" i="3"/>
  <c r="B51" i="3"/>
  <c r="A51" i="3"/>
  <c r="S50" i="3"/>
  <c r="R50" i="3"/>
  <c r="Q50" i="3"/>
  <c r="P50" i="3"/>
  <c r="O50" i="3"/>
  <c r="N50" i="3"/>
  <c r="M50" i="3"/>
  <c r="E50" i="3"/>
  <c r="B50" i="3"/>
  <c r="A50" i="3"/>
  <c r="S49" i="3"/>
  <c r="R49" i="3"/>
  <c r="Q49" i="3"/>
  <c r="P49" i="3"/>
  <c r="O49" i="3"/>
  <c r="N49" i="3"/>
  <c r="M49" i="3"/>
  <c r="E49" i="3"/>
  <c r="B49" i="3"/>
  <c r="A49" i="3"/>
  <c r="S48" i="3"/>
  <c r="R48" i="3"/>
  <c r="Q48" i="3"/>
  <c r="P48" i="3"/>
  <c r="O48" i="3"/>
  <c r="N48" i="3"/>
  <c r="M48" i="3"/>
  <c r="E48" i="3"/>
  <c r="B48" i="3"/>
  <c r="A48" i="3"/>
  <c r="S47" i="3"/>
  <c r="R47" i="3"/>
  <c r="Q47" i="3"/>
  <c r="P47" i="3"/>
  <c r="O47" i="3"/>
  <c r="N47" i="3"/>
  <c r="M47" i="3"/>
  <c r="E47" i="3"/>
  <c r="B47" i="3"/>
  <c r="A47" i="3"/>
  <c r="S46" i="3"/>
  <c r="R46" i="3"/>
  <c r="Q46" i="3"/>
  <c r="P46" i="3"/>
  <c r="O46" i="3"/>
  <c r="N46" i="3"/>
  <c r="M46" i="3"/>
  <c r="E46" i="3"/>
  <c r="B46" i="3"/>
  <c r="A46" i="3"/>
  <c r="S45" i="3"/>
  <c r="R45" i="3"/>
  <c r="Q45" i="3"/>
  <c r="P45" i="3"/>
  <c r="O45" i="3"/>
  <c r="N45" i="3"/>
  <c r="M45" i="3"/>
  <c r="E45" i="3"/>
  <c r="B45" i="3"/>
  <c r="A45" i="3"/>
  <c r="S44" i="3"/>
  <c r="R44" i="3"/>
  <c r="Q44" i="3"/>
  <c r="P44" i="3"/>
  <c r="O44" i="3"/>
  <c r="N44" i="3"/>
  <c r="M44" i="3"/>
  <c r="E44" i="3"/>
  <c r="B44" i="3"/>
  <c r="A44" i="3"/>
  <c r="S43" i="3"/>
  <c r="R43" i="3"/>
  <c r="Q43" i="3"/>
  <c r="P43" i="3"/>
  <c r="O43" i="3"/>
  <c r="N43" i="3"/>
  <c r="M43" i="3"/>
  <c r="E43" i="3"/>
  <c r="B43" i="3"/>
  <c r="A43" i="3"/>
  <c r="S42" i="3"/>
  <c r="R42" i="3"/>
  <c r="Q42" i="3"/>
  <c r="P42" i="3"/>
  <c r="O42" i="3"/>
  <c r="N42" i="3"/>
  <c r="M42" i="3"/>
  <c r="E42" i="3"/>
  <c r="B42" i="3"/>
  <c r="A42" i="3"/>
  <c r="S41" i="3"/>
  <c r="R41" i="3"/>
  <c r="Q41" i="3"/>
  <c r="P41" i="3"/>
  <c r="O41" i="3"/>
  <c r="N41" i="3"/>
  <c r="M41" i="3"/>
  <c r="E41" i="3"/>
  <c r="B41" i="3"/>
  <c r="A41" i="3"/>
  <c r="S40" i="3"/>
  <c r="R40" i="3"/>
  <c r="Q40" i="3"/>
  <c r="P40" i="3"/>
  <c r="O40" i="3"/>
  <c r="N40" i="3"/>
  <c r="M40" i="3"/>
  <c r="E40" i="3"/>
  <c r="B40" i="3"/>
  <c r="A40" i="3"/>
  <c r="S39" i="3"/>
  <c r="R39" i="3"/>
  <c r="Q39" i="3"/>
  <c r="P39" i="3"/>
  <c r="O39" i="3"/>
  <c r="N39" i="3"/>
  <c r="M39" i="3"/>
  <c r="E39" i="3"/>
  <c r="B39" i="3"/>
  <c r="A39" i="3"/>
  <c r="S38" i="3"/>
  <c r="R38" i="3"/>
  <c r="Q38" i="3"/>
  <c r="P38" i="3"/>
  <c r="O38" i="3"/>
  <c r="N38" i="3"/>
  <c r="M38" i="3"/>
  <c r="E38" i="3"/>
  <c r="B38" i="3"/>
  <c r="A38" i="3"/>
  <c r="S37" i="3"/>
  <c r="R37" i="3"/>
  <c r="Q37" i="3"/>
  <c r="P37" i="3"/>
  <c r="O37" i="3"/>
  <c r="N37" i="3"/>
  <c r="M37" i="3"/>
  <c r="E37" i="3"/>
  <c r="B37" i="3"/>
  <c r="A37" i="3"/>
  <c r="S36" i="3"/>
  <c r="R36" i="3"/>
  <c r="Q36" i="3"/>
  <c r="P36" i="3"/>
  <c r="O36" i="3"/>
  <c r="N36" i="3"/>
  <c r="M36" i="3"/>
  <c r="E36" i="3"/>
  <c r="B36" i="3"/>
  <c r="A36" i="3"/>
  <c r="S35" i="3"/>
  <c r="R35" i="3"/>
  <c r="Q35" i="3"/>
  <c r="P35" i="3"/>
  <c r="O35" i="3"/>
  <c r="N35" i="3"/>
  <c r="M35" i="3"/>
  <c r="E35" i="3"/>
  <c r="B35" i="3"/>
  <c r="A35" i="3"/>
  <c r="S34" i="3"/>
  <c r="R34" i="3"/>
  <c r="Q34" i="3"/>
  <c r="P34" i="3"/>
  <c r="O34" i="3"/>
  <c r="N34" i="3"/>
  <c r="M34" i="3"/>
  <c r="E34" i="3"/>
  <c r="B34" i="3"/>
  <c r="A34" i="3"/>
  <c r="S33" i="3"/>
  <c r="R33" i="3"/>
  <c r="Q33" i="3"/>
  <c r="P33" i="3"/>
  <c r="O33" i="3"/>
  <c r="N33" i="3"/>
  <c r="M33" i="3"/>
  <c r="E33" i="3"/>
  <c r="B33" i="3"/>
  <c r="A33" i="3"/>
  <c r="S32" i="3"/>
  <c r="R32" i="3"/>
  <c r="Q32" i="3"/>
  <c r="P32" i="3"/>
  <c r="O32" i="3"/>
  <c r="N32" i="3"/>
  <c r="M32" i="3"/>
  <c r="E32" i="3"/>
  <c r="B32" i="3"/>
  <c r="A32" i="3"/>
  <c r="S31" i="3"/>
  <c r="R31" i="3"/>
  <c r="Q31" i="3"/>
  <c r="P31" i="3"/>
  <c r="O31" i="3"/>
  <c r="N31" i="3"/>
  <c r="M31" i="3"/>
  <c r="E31" i="3"/>
  <c r="B31" i="3"/>
  <c r="A31" i="3"/>
  <c r="S30" i="3"/>
  <c r="R30" i="3"/>
  <c r="Q30" i="3"/>
  <c r="P30" i="3"/>
  <c r="O30" i="3"/>
  <c r="N30" i="3"/>
  <c r="M30" i="3"/>
  <c r="E30" i="3"/>
  <c r="B30" i="3"/>
  <c r="A30" i="3"/>
  <c r="S29" i="3"/>
  <c r="R29" i="3"/>
  <c r="Q29" i="3"/>
  <c r="P29" i="3"/>
  <c r="O29" i="3"/>
  <c r="N29" i="3"/>
  <c r="M29" i="3"/>
  <c r="E29" i="3"/>
  <c r="B29" i="3"/>
  <c r="A29" i="3"/>
  <c r="S28" i="3"/>
  <c r="R28" i="3"/>
  <c r="Q28" i="3"/>
  <c r="P28" i="3"/>
  <c r="O28" i="3"/>
  <c r="N28" i="3"/>
  <c r="M28" i="3"/>
  <c r="E28" i="3"/>
  <c r="B28" i="3"/>
  <c r="A28" i="3"/>
  <c r="S27" i="3"/>
  <c r="R27" i="3"/>
  <c r="Q27" i="3"/>
  <c r="P27" i="3"/>
  <c r="O27" i="3"/>
  <c r="N27" i="3"/>
  <c r="M27" i="3"/>
  <c r="E27" i="3"/>
  <c r="B27" i="3"/>
  <c r="A27" i="3"/>
  <c r="S26" i="3"/>
  <c r="R26" i="3"/>
  <c r="Q26" i="3"/>
  <c r="P26" i="3"/>
  <c r="O26" i="3"/>
  <c r="N26" i="3"/>
  <c r="M26" i="3"/>
  <c r="E26" i="3"/>
  <c r="B26" i="3"/>
  <c r="A26" i="3"/>
  <c r="S25" i="3"/>
  <c r="R25" i="3"/>
  <c r="Q25" i="3"/>
  <c r="P25" i="3"/>
  <c r="O25" i="3"/>
  <c r="N25" i="3"/>
  <c r="M25" i="3"/>
  <c r="E25" i="3"/>
  <c r="B25" i="3"/>
  <c r="A25" i="3"/>
  <c r="S24" i="3"/>
  <c r="R24" i="3"/>
  <c r="Q24" i="3"/>
  <c r="P24" i="3"/>
  <c r="O24" i="3"/>
  <c r="N24" i="3"/>
  <c r="M24" i="3"/>
  <c r="E24" i="3"/>
  <c r="B24" i="3"/>
  <c r="A24" i="3"/>
  <c r="S23" i="3"/>
  <c r="R23" i="3"/>
  <c r="Q23" i="3"/>
  <c r="P23" i="3"/>
  <c r="O23" i="3"/>
  <c r="N23" i="3"/>
  <c r="M23" i="3"/>
  <c r="E23" i="3"/>
  <c r="B23" i="3"/>
  <c r="A23" i="3"/>
  <c r="S22" i="3"/>
  <c r="R22" i="3"/>
  <c r="Q22" i="3"/>
  <c r="P22" i="3"/>
  <c r="O22" i="3"/>
  <c r="N22" i="3"/>
  <c r="M22" i="3"/>
  <c r="E22" i="3"/>
  <c r="B22" i="3"/>
  <c r="A22" i="3"/>
  <c r="S21" i="3"/>
  <c r="R21" i="3"/>
  <c r="Q21" i="3"/>
  <c r="P21" i="3"/>
  <c r="O21" i="3"/>
  <c r="N21" i="3"/>
  <c r="M21" i="3"/>
  <c r="E21" i="3"/>
  <c r="E234" i="3" s="1"/>
  <c r="D21" i="3"/>
  <c r="D234" i="3" s="1"/>
  <c r="C21" i="3"/>
  <c r="C234" i="3" s="1"/>
  <c r="B21" i="3"/>
  <c r="B234" i="3" s="1"/>
  <c r="A21" i="3"/>
  <c r="A234" i="3" s="1"/>
  <c r="S20" i="3"/>
  <c r="R20" i="3"/>
  <c r="Q20" i="3"/>
  <c r="P20" i="3"/>
  <c r="O20" i="3"/>
  <c r="N20" i="3"/>
  <c r="M20" i="3"/>
  <c r="E20" i="3"/>
  <c r="E233" i="3" s="1"/>
  <c r="D20" i="3"/>
  <c r="D233" i="3" s="1"/>
  <c r="C20" i="3"/>
  <c r="C233" i="3" s="1"/>
  <c r="B20" i="3"/>
  <c r="B233" i="3" s="1"/>
  <c r="A20" i="3"/>
  <c r="A233" i="3" s="1"/>
  <c r="S19" i="3"/>
  <c r="R19" i="3"/>
  <c r="Q19" i="3"/>
  <c r="P19" i="3"/>
  <c r="O19" i="3"/>
  <c r="N19" i="3"/>
  <c r="M19" i="3"/>
  <c r="E19" i="3"/>
  <c r="E232" i="3" s="1"/>
  <c r="D19" i="3"/>
  <c r="D232" i="3" s="1"/>
  <c r="C19" i="3"/>
  <c r="C232" i="3" s="1"/>
  <c r="B19" i="3"/>
  <c r="B232" i="3" s="1"/>
  <c r="A19" i="3"/>
  <c r="A232" i="3" s="1"/>
  <c r="S18" i="3"/>
  <c r="R18" i="3"/>
  <c r="Q18" i="3"/>
  <c r="P18" i="3"/>
  <c r="O18" i="3"/>
  <c r="N18" i="3"/>
  <c r="M18" i="3"/>
  <c r="E18" i="3"/>
  <c r="E231" i="3" s="1"/>
  <c r="D18" i="3"/>
  <c r="D231" i="3" s="1"/>
  <c r="C18" i="3"/>
  <c r="C231" i="3" s="1"/>
  <c r="B18" i="3"/>
  <c r="B231" i="3" s="1"/>
  <c r="A18" i="3"/>
  <c r="A231" i="3" s="1"/>
  <c r="S17" i="3"/>
  <c r="R17" i="3"/>
  <c r="Q17" i="3"/>
  <c r="P17" i="3"/>
  <c r="O17" i="3"/>
  <c r="N17" i="3"/>
  <c r="M17" i="3"/>
  <c r="E17" i="3"/>
  <c r="E230" i="3" s="1"/>
  <c r="D17" i="3"/>
  <c r="D230" i="3" s="1"/>
  <c r="C17" i="3"/>
  <c r="C230" i="3" s="1"/>
  <c r="B17" i="3"/>
  <c r="B230" i="3" s="1"/>
  <c r="A17" i="3"/>
  <c r="A230" i="3" s="1"/>
  <c r="S16" i="3"/>
  <c r="R16" i="3"/>
  <c r="Q16" i="3"/>
  <c r="P16" i="3"/>
  <c r="O16" i="3"/>
  <c r="N16" i="3"/>
  <c r="M16" i="3"/>
  <c r="E16" i="3"/>
  <c r="E229" i="3" s="1"/>
  <c r="D16" i="3"/>
  <c r="D229" i="3" s="1"/>
  <c r="C16" i="3"/>
  <c r="C229" i="3" s="1"/>
  <c r="B16" i="3"/>
  <c r="B229" i="3" s="1"/>
  <c r="A16" i="3"/>
  <c r="A229" i="3" s="1"/>
  <c r="S15" i="3"/>
  <c r="R15" i="3"/>
  <c r="Q15" i="3"/>
  <c r="P15" i="3"/>
  <c r="O15" i="3"/>
  <c r="N15" i="3"/>
  <c r="M15" i="3"/>
  <c r="E15" i="3"/>
  <c r="E228" i="3" s="1"/>
  <c r="D15" i="3"/>
  <c r="D228" i="3" s="1"/>
  <c r="C15" i="3"/>
  <c r="C228" i="3" s="1"/>
  <c r="B15" i="3"/>
  <c r="B228" i="3" s="1"/>
  <c r="A15" i="3"/>
  <c r="A228" i="3" s="1"/>
  <c r="S14" i="3"/>
  <c r="R14" i="3"/>
  <c r="Q14" i="3"/>
  <c r="P14" i="3"/>
  <c r="O14" i="3"/>
  <c r="N14" i="3"/>
  <c r="M14" i="3"/>
  <c r="E14" i="3"/>
  <c r="E227" i="3" s="1"/>
  <c r="D14" i="3"/>
  <c r="D227" i="3" s="1"/>
  <c r="C14" i="3"/>
  <c r="C227" i="3" s="1"/>
  <c r="B14" i="3"/>
  <c r="B227" i="3" s="1"/>
  <c r="A14" i="3"/>
  <c r="A227" i="3" s="1"/>
  <c r="S13" i="3"/>
  <c r="R13" i="3"/>
  <c r="Q13" i="3"/>
  <c r="P13" i="3"/>
  <c r="O13" i="3"/>
  <c r="N13" i="3"/>
  <c r="M13" i="3"/>
  <c r="E13" i="3"/>
  <c r="E226" i="3" s="1"/>
  <c r="D13" i="3"/>
  <c r="D226" i="3" s="1"/>
  <c r="C13" i="3"/>
  <c r="C226" i="3" s="1"/>
  <c r="B13" i="3"/>
  <c r="B226" i="3" s="1"/>
  <c r="A13" i="3"/>
  <c r="A226" i="3" s="1"/>
  <c r="S12" i="3"/>
  <c r="R12" i="3"/>
  <c r="Q12" i="3"/>
  <c r="P12" i="3"/>
  <c r="O12" i="3"/>
  <c r="N12" i="3"/>
  <c r="M12" i="3"/>
  <c r="E12" i="3"/>
  <c r="E225" i="3" s="1"/>
  <c r="D12" i="3"/>
  <c r="D225" i="3" s="1"/>
  <c r="C12" i="3"/>
  <c r="C225" i="3" s="1"/>
  <c r="B12" i="3"/>
  <c r="B225" i="3" s="1"/>
  <c r="A12" i="3"/>
  <c r="A225" i="3" s="1"/>
  <c r="S11" i="3"/>
  <c r="R11" i="3"/>
  <c r="Q11" i="3"/>
  <c r="P11" i="3"/>
  <c r="O11" i="3"/>
  <c r="N11" i="3"/>
  <c r="M11" i="3"/>
  <c r="E11" i="3"/>
  <c r="E224" i="3" s="1"/>
  <c r="D11" i="3"/>
  <c r="D224" i="3" s="1"/>
  <c r="C11" i="3"/>
  <c r="C224" i="3" s="1"/>
  <c r="B11" i="3"/>
  <c r="B224" i="3" s="1"/>
  <c r="A11" i="3"/>
  <c r="A224" i="3" s="1"/>
  <c r="S10" i="3"/>
  <c r="R10" i="3"/>
  <c r="Q10" i="3"/>
  <c r="P10" i="3"/>
  <c r="O10" i="3"/>
  <c r="N10" i="3"/>
  <c r="M10" i="3"/>
  <c r="E10" i="3"/>
  <c r="E223" i="3" s="1"/>
  <c r="D10" i="3"/>
  <c r="D223" i="3" s="1"/>
  <c r="C10" i="3"/>
  <c r="C223" i="3" s="1"/>
  <c r="B10" i="3"/>
  <c r="B223" i="3" s="1"/>
  <c r="A10" i="3"/>
  <c r="A223" i="3" s="1"/>
  <c r="S9" i="3"/>
  <c r="R9" i="3"/>
  <c r="Q9" i="3"/>
  <c r="P9" i="3"/>
  <c r="O9" i="3"/>
  <c r="N9" i="3"/>
  <c r="M9" i="3"/>
  <c r="E9" i="3"/>
  <c r="E222" i="3" s="1"/>
  <c r="D9" i="3"/>
  <c r="D222" i="3" s="1"/>
  <c r="C9" i="3"/>
  <c r="C222" i="3" s="1"/>
  <c r="B9" i="3"/>
  <c r="B222" i="3" s="1"/>
  <c r="A9" i="3"/>
  <c r="A222" i="3" s="1"/>
  <c r="S8" i="3"/>
  <c r="R8" i="3"/>
  <c r="Q8" i="3"/>
  <c r="P8" i="3"/>
  <c r="O8" i="3"/>
  <c r="N8" i="3"/>
  <c r="M8" i="3"/>
  <c r="E8" i="3"/>
  <c r="E221" i="3" s="1"/>
  <c r="D8" i="3"/>
  <c r="D221" i="3" s="1"/>
  <c r="C8" i="3"/>
  <c r="C221" i="3" s="1"/>
  <c r="B8" i="3"/>
  <c r="B221" i="3" s="1"/>
  <c r="A8" i="3"/>
  <c r="A221" i="3" s="1"/>
  <c r="S7" i="3"/>
  <c r="R7" i="3"/>
  <c r="Q7" i="3"/>
  <c r="P7" i="3"/>
  <c r="O7" i="3"/>
  <c r="N7" i="3"/>
  <c r="M7" i="3"/>
  <c r="E7" i="3"/>
  <c r="E220" i="3" s="1"/>
  <c r="D7" i="3"/>
  <c r="D220" i="3" s="1"/>
  <c r="C7" i="3"/>
  <c r="C220" i="3" s="1"/>
  <c r="B7" i="3"/>
  <c r="B220" i="3" s="1"/>
  <c r="A7" i="3"/>
  <c r="A220" i="3" s="1"/>
  <c r="S6" i="3"/>
  <c r="R6" i="3"/>
  <c r="Q6" i="3"/>
  <c r="P6" i="3"/>
  <c r="O6" i="3"/>
  <c r="N6" i="3"/>
  <c r="M6" i="3"/>
  <c r="E6" i="3"/>
  <c r="E219" i="3" s="1"/>
  <c r="D6" i="3"/>
  <c r="D219" i="3" s="1"/>
  <c r="C6" i="3"/>
  <c r="C219" i="3" s="1"/>
  <c r="B6" i="3"/>
  <c r="B219" i="3" s="1"/>
  <c r="A6" i="3"/>
  <c r="A219" i="3" s="1"/>
  <c r="S5" i="3"/>
  <c r="R5" i="3"/>
  <c r="Q5" i="3"/>
  <c r="P5" i="3"/>
  <c r="O5" i="3"/>
  <c r="N5" i="3"/>
  <c r="M5" i="3"/>
  <c r="E5" i="3"/>
  <c r="E218" i="3" s="1"/>
  <c r="D5" i="3"/>
  <c r="D218" i="3" s="1"/>
  <c r="C5" i="3"/>
  <c r="C218" i="3" s="1"/>
  <c r="B5" i="3"/>
  <c r="B218" i="3" s="1"/>
  <c r="A5" i="3"/>
  <c r="A218" i="3" s="1"/>
  <c r="S4" i="3"/>
  <c r="R4" i="3"/>
  <c r="Q4" i="3"/>
  <c r="P4" i="3"/>
  <c r="O4" i="3"/>
  <c r="N4" i="3"/>
  <c r="M4" i="3"/>
  <c r="E4" i="3"/>
  <c r="B4" i="3"/>
  <c r="A4" i="3"/>
  <c r="S3" i="3"/>
  <c r="R3" i="3"/>
  <c r="Q3" i="3"/>
  <c r="P3" i="3"/>
  <c r="O3" i="3"/>
  <c r="N3" i="3"/>
  <c r="M3" i="3"/>
  <c r="E3" i="3"/>
  <c r="B3" i="3"/>
  <c r="A3" i="3"/>
  <c r="E2" i="3"/>
  <c r="D2" i="3"/>
  <c r="C2" i="3"/>
  <c r="B2" i="3"/>
  <c r="A2" i="3"/>
  <c r="E149" i="2"/>
  <c r="D149" i="2"/>
  <c r="C149" i="2"/>
  <c r="E148" i="2"/>
  <c r="D148" i="2"/>
  <c r="C148" i="2"/>
  <c r="E147" i="2"/>
  <c r="D147" i="2"/>
  <c r="C147" i="2"/>
  <c r="A147" i="2"/>
  <c r="E146" i="2"/>
  <c r="D146" i="2"/>
  <c r="C146" i="2"/>
  <c r="A146" i="2"/>
  <c r="E145" i="2"/>
  <c r="D145" i="2"/>
  <c r="C145" i="2"/>
  <c r="A145" i="2"/>
  <c r="E144" i="2"/>
  <c r="D144" i="2"/>
  <c r="C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A141" i="2"/>
  <c r="E140" i="2"/>
  <c r="D140" i="2"/>
  <c r="C140" i="2"/>
  <c r="B140" i="2"/>
  <c r="A140" i="2"/>
  <c r="E139" i="2"/>
  <c r="D139" i="2"/>
  <c r="C139" i="2"/>
  <c r="A139" i="2"/>
  <c r="E138" i="2"/>
  <c r="D138" i="2"/>
  <c r="C138" i="2"/>
  <c r="A138" i="2"/>
  <c r="E137" i="2"/>
  <c r="D137" i="2"/>
  <c r="C137" i="2"/>
  <c r="B137" i="2"/>
  <c r="A137" i="2"/>
  <c r="E136" i="2"/>
  <c r="D136" i="2"/>
  <c r="A136" i="2"/>
  <c r="E135" i="2"/>
  <c r="D135" i="2"/>
  <c r="C135" i="2"/>
  <c r="B135" i="2"/>
  <c r="A135" i="2"/>
  <c r="E134" i="2"/>
  <c r="D134" i="2"/>
  <c r="C134" i="2"/>
  <c r="A134" i="2"/>
  <c r="E133" i="2"/>
  <c r="D133" i="2"/>
  <c r="C133" i="2"/>
  <c r="A133" i="2"/>
  <c r="E132" i="2"/>
  <c r="D132" i="2"/>
  <c r="C132" i="2"/>
  <c r="A132" i="2"/>
  <c r="E131" i="2"/>
  <c r="D131" i="2"/>
  <c r="C131" i="2"/>
  <c r="B131" i="2"/>
  <c r="A131" i="2"/>
  <c r="E130" i="2"/>
  <c r="D130" i="2"/>
  <c r="C130" i="2"/>
  <c r="A130" i="2"/>
  <c r="E129" i="2"/>
  <c r="D129" i="2"/>
  <c r="C129" i="2"/>
  <c r="A129" i="2"/>
  <c r="E128" i="2"/>
  <c r="D128" i="2"/>
  <c r="C128" i="2"/>
  <c r="A128" i="2"/>
  <c r="E127" i="2"/>
  <c r="D127" i="2"/>
  <c r="C127" i="2"/>
  <c r="B127" i="2"/>
  <c r="A127" i="2"/>
  <c r="E126" i="2"/>
  <c r="D126" i="2"/>
  <c r="C126" i="2"/>
  <c r="A126" i="2"/>
  <c r="E125" i="2"/>
  <c r="D125" i="2"/>
  <c r="C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L95" i="2"/>
  <c r="K95" i="2"/>
  <c r="J95" i="2"/>
  <c r="I95" i="2"/>
  <c r="H95" i="2"/>
  <c r="G95" i="2"/>
  <c r="F95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L40" i="2"/>
  <c r="K40" i="2"/>
  <c r="J40" i="2"/>
  <c r="I40" i="2"/>
  <c r="H40" i="2"/>
  <c r="G40" i="2"/>
  <c r="F40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L3" i="2"/>
  <c r="K3" i="2"/>
  <c r="J3" i="2"/>
  <c r="I3" i="2"/>
  <c r="H3" i="2"/>
  <c r="G3" i="2"/>
  <c r="F3" i="2"/>
  <c r="E3" i="2"/>
  <c r="D3" i="2"/>
  <c r="C3" i="2"/>
  <c r="B3" i="2"/>
  <c r="A3" i="2"/>
  <c r="E2" i="2"/>
  <c r="D2" i="2"/>
  <c r="C2" i="2"/>
  <c r="B2" i="2"/>
  <c r="A2" i="2"/>
  <c r="F262" i="3"/>
  <c r="F202" i="3"/>
  <c r="F214" i="3"/>
  <c r="F319" i="3"/>
  <c r="F290" i="3"/>
  <c r="F300" i="3"/>
  <c r="F263" i="3"/>
  <c r="F256" i="3"/>
  <c r="F217" i="3"/>
  <c r="F213" i="3"/>
  <c r="F205" i="3"/>
  <c r="F193" i="3"/>
  <c r="F201" i="3"/>
  <c r="F209" i="3"/>
  <c r="F197" i="3"/>
  <c r="F181" i="3"/>
  <c r="F177" i="3"/>
  <c r="F185" i="3"/>
  <c r="F189" i="3"/>
  <c r="F235" i="3"/>
  <c r="F269" i="3"/>
  <c r="F297" i="3"/>
  <c r="F257" i="3"/>
  <c r="F311" i="3"/>
  <c r="F266" i="3"/>
  <c r="F169" i="3"/>
  <c r="F173" i="3"/>
  <c r="F315" i="3"/>
  <c r="F210" i="3"/>
  <c r="F310" i="3"/>
  <c r="F294" i="3"/>
  <c r="F292" i="3"/>
  <c r="F267" i="3"/>
  <c r="F301" i="3"/>
  <c r="F190" i="3"/>
  <c r="F229" i="3"/>
  <c r="F174" i="3"/>
  <c r="F221" i="3"/>
  <c r="F305" i="3"/>
  <c r="F265" i="3"/>
  <c r="F180" i="3"/>
  <c r="F224" i="3"/>
  <c r="F306" i="3"/>
  <c r="F309" i="3"/>
  <c r="F261" i="3"/>
  <c r="F192" i="3"/>
  <c r="F172" i="3"/>
  <c r="F230" i="3"/>
  <c r="F216" i="3"/>
  <c r="F220" i="3"/>
  <c r="F208" i="3"/>
  <c r="F255" i="3"/>
  <c r="F303" i="3"/>
  <c r="F258" i="3"/>
  <c r="F249" i="3"/>
  <c r="F176" i="3"/>
  <c r="F222" i="3"/>
  <c r="F283" i="3"/>
  <c r="F253" i="3"/>
  <c r="F200" i="3"/>
  <c r="F234" i="3"/>
  <c r="F293" i="3"/>
  <c r="F316" i="3"/>
  <c r="F307" i="3"/>
  <c r="F223" i="3"/>
  <c r="F239" i="3"/>
  <c r="F273" i="3"/>
  <c r="F178" i="3"/>
  <c r="F248" i="3"/>
  <c r="F282" i="3"/>
  <c r="F312" i="3"/>
  <c r="F254" i="3"/>
  <c r="F314" i="3"/>
  <c r="F198" i="3"/>
  <c r="F233" i="3"/>
  <c r="F298" i="3"/>
  <c r="C344" i="3"/>
  <c r="F304" i="3"/>
  <c r="F231" i="3"/>
  <c r="F182" i="3"/>
  <c r="F244" i="3"/>
  <c r="F219" i="3"/>
  <c r="F225" i="3"/>
  <c r="F278" i="3"/>
  <c r="F170" i="3"/>
  <c r="F194" i="3"/>
  <c r="F206" i="3"/>
  <c r="F211" i="3"/>
  <c r="F184" i="3"/>
  <c r="F226" i="3"/>
  <c r="F245" i="3"/>
  <c r="F279" i="3"/>
  <c r="F289" i="3"/>
  <c r="F236" i="3"/>
  <c r="F270" i="3"/>
  <c r="F268" i="3"/>
  <c r="F291" i="3"/>
  <c r="F240" i="3"/>
  <c r="F274" i="3"/>
  <c r="F287" i="3"/>
  <c r="F252" i="3"/>
  <c r="F204" i="3"/>
  <c r="F295" i="3"/>
  <c r="F212" i="3"/>
  <c r="F196" i="3"/>
  <c r="F218" i="3"/>
  <c r="F232" i="3"/>
  <c r="C342" i="3"/>
  <c r="C340" i="3"/>
  <c r="F168" i="3"/>
  <c r="F215" i="3"/>
  <c r="F199" i="3"/>
  <c r="F241" i="3"/>
  <c r="F275" i="3"/>
  <c r="F187" i="3"/>
  <c r="F228" i="3"/>
  <c r="F179" i="3"/>
  <c r="F183" i="3"/>
  <c r="F191" i="3"/>
  <c r="F195" i="3"/>
  <c r="F207" i="3"/>
  <c r="F203" i="3"/>
  <c r="F188" i="3"/>
  <c r="F259" i="3"/>
  <c r="F288" i="3"/>
  <c r="F251" i="3"/>
  <c r="F285" i="3"/>
  <c r="F260" i="3"/>
  <c r="F299" i="3"/>
  <c r="F167" i="3"/>
  <c r="F171" i="3"/>
  <c r="F243" i="3"/>
  <c r="F277" i="3"/>
  <c r="F246" i="3"/>
  <c r="F280" i="3"/>
  <c r="F271" i="3"/>
  <c r="F250" i="3"/>
  <c r="F284" i="3"/>
  <c r="F237" i="3"/>
  <c r="F296" i="3"/>
  <c r="F281" i="3"/>
  <c r="F247" i="3"/>
  <c r="F175" i="3"/>
  <c r="F286" i="3"/>
  <c r="F308" i="3"/>
  <c r="F317" i="3"/>
  <c r="F313" i="3"/>
  <c r="F238" i="3"/>
  <c r="F318" i="3"/>
  <c r="F272" i="3"/>
  <c r="F186" i="3"/>
  <c r="F302" i="3"/>
  <c r="F227" i="3"/>
  <c r="F264" i="3"/>
  <c r="F276" i="3"/>
  <c r="F242" i="3"/>
  <c r="A159" i="3"/>
  <c r="A148" i="2" l="1"/>
  <c r="B303" i="3"/>
  <c r="B308" i="3"/>
  <c r="B146" i="2"/>
  <c r="A149" i="2"/>
  <c r="B328" i="3"/>
  <c r="D67" i="2"/>
  <c r="D73" i="2"/>
  <c r="B318" i="3"/>
  <c r="B148" i="2"/>
  <c r="C136" i="2"/>
  <c r="B88" i="2"/>
  <c r="B304" i="3"/>
  <c r="B134" i="2"/>
  <c r="B314" i="3"/>
  <c r="B144" i="2"/>
  <c r="B317" i="3"/>
  <c r="B147" i="2"/>
  <c r="B293" i="3"/>
  <c r="B122" i="2"/>
  <c r="B296" i="3"/>
  <c r="B125" i="2"/>
  <c r="B297" i="3"/>
  <c r="B126" i="2"/>
  <c r="B299" i="3"/>
  <c r="B128" i="2"/>
  <c r="B300" i="3"/>
  <c r="B129" i="2"/>
  <c r="B301" i="3"/>
  <c r="B130" i="2"/>
  <c r="B309" i="3"/>
  <c r="B139" i="2"/>
  <c r="B306" i="3"/>
  <c r="B136" i="2"/>
  <c r="B311" i="3"/>
  <c r="B141" i="2"/>
  <c r="B315" i="3"/>
  <c r="B145" i="2"/>
  <c r="B319" i="3"/>
  <c r="B163" i="3"/>
  <c r="B340" i="3" l="1"/>
  <c r="B332" i="3"/>
  <c r="B344" i="3"/>
  <c r="B336" i="3"/>
  <c r="B342" i="3"/>
  <c r="B334" i="3"/>
  <c r="F338" i="3" l="1"/>
  <c r="F339" i="3" s="1"/>
  <c r="B338" i="3"/>
  <c r="B339" i="3" s="1"/>
  <c r="H338" i="3"/>
  <c r="H339" i="3" s="1"/>
  <c r="C338" i="3"/>
  <c r="C339" i="3" s="1"/>
  <c r="I338" i="3"/>
  <c r="I339" i="3" s="1"/>
  <c r="G338" i="3"/>
  <c r="G339" i="3" s="1"/>
  <c r="E338" i="3"/>
  <c r="E339" i="3" s="1"/>
  <c r="D338" i="3"/>
  <c r="D339" i="3" s="1"/>
  <c r="H346" i="3"/>
  <c r="H347" i="3" s="1"/>
  <c r="D346" i="3"/>
  <c r="D347" i="3" s="1"/>
  <c r="G346" i="3"/>
  <c r="G347" i="3" s="1"/>
  <c r="B346" i="3"/>
  <c r="B347" i="3" s="1"/>
  <c r="I346" i="3"/>
  <c r="I347" i="3" s="1"/>
  <c r="F346" i="3"/>
  <c r="F347" i="3" s="1"/>
  <c r="C346" i="3"/>
  <c r="C347" i="3" s="1"/>
  <c r="E346" i="3"/>
  <c r="E347" i="3" s="1"/>
  <c r="N2" i="3" l="1"/>
  <c r="G2" i="3"/>
  <c r="K2" i="2" s="1"/>
  <c r="F2" i="3"/>
  <c r="L2" i="2" s="1"/>
  <c r="M2" i="3"/>
  <c r="H2" i="3"/>
  <c r="J2" i="2" s="1"/>
  <c r="O2" i="3"/>
  <c r="R2" i="3"/>
  <c r="K2" i="3"/>
  <c r="G2" i="2" s="1"/>
  <c r="J2" i="3"/>
  <c r="H2" i="2" s="1"/>
  <c r="Q2" i="3"/>
  <c r="B165" i="3"/>
  <c r="F28" i="3" s="1"/>
  <c r="S2" i="3"/>
  <c r="L2" i="3"/>
  <c r="F2" i="2" s="1"/>
  <c r="P2" i="3"/>
  <c r="I2" i="3"/>
  <c r="I2" i="2" s="1"/>
  <c r="F68" i="3"/>
  <c r="K134" i="3"/>
  <c r="L99" i="3"/>
  <c r="K115" i="3"/>
  <c r="K73" i="3"/>
  <c r="I43" i="3"/>
  <c r="G12" i="3"/>
  <c r="G99" i="3"/>
  <c r="K80" i="3"/>
  <c r="I37" i="3"/>
  <c r="L128" i="3"/>
  <c r="J129" i="3"/>
  <c r="K68" i="3"/>
  <c r="I12" i="3"/>
  <c r="L47" i="3"/>
  <c r="H63" i="3"/>
  <c r="I127" i="3"/>
  <c r="K9" i="3"/>
  <c r="F141" i="3"/>
  <c r="F20" i="3"/>
  <c r="F66" i="3"/>
  <c r="L129" i="3"/>
  <c r="L94" i="3"/>
  <c r="L110" i="3"/>
  <c r="H70" i="3"/>
  <c r="K38" i="3"/>
  <c r="K8" i="3"/>
  <c r="L145" i="3"/>
  <c r="G75" i="3"/>
  <c r="J33" i="3"/>
  <c r="K123" i="3"/>
  <c r="J107" i="3"/>
  <c r="J63" i="3"/>
  <c r="J126" i="3"/>
  <c r="H42" i="3"/>
  <c r="G55" i="3"/>
  <c r="L64" i="3"/>
  <c r="K142" i="3"/>
  <c r="F135" i="3"/>
  <c r="F117" i="3"/>
  <c r="F80" i="3"/>
  <c r="I126" i="3"/>
  <c r="I91" i="3"/>
  <c r="I105" i="3"/>
  <c r="L66" i="3"/>
  <c r="J35" i="3"/>
  <c r="H5" i="3"/>
  <c r="L137" i="3"/>
  <c r="H71" i="3"/>
  <c r="I90" i="3"/>
  <c r="J104" i="3"/>
  <c r="H50" i="3"/>
  <c r="F112" i="3"/>
  <c r="K113" i="3"/>
  <c r="K76" i="3"/>
  <c r="J65" i="3"/>
  <c r="J71" i="3"/>
  <c r="H9" i="3"/>
  <c r="I69" i="3"/>
  <c r="J140" i="3"/>
  <c r="G51" i="3"/>
  <c r="G142" i="3"/>
  <c r="H89" i="3"/>
  <c r="F108" i="3"/>
  <c r="L9" i="3"/>
  <c r="G69" i="3"/>
  <c r="L37" i="3"/>
  <c r="J7" i="3"/>
  <c r="H143" i="3"/>
  <c r="J73" i="3"/>
  <c r="I31" i="3"/>
  <c r="J121" i="3"/>
  <c r="J99" i="3"/>
  <c r="J61" i="3"/>
  <c r="H118" i="3"/>
  <c r="L38" i="3"/>
  <c r="H53" i="3"/>
  <c r="L60" i="3"/>
  <c r="K55" i="3"/>
  <c r="F124" i="3"/>
  <c r="G128" i="3"/>
  <c r="G93" i="3"/>
  <c r="K107" i="3"/>
  <c r="J68" i="3"/>
  <c r="H37" i="3"/>
  <c r="I6" i="3"/>
  <c r="L141" i="3"/>
  <c r="L72" i="3"/>
  <c r="H30" i="3"/>
  <c r="J120" i="3"/>
  <c r="I94" i="3"/>
  <c r="I60" i="3"/>
  <c r="K112" i="3"/>
  <c r="G37" i="3"/>
  <c r="H39" i="3"/>
  <c r="I97" i="3"/>
  <c r="F74" i="3"/>
  <c r="F147" i="3"/>
  <c r="H148" i="3"/>
  <c r="K124" i="3"/>
  <c r="J149" i="3"/>
  <c r="I102" i="3"/>
  <c r="G65" i="3"/>
  <c r="G34" i="3"/>
  <c r="J143" i="3"/>
  <c r="J134" i="3"/>
  <c r="H68" i="3"/>
  <c r="K27" i="3"/>
  <c r="I115" i="3"/>
  <c r="K85" i="3"/>
  <c r="I53" i="3"/>
  <c r="G91" i="3"/>
  <c r="L32" i="3"/>
  <c r="G47" i="3"/>
  <c r="H34" i="3"/>
  <c r="L65" i="3"/>
  <c r="F134" i="3"/>
  <c r="F19" i="3"/>
  <c r="L144" i="3"/>
  <c r="H121" i="3"/>
  <c r="I144" i="3"/>
  <c r="J98" i="3"/>
  <c r="K61" i="3"/>
  <c r="L134" i="3"/>
  <c r="L122" i="3"/>
  <c r="K63" i="3"/>
  <c r="L23" i="3"/>
  <c r="L105" i="3"/>
  <c r="K78" i="3"/>
  <c r="H47" i="3"/>
  <c r="H83" i="3"/>
  <c r="L28" i="3"/>
  <c r="K39" i="3"/>
  <c r="G29" i="3"/>
  <c r="J56" i="3"/>
  <c r="F73" i="3"/>
  <c r="F21" i="3"/>
  <c r="K51" i="3"/>
  <c r="F138" i="3"/>
  <c r="H18" i="3"/>
  <c r="I33" i="3"/>
  <c r="I133" i="3"/>
  <c r="G122" i="3"/>
  <c r="K13" i="3"/>
  <c r="H69" i="3"/>
  <c r="J45" i="3"/>
  <c r="J128" i="3"/>
  <c r="I113" i="3"/>
  <c r="I87" i="3"/>
  <c r="G7" i="3"/>
  <c r="K19" i="3"/>
  <c r="J70" i="3"/>
  <c r="K28" i="3"/>
  <c r="J117" i="3"/>
  <c r="K88" i="3"/>
  <c r="J55" i="3"/>
  <c r="J100" i="3"/>
  <c r="K35" i="3"/>
  <c r="I49" i="3"/>
  <c r="G36" i="3"/>
  <c r="J47" i="3"/>
  <c r="L148" i="3"/>
  <c r="H125" i="3"/>
  <c r="H90" i="3"/>
  <c r="G103" i="3"/>
  <c r="K65" i="3"/>
  <c r="K34" i="3"/>
  <c r="H146" i="3"/>
  <c r="J135" i="3"/>
  <c r="L69" i="3"/>
  <c r="J116" i="3"/>
  <c r="H87" i="3"/>
  <c r="G54" i="3"/>
  <c r="H93" i="3"/>
  <c r="G33" i="3"/>
  <c r="G48" i="3"/>
  <c r="I35" i="3"/>
  <c r="L67" i="3"/>
  <c r="F142" i="3"/>
  <c r="F131" i="3"/>
  <c r="I145" i="3"/>
  <c r="L121" i="3"/>
  <c r="J145" i="3"/>
  <c r="I99" i="3"/>
  <c r="H62" i="3"/>
  <c r="J31" i="3"/>
  <c r="L136" i="3"/>
  <c r="L123" i="3"/>
  <c r="I64" i="3"/>
  <c r="G24" i="3"/>
  <c r="L106" i="3"/>
  <c r="J79" i="3"/>
  <c r="J49" i="3"/>
  <c r="K84" i="3"/>
  <c r="I29" i="3"/>
  <c r="I30" i="3"/>
  <c r="I57" i="3"/>
  <c r="F17" i="3"/>
  <c r="F149" i="3"/>
  <c r="J142" i="3"/>
  <c r="I118" i="3"/>
  <c r="I140" i="3"/>
  <c r="L93" i="3"/>
  <c r="H29" i="3"/>
  <c r="G129" i="3"/>
  <c r="K117" i="3"/>
  <c r="L58" i="3"/>
  <c r="L19" i="3"/>
  <c r="L101" i="3"/>
  <c r="H149" i="3"/>
  <c r="H43" i="3"/>
  <c r="H76" i="3"/>
  <c r="K24" i="3"/>
  <c r="L35" i="3"/>
  <c r="I52" i="3"/>
  <c r="F11" i="3"/>
  <c r="F130" i="3"/>
  <c r="J43" i="3"/>
  <c r="F140" i="3"/>
  <c r="J16" i="3"/>
  <c r="F84" i="3"/>
  <c r="J10" i="3"/>
  <c r="L140" i="3"/>
  <c r="H127" i="3"/>
  <c r="K99" i="3"/>
  <c r="G74" i="3"/>
  <c r="L20" i="3"/>
  <c r="F16" i="3"/>
  <c r="K87" i="3"/>
  <c r="G109" i="3"/>
  <c r="J106" i="3"/>
  <c r="J28" i="3"/>
  <c r="L146" i="3"/>
  <c r="H21" i="3"/>
  <c r="K145" i="3"/>
  <c r="G63" i="3"/>
  <c r="I83" i="3"/>
  <c r="G147" i="3"/>
  <c r="J123" i="3"/>
  <c r="I147" i="3"/>
  <c r="L100" i="3"/>
  <c r="I63" i="3"/>
  <c r="H33" i="3"/>
  <c r="J139" i="3"/>
  <c r="G131" i="3"/>
  <c r="K66" i="3"/>
  <c r="G25" i="3"/>
  <c r="L109" i="3"/>
  <c r="K82" i="3"/>
  <c r="H51" i="3"/>
  <c r="L87" i="3"/>
  <c r="K31" i="3"/>
  <c r="G32" i="3"/>
  <c r="K17" i="3"/>
  <c r="J146" i="3"/>
  <c r="I122" i="3"/>
  <c r="I146" i="3"/>
  <c r="G100" i="3"/>
  <c r="L62" i="3"/>
  <c r="I32" i="3"/>
  <c r="G138" i="3"/>
  <c r="L126" i="3"/>
  <c r="H65" i="3"/>
  <c r="L24" i="3"/>
  <c r="L108" i="3"/>
  <c r="G81" i="3"/>
  <c r="G50" i="3"/>
  <c r="H86" i="3"/>
  <c r="H31" i="3"/>
  <c r="K58" i="3"/>
  <c r="F129" i="3"/>
  <c r="F148" i="3"/>
  <c r="G143" i="3"/>
  <c r="J119" i="3"/>
  <c r="H141" i="3"/>
  <c r="J94" i="3"/>
  <c r="J58" i="3"/>
  <c r="L29" i="3"/>
  <c r="H130" i="3"/>
  <c r="L118" i="3"/>
  <c r="K60" i="3"/>
  <c r="J20" i="3"/>
  <c r="L102" i="3"/>
  <c r="L68" i="3"/>
  <c r="K44" i="3"/>
  <c r="L78" i="3"/>
  <c r="I25" i="3"/>
  <c r="K36" i="3"/>
  <c r="J53" i="3"/>
  <c r="F106" i="3"/>
  <c r="F76" i="3"/>
  <c r="K139" i="3"/>
  <c r="G116" i="3"/>
  <c r="J136" i="3"/>
  <c r="I89" i="3"/>
  <c r="H56" i="3"/>
  <c r="K26" i="3"/>
  <c r="G125" i="3"/>
  <c r="G112" i="3"/>
  <c r="H55" i="3"/>
  <c r="L16" i="3"/>
  <c r="K97" i="3"/>
  <c r="I120" i="3"/>
  <c r="J36" i="3"/>
  <c r="H72" i="3"/>
  <c r="L14" i="3"/>
  <c r="L31" i="3"/>
  <c r="J48" i="3"/>
  <c r="F9" i="3"/>
  <c r="F70" i="3"/>
  <c r="H138" i="3"/>
  <c r="L115" i="3"/>
  <c r="I128" i="3"/>
  <c r="L18" i="3"/>
  <c r="F136" i="3"/>
  <c r="I112" i="3"/>
  <c r="H25" i="3"/>
  <c r="K33" i="3"/>
  <c r="G11" i="3"/>
  <c r="F103" i="3"/>
  <c r="H84" i="3"/>
  <c r="G101" i="3"/>
  <c r="G90" i="3"/>
  <c r="I23" i="3"/>
  <c r="G61" i="3"/>
  <c r="K30" i="3"/>
  <c r="L133" i="3"/>
  <c r="L120" i="3"/>
  <c r="G62" i="3"/>
  <c r="G23" i="3"/>
  <c r="L104" i="3"/>
  <c r="G76" i="3"/>
  <c r="L46" i="3"/>
  <c r="K81" i="3"/>
  <c r="H27" i="3"/>
  <c r="I38" i="3"/>
  <c r="G28" i="3"/>
  <c r="J6" i="3"/>
  <c r="K143" i="3"/>
  <c r="G120" i="3"/>
  <c r="I142" i="3"/>
  <c r="G97" i="3"/>
  <c r="J60" i="3"/>
  <c r="G30" i="3"/>
  <c r="H131" i="3"/>
  <c r="L119" i="3"/>
  <c r="I61" i="3"/>
  <c r="I21" i="3"/>
  <c r="K103" i="3"/>
  <c r="L71" i="3"/>
  <c r="H45" i="3"/>
  <c r="G80" i="3"/>
  <c r="L26" i="3"/>
  <c r="J37" i="3"/>
  <c r="G27" i="3"/>
  <c r="L54" i="3"/>
  <c r="F111" i="3"/>
  <c r="F92" i="3"/>
  <c r="H140" i="3"/>
  <c r="K116" i="3"/>
  <c r="H137" i="3"/>
  <c r="K90" i="3"/>
  <c r="L56" i="3"/>
  <c r="G126" i="3"/>
  <c r="H113" i="3"/>
  <c r="I56" i="3"/>
  <c r="J17" i="3"/>
  <c r="L98" i="3"/>
  <c r="I124" i="3"/>
  <c r="K37" i="3"/>
  <c r="H73" i="3"/>
  <c r="L15" i="3"/>
  <c r="K32" i="3"/>
  <c r="K18" i="3"/>
  <c r="L49" i="3"/>
  <c r="F79" i="3"/>
  <c r="F105" i="3"/>
  <c r="L149" i="3"/>
  <c r="L111" i="3"/>
  <c r="K131" i="3"/>
  <c r="G87" i="3"/>
  <c r="K53" i="3"/>
  <c r="I24" i="3"/>
  <c r="G121" i="3"/>
  <c r="G108" i="3"/>
  <c r="J52" i="3"/>
  <c r="H12" i="3"/>
  <c r="K91" i="3"/>
  <c r="J102" i="3"/>
  <c r="H32" i="3"/>
  <c r="G68" i="3"/>
  <c r="G10" i="3"/>
  <c r="I27" i="3"/>
  <c r="L6" i="3"/>
  <c r="J44" i="3"/>
  <c r="F12" i="3"/>
  <c r="F146" i="3"/>
  <c r="F8" i="3"/>
  <c r="F98" i="3"/>
  <c r="G19" i="3"/>
  <c r="K100" i="3"/>
  <c r="K138" i="3"/>
  <c r="K42" i="3"/>
  <c r="H75" i="3"/>
  <c r="H23" i="3"/>
  <c r="J34" i="3"/>
  <c r="F145" i="3"/>
  <c r="H117" i="3"/>
  <c r="J91" i="3"/>
  <c r="G57" i="3"/>
  <c r="J27" i="3"/>
  <c r="J57" i="3"/>
  <c r="H38" i="3"/>
  <c r="L50" i="3"/>
  <c r="I137" i="3"/>
  <c r="K92" i="3"/>
  <c r="L10" i="3"/>
  <c r="F127" i="3"/>
  <c r="J109" i="3"/>
  <c r="I51" i="3"/>
  <c r="K48" i="3"/>
  <c r="L27" i="3"/>
  <c r="F119" i="3"/>
  <c r="G58" i="3"/>
  <c r="G139" i="3"/>
  <c r="J115" i="3"/>
  <c r="K135" i="3"/>
  <c r="L88" i="3"/>
  <c r="I55" i="3"/>
  <c r="G26" i="3"/>
  <c r="H124" i="3"/>
  <c r="G111" i="3"/>
  <c r="H54" i="3"/>
  <c r="H15" i="3"/>
  <c r="K94" i="3"/>
  <c r="H116" i="3"/>
  <c r="G35" i="3"/>
  <c r="G71" i="3"/>
  <c r="L12" i="3"/>
  <c r="L30" i="3"/>
  <c r="K14" i="3"/>
  <c r="F88" i="3"/>
  <c r="J138" i="3"/>
  <c r="J113" i="3"/>
  <c r="H134" i="3"/>
  <c r="H88" i="3"/>
  <c r="J54" i="3"/>
  <c r="L25" i="3"/>
  <c r="G123" i="3"/>
  <c r="H110" i="3"/>
  <c r="L53" i="3"/>
  <c r="J14" i="3"/>
  <c r="J93" i="3"/>
  <c r="J110" i="3"/>
  <c r="I34" i="3"/>
  <c r="G70" i="3"/>
  <c r="L11" i="3"/>
  <c r="J29" i="3"/>
  <c r="J12" i="3"/>
  <c r="I46" i="3"/>
  <c r="F122" i="3"/>
  <c r="F133" i="3"/>
  <c r="J147" i="3"/>
  <c r="G110" i="3"/>
  <c r="I129" i="3"/>
  <c r="L84" i="3"/>
  <c r="H52" i="3"/>
  <c r="L21" i="3"/>
  <c r="G115" i="3"/>
  <c r="G104" i="3"/>
  <c r="H49" i="3"/>
  <c r="G148" i="3"/>
  <c r="G88" i="3"/>
  <c r="G92" i="3"/>
  <c r="H28" i="3"/>
  <c r="G64" i="3"/>
  <c r="L7" i="3"/>
  <c r="J24" i="3"/>
  <c r="J89" i="3"/>
  <c r="K21" i="3"/>
  <c r="F82" i="3"/>
  <c r="F120" i="3"/>
  <c r="L143" i="3"/>
  <c r="K106" i="3"/>
  <c r="J125" i="3"/>
  <c r="I81" i="3"/>
  <c r="G49" i="3"/>
  <c r="I18" i="3"/>
  <c r="I109" i="3"/>
  <c r="G89" i="3"/>
  <c r="K46" i="3"/>
  <c r="G140" i="3"/>
  <c r="I84" i="3"/>
  <c r="I79" i="3"/>
  <c r="K23" i="3"/>
  <c r="G56" i="3"/>
  <c r="I131" i="3"/>
  <c r="G15" i="3"/>
  <c r="I68" i="3"/>
  <c r="K11" i="3"/>
  <c r="F121" i="3"/>
  <c r="F14" i="3"/>
  <c r="F110" i="3"/>
  <c r="F85" i="3"/>
  <c r="J97" i="3"/>
  <c r="J130" i="3"/>
  <c r="F100" i="3"/>
  <c r="I36" i="3"/>
  <c r="K108" i="3"/>
  <c r="F63" i="3"/>
  <c r="J64" i="3"/>
  <c r="L112" i="3"/>
  <c r="L61" i="3"/>
  <c r="G149" i="3"/>
  <c r="H111" i="3"/>
  <c r="L130" i="3"/>
  <c r="J86" i="3"/>
  <c r="G53" i="3"/>
  <c r="J23" i="3"/>
  <c r="G119" i="3"/>
  <c r="G107" i="3"/>
  <c r="J51" i="3"/>
  <c r="I11" i="3"/>
  <c r="J90" i="3"/>
  <c r="I98" i="3"/>
  <c r="G31" i="3"/>
  <c r="G67" i="3"/>
  <c r="I9" i="3"/>
  <c r="J26" i="3"/>
  <c r="I123" i="3"/>
  <c r="F64" i="3"/>
  <c r="I148" i="3"/>
  <c r="K110" i="3"/>
  <c r="G130" i="3"/>
  <c r="I85" i="3"/>
  <c r="L52" i="3"/>
  <c r="G118" i="3"/>
  <c r="G105" i="3"/>
  <c r="I50" i="3"/>
  <c r="K149" i="3"/>
  <c r="K89" i="3"/>
  <c r="G94" i="3"/>
  <c r="J30" i="3"/>
  <c r="G66" i="3"/>
  <c r="J8" i="3"/>
  <c r="J25" i="3"/>
  <c r="I101" i="3"/>
  <c r="I42" i="3"/>
  <c r="F94" i="3"/>
  <c r="F69" i="3"/>
  <c r="J144" i="3"/>
  <c r="H107" i="3"/>
  <c r="H126" i="3"/>
  <c r="J82" i="3"/>
  <c r="K49" i="3"/>
  <c r="J19" i="3"/>
  <c r="I110" i="3"/>
  <c r="L89" i="3"/>
  <c r="K141" i="3"/>
  <c r="G85" i="3"/>
  <c r="I82" i="3"/>
  <c r="H24" i="3"/>
  <c r="L57" i="3"/>
  <c r="G137" i="3"/>
  <c r="G17" i="3"/>
  <c r="I72" i="3"/>
  <c r="J13" i="3"/>
  <c r="F60" i="3"/>
  <c r="F75" i="3"/>
  <c r="H139" i="3"/>
  <c r="L103" i="3"/>
  <c r="K121" i="3"/>
  <c r="G79" i="3"/>
  <c r="J46" i="3"/>
  <c r="G16" i="3"/>
  <c r="H105" i="3"/>
  <c r="G86" i="3"/>
  <c r="G43" i="3"/>
  <c r="I135" i="3"/>
  <c r="H81" i="3"/>
  <c r="K74" i="3"/>
  <c r="J18" i="3"/>
  <c r="G52" i="3"/>
  <c r="I86" i="3"/>
  <c r="G9" i="3"/>
  <c r="H60" i="3"/>
  <c r="I7" i="3"/>
  <c r="F67" i="3"/>
  <c r="F118" i="3"/>
  <c r="F6" i="3"/>
  <c r="H91" i="3"/>
  <c r="F107" i="3"/>
  <c r="I130" i="3"/>
  <c r="K111" i="3"/>
  <c r="J127" i="3"/>
  <c r="L5" i="3"/>
  <c r="I92" i="3"/>
  <c r="G124" i="3"/>
  <c r="K133" i="3"/>
  <c r="K52" i="3"/>
  <c r="F102" i="3"/>
  <c r="F61" i="3"/>
  <c r="G146" i="3"/>
  <c r="I108" i="3"/>
  <c r="L127" i="3"/>
  <c r="K83" i="3"/>
  <c r="J50" i="3"/>
  <c r="K20" i="3"/>
  <c r="J112" i="3"/>
  <c r="L92" i="3"/>
  <c r="G144" i="3"/>
  <c r="K86" i="3"/>
  <c r="J88" i="3"/>
  <c r="H26" i="3"/>
  <c r="G60" i="3"/>
  <c r="H6" i="3"/>
  <c r="G21" i="3"/>
  <c r="G78" i="3"/>
  <c r="F71" i="3"/>
  <c r="H145" i="3"/>
  <c r="L107" i="3"/>
  <c r="G127" i="3"/>
  <c r="G83" i="3"/>
  <c r="G20" i="3"/>
  <c r="I111" i="3"/>
  <c r="L91" i="3"/>
  <c r="K47" i="3"/>
  <c r="L142" i="3"/>
  <c r="L85" i="3"/>
  <c r="J85" i="3"/>
  <c r="K25" i="3"/>
  <c r="I58" i="3"/>
  <c r="J5" i="3"/>
  <c r="H19" i="3"/>
  <c r="I76" i="3"/>
  <c r="K15" i="3"/>
  <c r="F83" i="3"/>
  <c r="F62" i="3"/>
  <c r="K140" i="3"/>
  <c r="I104" i="3"/>
  <c r="J122" i="3"/>
  <c r="K79" i="3"/>
  <c r="I47" i="3"/>
  <c r="K16" i="3"/>
  <c r="I106" i="3"/>
  <c r="L86" i="3"/>
  <c r="L43" i="3"/>
  <c r="H136" i="3"/>
  <c r="G82" i="3"/>
  <c r="K75" i="3"/>
  <c r="I19" i="3"/>
  <c r="K54" i="3"/>
  <c r="I93" i="3"/>
  <c r="H10" i="3"/>
  <c r="I62" i="3"/>
  <c r="I8" i="3"/>
  <c r="F18" i="3"/>
  <c r="F125" i="3"/>
  <c r="L135" i="3"/>
  <c r="J101" i="3"/>
  <c r="G117" i="3"/>
  <c r="L74" i="3"/>
  <c r="L44" i="3"/>
  <c r="H13" i="3"/>
  <c r="H101" i="3"/>
  <c r="H82" i="3"/>
  <c r="G39" i="3"/>
  <c r="K130" i="3"/>
  <c r="L139" i="3"/>
  <c r="K70" i="3"/>
  <c r="H14" i="3"/>
  <c r="H67" i="3"/>
  <c r="G5" i="3"/>
  <c r="G14" i="3"/>
  <c r="F89" i="3"/>
  <c r="F137" i="3"/>
  <c r="F128" i="3"/>
  <c r="F91" i="3"/>
  <c r="I78" i="3"/>
  <c r="K126" i="3"/>
  <c r="I121" i="3"/>
  <c r="G141" i="3"/>
  <c r="H58" i="3"/>
  <c r="K7" i="3"/>
  <c r="F116" i="3"/>
  <c r="K64" i="3"/>
  <c r="F87" i="3"/>
  <c r="J92" i="3"/>
  <c r="K29" i="3"/>
  <c r="L36" i="3"/>
  <c r="K101" i="3"/>
  <c r="I26" i="3"/>
  <c r="L63" i="3"/>
  <c r="F78" i="3"/>
  <c r="H142" i="3"/>
  <c r="G106" i="3"/>
  <c r="L124" i="3"/>
  <c r="L80" i="3"/>
  <c r="L48" i="3"/>
  <c r="L17" i="3"/>
  <c r="H108" i="3"/>
  <c r="I88" i="3"/>
  <c r="I45" i="3"/>
  <c r="L138" i="3"/>
  <c r="J83" i="3"/>
  <c r="H78" i="3"/>
  <c r="J21" i="3"/>
  <c r="L55" i="3"/>
  <c r="H115" i="3"/>
  <c r="G13" i="3"/>
  <c r="H20" i="3"/>
  <c r="F101" i="3"/>
  <c r="J141" i="3"/>
  <c r="J105" i="3"/>
  <c r="H123" i="3"/>
  <c r="H80" i="3"/>
  <c r="H48" i="3"/>
  <c r="H17" i="3"/>
  <c r="I107" i="3"/>
  <c r="J87" i="3"/>
  <c r="G44" i="3"/>
  <c r="J137" i="3"/>
  <c r="L82" i="3"/>
  <c r="L76" i="3"/>
  <c r="I20" i="3"/>
  <c r="K109" i="3"/>
  <c r="H11" i="3"/>
  <c r="H64" i="3"/>
  <c r="J9" i="3"/>
  <c r="F65" i="3"/>
  <c r="F115" i="3"/>
  <c r="I136" i="3"/>
  <c r="G102" i="3"/>
  <c r="K118" i="3"/>
  <c r="I75" i="3"/>
  <c r="G45" i="3"/>
  <c r="L13" i="3"/>
  <c r="H102" i="3"/>
  <c r="L83" i="3"/>
  <c r="L39" i="3"/>
  <c r="L131" i="3"/>
  <c r="G145" i="3"/>
  <c r="K71" i="3"/>
  <c r="I15" i="3"/>
  <c r="K50" i="3"/>
  <c r="I70" i="3"/>
  <c r="G6" i="3"/>
  <c r="H16" i="3"/>
  <c r="F7" i="3"/>
  <c r="F81" i="3"/>
  <c r="F90" i="3"/>
  <c r="J133" i="3"/>
  <c r="K98" i="3"/>
  <c r="G113" i="3"/>
  <c r="J72" i="3"/>
  <c r="I10" i="3"/>
  <c r="H97" i="3"/>
  <c r="H35" i="3"/>
  <c r="J66" i="3"/>
  <c r="L45" i="3"/>
  <c r="F93" i="3"/>
  <c r="J111" i="3"/>
  <c r="K5" i="3"/>
  <c r="I67" i="3"/>
  <c r="K119" i="3"/>
  <c r="L81" i="3"/>
  <c r="J148" i="3"/>
  <c r="J67" i="3"/>
  <c r="G46" i="3"/>
  <c r="F113" i="3"/>
  <c r="I138" i="3"/>
  <c r="H103" i="3"/>
  <c r="H120" i="3"/>
  <c r="J78" i="3"/>
  <c r="J15" i="3"/>
  <c r="H104" i="3"/>
  <c r="H85" i="3"/>
  <c r="L42" i="3"/>
  <c r="I134" i="3"/>
  <c r="J80" i="3"/>
  <c r="L73" i="3"/>
  <c r="I17" i="3"/>
  <c r="L51" i="3"/>
  <c r="I80" i="3"/>
  <c r="H8" i="3"/>
  <c r="K10" i="3"/>
  <c r="F13" i="3"/>
  <c r="K137" i="3"/>
  <c r="K102" i="3"/>
  <c r="I119" i="3"/>
  <c r="J76" i="3"/>
  <c r="K45" i="3"/>
  <c r="I14" i="3"/>
  <c r="I103" i="3"/>
  <c r="J84" i="3"/>
  <c r="G42" i="3"/>
  <c r="H133" i="3"/>
  <c r="L79" i="3"/>
  <c r="K72" i="3"/>
  <c r="I16" i="3"/>
  <c r="J74" i="3"/>
  <c r="H7" i="3"/>
  <c r="G18" i="3"/>
  <c r="I5" i="3"/>
  <c r="F99" i="3"/>
  <c r="F5" i="3"/>
  <c r="G134" i="3"/>
  <c r="H99" i="3"/>
  <c r="L113" i="3"/>
  <c r="G73" i="3"/>
  <c r="J42" i="3"/>
  <c r="J11" i="3"/>
  <c r="H98" i="3"/>
  <c r="H79" i="3"/>
  <c r="H36" i="3"/>
  <c r="K127" i="3"/>
  <c r="I125" i="3"/>
  <c r="K67" i="3"/>
  <c r="K146" i="3"/>
  <c r="H46" i="3"/>
  <c r="H61" i="3"/>
  <c r="K105" i="3"/>
  <c r="L8" i="3"/>
  <c r="F126" i="3"/>
  <c r="F72" i="3"/>
  <c r="F109" i="3"/>
  <c r="H129" i="3"/>
  <c r="H94" i="3"/>
  <c r="H109" i="3"/>
  <c r="K69" i="3"/>
  <c r="G38" i="3"/>
  <c r="G8" i="3"/>
  <c r="K144" i="3"/>
  <c r="I74" i="3"/>
  <c r="J32" i="3"/>
  <c r="K122" i="3"/>
  <c r="J103" i="3"/>
  <c r="J62" i="3"/>
  <c r="H122" i="3"/>
  <c r="I39" i="3"/>
  <c r="I54" i="3"/>
  <c r="K62" i="3"/>
  <c r="H119" i="3"/>
  <c r="F139" i="3"/>
  <c r="F143" i="3"/>
  <c r="I66" i="3"/>
  <c r="F123" i="3"/>
  <c r="J118" i="3"/>
  <c r="K56" i="3"/>
  <c r="J75" i="3"/>
  <c r="F86" i="3"/>
  <c r="F144" i="3"/>
  <c r="K148" i="3"/>
  <c r="L34" i="3"/>
  <c r="K125" i="3"/>
  <c r="I117" i="3"/>
  <c r="G136" i="3"/>
  <c r="I44" i="3"/>
  <c r="I73" i="3"/>
  <c r="F97" i="3"/>
  <c r="L70" i="3"/>
  <c r="H147" i="3"/>
  <c r="L75" i="3"/>
  <c r="J124" i="3"/>
  <c r="K43" i="3"/>
  <c r="F15" i="3"/>
  <c r="H106" i="3"/>
  <c r="G72" i="3"/>
  <c r="H57" i="3"/>
  <c r="F10" i="3"/>
  <c r="K147" i="3"/>
  <c r="L33" i="3"/>
  <c r="G84" i="3"/>
  <c r="F104" i="3"/>
  <c r="H135" i="3"/>
  <c r="F34" i="3" l="1"/>
  <c r="F25" i="3"/>
  <c r="F33" i="3"/>
  <c r="F27" i="3"/>
  <c r="F44" i="3"/>
  <c r="F29" i="3"/>
  <c r="F31" i="3"/>
  <c r="F48" i="3"/>
  <c r="F47" i="3"/>
  <c r="L47" i="2" s="1"/>
  <c r="F37" i="3"/>
  <c r="L37" i="2" s="1"/>
  <c r="F32" i="3"/>
  <c r="L32" i="2" s="1"/>
  <c r="F36" i="3"/>
  <c r="L36" i="2" s="1"/>
  <c r="F45" i="3"/>
  <c r="F57" i="3"/>
  <c r="F56" i="3"/>
  <c r="F42" i="3"/>
  <c r="F30" i="3"/>
  <c r="F46" i="3"/>
  <c r="F24" i="3"/>
  <c r="F58" i="3"/>
  <c r="L58" i="2" s="1"/>
  <c r="F55" i="3"/>
  <c r="L55" i="2" s="1"/>
  <c r="F43" i="3"/>
  <c r="L43" i="2" s="1"/>
  <c r="F23" i="3"/>
  <c r="L23" i="2" s="1"/>
  <c r="F53" i="3"/>
  <c r="L53" i="2" s="1"/>
  <c r="F39" i="3"/>
  <c r="F50" i="3"/>
  <c r="F54" i="3"/>
  <c r="F49" i="3"/>
  <c r="F52" i="3"/>
  <c r="F51" i="3"/>
  <c r="F26" i="3"/>
  <c r="F38" i="3"/>
  <c r="F35" i="3"/>
  <c r="L35" i="2" s="1"/>
  <c r="L113" i="2"/>
  <c r="L98" i="2"/>
  <c r="L70" i="2"/>
  <c r="L140" i="2"/>
  <c r="L138" i="2"/>
  <c r="L104" i="2"/>
  <c r="L144" i="2"/>
  <c r="L123" i="2"/>
  <c r="L116" i="2"/>
  <c r="L91" i="2"/>
  <c r="L6" i="2"/>
  <c r="L110" i="2"/>
  <c r="L61" i="2"/>
  <c r="L8" i="2"/>
  <c r="H10" i="2"/>
  <c r="H43" i="2"/>
  <c r="G51" i="2"/>
  <c r="F61" i="2"/>
  <c r="G113" i="2"/>
  <c r="I66" i="2"/>
  <c r="L85" i="2"/>
  <c r="L128" i="2"/>
  <c r="L118" i="2"/>
  <c r="L14" i="2"/>
  <c r="F77" i="3"/>
  <c r="L77" i="2" s="1"/>
  <c r="L78" i="2"/>
  <c r="L146" i="2"/>
  <c r="L9" i="2"/>
  <c r="L130" i="2"/>
  <c r="L21" i="2"/>
  <c r="L108" i="2"/>
  <c r="L86" i="2"/>
  <c r="L143" i="2"/>
  <c r="L107" i="2"/>
  <c r="L137" i="2"/>
  <c r="L67" i="2"/>
  <c r="L121" i="2"/>
  <c r="L119" i="2"/>
  <c r="L12" i="2"/>
  <c r="L84" i="2"/>
  <c r="L11" i="2"/>
  <c r="L73" i="2"/>
  <c r="L102" i="2"/>
  <c r="L112" i="2"/>
  <c r="L139" i="2"/>
  <c r="L93" i="2"/>
  <c r="L89" i="2"/>
  <c r="I7" i="2"/>
  <c r="G11" i="2"/>
  <c r="G19" i="2"/>
  <c r="H44" i="2"/>
  <c r="H48" i="2"/>
  <c r="I52" i="2"/>
  <c r="H56" i="2"/>
  <c r="F63" i="2"/>
  <c r="H75" i="2"/>
  <c r="J119" i="2"/>
  <c r="G7" i="2"/>
  <c r="K14" i="2"/>
  <c r="J60" i="2"/>
  <c r="I68" i="2"/>
  <c r="I83" i="2"/>
  <c r="F6" i="2"/>
  <c r="H16" i="2"/>
  <c r="L25" i="2"/>
  <c r="K29" i="2"/>
  <c r="L33" i="2"/>
  <c r="G62" i="2"/>
  <c r="J91" i="2"/>
  <c r="G4" i="3"/>
  <c r="K4" i="2" s="1"/>
  <c r="K5" i="2"/>
  <c r="K9" i="2"/>
  <c r="K15" i="2"/>
  <c r="I23" i="2"/>
  <c r="I27" i="2"/>
  <c r="F31" i="2"/>
  <c r="F35" i="2"/>
  <c r="G39" i="2"/>
  <c r="K46" i="2"/>
  <c r="J50" i="2"/>
  <c r="I54" i="2"/>
  <c r="J58" i="2"/>
  <c r="J67" i="2"/>
  <c r="I86" i="2"/>
  <c r="I131" i="2"/>
  <c r="K7" i="2"/>
  <c r="K10" i="2"/>
  <c r="F14" i="2"/>
  <c r="G24" i="2"/>
  <c r="F28" i="2"/>
  <c r="I39" i="2"/>
  <c r="F45" i="2"/>
  <c r="L49" i="2"/>
  <c r="K52" i="2"/>
  <c r="K56" i="2"/>
  <c r="K63" i="2"/>
  <c r="K68" i="2"/>
  <c r="J72" i="2"/>
  <c r="J76" i="2"/>
  <c r="J83" i="2"/>
  <c r="J89" i="2"/>
  <c r="H104" i="2"/>
  <c r="J122" i="2"/>
  <c r="K141" i="2"/>
  <c r="J14" i="2"/>
  <c r="H18" i="2"/>
  <c r="K22" i="3"/>
  <c r="G22" i="2" s="1"/>
  <c r="G23" i="2"/>
  <c r="F27" i="2"/>
  <c r="J32" i="2"/>
  <c r="H36" i="2"/>
  <c r="J43" i="2"/>
  <c r="J47" i="2"/>
  <c r="G52" i="2"/>
  <c r="G56" i="2"/>
  <c r="H62" i="2"/>
  <c r="H66" i="2"/>
  <c r="G70" i="2"/>
  <c r="G74" i="2"/>
  <c r="I79" i="2"/>
  <c r="K90" i="2"/>
  <c r="H102" i="2"/>
  <c r="I120" i="2"/>
  <c r="J149" i="2"/>
  <c r="G78" i="2"/>
  <c r="K84" i="2"/>
  <c r="I90" i="2"/>
  <c r="H103" i="2"/>
  <c r="I121" i="2"/>
  <c r="F139" i="2"/>
  <c r="J81" i="2"/>
  <c r="I84" i="2"/>
  <c r="I87" i="2"/>
  <c r="G91" i="2"/>
  <c r="G97" i="2"/>
  <c r="F101" i="2"/>
  <c r="F105" i="2"/>
  <c r="F112" i="2"/>
  <c r="H118" i="2"/>
  <c r="G122" i="2"/>
  <c r="G126" i="2"/>
  <c r="G130" i="2"/>
  <c r="I135" i="2"/>
  <c r="K140" i="2"/>
  <c r="G145" i="2"/>
  <c r="J12" i="2"/>
  <c r="F16" i="2"/>
  <c r="F19" i="2"/>
  <c r="F23" i="2"/>
  <c r="L22" i="3"/>
  <c r="F22" i="2" s="1"/>
  <c r="I26" i="2"/>
  <c r="L29" i="2"/>
  <c r="H32" i="2"/>
  <c r="J35" i="2"/>
  <c r="K39" i="2"/>
  <c r="K43" i="2"/>
  <c r="G46" i="2"/>
  <c r="G48" i="2"/>
  <c r="H52" i="2"/>
  <c r="J55" i="2"/>
  <c r="F58" i="2"/>
  <c r="G63" i="2"/>
  <c r="H67" i="2"/>
  <c r="J71" i="2"/>
  <c r="I74" i="2"/>
  <c r="I77" i="3"/>
  <c r="I77" i="2" s="1"/>
  <c r="I78" i="2"/>
  <c r="J82" i="2"/>
  <c r="K86" i="2"/>
  <c r="K89" i="2"/>
  <c r="K101" i="2"/>
  <c r="K108" i="2"/>
  <c r="K112" i="2"/>
  <c r="G117" i="2"/>
  <c r="F122" i="2"/>
  <c r="G133" i="2"/>
  <c r="F137" i="2"/>
  <c r="G144" i="2"/>
  <c r="J97" i="2"/>
  <c r="J101" i="2"/>
  <c r="J105" i="2"/>
  <c r="I109" i="2"/>
  <c r="I113" i="2"/>
  <c r="K121" i="2"/>
  <c r="K125" i="2"/>
  <c r="K129" i="2"/>
  <c r="F134" i="2"/>
  <c r="K142" i="2"/>
  <c r="J5" i="2"/>
  <c r="H4" i="3"/>
  <c r="J4" i="2" s="1"/>
  <c r="K8" i="2"/>
  <c r="I10" i="2"/>
  <c r="J13" i="2"/>
  <c r="K16" i="2"/>
  <c r="I18" i="2"/>
  <c r="J21" i="2"/>
  <c r="I24" i="2"/>
  <c r="G26" i="2"/>
  <c r="J29" i="2"/>
  <c r="L31" i="2"/>
  <c r="F33" i="2"/>
  <c r="H35" i="2"/>
  <c r="K38" i="2"/>
  <c r="F41" i="3"/>
  <c r="L41" i="2" s="1"/>
  <c r="L42" i="2"/>
  <c r="F44" i="2"/>
  <c r="H46" i="2"/>
  <c r="K49" i="2"/>
  <c r="I51" i="2"/>
  <c r="G53" i="2"/>
  <c r="J56" i="2"/>
  <c r="G61" i="2"/>
  <c r="H64" i="2"/>
  <c r="F66" i="2"/>
  <c r="G69" i="2"/>
  <c r="H72" i="2"/>
  <c r="F74" i="2"/>
  <c r="K79" i="2"/>
  <c r="I81" i="2"/>
  <c r="J84" i="2"/>
  <c r="K87" i="2"/>
  <c r="I89" i="2"/>
  <c r="F93" i="2"/>
  <c r="H98" i="2"/>
  <c r="G101" i="2"/>
  <c r="I105" i="2"/>
  <c r="J109" i="2"/>
  <c r="K113" i="2"/>
  <c r="K117" i="2"/>
  <c r="G121" i="2"/>
  <c r="H125" i="2"/>
  <c r="H128" i="2"/>
  <c r="G131" i="2"/>
  <c r="H136" i="2"/>
  <c r="I140" i="2"/>
  <c r="I144" i="2"/>
  <c r="H148" i="2"/>
  <c r="I91" i="2"/>
  <c r="J94" i="2"/>
  <c r="G98" i="2"/>
  <c r="H101" i="2"/>
  <c r="F103" i="2"/>
  <c r="G106" i="2"/>
  <c r="H109" i="2"/>
  <c r="F111" i="2"/>
  <c r="K116" i="2"/>
  <c r="I118" i="2"/>
  <c r="J121" i="2"/>
  <c r="K124" i="2"/>
  <c r="I126" i="2"/>
  <c r="J129" i="2"/>
  <c r="J132" i="3"/>
  <c r="H132" i="2" s="1"/>
  <c r="H133" i="2"/>
  <c r="F135" i="2"/>
  <c r="J139" i="2"/>
  <c r="F143" i="2"/>
  <c r="F146" i="2"/>
  <c r="F149" i="2"/>
  <c r="G139" i="2"/>
  <c r="H142" i="2"/>
  <c r="F144" i="2"/>
  <c r="G147" i="2"/>
  <c r="L80" i="2"/>
  <c r="L109" i="2"/>
  <c r="L90" i="2"/>
  <c r="L125" i="2"/>
  <c r="L75" i="2"/>
  <c r="L120" i="2"/>
  <c r="L103" i="2"/>
  <c r="L105" i="2"/>
  <c r="L76" i="2"/>
  <c r="L149" i="2"/>
  <c r="L19" i="2"/>
  <c r="L63" i="2"/>
  <c r="L117" i="2"/>
  <c r="L72" i="2"/>
  <c r="L81" i="2"/>
  <c r="L18" i="2"/>
  <c r="F59" i="3"/>
  <c r="L59" i="2" s="1"/>
  <c r="L60" i="2"/>
  <c r="L82" i="2"/>
  <c r="L127" i="2"/>
  <c r="L79" i="2"/>
  <c r="L106" i="2"/>
  <c r="L17" i="2"/>
  <c r="L134" i="2"/>
  <c r="L10" i="2"/>
  <c r="L135" i="2"/>
  <c r="L126" i="2"/>
  <c r="L7" i="2"/>
  <c r="I8" i="2"/>
  <c r="H13" i="2"/>
  <c r="G21" i="2"/>
  <c r="H45" i="2"/>
  <c r="F49" i="2"/>
  <c r="H53" i="2"/>
  <c r="I57" i="2"/>
  <c r="F65" i="2"/>
  <c r="F81" i="2"/>
  <c r="G142" i="2"/>
  <c r="F8" i="2"/>
  <c r="J16" i="2"/>
  <c r="I62" i="2"/>
  <c r="I72" i="2"/>
  <c r="H89" i="2"/>
  <c r="K11" i="2"/>
  <c r="G18" i="2"/>
  <c r="L26" i="2"/>
  <c r="I30" i="2"/>
  <c r="J34" i="2"/>
  <c r="L38" i="2"/>
  <c r="F64" i="2"/>
  <c r="G105" i="2"/>
  <c r="K6" i="2"/>
  <c r="J10" i="2"/>
  <c r="K17" i="2"/>
  <c r="H24" i="2"/>
  <c r="H28" i="2"/>
  <c r="G32" i="2"/>
  <c r="G36" i="2"/>
  <c r="K47" i="2"/>
  <c r="K51" i="2"/>
  <c r="K55" i="2"/>
  <c r="J61" i="2"/>
  <c r="I70" i="2"/>
  <c r="I93" i="2"/>
  <c r="K137" i="2"/>
  <c r="F7" i="2"/>
  <c r="F10" i="2"/>
  <c r="F15" i="2"/>
  <c r="I25" i="2"/>
  <c r="I29" i="2"/>
  <c r="F32" i="2"/>
  <c r="F36" i="2"/>
  <c r="J42" i="2"/>
  <c r="J46" i="2"/>
  <c r="G50" i="2"/>
  <c r="G54" i="2"/>
  <c r="F57" i="2"/>
  <c r="K64" i="2"/>
  <c r="J69" i="2"/>
  <c r="J73" i="2"/>
  <c r="F78" i="2"/>
  <c r="G84" i="2"/>
  <c r="K91" i="2"/>
  <c r="G108" i="2"/>
  <c r="H126" i="2"/>
  <c r="G146" i="2"/>
  <c r="I15" i="2"/>
  <c r="I19" i="2"/>
  <c r="J24" i="2"/>
  <c r="J28" i="2"/>
  <c r="G33" i="2"/>
  <c r="G37" i="2"/>
  <c r="G44" i="2"/>
  <c r="H49" i="2"/>
  <c r="I53" i="2"/>
  <c r="J57" i="2"/>
  <c r="H63" i="2"/>
  <c r="G67" i="2"/>
  <c r="G71" i="2"/>
  <c r="G75" i="2"/>
  <c r="I82" i="2"/>
  <c r="K92" i="2"/>
  <c r="H106" i="2"/>
  <c r="I124" i="2"/>
  <c r="F68" i="2"/>
  <c r="H79" i="2"/>
  <c r="G85" i="2"/>
  <c r="I92" i="2"/>
  <c r="H107" i="2"/>
  <c r="I125" i="2"/>
  <c r="K145" i="2"/>
  <c r="K82" i="2"/>
  <c r="K85" i="2"/>
  <c r="K88" i="2"/>
  <c r="G92" i="2"/>
  <c r="F98" i="2"/>
  <c r="F102" i="2"/>
  <c r="F106" i="2"/>
  <c r="I115" i="2"/>
  <c r="G119" i="2"/>
  <c r="G123" i="2"/>
  <c r="G127" i="2"/>
  <c r="F131" i="2"/>
  <c r="J136" i="2"/>
  <c r="G141" i="2"/>
  <c r="K148" i="2"/>
  <c r="G13" i="2"/>
  <c r="H17" i="2"/>
  <c r="H20" i="2"/>
  <c r="K24" i="2"/>
  <c r="G27" i="2"/>
  <c r="G29" i="2"/>
  <c r="H33" i="2"/>
  <c r="J36" i="2"/>
  <c r="F39" i="2"/>
  <c r="F43" i="2"/>
  <c r="J49" i="2"/>
  <c r="I56" i="2"/>
  <c r="K59" i="3"/>
  <c r="G59" i="2" s="1"/>
  <c r="G60" i="2"/>
  <c r="I64" i="2"/>
  <c r="J68" i="2"/>
  <c r="K72" i="2"/>
  <c r="K75" i="2"/>
  <c r="J79" i="2"/>
  <c r="F83" i="2"/>
  <c r="F86" i="2"/>
  <c r="F89" i="2"/>
  <c r="K104" i="2"/>
  <c r="K109" i="2"/>
  <c r="J113" i="2"/>
  <c r="F118" i="2"/>
  <c r="F123" i="2"/>
  <c r="H134" i="2"/>
  <c r="H140" i="2"/>
  <c r="F145" i="2"/>
  <c r="J98" i="2"/>
  <c r="J102" i="2"/>
  <c r="I106" i="2"/>
  <c r="I110" i="2"/>
  <c r="G114" i="3"/>
  <c r="K114" i="2" s="1"/>
  <c r="K115" i="2"/>
  <c r="K122" i="2"/>
  <c r="K126" i="2"/>
  <c r="J130" i="2"/>
  <c r="F136" i="2"/>
  <c r="H143" i="2"/>
  <c r="F5" i="2"/>
  <c r="L4" i="3"/>
  <c r="F4" i="2" s="1"/>
  <c r="G8" i="2"/>
  <c r="H11" i="2"/>
  <c r="F13" i="2"/>
  <c r="G16" i="2"/>
  <c r="H19" i="2"/>
  <c r="F21" i="2"/>
  <c r="J25" i="2"/>
  <c r="L27" i="2"/>
  <c r="F29" i="2"/>
  <c r="H31" i="2"/>
  <c r="K34" i="2"/>
  <c r="I36" i="2"/>
  <c r="G38" i="2"/>
  <c r="J41" i="3"/>
  <c r="H41" i="2" s="1"/>
  <c r="H42" i="2"/>
  <c r="K45" i="2"/>
  <c r="I47" i="2"/>
  <c r="G49" i="2"/>
  <c r="J52" i="2"/>
  <c r="L54" i="2"/>
  <c r="F56" i="2"/>
  <c r="H58" i="2"/>
  <c r="J62" i="2"/>
  <c r="K65" i="2"/>
  <c r="I67" i="2"/>
  <c r="J70" i="2"/>
  <c r="K73" i="2"/>
  <c r="I75" i="2"/>
  <c r="G79" i="2"/>
  <c r="H82" i="2"/>
  <c r="F84" i="2"/>
  <c r="G87" i="2"/>
  <c r="G90" i="2"/>
  <c r="H94" i="2"/>
  <c r="I99" i="2"/>
  <c r="I102" i="2"/>
  <c r="J106" i="2"/>
  <c r="F110" i="2"/>
  <c r="F113" i="2"/>
  <c r="G118" i="2"/>
  <c r="H122" i="2"/>
  <c r="J126" i="2"/>
  <c r="I129" i="2"/>
  <c r="I133" i="2"/>
  <c r="J137" i="2"/>
  <c r="J141" i="2"/>
  <c r="H145" i="2"/>
  <c r="H149" i="2"/>
  <c r="H92" i="2"/>
  <c r="F94" i="2"/>
  <c r="J99" i="2"/>
  <c r="K102" i="2"/>
  <c r="I104" i="2"/>
  <c r="J107" i="2"/>
  <c r="K110" i="2"/>
  <c r="I112" i="2"/>
  <c r="G116" i="2"/>
  <c r="H119" i="2"/>
  <c r="F121" i="2"/>
  <c r="G124" i="2"/>
  <c r="H127" i="2"/>
  <c r="F129" i="2"/>
  <c r="K134" i="2"/>
  <c r="I136" i="2"/>
  <c r="G140" i="2"/>
  <c r="H144" i="2"/>
  <c r="H147" i="2"/>
  <c r="I137" i="2"/>
  <c r="J140" i="2"/>
  <c r="K143" i="2"/>
  <c r="I145" i="2"/>
  <c r="J148" i="2"/>
  <c r="L100" i="2"/>
  <c r="L66" i="2"/>
  <c r="F4" i="3"/>
  <c r="L4" i="2" s="1"/>
  <c r="L5" i="2"/>
  <c r="F114" i="3"/>
  <c r="L114" i="2" s="1"/>
  <c r="L115" i="2"/>
  <c r="L62" i="2"/>
  <c r="L69" i="2"/>
  <c r="F132" i="3"/>
  <c r="L132" i="2" s="1"/>
  <c r="L133" i="2"/>
  <c r="L16" i="2"/>
  <c r="L92" i="2"/>
  <c r="L148" i="2"/>
  <c r="L131" i="2"/>
  <c r="L147" i="2"/>
  <c r="L15" i="2"/>
  <c r="L20" i="2"/>
  <c r="L99" i="2"/>
  <c r="L65" i="2"/>
  <c r="L83" i="2"/>
  <c r="L94" i="2"/>
  <c r="L122" i="2"/>
  <c r="L136" i="2"/>
  <c r="L111" i="2"/>
  <c r="L129" i="2"/>
  <c r="L142" i="2"/>
  <c r="L74" i="2"/>
  <c r="L87" i="2"/>
  <c r="L141" i="2"/>
  <c r="I5" i="2"/>
  <c r="H9" i="2"/>
  <c r="G15" i="2"/>
  <c r="I42" i="2"/>
  <c r="I46" i="2"/>
  <c r="F50" i="2"/>
  <c r="F54" i="2"/>
  <c r="G58" i="2"/>
  <c r="F67" i="2"/>
  <c r="I97" i="2"/>
  <c r="G5" i="2"/>
  <c r="G9" i="2"/>
  <c r="K18" i="2"/>
  <c r="J64" i="2"/>
  <c r="I76" i="2"/>
  <c r="I101" i="2"/>
  <c r="H12" i="2"/>
  <c r="F20" i="2"/>
  <c r="K27" i="2"/>
  <c r="J31" i="2"/>
  <c r="I35" i="2"/>
  <c r="J39" i="2"/>
  <c r="I69" i="2"/>
  <c r="I127" i="2"/>
  <c r="J7" i="2"/>
  <c r="J11" i="2"/>
  <c r="J19" i="2"/>
  <c r="H25" i="2"/>
  <c r="H29" i="2"/>
  <c r="I33" i="2"/>
  <c r="H37" i="2"/>
  <c r="L44" i="2"/>
  <c r="K48" i="2"/>
  <c r="L52" i="2"/>
  <c r="L56" i="2"/>
  <c r="J63" i="2"/>
  <c r="H74" i="2"/>
  <c r="G109" i="2"/>
  <c r="H5" i="2"/>
  <c r="J4" i="3"/>
  <c r="H4" i="2" s="1"/>
  <c r="H8" i="2"/>
  <c r="F11" i="2"/>
  <c r="F18" i="2"/>
  <c r="F26" i="2"/>
  <c r="L30" i="2"/>
  <c r="K33" i="2"/>
  <c r="K37" i="2"/>
  <c r="G43" i="2"/>
  <c r="F47" i="2"/>
  <c r="L51" i="2"/>
  <c r="I58" i="2"/>
  <c r="K66" i="2"/>
  <c r="K70" i="2"/>
  <c r="K74" i="2"/>
  <c r="K80" i="2"/>
  <c r="J86" i="2"/>
  <c r="J93" i="2"/>
  <c r="G112" i="2"/>
  <c r="H130" i="2"/>
  <c r="I12" i="2"/>
  <c r="I16" i="2"/>
  <c r="I20" i="2"/>
  <c r="G25" i="2"/>
  <c r="H30" i="2"/>
  <c r="I34" i="2"/>
  <c r="J38" i="2"/>
  <c r="J45" i="2"/>
  <c r="K50" i="2"/>
  <c r="K54" i="2"/>
  <c r="I60" i="2"/>
  <c r="G64" i="2"/>
  <c r="G68" i="2"/>
  <c r="G72" i="2"/>
  <c r="F76" i="2"/>
  <c r="H85" i="2"/>
  <c r="K94" i="2"/>
  <c r="H110" i="2"/>
  <c r="I128" i="2"/>
  <c r="F71" i="2"/>
  <c r="K81" i="2"/>
  <c r="J87" i="2"/>
  <c r="I94" i="2"/>
  <c r="G111" i="2"/>
  <c r="H129" i="2"/>
  <c r="F79" i="2"/>
  <c r="F82" i="2"/>
  <c r="F85" i="2"/>
  <c r="G89" i="2"/>
  <c r="H93" i="2"/>
  <c r="G99" i="2"/>
  <c r="G103" i="2"/>
  <c r="F108" i="2"/>
  <c r="H116" i="2"/>
  <c r="H120" i="2"/>
  <c r="H124" i="2"/>
  <c r="F128" i="2"/>
  <c r="J133" i="2"/>
  <c r="H137" i="2"/>
  <c r="F142" i="2"/>
  <c r="G149" i="2"/>
  <c r="H14" i="2"/>
  <c r="J18" i="2"/>
  <c r="I21" i="2"/>
  <c r="F24" i="2"/>
  <c r="L28" i="2"/>
  <c r="J30" i="2"/>
  <c r="L34" i="2"/>
  <c r="I37" i="2"/>
  <c r="G41" i="3"/>
  <c r="K41" i="2" s="1"/>
  <c r="K42" i="2"/>
  <c r="K44" i="2"/>
  <c r="G47" i="2"/>
  <c r="I50" i="2"/>
  <c r="F53" i="2"/>
  <c r="H57" i="2"/>
  <c r="I61" i="2"/>
  <c r="J65" i="2"/>
  <c r="F69" i="2"/>
  <c r="F72" i="2"/>
  <c r="F75" i="2"/>
  <c r="G80" i="2"/>
  <c r="H84" i="2"/>
  <c r="H87" i="2"/>
  <c r="F91" i="2"/>
  <c r="K105" i="2"/>
  <c r="J110" i="2"/>
  <c r="F115" i="2"/>
  <c r="F119" i="2"/>
  <c r="F126" i="2"/>
  <c r="H135" i="2"/>
  <c r="F141" i="2"/>
  <c r="J147" i="2"/>
  <c r="K99" i="2"/>
  <c r="I103" i="2"/>
  <c r="I107" i="2"/>
  <c r="I111" i="2"/>
  <c r="K118" i="2"/>
  <c r="K123" i="2"/>
  <c r="J127" i="2"/>
  <c r="J131" i="2"/>
  <c r="K138" i="2"/>
  <c r="J146" i="2"/>
  <c r="I6" i="2"/>
  <c r="J9" i="2"/>
  <c r="K12" i="2"/>
  <c r="I14" i="2"/>
  <c r="J17" i="2"/>
  <c r="K20" i="2"/>
  <c r="F25" i="2"/>
  <c r="H27" i="2"/>
  <c r="K30" i="2"/>
  <c r="I32" i="2"/>
  <c r="G34" i="2"/>
  <c r="J37" i="2"/>
  <c r="L39" i="2"/>
  <c r="I43" i="2"/>
  <c r="G45" i="2"/>
  <c r="J48" i="2"/>
  <c r="L50" i="2"/>
  <c r="F52" i="2"/>
  <c r="H54" i="2"/>
  <c r="K57" i="2"/>
  <c r="H60" i="2"/>
  <c r="F62" i="2"/>
  <c r="G65" i="2"/>
  <c r="H68" i="2"/>
  <c r="F70" i="2"/>
  <c r="G73" i="2"/>
  <c r="H76" i="2"/>
  <c r="J80" i="2"/>
  <c r="K83" i="2"/>
  <c r="I85" i="2"/>
  <c r="J88" i="2"/>
  <c r="H91" i="2"/>
  <c r="K97" i="2"/>
  <c r="K100" i="2"/>
  <c r="K103" i="2"/>
  <c r="G107" i="2"/>
  <c r="H111" i="2"/>
  <c r="G115" i="2"/>
  <c r="I119" i="2"/>
  <c r="J123" i="2"/>
  <c r="K127" i="2"/>
  <c r="K130" i="2"/>
  <c r="J134" i="2"/>
  <c r="J138" i="2"/>
  <c r="I142" i="2"/>
  <c r="I146" i="2"/>
  <c r="J90" i="2"/>
  <c r="K93" i="2"/>
  <c r="H97" i="2"/>
  <c r="F99" i="2"/>
  <c r="G102" i="2"/>
  <c r="H105" i="2"/>
  <c r="F107" i="2"/>
  <c r="G110" i="2"/>
  <c r="H113" i="2"/>
  <c r="J117" i="2"/>
  <c r="K120" i="2"/>
  <c r="I122" i="2"/>
  <c r="J125" i="2"/>
  <c r="K128" i="2"/>
  <c r="I130" i="2"/>
  <c r="G134" i="2"/>
  <c r="G137" i="2"/>
  <c r="H141" i="2"/>
  <c r="J145" i="2"/>
  <c r="I148" i="2"/>
  <c r="H138" i="2"/>
  <c r="F140" i="2"/>
  <c r="G143" i="2"/>
  <c r="H146" i="2"/>
  <c r="F148" i="2"/>
  <c r="L124" i="2"/>
  <c r="F96" i="3"/>
  <c r="L96" i="2" s="1"/>
  <c r="L97" i="2"/>
  <c r="L68" i="2"/>
  <c r="L13" i="2"/>
  <c r="L101" i="2"/>
  <c r="L71" i="2"/>
  <c r="L64" i="2"/>
  <c r="L88" i="2"/>
  <c r="L145" i="2"/>
  <c r="H6" i="2"/>
  <c r="G17" i="2"/>
  <c r="H47" i="2"/>
  <c r="G55" i="2"/>
  <c r="H71" i="2"/>
  <c r="G10" i="2"/>
  <c r="J20" i="2"/>
  <c r="G77" i="3"/>
  <c r="K77" i="2" s="1"/>
  <c r="K78" i="2"/>
  <c r="I123" i="2"/>
  <c r="G14" i="2"/>
  <c r="L24" i="2"/>
  <c r="K28" i="2"/>
  <c r="K32" i="2"/>
  <c r="K36" i="2"/>
  <c r="L59" i="3"/>
  <c r="F59" i="2" s="1"/>
  <c r="F60" i="2"/>
  <c r="I73" i="2"/>
  <c r="J8" i="2"/>
  <c r="K13" i="2"/>
  <c r="K21" i="2"/>
  <c r="H26" i="2"/>
  <c r="F30" i="2"/>
  <c r="H34" i="2"/>
  <c r="I38" i="2"/>
  <c r="L45" i="2"/>
  <c r="I49" i="2"/>
  <c r="J53" i="2"/>
  <c r="L57" i="2"/>
  <c r="I80" i="2"/>
  <c r="J115" i="2"/>
  <c r="J6" i="2"/>
  <c r="I9" i="2"/>
  <c r="F12" i="2"/>
  <c r="H22" i="3"/>
  <c r="J22" i="2" s="1"/>
  <c r="J23" i="2"/>
  <c r="J27" i="2"/>
  <c r="G31" i="2"/>
  <c r="G35" i="2"/>
  <c r="F38" i="2"/>
  <c r="I44" i="2"/>
  <c r="F51" i="2"/>
  <c r="F55" i="2"/>
  <c r="G59" i="3"/>
  <c r="K59" i="2" s="1"/>
  <c r="K60" i="2"/>
  <c r="K67" i="2"/>
  <c r="K71" i="2"/>
  <c r="J75" i="2"/>
  <c r="G81" i="2"/>
  <c r="F87" i="2"/>
  <c r="H100" i="2"/>
  <c r="J118" i="2"/>
  <c r="K136" i="2"/>
  <c r="I17" i="2"/>
  <c r="H21" i="2"/>
  <c r="J26" i="2"/>
  <c r="K31" i="2"/>
  <c r="K35" i="2"/>
  <c r="G42" i="2"/>
  <c r="F46" i="2"/>
  <c r="J51" i="2"/>
  <c r="H55" i="2"/>
  <c r="H61" i="2"/>
  <c r="H65" i="2"/>
  <c r="F73" i="2"/>
  <c r="J78" i="2"/>
  <c r="H88" i="2"/>
  <c r="I98" i="2"/>
  <c r="J116" i="2"/>
  <c r="G138" i="2"/>
  <c r="K76" i="2"/>
  <c r="G82" i="2"/>
  <c r="G88" i="2"/>
  <c r="H99" i="2"/>
  <c r="I117" i="2"/>
  <c r="H80" i="2"/>
  <c r="H83" i="2"/>
  <c r="G86" i="2"/>
  <c r="H90" i="2"/>
  <c r="G94" i="2"/>
  <c r="G100" i="2"/>
  <c r="F104" i="2"/>
  <c r="F109" i="2"/>
  <c r="H117" i="2"/>
  <c r="H121" i="2"/>
  <c r="G125" i="2"/>
  <c r="I134" i="2"/>
  <c r="F138" i="2"/>
  <c r="K144" i="2"/>
  <c r="I11" i="2"/>
  <c r="J15" i="2"/>
  <c r="K19" i="2"/>
  <c r="G22" i="3"/>
  <c r="K22" i="2" s="1"/>
  <c r="K23" i="2"/>
  <c r="K25" i="2"/>
  <c r="G28" i="2"/>
  <c r="I31" i="2"/>
  <c r="F34" i="2"/>
  <c r="F42" i="2"/>
  <c r="L41" i="3"/>
  <c r="F41" i="2" s="1"/>
  <c r="I45" i="2"/>
  <c r="L48" i="2"/>
  <c r="H51" i="2"/>
  <c r="J54" i="2"/>
  <c r="K58" i="2"/>
  <c r="K62" i="2"/>
  <c r="G66" i="2"/>
  <c r="H70" i="2"/>
  <c r="H73" i="2"/>
  <c r="G76" i="2"/>
  <c r="J85" i="2"/>
  <c r="I88" i="2"/>
  <c r="F92" i="2"/>
  <c r="K107" i="2"/>
  <c r="K111" i="2"/>
  <c r="F120" i="2"/>
  <c r="K131" i="2"/>
  <c r="J143" i="2"/>
  <c r="G148" i="2"/>
  <c r="J104" i="2"/>
  <c r="J108" i="2"/>
  <c r="H112" i="2"/>
  <c r="K119" i="2"/>
  <c r="J124" i="2"/>
  <c r="F133" i="2"/>
  <c r="H139" i="2"/>
  <c r="H7" i="2"/>
  <c r="F9" i="2"/>
  <c r="H15" i="2"/>
  <c r="F17" i="2"/>
  <c r="G20" i="2"/>
  <c r="H23" i="2"/>
  <c r="K26" i="2"/>
  <c r="G30" i="2"/>
  <c r="J33" i="2"/>
  <c r="F37" i="2"/>
  <c r="L46" i="2"/>
  <c r="F48" i="2"/>
  <c r="H50" i="2"/>
  <c r="K53" i="2"/>
  <c r="I55" i="2"/>
  <c r="K61" i="2"/>
  <c r="I63" i="2"/>
  <c r="K69" i="2"/>
  <c r="H78" i="2"/>
  <c r="F80" i="2"/>
  <c r="G83" i="2"/>
  <c r="H86" i="2"/>
  <c r="F88" i="2"/>
  <c r="F100" i="2"/>
  <c r="J120" i="2"/>
  <c r="F124" i="2"/>
  <c r="F127" i="2"/>
  <c r="F130" i="2"/>
  <c r="G135" i="2"/>
  <c r="I147" i="2"/>
  <c r="J103" i="2"/>
  <c r="K106" i="2"/>
  <c r="I108" i="2"/>
  <c r="J111" i="2"/>
  <c r="H115" i="2"/>
  <c r="H123" i="2"/>
  <c r="J135" i="2"/>
  <c r="I138" i="2"/>
  <c r="J142" i="2"/>
  <c r="K146" i="2"/>
  <c r="K149" i="2"/>
  <c r="K139" i="2"/>
  <c r="K147" i="2"/>
  <c r="L116" i="3"/>
  <c r="K136" i="3"/>
  <c r="I71" i="3"/>
  <c r="J38" i="3"/>
  <c r="H128" i="3"/>
  <c r="L147" i="3"/>
  <c r="H112" i="3"/>
  <c r="J81" i="3"/>
  <c r="I28" i="3"/>
  <c r="G98" i="3"/>
  <c r="H100" i="3"/>
  <c r="K57" i="3"/>
  <c r="H66" i="3"/>
  <c r="J131" i="3"/>
  <c r="K12" i="3"/>
  <c r="H92" i="3"/>
  <c r="K104" i="3"/>
  <c r="K6" i="3"/>
  <c r="H44" i="3"/>
  <c r="I139" i="3"/>
  <c r="L90" i="3"/>
  <c r="G133" i="3"/>
  <c r="H74" i="3"/>
  <c r="L117" i="3"/>
  <c r="L125" i="3"/>
  <c r="I65" i="3"/>
  <c r="I116" i="3"/>
  <c r="I141" i="3"/>
  <c r="I149" i="3"/>
  <c r="I48" i="3"/>
  <c r="I100" i="3"/>
  <c r="L97" i="3"/>
  <c r="J108" i="3"/>
  <c r="I13" i="3"/>
  <c r="I143" i="3"/>
  <c r="K93" i="3"/>
  <c r="J69" i="3"/>
  <c r="K120" i="3"/>
  <c r="K128" i="3"/>
  <c r="G135" i="3"/>
  <c r="H144" i="3"/>
  <c r="J39" i="3"/>
  <c r="K129" i="3"/>
  <c r="F22" i="3" l="1"/>
  <c r="L22" i="2" s="1"/>
  <c r="G129" i="2"/>
  <c r="H39" i="2"/>
  <c r="J144" i="2"/>
  <c r="H132" i="3"/>
  <c r="J132" i="2" s="1"/>
  <c r="K135" i="2"/>
  <c r="G128" i="2"/>
  <c r="K114" i="3"/>
  <c r="G114" i="2" s="1"/>
  <c r="G120" i="2"/>
  <c r="H69" i="2"/>
  <c r="J59" i="3"/>
  <c r="H59" i="2" s="1"/>
  <c r="K77" i="3"/>
  <c r="G77" i="2" s="1"/>
  <c r="G93" i="2"/>
  <c r="I143" i="2"/>
  <c r="I13" i="2"/>
  <c r="I4" i="3"/>
  <c r="I4" i="2" s="1"/>
  <c r="H108" i="2"/>
  <c r="J96" i="3"/>
  <c r="H96" i="2" s="1"/>
  <c r="L96" i="3"/>
  <c r="F96" i="2" s="1"/>
  <c r="F97" i="2"/>
  <c r="I96" i="3"/>
  <c r="I96" i="2" s="1"/>
  <c r="I100" i="2"/>
  <c r="I41" i="3"/>
  <c r="I41" i="2" s="1"/>
  <c r="I48" i="2"/>
  <c r="I149" i="2"/>
  <c r="I141" i="2"/>
  <c r="I114" i="3"/>
  <c r="I114" i="2" s="1"/>
  <c r="I116" i="2"/>
  <c r="I59" i="3"/>
  <c r="I59" i="2" s="1"/>
  <c r="I65" i="2"/>
  <c r="F125" i="2"/>
  <c r="F117" i="2"/>
  <c r="J74" i="2"/>
  <c r="G132" i="3"/>
  <c r="K132" i="2" s="1"/>
  <c r="K133" i="2"/>
  <c r="L77" i="3"/>
  <c r="F77" i="2" s="1"/>
  <c r="F90" i="2"/>
  <c r="I139" i="2"/>
  <c r="I132" i="3"/>
  <c r="I132" i="2" s="1"/>
  <c r="J44" i="2"/>
  <c r="H41" i="3"/>
  <c r="J41" i="2" s="1"/>
  <c r="G6" i="2"/>
  <c r="K4" i="3"/>
  <c r="G4" i="2" s="1"/>
  <c r="K96" i="3"/>
  <c r="G96" i="2" s="1"/>
  <c r="G104" i="2"/>
  <c r="H77" i="3"/>
  <c r="J77" i="2" s="1"/>
  <c r="J92" i="2"/>
  <c r="G12" i="2"/>
  <c r="J114" i="3"/>
  <c r="H114" i="2" s="1"/>
  <c r="H131" i="2"/>
  <c r="J66" i="2"/>
  <c r="H59" i="3"/>
  <c r="J59" i="2" s="1"/>
  <c r="G57" i="2"/>
  <c r="K41" i="3"/>
  <c r="G41" i="2" s="1"/>
  <c r="J100" i="2"/>
  <c r="H96" i="3"/>
  <c r="J96" i="2" s="1"/>
  <c r="K98" i="2"/>
  <c r="G96" i="3"/>
  <c r="K96" i="2" s="1"/>
  <c r="I28" i="2"/>
  <c r="I22" i="3"/>
  <c r="I22" i="2" s="1"/>
  <c r="H81" i="2"/>
  <c r="J77" i="3"/>
  <c r="H77" i="2" s="1"/>
  <c r="J112" i="2"/>
  <c r="L132" i="3"/>
  <c r="F132" i="2" s="1"/>
  <c r="F147" i="2"/>
  <c r="H114" i="3"/>
  <c r="J114" i="2" s="1"/>
  <c r="J128" i="2"/>
  <c r="H38" i="2"/>
  <c r="J22" i="3"/>
  <c r="H22" i="2" s="1"/>
  <c r="I71" i="2"/>
  <c r="G136" i="2"/>
  <c r="K132" i="3"/>
  <c r="G132" i="2" s="1"/>
  <c r="L114" i="3"/>
  <c r="F114" i="2" s="1"/>
  <c r="F116" i="2"/>
</calcChain>
</file>

<file path=xl/sharedStrings.xml><?xml version="1.0" encoding="utf-8"?>
<sst xmlns="http://schemas.openxmlformats.org/spreadsheetml/2006/main" count="5093" uniqueCount="141">
  <si>
    <t>**IMPORTANT NOTE**</t>
  </si>
  <si>
    <t>This document, the information contained herein and any derived information created therefrom are for the exclusive use of VENKATESAPRASAD HARISH at BITS PILANI HYDERABA.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</si>
  <si>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</si>
  <si>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</si>
  <si>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</si>
  <si>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</si>
  <si>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</si>
  <si>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</si>
  <si>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</si>
  <si>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</si>
  <si>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</si>
  <si>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</si>
  <si>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</si>
  <si>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</si>
  <si>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</si>
  <si>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</si>
  <si>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</si>
  <si>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</si>
  <si>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</si>
  <si>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</si>
  <si>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</si>
  <si>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</si>
  <si>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</si>
  <si>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</si>
  <si>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</si>
  <si>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</si>
  <si>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</si>
  <si>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</si>
  <si>
    <t>Description</t>
  </si>
  <si>
    <t>Ticker</t>
  </si>
  <si>
    <t>Field ID</t>
  </si>
  <si>
    <t>Field Mnemonic</t>
  </si>
  <si>
    <t>Data State</t>
  </si>
  <si>
    <t>2013</t>
  </si>
  <si>
    <t>2014</t>
  </si>
  <si>
    <t>2015</t>
  </si>
  <si>
    <t>2016</t>
  </si>
  <si>
    <t>2017</t>
  </si>
  <si>
    <t>2018</t>
  </si>
  <si>
    <t>2019</t>
  </si>
  <si>
    <t>Labor</t>
  </si>
  <si>
    <t/>
  </si>
  <si>
    <t>Heading</t>
  </si>
  <si>
    <t>Number of Employees</t>
  </si>
  <si>
    <t>Median</t>
  </si>
  <si>
    <t xml:space="preserve">    Accenture PLC</t>
  </si>
  <si>
    <t>ACN US Equity</t>
  </si>
  <si>
    <t>RR121</t>
  </si>
  <si>
    <t>NUM_OF_EMPLOYEES</t>
  </si>
  <si>
    <t>Dynamic</t>
  </si>
  <si>
    <t xml:space="preserve">    Amdocs Ltd</t>
  </si>
  <si>
    <t>DOX US Equity</t>
  </si>
  <si>
    <t xml:space="preserve">    Atos SE</t>
  </si>
  <si>
    <t>ATO FP Equity</t>
  </si>
  <si>
    <t xml:space="preserve">    Capgemini SE</t>
  </si>
  <si>
    <t>CAP FP Equity</t>
  </si>
  <si>
    <t xml:space="preserve">    CGI Inc</t>
  </si>
  <si>
    <t>GIB US Equity</t>
  </si>
  <si>
    <t xml:space="preserve">    Cognizant Technology Solutions Corp</t>
  </si>
  <si>
    <t>CTSH US Equity</t>
  </si>
  <si>
    <t xml:space="preserve">    Conduent Inc</t>
  </si>
  <si>
    <t>CNDT US Equity</t>
  </si>
  <si>
    <t xml:space="preserve">    DXC Technology Co</t>
  </si>
  <si>
    <t>DXC US Equity</t>
  </si>
  <si>
    <t xml:space="preserve">    EPAM Systems Inc</t>
  </si>
  <si>
    <t>EPAM US Equity</t>
  </si>
  <si>
    <t xml:space="preserve">    Genpact Ltd</t>
  </si>
  <si>
    <t>G US Equity</t>
  </si>
  <si>
    <t xml:space="preserve">    HCL Technologies Ltd</t>
  </si>
  <si>
    <t>HCLT IN Equity</t>
  </si>
  <si>
    <t xml:space="preserve">    Indra Sistemas SA</t>
  </si>
  <si>
    <t>IDR SM Equity</t>
  </si>
  <si>
    <t xml:space="preserve">    Infosys Ltd</t>
  </si>
  <si>
    <t>INFY US Equity</t>
  </si>
  <si>
    <t xml:space="preserve">    International Business Machines Corp</t>
  </si>
  <si>
    <t>IBM US Equity</t>
  </si>
  <si>
    <t xml:space="preserve">    Tata Consultancy Services Ltd</t>
  </si>
  <si>
    <t>TCS IN Equity</t>
  </si>
  <si>
    <t xml:space="preserve">    Tech Mahindra Ltd</t>
  </si>
  <si>
    <t>TECHM IN Equity</t>
  </si>
  <si>
    <t xml:space="preserve">    Wipro Ltd</t>
  </si>
  <si>
    <t>WIT US Equity</t>
  </si>
  <si>
    <t>Number of Women in Workforce</t>
  </si>
  <si>
    <t>Expression</t>
  </si>
  <si>
    <t>Climate Change</t>
  </si>
  <si>
    <t>Total Greenhouse Gas Emissions (000s Metric Tons)</t>
  </si>
  <si>
    <t>Total Energy Consumption (000s MWh)</t>
  </si>
  <si>
    <t>ES014</t>
  </si>
  <si>
    <t>ENERGY_CONSUMPTION</t>
  </si>
  <si>
    <t>Renewable Energy Consumption (000s MWh)</t>
  </si>
  <si>
    <t>ES015</t>
  </si>
  <si>
    <t>RENEW_ENERGY_USE</t>
  </si>
  <si>
    <t>Resource Efficiency</t>
  </si>
  <si>
    <t>Total Waste (000s Metric Tons)</t>
  </si>
  <si>
    <t>ES020</t>
  </si>
  <si>
    <t>TOTAL_WASTE</t>
  </si>
  <si>
    <t>Waste Recycled (000s Metric Tons)</t>
  </si>
  <si>
    <t>ES021</t>
  </si>
  <si>
    <t>WASTE_RECYCLED</t>
  </si>
  <si>
    <t>~~~~~~~~~~</t>
  </si>
  <si>
    <t>All rows below have been added for reference by formula rows above.</t>
  </si>
  <si>
    <t>Currency</t>
  </si>
  <si>
    <t>USD</t>
  </si>
  <si>
    <t>Periodicity</t>
  </si>
  <si>
    <t>CY</t>
  </si>
  <si>
    <t>AY</t>
  </si>
  <si>
    <t>Number of Periods</t>
  </si>
  <si>
    <t>Start Date</t>
  </si>
  <si>
    <t>-7CY</t>
  </si>
  <si>
    <t>-7AY</t>
  </si>
  <si>
    <t>End Date</t>
  </si>
  <si>
    <t>HeaderStatus</t>
  </si>
  <si>
    <t>ES047</t>
  </si>
  <si>
    <t>PCT_WOMEN_EMPLOYEES</t>
  </si>
  <si>
    <t>F0946</t>
  </si>
  <si>
    <t>TOTAL_GHG_CO2_EMISSIONS</t>
  </si>
  <si>
    <t>~~~~~~~~~~~~~~~~~~~~~</t>
  </si>
  <si>
    <t>Rows below for column date calculation</t>
  </si>
  <si>
    <t>Downloaded at</t>
  </si>
  <si>
    <t>This is End Date</t>
  </si>
  <si>
    <t>Snapshot Date</t>
  </si>
  <si>
    <t>Snapshot header</t>
  </si>
  <si>
    <t>BDH snapshot header0</t>
  </si>
  <si>
    <t>#N/A Invalid Parameter: Invalid override field id specified</t>
  </si>
  <si>
    <t>BDH snapshot result0</t>
  </si>
  <si>
    <t>BDH snapshot header1</t>
  </si>
  <si>
    <t>BDH snapshot result1</t>
  </si>
  <si>
    <t>BDH snapshot header2</t>
  </si>
  <si>
    <t>BDH snapshot result2</t>
  </si>
  <si>
    <t>BDH snapshot</t>
  </si>
  <si>
    <t>BDH snapshot title</t>
  </si>
  <si>
    <t>BDH dynamic header0</t>
  </si>
  <si>
    <t>BDH dynamic result0</t>
  </si>
  <si>
    <t>BDH dynamic header1</t>
  </si>
  <si>
    <t>BDH dynamic result1</t>
  </si>
  <si>
    <t>BDH dynamic header2</t>
  </si>
  <si>
    <t>BDH dynamic result2</t>
  </si>
  <si>
    <t>BDH dynamic</t>
  </si>
  <si>
    <t>BDH dynamic title</t>
  </si>
  <si>
    <t>No error found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</si>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</sst>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ccyreader">
      <tp t="e">
        <v>#N/A</v>
        <stp/>
        <stp>#track</stp>
        <stp>DBG</stp>
        <stp>BIHITX</stp>
        <stp>1.0</stp>
        <stp>RepeatHit</stp>
        <tr r="A159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"/>
  <sheetViews>
    <sheetView workbookViewId="0">
      <selection sqref="A1:XFD1048576"/>
    </sheetView>
  </sheetViews>
  <sheetFormatPr defaultRowHeight="15" x14ac:dyDescent="0.25"/>
  <cols>
    <col min="1" max="1" width="56.28515625" customWidth="1"/>
    <col min="2" max="2" width="15.85546875" customWidth="1"/>
    <col min="3" max="12" width="9.140625" bestFit="1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 ca="1">IFERROR(IF(0=LEN(ReferenceData!$L$2),"",ReferenceData!$L$2),"")</f>
        <v>2013</v>
      </c>
      <c r="G2" t="str">
        <f ca="1">IFERROR(IF(0=LEN(ReferenceData!$K$2),"",ReferenceData!$K$2),"")</f>
        <v>2014</v>
      </c>
      <c r="H2" t="str">
        <f ca="1">IFERROR(IF(0=LEN(ReferenceData!$J$2),"",ReferenceData!$J$2),"")</f>
        <v>2015</v>
      </c>
      <c r="I2" t="str">
        <f ca="1">IFERROR(IF(0=LEN(ReferenceData!$I$2),"",ReferenceData!$I$2),"")</f>
        <v>2016</v>
      </c>
      <c r="J2" t="str">
        <f ca="1">IFERROR(IF(0=LEN(ReferenceData!$H$2),"",ReferenceData!$H$2),"")</f>
        <v>2017</v>
      </c>
      <c r="K2" t="str">
        <f ca="1">IFERROR(IF(0=LEN(ReferenceData!$G$2),"",ReferenceData!$G$2),"")</f>
        <v>2018</v>
      </c>
      <c r="L2" t="str">
        <f ca="1">IFERROR(IF(0=LEN(ReferenceData!$F$2),"",ReferenceData!$F$2),"")</f>
        <v>2019</v>
      </c>
    </row>
    <row r="3" spans="1:12" x14ac:dyDescent="0.25">
      <c r="A3" t="str">
        <f>IFERROR(IF(0=LEN(ReferenceData!$A$3),"",ReferenceData!$A$3),"")</f>
        <v>Labor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Heading</v>
      </c>
      <c r="F3" t="str">
        <f>IFERROR(IF(0=LEN(ReferenceData!$L$3),"",ReferenceData!$L$3),"")</f>
        <v/>
      </c>
      <c r="G3" t="str">
        <f>IFERROR(IF(0=LEN(ReferenceData!$K$3),"",ReferenceData!$K$3),"")</f>
        <v/>
      </c>
      <c r="H3" t="str">
        <f>IFERROR(IF(0=LEN(ReferenceData!$J$3),"",ReferenceData!$J$3),"")</f>
        <v/>
      </c>
      <c r="I3" t="str">
        <f>IFERROR(IF(0=LEN(ReferenceData!$I$3),"",ReferenceData!$I$3),"")</f>
        <v/>
      </c>
      <c r="J3" t="str">
        <f>IFERROR(IF(0=LEN(ReferenceData!$H$3),"",ReferenceData!$H$3),"")</f>
        <v/>
      </c>
      <c r="K3" t="str">
        <f>IFERROR(IF(0=LEN(ReferenceData!$G$3),"",ReferenceData!$G$3),"")</f>
        <v/>
      </c>
      <c r="L3" t="str">
        <f>IFERROR(IF(0=LEN(ReferenceData!$F$3),"",ReferenceData!$F$3),"")</f>
        <v/>
      </c>
    </row>
    <row r="4" spans="1:12" x14ac:dyDescent="0.25">
      <c r="A4" t="str">
        <f>IFERROR(IF(0=LEN(ReferenceData!$A$4),"",ReferenceData!$A$4),"")</f>
        <v>Number of Employees</v>
      </c>
      <c r="B4" t="str">
        <f>IFERROR(IF(0=LEN(ReferenceData!$B$4),"",ReferenceData!$B$4),"")</f>
        <v/>
      </c>
      <c r="C4" t="str">
        <f>IFERROR(IF(0=LEN(ReferenceData!$C$4),"",ReferenceData!$C$4),"")</f>
        <v/>
      </c>
      <c r="D4" t="str">
        <f>IFERROR(IF(0=LEN(ReferenceData!$D$4),"",ReferenceData!$D$4),"")</f>
        <v/>
      </c>
      <c r="E4" t="str">
        <f>IFERROR(IF(0=LEN(ReferenceData!$E$4),"",ReferenceData!$E$4),"")</f>
        <v>Median</v>
      </c>
      <c r="F4">
        <f ca="1">IFERROR(IF(0=LEN(ReferenceData!$L$4),"",ReferenceData!$L$4),"")</f>
        <v>111560.5</v>
      </c>
      <c r="G4">
        <f ca="1">IFERROR(IF(0=LEN(ReferenceData!$K$4),"",ReferenceData!$K$4),"")</f>
        <v>123462</v>
      </c>
      <c r="H4">
        <f ca="1">IFERROR(IF(0=LEN(ReferenceData!$J$4),"",ReferenceData!$J$4),"")</f>
        <v>105432</v>
      </c>
      <c r="I4">
        <f ca="1">IFERROR(IF(0=LEN(ReferenceData!$I$4),"",ReferenceData!$I$4),"")</f>
        <v>116833</v>
      </c>
      <c r="J4">
        <f ca="1">IFERROR(IF(0=LEN(ReferenceData!$H$4),"",ReferenceData!$H$4),"")</f>
        <v>120081</v>
      </c>
      <c r="K4">
        <f ca="1">IFERROR(IF(0=LEN(ReferenceData!$G$4),"",ReferenceData!$G$4),"")</f>
        <v>130000</v>
      </c>
      <c r="L4">
        <f ca="1">IFERROR(IF(0=LEN(ReferenceData!$F$4),"",ReferenceData!$F$4),"")</f>
        <v>138000</v>
      </c>
    </row>
    <row r="5" spans="1:12" x14ac:dyDescent="0.25">
      <c r="A5" t="str">
        <f>IFERROR(IF(0=LEN(ReferenceData!$A$5),"",ReferenceData!$A$5),"")</f>
        <v xml:space="preserve">    Accenture PLC</v>
      </c>
      <c r="B5" t="str">
        <f>IFERROR(IF(0=LEN(ReferenceData!$B$5),"",ReferenceData!$B$5),"")</f>
        <v>ACN US Equity</v>
      </c>
      <c r="C5" t="str">
        <f>IFERROR(IF(0=LEN(ReferenceData!$C$5),"",ReferenceData!$C$5),"")</f>
        <v>RR121</v>
      </c>
      <c r="D5" t="str">
        <f>IFERROR(IF(0=LEN(ReferenceData!$D$5),"",ReferenceData!$D$5),"")</f>
        <v>NUM_OF_EMPLOYEES</v>
      </c>
      <c r="E5" t="str">
        <f>IFERROR(IF(0=LEN(ReferenceData!$E$5),"",ReferenceData!$E$5),"")</f>
        <v>Dynamic</v>
      </c>
      <c r="F5">
        <f ca="1">IFERROR(IF(0=LEN(ReferenceData!$L$5),"",ReferenceData!$L$5),"")</f>
        <v>275000</v>
      </c>
      <c r="G5">
        <f ca="1">IFERROR(IF(0=LEN(ReferenceData!$K$5),"",ReferenceData!$K$5),"")</f>
        <v>305000</v>
      </c>
      <c r="H5">
        <f ca="1">IFERROR(IF(0=LEN(ReferenceData!$J$5),"",ReferenceData!$J$5),"")</f>
        <v>358498</v>
      </c>
      <c r="I5">
        <f ca="1">IFERROR(IF(0=LEN(ReferenceData!$I$5),"",ReferenceData!$I$5),"")</f>
        <v>384000</v>
      </c>
      <c r="J5">
        <f ca="1">IFERROR(IF(0=LEN(ReferenceData!$H$5),"",ReferenceData!$H$5),"")</f>
        <v>459000</v>
      </c>
      <c r="K5">
        <f ca="1">IFERROR(IF(0=LEN(ReferenceData!$G$5),"",ReferenceData!$G$5),"")</f>
        <v>459000</v>
      </c>
      <c r="L5">
        <f ca="1">IFERROR(IF(0=LEN(ReferenceData!$F$5),"",ReferenceData!$F$5),"")</f>
        <v>492000</v>
      </c>
    </row>
    <row r="6" spans="1:12" x14ac:dyDescent="0.25">
      <c r="A6" t="str">
        <f>IFERROR(IF(0=LEN(ReferenceData!$A$6),"",ReferenceData!$A$6),"")</f>
        <v xml:space="preserve">    Amdocs Ltd</v>
      </c>
      <c r="B6" t="str">
        <f>IFERROR(IF(0=LEN(ReferenceData!$B$6),"",ReferenceData!$B$6),"")</f>
        <v>DOX US Equity</v>
      </c>
      <c r="C6" t="str">
        <f>IFERROR(IF(0=LEN(ReferenceData!$C$6),"",ReferenceData!$C$6),"")</f>
        <v>RR121</v>
      </c>
      <c r="D6" t="str">
        <f>IFERROR(IF(0=LEN(ReferenceData!$D$6),"",ReferenceData!$D$6),"")</f>
        <v>NUM_OF_EMPLOYEES</v>
      </c>
      <c r="E6" t="str">
        <f>IFERROR(IF(0=LEN(ReferenceData!$E$6),"",ReferenceData!$E$6),"")</f>
        <v>Dynamic</v>
      </c>
      <c r="F6">
        <f ca="1">IFERROR(IF(0=LEN(ReferenceData!$L$6),"",ReferenceData!$L$6),"")</f>
        <v>20774</v>
      </c>
      <c r="G6">
        <f ca="1">IFERROR(IF(0=LEN(ReferenceData!$K$6),"",ReferenceData!$K$6),"")</f>
        <v>22546</v>
      </c>
      <c r="H6">
        <f ca="1">IFERROR(IF(0=LEN(ReferenceData!$J$6),"",ReferenceData!$J$6),"")</f>
        <v>24950</v>
      </c>
      <c r="I6">
        <f ca="1">IFERROR(IF(0=LEN(ReferenceData!$I$6),"",ReferenceData!$I$6),"")</f>
        <v>25561</v>
      </c>
      <c r="J6">
        <f ca="1">IFERROR(IF(0=LEN(ReferenceData!$H$6),"",ReferenceData!$H$6),"")</f>
        <v>24670</v>
      </c>
      <c r="K6">
        <f ca="1">IFERROR(IF(0=LEN(ReferenceData!$G$6),"",ReferenceData!$G$6),"")</f>
        <v>24381</v>
      </c>
      <c r="L6">
        <f ca="1">IFERROR(IF(0=LEN(ReferenceData!$F$6),"",ReferenceData!$F$6),"")</f>
        <v>24516</v>
      </c>
    </row>
    <row r="7" spans="1:12" x14ac:dyDescent="0.25">
      <c r="A7" t="str">
        <f>IFERROR(IF(0=LEN(ReferenceData!$A$7),"",ReferenceData!$A$7),"")</f>
        <v xml:space="preserve">    Atos SE</v>
      </c>
      <c r="B7" t="str">
        <f>IFERROR(IF(0=LEN(ReferenceData!$B$7),"",ReferenceData!$B$7),"")</f>
        <v>ATO FP Equity</v>
      </c>
      <c r="C7" t="str">
        <f>IFERROR(IF(0=LEN(ReferenceData!$C$7),"",ReferenceData!$C$7),"")</f>
        <v>RR121</v>
      </c>
      <c r="D7" t="str">
        <f>IFERROR(IF(0=LEN(ReferenceData!$D$7),"",ReferenceData!$D$7),"")</f>
        <v>NUM_OF_EMPLOYEES</v>
      </c>
      <c r="E7" t="str">
        <f>IFERROR(IF(0=LEN(ReferenceData!$E$7),"",ReferenceData!$E$7),"")</f>
        <v>Dynamic</v>
      </c>
      <c r="F7">
        <f ca="1">IFERROR(IF(0=LEN(ReferenceData!$L$7),"",ReferenceData!$L$7),"")</f>
        <v>76320</v>
      </c>
      <c r="G7">
        <f ca="1">IFERROR(IF(0=LEN(ReferenceData!$K$7),"",ReferenceData!$K$7),"")</f>
        <v>85865</v>
      </c>
      <c r="H7">
        <f ca="1">IFERROR(IF(0=LEN(ReferenceData!$J$7),"",ReferenceData!$J$7),"")</f>
        <v>91322</v>
      </c>
      <c r="I7">
        <f ca="1">IFERROR(IF(0=LEN(ReferenceData!$I$7),"",ReferenceData!$I$7),"")</f>
        <v>100096</v>
      </c>
      <c r="J7">
        <f ca="1">IFERROR(IF(0=LEN(ReferenceData!$H$7),"",ReferenceData!$H$7),"")</f>
        <v>97267</v>
      </c>
      <c r="K7">
        <f ca="1">IFERROR(IF(0=LEN(ReferenceData!$G$7),"",ReferenceData!$G$7),"")</f>
        <v>122110</v>
      </c>
      <c r="L7">
        <f ca="1">IFERROR(IF(0=LEN(ReferenceData!$F$7),"",ReferenceData!$F$7),"")</f>
        <v>108317</v>
      </c>
    </row>
    <row r="8" spans="1:12" x14ac:dyDescent="0.25">
      <c r="A8" t="str">
        <f>IFERROR(IF(0=LEN(ReferenceData!$A$8),"",ReferenceData!$A$8),"")</f>
        <v xml:space="preserve">    Capgemini SE</v>
      </c>
      <c r="B8" t="str">
        <f>IFERROR(IF(0=LEN(ReferenceData!$B$8),"",ReferenceData!$B$8),"")</f>
        <v>CAP FP Equity</v>
      </c>
      <c r="C8" t="str">
        <f>IFERROR(IF(0=LEN(ReferenceData!$C$8),"",ReferenceData!$C$8),"")</f>
        <v>RR121</v>
      </c>
      <c r="D8" t="str">
        <f>IFERROR(IF(0=LEN(ReferenceData!$D$8),"",ReferenceData!$D$8),"")</f>
        <v>NUM_OF_EMPLOYEES</v>
      </c>
      <c r="E8" t="str">
        <f>IFERROR(IF(0=LEN(ReferenceData!$E$8),"",ReferenceData!$E$8),"")</f>
        <v>Dynamic</v>
      </c>
      <c r="F8">
        <f ca="1">IFERROR(IF(0=LEN(ReferenceData!$L$8),"",ReferenceData!$L$8),"")</f>
        <v>131430</v>
      </c>
      <c r="G8">
        <f ca="1">IFERROR(IF(0=LEN(ReferenceData!$K$8),"",ReferenceData!$K$8),"")</f>
        <v>143643</v>
      </c>
      <c r="H8">
        <f ca="1">IFERROR(IF(0=LEN(ReferenceData!$J$8),"",ReferenceData!$J$8),"")</f>
        <v>180639</v>
      </c>
      <c r="I8">
        <f ca="1">IFERROR(IF(0=LEN(ReferenceData!$I$8),"",ReferenceData!$I$8),"")</f>
        <v>193077</v>
      </c>
      <c r="J8">
        <f ca="1">IFERROR(IF(0=LEN(ReferenceData!$H$8),"",ReferenceData!$H$8),"")</f>
        <v>199698</v>
      </c>
      <c r="K8">
        <f ca="1">IFERROR(IF(0=LEN(ReferenceData!$G$8),"",ReferenceData!$G$8),"")</f>
        <v>211313</v>
      </c>
      <c r="L8">
        <f ca="1">IFERROR(IF(0=LEN(ReferenceData!$F$8),"",ReferenceData!$F$8),"")</f>
        <v>219300</v>
      </c>
    </row>
    <row r="9" spans="1:12" x14ac:dyDescent="0.25">
      <c r="A9" t="str">
        <f>IFERROR(IF(0=LEN(ReferenceData!$A$9),"",ReferenceData!$A$9),"")</f>
        <v xml:space="preserve">    CGI Inc</v>
      </c>
      <c r="B9" t="str">
        <f>IFERROR(IF(0=LEN(ReferenceData!$B$9),"",ReferenceData!$B$9),"")</f>
        <v>GIB US Equity</v>
      </c>
      <c r="C9" t="str">
        <f>IFERROR(IF(0=LEN(ReferenceData!$C$9),"",ReferenceData!$C$9),"")</f>
        <v>RR121</v>
      </c>
      <c r="D9" t="str">
        <f>IFERROR(IF(0=LEN(ReferenceData!$D$9),"",ReferenceData!$D$9),"")</f>
        <v>NUM_OF_EMPLOYEES</v>
      </c>
      <c r="E9" t="str">
        <f>IFERROR(IF(0=LEN(ReferenceData!$E$9),"",ReferenceData!$E$9),"")</f>
        <v>Dynamic</v>
      </c>
      <c r="F9">
        <f ca="1">IFERROR(IF(0=LEN(ReferenceData!$L$9),"",ReferenceData!$L$9),"")</f>
        <v>68000</v>
      </c>
      <c r="G9">
        <f ca="1">IFERROR(IF(0=LEN(ReferenceData!$K$9),"",ReferenceData!$K$9),"")</f>
        <v>68000</v>
      </c>
      <c r="H9">
        <f ca="1">IFERROR(IF(0=LEN(ReferenceData!$J$9),"",ReferenceData!$J$9),"")</f>
        <v>65000</v>
      </c>
      <c r="I9">
        <f ca="1">IFERROR(IF(0=LEN(ReferenceData!$I$9),"",ReferenceData!$I$9),"")</f>
        <v>68000</v>
      </c>
      <c r="J9">
        <f ca="1">IFERROR(IF(0=LEN(ReferenceData!$H$9),"",ReferenceData!$H$9),"")</f>
        <v>71000</v>
      </c>
      <c r="K9">
        <f ca="1">IFERROR(IF(0=LEN(ReferenceData!$G$9),"",ReferenceData!$G$9),"")</f>
        <v>74000</v>
      </c>
      <c r="L9">
        <f ca="1">IFERROR(IF(0=LEN(ReferenceData!$F$9),"",ReferenceData!$F$9),"")</f>
        <v>77500</v>
      </c>
    </row>
    <row r="10" spans="1:12" x14ac:dyDescent="0.25">
      <c r="A10" t="str">
        <f>IFERROR(IF(0=LEN(ReferenceData!$A$10),"",ReferenceData!$A$10),"")</f>
        <v xml:space="preserve">    Cognizant Technology Solutions Corp</v>
      </c>
      <c r="B10" t="str">
        <f>IFERROR(IF(0=LEN(ReferenceData!$B$10),"",ReferenceData!$B$10),"")</f>
        <v>CTSH US Equity</v>
      </c>
      <c r="C10" t="str">
        <f>IFERROR(IF(0=LEN(ReferenceData!$C$10),"",ReferenceData!$C$10),"")</f>
        <v>RR121</v>
      </c>
      <c r="D10" t="str">
        <f>IFERROR(IF(0=LEN(ReferenceData!$D$10),"",ReferenceData!$D$10),"")</f>
        <v>NUM_OF_EMPLOYEES</v>
      </c>
      <c r="E10" t="str">
        <f>IFERROR(IF(0=LEN(ReferenceData!$E$10),"",ReferenceData!$E$10),"")</f>
        <v>Dynamic</v>
      </c>
      <c r="F10">
        <f ca="1">IFERROR(IF(0=LEN(ReferenceData!$L$10),"",ReferenceData!$L$10),"")</f>
        <v>171400</v>
      </c>
      <c r="G10">
        <f ca="1">IFERROR(IF(0=LEN(ReferenceData!$K$10),"",ReferenceData!$K$10),"")</f>
        <v>211500</v>
      </c>
      <c r="H10">
        <f ca="1">IFERROR(IF(0=LEN(ReferenceData!$J$10),"",ReferenceData!$J$10),"")</f>
        <v>221700</v>
      </c>
      <c r="I10">
        <f ca="1">IFERROR(IF(0=LEN(ReferenceData!$I$10),"",ReferenceData!$I$10),"")</f>
        <v>260200</v>
      </c>
      <c r="J10">
        <f ca="1">IFERROR(IF(0=LEN(ReferenceData!$H$10),"",ReferenceData!$H$10),"")</f>
        <v>260000</v>
      </c>
      <c r="K10">
        <f ca="1">IFERROR(IF(0=LEN(ReferenceData!$G$10),"",ReferenceData!$G$10),"")</f>
        <v>281600</v>
      </c>
      <c r="L10">
        <f ca="1">IFERROR(IF(0=LEN(ReferenceData!$F$10),"",ReferenceData!$F$10),"")</f>
        <v>292500</v>
      </c>
    </row>
    <row r="11" spans="1:12" x14ac:dyDescent="0.25">
      <c r="A11" t="str">
        <f>IFERROR(IF(0=LEN(ReferenceData!$A$11),"",ReferenceData!$A$11),"")</f>
        <v xml:space="preserve">    Conduent Inc</v>
      </c>
      <c r="B11" t="str">
        <f>IFERROR(IF(0=LEN(ReferenceData!$B$11),"",ReferenceData!$B$11),"")</f>
        <v>CNDT US Equity</v>
      </c>
      <c r="C11" t="str">
        <f>IFERROR(IF(0=LEN(ReferenceData!$C$11),"",ReferenceData!$C$11),"")</f>
        <v>RR121</v>
      </c>
      <c r="D11" t="str">
        <f>IFERROR(IF(0=LEN(ReferenceData!$D$11),"",ReferenceData!$D$11),"")</f>
        <v>NUM_OF_EMPLOYEES</v>
      </c>
      <c r="E11" t="str">
        <f>IFERROR(IF(0=LEN(ReferenceData!$E$11),"",ReferenceData!$E$11),"")</f>
        <v>Dynamic</v>
      </c>
      <c r="F11" t="str">
        <f ca="1">IFERROR(IF(0=LEN(ReferenceData!$L$11),"",ReferenceData!$L$11),"")</f>
        <v/>
      </c>
      <c r="G11" t="str">
        <f ca="1">IFERROR(IF(0=LEN(ReferenceData!$K$11),"",ReferenceData!$K$11),"")</f>
        <v/>
      </c>
      <c r="H11" t="str">
        <f ca="1">IFERROR(IF(0=LEN(ReferenceData!$J$11),"",ReferenceData!$J$11),"")</f>
        <v/>
      </c>
      <c r="I11">
        <f ca="1">IFERROR(IF(0=LEN(ReferenceData!$I$11),"",ReferenceData!$I$11),"")</f>
        <v>96000</v>
      </c>
      <c r="J11">
        <f ca="1">IFERROR(IF(0=LEN(ReferenceData!$H$11),"",ReferenceData!$H$11),"")</f>
        <v>90000</v>
      </c>
      <c r="K11">
        <f ca="1">IFERROR(IF(0=LEN(ReferenceData!$G$11),"",ReferenceData!$G$11),"")</f>
        <v>82000</v>
      </c>
      <c r="L11">
        <f ca="1">IFERROR(IF(0=LEN(ReferenceData!$F$11),"",ReferenceData!$F$11),"")</f>
        <v>67000</v>
      </c>
    </row>
    <row r="12" spans="1:12" x14ac:dyDescent="0.25">
      <c r="A12" t="str">
        <f>IFERROR(IF(0=LEN(ReferenceData!$A$12),"",ReferenceData!$A$12),"")</f>
        <v xml:space="preserve">    DXC Technology Co</v>
      </c>
      <c r="B12" t="str">
        <f>IFERROR(IF(0=LEN(ReferenceData!$B$12),"",ReferenceData!$B$12),"")</f>
        <v>DXC US Equity</v>
      </c>
      <c r="C12" t="str">
        <f>IFERROR(IF(0=LEN(ReferenceData!$C$12),"",ReferenceData!$C$12),"")</f>
        <v>RR121</v>
      </c>
      <c r="D12" t="str">
        <f>IFERROR(IF(0=LEN(ReferenceData!$D$12),"",ReferenceData!$D$12),"")</f>
        <v>NUM_OF_EMPLOYEES</v>
      </c>
      <c r="E12" t="str">
        <f>IFERROR(IF(0=LEN(ReferenceData!$E$12),"",ReferenceData!$E$12),"")</f>
        <v>Dynamic</v>
      </c>
      <c r="F12" t="str">
        <f ca="1">IFERROR(IF(0=LEN(ReferenceData!$L$12),"",ReferenceData!$L$12),"")</f>
        <v/>
      </c>
      <c r="G12" t="str">
        <f ca="1">IFERROR(IF(0=LEN(ReferenceData!$K$12),"",ReferenceData!$K$12),"")</f>
        <v/>
      </c>
      <c r="H12" t="str">
        <f ca="1">IFERROR(IF(0=LEN(ReferenceData!$J$12),"",ReferenceData!$J$12),"")</f>
        <v/>
      </c>
      <c r="I12" t="str">
        <f ca="1">IFERROR(IF(0=LEN(ReferenceData!$I$12),"",ReferenceData!$I$12),"")</f>
        <v/>
      </c>
      <c r="J12">
        <f ca="1">IFERROR(IF(0=LEN(ReferenceData!$H$12),"",ReferenceData!$H$12),"")</f>
        <v>150000</v>
      </c>
      <c r="K12">
        <f ca="1">IFERROR(IF(0=LEN(ReferenceData!$G$12),"",ReferenceData!$G$12),"")</f>
        <v>130000</v>
      </c>
      <c r="L12">
        <f ca="1">IFERROR(IF(0=LEN(ReferenceData!$F$12),"",ReferenceData!$F$12),"")</f>
        <v>138000</v>
      </c>
    </row>
    <row r="13" spans="1:12" x14ac:dyDescent="0.25">
      <c r="A13" t="str">
        <f>IFERROR(IF(0=LEN(ReferenceData!$A$13),"",ReferenceData!$A$13),"")</f>
        <v xml:space="preserve">    EPAM Systems Inc</v>
      </c>
      <c r="B13" t="str">
        <f>IFERROR(IF(0=LEN(ReferenceData!$B$13),"",ReferenceData!$B$13),"")</f>
        <v>EPAM US Equity</v>
      </c>
      <c r="C13" t="str">
        <f>IFERROR(IF(0=LEN(ReferenceData!$C$13),"",ReferenceData!$C$13),"")</f>
        <v>RR121</v>
      </c>
      <c r="D13" t="str">
        <f>IFERROR(IF(0=LEN(ReferenceData!$D$13),"",ReferenceData!$D$13),"")</f>
        <v>NUM_OF_EMPLOYEES</v>
      </c>
      <c r="E13" t="str">
        <f>IFERROR(IF(0=LEN(ReferenceData!$E$13),"",ReferenceData!$E$13),"")</f>
        <v>Dynamic</v>
      </c>
      <c r="F13" t="str">
        <f ca="1">IFERROR(IF(0=LEN(ReferenceData!$L$13),"",ReferenceData!$L$13),"")</f>
        <v/>
      </c>
      <c r="G13">
        <f ca="1">IFERROR(IF(0=LEN(ReferenceData!$K$13),"",ReferenceData!$K$13),"")</f>
        <v>14109</v>
      </c>
      <c r="H13">
        <f ca="1">IFERROR(IF(0=LEN(ReferenceData!$J$13),"",ReferenceData!$J$13),"")</f>
        <v>18354</v>
      </c>
      <c r="I13">
        <f ca="1">IFERROR(IF(0=LEN(ReferenceData!$I$13),"",ReferenceData!$I$13),"")</f>
        <v>22383</v>
      </c>
      <c r="J13">
        <f ca="1">IFERROR(IF(0=LEN(ReferenceData!$H$13),"",ReferenceData!$H$13),"")</f>
        <v>25962</v>
      </c>
      <c r="K13">
        <f ca="1">IFERROR(IF(0=LEN(ReferenceData!$G$13),"",ReferenceData!$G$13),"")</f>
        <v>30200</v>
      </c>
      <c r="L13">
        <f ca="1">IFERROR(IF(0=LEN(ReferenceData!$F$13),"",ReferenceData!$F$13),"")</f>
        <v>36739</v>
      </c>
    </row>
    <row r="14" spans="1:12" x14ac:dyDescent="0.25">
      <c r="A14" t="str">
        <f>IFERROR(IF(0=LEN(ReferenceData!$A$14),"",ReferenceData!$A$14),"")</f>
        <v xml:space="preserve">    Genpact Ltd</v>
      </c>
      <c r="B14" t="str">
        <f>IFERROR(IF(0=LEN(ReferenceData!$B$14),"",ReferenceData!$B$14),"")</f>
        <v>G US Equity</v>
      </c>
      <c r="C14" t="str">
        <f>IFERROR(IF(0=LEN(ReferenceData!$C$14),"",ReferenceData!$C$14),"")</f>
        <v>RR121</v>
      </c>
      <c r="D14" t="str">
        <f>IFERROR(IF(0=LEN(ReferenceData!$D$14),"",ReferenceData!$D$14),"")</f>
        <v>NUM_OF_EMPLOYEES</v>
      </c>
      <c r="E14" t="str">
        <f>IFERROR(IF(0=LEN(ReferenceData!$E$14),"",ReferenceData!$E$14),"")</f>
        <v>Dynamic</v>
      </c>
      <c r="F14">
        <f ca="1">IFERROR(IF(0=LEN(ReferenceData!$L$14),"",ReferenceData!$L$14),"")</f>
        <v>63600</v>
      </c>
      <c r="G14">
        <f ca="1">IFERROR(IF(0=LEN(ReferenceData!$K$14),"",ReferenceData!$K$14),"")</f>
        <v>67900</v>
      </c>
      <c r="H14">
        <f ca="1">IFERROR(IF(0=LEN(ReferenceData!$J$14),"",ReferenceData!$J$14),"")</f>
        <v>72000</v>
      </c>
      <c r="I14">
        <f ca="1">IFERROR(IF(0=LEN(ReferenceData!$I$14),"",ReferenceData!$I$14),"")</f>
        <v>75000</v>
      </c>
      <c r="J14">
        <f ca="1">IFERROR(IF(0=LEN(ReferenceData!$H$14),"",ReferenceData!$H$14),"")</f>
        <v>78000</v>
      </c>
      <c r="K14">
        <f ca="1">IFERROR(IF(0=LEN(ReferenceData!$G$14),"",ReferenceData!$G$14),"")</f>
        <v>87000</v>
      </c>
      <c r="L14">
        <f ca="1">IFERROR(IF(0=LEN(ReferenceData!$F$14),"",ReferenceData!$F$14),"")</f>
        <v>96500</v>
      </c>
    </row>
    <row r="15" spans="1:12" x14ac:dyDescent="0.25">
      <c r="A15" t="str">
        <f>IFERROR(IF(0=LEN(ReferenceData!$A$15),"",ReferenceData!$A$15),"")</f>
        <v xml:space="preserve">    HCL Technologies Ltd</v>
      </c>
      <c r="B15" t="str">
        <f>IFERROR(IF(0=LEN(ReferenceData!$B$15),"",ReferenceData!$B$15),"")</f>
        <v>HCLT IN Equity</v>
      </c>
      <c r="C15" t="str">
        <f>IFERROR(IF(0=LEN(ReferenceData!$C$15),"",ReferenceData!$C$15),"")</f>
        <v>RR121</v>
      </c>
      <c r="D15" t="str">
        <f>IFERROR(IF(0=LEN(ReferenceData!$D$15),"",ReferenceData!$D$15),"")</f>
        <v>NUM_OF_EMPLOYEES</v>
      </c>
      <c r="E15" t="str">
        <f>IFERROR(IF(0=LEN(ReferenceData!$E$15),"",ReferenceData!$E$15),"")</f>
        <v>Dynamic</v>
      </c>
      <c r="F15">
        <f ca="1">IFERROR(IF(0=LEN(ReferenceData!$L$15),"",ReferenceData!$L$15),"")</f>
        <v>91691</v>
      </c>
      <c r="G15" t="str">
        <f ca="1">IFERROR(IF(0=LEN(ReferenceData!$K$15),"",ReferenceData!$K$15),"")</f>
        <v/>
      </c>
      <c r="H15">
        <f ca="1">IFERROR(IF(0=LEN(ReferenceData!$J$15),"",ReferenceData!$J$15),"")</f>
        <v>104896</v>
      </c>
      <c r="I15">
        <f ca="1">IFERROR(IF(0=LEN(ReferenceData!$I$15),"",ReferenceData!$I$15),"")</f>
        <v>115973</v>
      </c>
      <c r="J15">
        <f ca="1">IFERROR(IF(0=LEN(ReferenceData!$H$15),"",ReferenceData!$H$15),"")</f>
        <v>120081</v>
      </c>
      <c r="K15">
        <f ca="1">IFERROR(IF(0=LEN(ReferenceData!$G$15),"",ReferenceData!$G$15),"")</f>
        <v>137965</v>
      </c>
      <c r="L15">
        <f ca="1">IFERROR(IF(0=LEN(ReferenceData!$F$15),"",ReferenceData!$F$15),"")</f>
        <v>150423</v>
      </c>
    </row>
    <row r="16" spans="1:12" x14ac:dyDescent="0.25">
      <c r="A16" t="str">
        <f>IFERROR(IF(0=LEN(ReferenceData!$A$16),"",ReferenceData!$A$16),"")</f>
        <v xml:space="preserve">    Indra Sistemas SA</v>
      </c>
      <c r="B16" t="str">
        <f>IFERROR(IF(0=LEN(ReferenceData!$B$16),"",ReferenceData!$B$16),"")</f>
        <v>IDR SM Equity</v>
      </c>
      <c r="C16" t="str">
        <f>IFERROR(IF(0=LEN(ReferenceData!$C$16),"",ReferenceData!$C$16),"")</f>
        <v>RR121</v>
      </c>
      <c r="D16" t="str">
        <f>IFERROR(IF(0=LEN(ReferenceData!$D$16),"",ReferenceData!$D$16),"")</f>
        <v>NUM_OF_EMPLOYEES</v>
      </c>
      <c r="E16" t="str">
        <f>IFERROR(IF(0=LEN(ReferenceData!$E$16),"",ReferenceData!$E$16),"")</f>
        <v>Dynamic</v>
      </c>
      <c r="F16">
        <f ca="1">IFERROR(IF(0=LEN(ReferenceData!$L$16),"",ReferenceData!$L$16),"")</f>
        <v>38548</v>
      </c>
      <c r="G16">
        <f ca="1">IFERROR(IF(0=LEN(ReferenceData!$K$16),"",ReferenceData!$K$16),"")</f>
        <v>38552</v>
      </c>
      <c r="H16">
        <f ca="1">IFERROR(IF(0=LEN(ReferenceData!$J$16),"",ReferenceData!$J$16),"")</f>
        <v>37073</v>
      </c>
      <c r="I16">
        <f ca="1">IFERROR(IF(0=LEN(ReferenceData!$I$16),"",ReferenceData!$I$16),"")</f>
        <v>35660</v>
      </c>
      <c r="J16">
        <f ca="1">IFERROR(IF(0=LEN(ReferenceData!$H$16),"",ReferenceData!$H$16),"")</f>
        <v>40020</v>
      </c>
      <c r="K16">
        <f ca="1">IFERROR(IF(0=LEN(ReferenceData!$G$16),"",ReferenceData!$G$16),"")</f>
        <v>41572</v>
      </c>
      <c r="L16">
        <f ca="1">IFERROR(IF(0=LEN(ReferenceData!$F$16),"",ReferenceData!$F$16),"")</f>
        <v>47409</v>
      </c>
    </row>
    <row r="17" spans="1:12" x14ac:dyDescent="0.25">
      <c r="A17" t="str">
        <f>IFERROR(IF(0=LEN(ReferenceData!$A$17),"",ReferenceData!$A$17),"")</f>
        <v xml:space="preserve">    Infosys Ltd</v>
      </c>
      <c r="B17" t="str">
        <f>IFERROR(IF(0=LEN(ReferenceData!$B$17),"",ReferenceData!$B$17),"")</f>
        <v>INFY US Equity</v>
      </c>
      <c r="C17" t="str">
        <f>IFERROR(IF(0=LEN(ReferenceData!$C$17),"",ReferenceData!$C$17),"")</f>
        <v>RR121</v>
      </c>
      <c r="D17" t="str">
        <f>IFERROR(IF(0=LEN(ReferenceData!$D$17),"",ReferenceData!$D$17),"")</f>
        <v>NUM_OF_EMPLOYEES</v>
      </c>
      <c r="E17" t="str">
        <f>IFERROR(IF(0=LEN(ReferenceData!$E$17),"",ReferenceData!$E$17),"")</f>
        <v>Dynamic</v>
      </c>
      <c r="F17">
        <f ca="1">IFERROR(IF(0=LEN(ReferenceData!$L$17),"",ReferenceData!$L$17),"")</f>
        <v>160405</v>
      </c>
      <c r="G17">
        <f ca="1">IFERROR(IF(0=LEN(ReferenceData!$K$17),"",ReferenceData!$K$17),"")</f>
        <v>176187</v>
      </c>
      <c r="H17">
        <f ca="1">IFERROR(IF(0=LEN(ReferenceData!$J$17),"",ReferenceData!$J$17),"")</f>
        <v>194044</v>
      </c>
      <c r="I17">
        <f ca="1">IFERROR(IF(0=LEN(ReferenceData!$I$17),"",ReferenceData!$I$17),"")</f>
        <v>200364</v>
      </c>
      <c r="J17">
        <f ca="1">IFERROR(IF(0=LEN(ReferenceData!$H$17),"",ReferenceData!$H$17),"")</f>
        <v>204107</v>
      </c>
      <c r="K17">
        <f ca="1">IFERROR(IF(0=LEN(ReferenceData!$G$17),"",ReferenceData!$G$17),"")</f>
        <v>228123</v>
      </c>
      <c r="L17">
        <f ca="1">IFERROR(IF(0=LEN(ReferenceData!$F$17),"",ReferenceData!$F$17),"")</f>
        <v>242371</v>
      </c>
    </row>
    <row r="18" spans="1:12" x14ac:dyDescent="0.25">
      <c r="A18" t="str">
        <f>IFERROR(IF(0=LEN(ReferenceData!$A$18),"",ReferenceData!$A$18),"")</f>
        <v xml:space="preserve">    International Business Machines Corp</v>
      </c>
      <c r="B18" t="str">
        <f>IFERROR(IF(0=LEN(ReferenceData!$B$18),"",ReferenceData!$B$18),"")</f>
        <v>IBM US Equity</v>
      </c>
      <c r="C18" t="str">
        <f>IFERROR(IF(0=LEN(ReferenceData!$C$18),"",ReferenceData!$C$18),"")</f>
        <v>RR121</v>
      </c>
      <c r="D18" t="str">
        <f>IFERROR(IF(0=LEN(ReferenceData!$D$18),"",ReferenceData!$D$18),"")</f>
        <v>NUM_OF_EMPLOYEES</v>
      </c>
      <c r="E18" t="str">
        <f>IFERROR(IF(0=LEN(ReferenceData!$E$18),"",ReferenceData!$E$18),"")</f>
        <v>Dynamic</v>
      </c>
      <c r="F18">
        <f ca="1">IFERROR(IF(0=LEN(ReferenceData!$L$18),"",ReferenceData!$L$18),"")</f>
        <v>431212</v>
      </c>
      <c r="G18">
        <f ca="1">IFERROR(IF(0=LEN(ReferenceData!$K$18),"",ReferenceData!$K$18),"")</f>
        <v>379592</v>
      </c>
      <c r="H18">
        <f ca="1">IFERROR(IF(0=LEN(ReferenceData!$J$18),"",ReferenceData!$J$18),"")</f>
        <v>377757</v>
      </c>
      <c r="I18">
        <f ca="1">IFERROR(IF(0=LEN(ReferenceData!$I$18),"",ReferenceData!$I$18),"")</f>
        <v>380300</v>
      </c>
      <c r="J18">
        <f ca="1">IFERROR(IF(0=LEN(ReferenceData!$H$18),"",ReferenceData!$H$18),"")</f>
        <v>366600</v>
      </c>
      <c r="K18">
        <f ca="1">IFERROR(IF(0=LEN(ReferenceData!$G$18),"",ReferenceData!$G$18),"")</f>
        <v>350600</v>
      </c>
      <c r="L18">
        <f ca="1">IFERROR(IF(0=LEN(ReferenceData!$F$18),"",ReferenceData!$F$18),"")</f>
        <v>350600</v>
      </c>
    </row>
    <row r="19" spans="1:12" x14ac:dyDescent="0.25">
      <c r="A19" t="str">
        <f>IFERROR(IF(0=LEN(ReferenceData!$A$19),"",ReferenceData!$A$19),"")</f>
        <v xml:space="preserve">    Tata Consultancy Services Ltd</v>
      </c>
      <c r="B19" t="str">
        <f>IFERROR(IF(0=LEN(ReferenceData!$B$19),"",ReferenceData!$B$19),"")</f>
        <v>TCS IN Equity</v>
      </c>
      <c r="C19" t="str">
        <f>IFERROR(IF(0=LEN(ReferenceData!$C$19),"",ReferenceData!$C$19),"")</f>
        <v>RR121</v>
      </c>
      <c r="D19" t="str">
        <f>IFERROR(IF(0=LEN(ReferenceData!$D$19),"",ReferenceData!$D$19),"")</f>
        <v>NUM_OF_EMPLOYEES</v>
      </c>
      <c r="E19" t="str">
        <f>IFERROR(IF(0=LEN(ReferenceData!$E$19),"",ReferenceData!$E$19),"")</f>
        <v>Dynamic</v>
      </c>
      <c r="F19">
        <f ca="1">IFERROR(IF(0=LEN(ReferenceData!$L$19),"",ReferenceData!$L$19),"")</f>
        <v>300464</v>
      </c>
      <c r="G19">
        <f ca="1">IFERROR(IF(0=LEN(ReferenceData!$K$19),"",ReferenceData!$K$19),"")</f>
        <v>319656</v>
      </c>
      <c r="H19">
        <f ca="1">IFERROR(IF(0=LEN(ReferenceData!$J$19),"",ReferenceData!$J$19),"")</f>
        <v>353843</v>
      </c>
      <c r="I19">
        <f ca="1">IFERROR(IF(0=LEN(ReferenceData!$I$19),"",ReferenceData!$I$19),"")</f>
        <v>387223</v>
      </c>
      <c r="J19">
        <f ca="1">IFERROR(IF(0=LEN(ReferenceData!$H$19),"",ReferenceData!$H$19),"")</f>
        <v>394998</v>
      </c>
      <c r="K19">
        <f ca="1">IFERROR(IF(0=LEN(ReferenceData!$G$19),"",ReferenceData!$G$19),"")</f>
        <v>424285</v>
      </c>
      <c r="L19">
        <f ca="1">IFERROR(IF(0=LEN(ReferenceData!$F$19),"",ReferenceData!$F$19),"")</f>
        <v>448464</v>
      </c>
    </row>
    <row r="20" spans="1:12" x14ac:dyDescent="0.25">
      <c r="A20" t="str">
        <f>IFERROR(IF(0=LEN(ReferenceData!$A$20),"",ReferenceData!$A$20),"")</f>
        <v xml:space="preserve">    Tech Mahindra Ltd</v>
      </c>
      <c r="B20" t="str">
        <f>IFERROR(IF(0=LEN(ReferenceData!$B$20),"",ReferenceData!$B$20),"")</f>
        <v>TECHM IN Equity</v>
      </c>
      <c r="C20" t="str">
        <f>IFERROR(IF(0=LEN(ReferenceData!$C$20),"",ReferenceData!$C$20),"")</f>
        <v>RR121</v>
      </c>
      <c r="D20" t="str">
        <f>IFERROR(IF(0=LEN(ReferenceData!$D$20),"",ReferenceData!$D$20),"")</f>
        <v>NUM_OF_EMPLOYEES</v>
      </c>
      <c r="E20" t="str">
        <f>IFERROR(IF(0=LEN(ReferenceData!$E$20),"",ReferenceData!$E$20),"")</f>
        <v>Dynamic</v>
      </c>
      <c r="F20">
        <f ca="1">IFERROR(IF(0=LEN(ReferenceData!$L$20),"",ReferenceData!$L$20),"")</f>
        <v>89441</v>
      </c>
      <c r="G20">
        <f ca="1">IFERROR(IF(0=LEN(ReferenceData!$K$20),"",ReferenceData!$K$20),"")</f>
        <v>103281</v>
      </c>
      <c r="H20">
        <f ca="1">IFERROR(IF(0=LEN(ReferenceData!$J$20),"",ReferenceData!$J$20),"")</f>
        <v>105432</v>
      </c>
      <c r="I20">
        <f ca="1">IFERROR(IF(0=LEN(ReferenceData!$I$20),"",ReferenceData!$I$20),"")</f>
        <v>117693</v>
      </c>
      <c r="J20">
        <f ca="1">IFERROR(IF(0=LEN(ReferenceData!$H$20),"",ReferenceData!$H$20),"")</f>
        <v>112807</v>
      </c>
      <c r="K20">
        <f ca="1">IFERROR(IF(0=LEN(ReferenceData!$G$20),"",ReferenceData!$G$20),"")</f>
        <v>103822</v>
      </c>
      <c r="L20">
        <f ca="1">IFERROR(IF(0=LEN(ReferenceData!$F$20),"",ReferenceData!$F$20),"")</f>
        <v>103822</v>
      </c>
    </row>
    <row r="21" spans="1:12" x14ac:dyDescent="0.25">
      <c r="A21" t="str">
        <f>IFERROR(IF(0=LEN(ReferenceData!$A$21),"",ReferenceData!$A$21),"")</f>
        <v xml:space="preserve">    Wipro Ltd</v>
      </c>
      <c r="B21" t="str">
        <f>IFERROR(IF(0=LEN(ReferenceData!$B$21),"",ReferenceData!$B$21),"")</f>
        <v>WIT US Equity</v>
      </c>
      <c r="C21" t="str">
        <f>IFERROR(IF(0=LEN(ReferenceData!$C$21),"",ReferenceData!$C$21),"")</f>
        <v>RR121</v>
      </c>
      <c r="D21" t="str">
        <f>IFERROR(IF(0=LEN(ReferenceData!$D$21),"",ReferenceData!$D$21),"")</f>
        <v>NUM_OF_EMPLOYEES</v>
      </c>
      <c r="E21" t="str">
        <f>IFERROR(IF(0=LEN(ReferenceData!$E$21),"",ReferenceData!$E$21),"")</f>
        <v>Dynamic</v>
      </c>
      <c r="F21">
        <f ca="1">IFERROR(IF(0=LEN(ReferenceData!$L$21),"",ReferenceData!$L$21),"")</f>
        <v>146053</v>
      </c>
      <c r="G21">
        <f ca="1">IFERROR(IF(0=LEN(ReferenceData!$K$21),"",ReferenceData!$K$21),"")</f>
        <v>158217</v>
      </c>
      <c r="H21">
        <f ca="1">IFERROR(IF(0=LEN(ReferenceData!$J$21),"",ReferenceData!$J$21),"")</f>
        <v>172912</v>
      </c>
      <c r="I21">
        <f ca="1">IFERROR(IF(0=LEN(ReferenceData!$I$21),"",ReferenceData!$I$21),"")</f>
        <v>181482</v>
      </c>
      <c r="J21">
        <f ca="1">IFERROR(IF(0=LEN(ReferenceData!$H$21),"",ReferenceData!$H$21),"")</f>
        <v>163827</v>
      </c>
      <c r="K21">
        <f ca="1">IFERROR(IF(0=LEN(ReferenceData!$G$21),"",ReferenceData!$G$21),"")</f>
        <v>171425</v>
      </c>
      <c r="L21">
        <f ca="1">IFERROR(IF(0=LEN(ReferenceData!$F$21),"",ReferenceData!$F$21),"")</f>
        <v>182886</v>
      </c>
    </row>
    <row r="22" spans="1:12" x14ac:dyDescent="0.25">
      <c r="A22" t="str">
        <f>IFERROR(IF(0=LEN(ReferenceData!$A$22),"",ReferenceData!$A$22),"")</f>
        <v>Number of Women in Workforce</v>
      </c>
      <c r="B22" t="str">
        <f>IFERROR(IF(0=LEN(ReferenceData!$B$22),"",ReferenceData!$B$22),"")</f>
        <v/>
      </c>
      <c r="C22" t="str">
        <f>IFERROR(IF(0=LEN(ReferenceData!$C$22),"",ReferenceData!$C$22),"")</f>
        <v/>
      </c>
      <c r="D22" t="str">
        <f>IFERROR(IF(0=LEN(ReferenceData!$D$22),"",ReferenceData!$D$22),"")</f>
        <v/>
      </c>
      <c r="E22" t="str">
        <f>IFERROR(IF(0=LEN(ReferenceData!$E$22),"",ReferenceData!$E$22),"")</f>
        <v>Median</v>
      </c>
      <c r="F22">
        <f ca="1">IFERROR(IF(0=LEN(ReferenceData!$L$22),"",ReferenceData!$L$22),"")</f>
        <v>37326.120000000003</v>
      </c>
      <c r="G22">
        <f ca="1">IFERROR(IF(0=LEN(ReferenceData!$K$22),"",ReferenceData!$K$22),"")</f>
        <v>47781.535580000003</v>
      </c>
      <c r="H22">
        <f ca="1">IFERROR(IF(0=LEN(ReferenceData!$J$22),"",ReferenceData!$J$22),"")</f>
        <v>54310.172500000001</v>
      </c>
      <c r="I22">
        <f ca="1">IFERROR(IF(0=LEN(ReferenceData!$I$22),"",ReferenceData!$I$22),"")</f>
        <v>60103.104534999999</v>
      </c>
      <c r="J22">
        <f ca="1">IFERROR(IF(0=LEN(ReferenceData!$H$22),"",ReferenceData!$H$22),"")</f>
        <v>41766.935949999999</v>
      </c>
      <c r="K22">
        <f ca="1">IFERROR(IF(0=LEN(ReferenceData!$G$22),"",ReferenceData!$G$22),"")</f>
        <v>51620.800855000001</v>
      </c>
      <c r="L22" t="str">
        <f ca="1">IFERROR(IF(0=LEN(ReferenceData!$F$22),"",ReferenceData!$F$22),"")</f>
        <v/>
      </c>
    </row>
    <row r="23" spans="1:12" x14ac:dyDescent="0.25">
      <c r="A23" t="str">
        <f>IFERROR(IF(0=LEN(ReferenceData!$A$23),"",ReferenceData!$A$23),"")</f>
        <v xml:space="preserve">    Accenture PLC</v>
      </c>
      <c r="B23" t="str">
        <f>IFERROR(IF(0=LEN(ReferenceData!$B$23),"",ReferenceData!$B$23),"")</f>
        <v>ACN US Equity</v>
      </c>
      <c r="C23" t="str">
        <f>IFERROR(IF(0=LEN(ReferenceData!$C$23),"",ReferenceData!$C$23),"")</f>
        <v/>
      </c>
      <c r="D23" t="str">
        <f>IFERROR(IF(0=LEN(ReferenceData!$D$23),"",ReferenceData!$D$23),"")</f>
        <v/>
      </c>
      <c r="E23" t="str">
        <f>IFERROR(IF(0=LEN(ReferenceData!$E$23),"",ReferenceData!$E$23),"")</f>
        <v>Expression</v>
      </c>
      <c r="F23">
        <f ca="1">IFERROR(IF(0=LEN(ReferenceData!$L$23),"",ReferenceData!$L$23),"")</f>
        <v>99000</v>
      </c>
      <c r="G23">
        <f ca="1">IFERROR(IF(0=LEN(ReferenceData!$K$23),"",ReferenceData!$K$23),"")</f>
        <v>109800</v>
      </c>
      <c r="H23">
        <f ca="1">IFERROR(IF(0=LEN(ReferenceData!$J$23),"",ReferenceData!$J$23),"")</f>
        <v>136229.24</v>
      </c>
      <c r="I23">
        <f ca="1">IFERROR(IF(0=LEN(ReferenceData!$I$23),"",ReferenceData!$I$23),"")</f>
        <v>149760</v>
      </c>
      <c r="J23">
        <f ca="1">IFERROR(IF(0=LEN(ReferenceData!$H$23),"",ReferenceData!$H$23),"")</f>
        <v>188190</v>
      </c>
      <c r="K23">
        <f ca="1">IFERROR(IF(0=LEN(ReferenceData!$G$23),"",ReferenceData!$G$23),"")</f>
        <v>192780</v>
      </c>
      <c r="L23" t="str">
        <f ca="1">IFERROR(IF(0=LEN(ReferenceData!$F$23),"",ReferenceData!$F$23),"")</f>
        <v/>
      </c>
    </row>
    <row r="24" spans="1:12" x14ac:dyDescent="0.25">
      <c r="A24" t="str">
        <f>IFERROR(IF(0=LEN(ReferenceData!$A$24),"",ReferenceData!$A$24),"")</f>
        <v xml:space="preserve">    Amdocs Ltd</v>
      </c>
      <c r="B24" t="str">
        <f>IFERROR(IF(0=LEN(ReferenceData!$B$24),"",ReferenceData!$B$24),"")</f>
        <v>DOX US Equity</v>
      </c>
      <c r="C24" t="str">
        <f>IFERROR(IF(0=LEN(ReferenceData!$C$24),"",ReferenceData!$C$24),"")</f>
        <v/>
      </c>
      <c r="D24" t="str">
        <f>IFERROR(IF(0=LEN(ReferenceData!$D$24),"",ReferenceData!$D$24),"")</f>
        <v/>
      </c>
      <c r="E24" t="str">
        <f>IFERROR(IF(0=LEN(ReferenceData!$E$24),"",ReferenceData!$E$24),"")</f>
        <v>Expression</v>
      </c>
      <c r="F24">
        <f ca="1">IFERROR(IF(0=LEN(ReferenceData!$L$24),"",ReferenceData!$L$24),"")</f>
        <v>6232.2</v>
      </c>
      <c r="G24" t="str">
        <f ca="1">IFERROR(IF(0=LEN(ReferenceData!$K$24),"",ReferenceData!$K$24),"")</f>
        <v/>
      </c>
      <c r="H24" t="str">
        <f ca="1">IFERROR(IF(0=LEN(ReferenceData!$J$24),"",ReferenceData!$J$24),"")</f>
        <v/>
      </c>
      <c r="I24" t="str">
        <f ca="1">IFERROR(IF(0=LEN(ReferenceData!$I$24),"",ReferenceData!$I$24),"")</f>
        <v/>
      </c>
      <c r="J24">
        <f ca="1">IFERROR(IF(0=LEN(ReferenceData!$H$24),"",ReferenceData!$H$24),"")</f>
        <v>7450.3402470000001</v>
      </c>
      <c r="K24" t="str">
        <f ca="1">IFERROR(IF(0=LEN(ReferenceData!$G$24),"",ReferenceData!$G$24),"")</f>
        <v/>
      </c>
      <c r="L24" t="str">
        <f ca="1">IFERROR(IF(0=LEN(ReferenceData!$F$24),"",ReferenceData!$F$24),"")</f>
        <v/>
      </c>
    </row>
    <row r="25" spans="1:12" x14ac:dyDescent="0.25">
      <c r="A25" t="str">
        <f>IFERROR(IF(0=LEN(ReferenceData!$A$25),"",ReferenceData!$A$25),"")</f>
        <v xml:space="preserve">    Atos SE</v>
      </c>
      <c r="B25" t="str">
        <f>IFERROR(IF(0=LEN(ReferenceData!$B$25),"",ReferenceData!$B$25),"")</f>
        <v>ATO FP Equity</v>
      </c>
      <c r="C25" t="str">
        <f>IFERROR(IF(0=LEN(ReferenceData!$C$25),"",ReferenceData!$C$25),"")</f>
        <v/>
      </c>
      <c r="D25" t="str">
        <f>IFERROR(IF(0=LEN(ReferenceData!$D$25),"",ReferenceData!$D$25),"")</f>
        <v/>
      </c>
      <c r="E25" t="str">
        <f>IFERROR(IF(0=LEN(ReferenceData!$E$25),"",ReferenceData!$E$25),"")</f>
        <v>Expression</v>
      </c>
      <c r="F25">
        <f ca="1">IFERROR(IF(0=LEN(ReferenceData!$L$25),"",ReferenceData!$L$25),"")</f>
        <v>20606.400000000001</v>
      </c>
      <c r="G25">
        <f ca="1">IFERROR(IF(0=LEN(ReferenceData!$K$25),"",ReferenceData!$K$25),"")</f>
        <v>23921.989860000001</v>
      </c>
      <c r="H25">
        <f ca="1">IFERROR(IF(0=LEN(ReferenceData!$J$25),"",ReferenceData!$J$25),"")</f>
        <v>24737.66865</v>
      </c>
      <c r="I25">
        <f ca="1">IFERROR(IF(0=LEN(ReferenceData!$I$25),"",ReferenceData!$I$25),"")</f>
        <v>26735.640599999999</v>
      </c>
      <c r="J25">
        <f ca="1">IFERROR(IF(0=LEN(ReferenceData!$H$25),"",ReferenceData!$H$25),"")</f>
        <v>28372.783899999999</v>
      </c>
      <c r="K25">
        <f ca="1">IFERROR(IF(0=LEN(ReferenceData!$G$25),"",ReferenceData!$G$25),"")</f>
        <v>35924.762000000002</v>
      </c>
      <c r="L25" t="str">
        <f ca="1">IFERROR(IF(0=LEN(ReferenceData!$F$25),"",ReferenceData!$F$25),"")</f>
        <v/>
      </c>
    </row>
    <row r="26" spans="1:12" x14ac:dyDescent="0.25">
      <c r="A26" t="str">
        <f>IFERROR(IF(0=LEN(ReferenceData!$A$26),"",ReferenceData!$A$26),"")</f>
        <v xml:space="preserve">    Capgemini SE</v>
      </c>
      <c r="B26" t="str">
        <f>IFERROR(IF(0=LEN(ReferenceData!$B$26),"",ReferenceData!$B$26),"")</f>
        <v>CAP FP Equity</v>
      </c>
      <c r="C26" t="str">
        <f>IFERROR(IF(0=LEN(ReferenceData!$C$26),"",ReferenceData!$C$26),"")</f>
        <v/>
      </c>
      <c r="D26" t="str">
        <f>IFERROR(IF(0=LEN(ReferenceData!$D$26),"",ReferenceData!$D$26),"")</f>
        <v/>
      </c>
      <c r="E26" t="str">
        <f>IFERROR(IF(0=LEN(ReferenceData!$E$26),"",ReferenceData!$E$26),"")</f>
        <v>Expression</v>
      </c>
      <c r="F26">
        <f ca="1">IFERROR(IF(0=LEN(ReferenceData!$L$26),"",ReferenceData!$L$26),"")</f>
        <v>37326.120000000003</v>
      </c>
      <c r="G26">
        <f ca="1">IFERROR(IF(0=LEN(ReferenceData!$K$26),"",ReferenceData!$K$26),"")</f>
        <v>41369.182560000001</v>
      </c>
      <c r="H26">
        <f ca="1">IFERROR(IF(0=LEN(ReferenceData!$J$26),"",ReferenceData!$J$26),"")</f>
        <v>53288.504999999997</v>
      </c>
      <c r="I26">
        <f ca="1">IFERROR(IF(0=LEN(ReferenceData!$I$26),"",ReferenceData!$I$26),"")</f>
        <v>58502.32907</v>
      </c>
      <c r="J26">
        <f ca="1">IFERROR(IF(0=LEN(ReferenceData!$H$26),"",ReferenceData!$H$26),"")</f>
        <v>62705.171999999999</v>
      </c>
      <c r="K26">
        <f ca="1">IFERROR(IF(0=LEN(ReferenceData!$G$26),"",ReferenceData!$G$26),"")</f>
        <v>67408.846999999994</v>
      </c>
      <c r="L26" t="str">
        <f ca="1">IFERROR(IF(0=LEN(ReferenceData!$F$26),"",ReferenceData!$F$26),"")</f>
        <v/>
      </c>
    </row>
    <row r="27" spans="1:12" x14ac:dyDescent="0.25">
      <c r="A27" t="str">
        <f>IFERROR(IF(0=LEN(ReferenceData!$A$27),"",ReferenceData!$A$27),"")</f>
        <v xml:space="preserve">    CGI Inc</v>
      </c>
      <c r="B27" t="str">
        <f>IFERROR(IF(0=LEN(ReferenceData!$B$27),"",ReferenceData!$B$27),"")</f>
        <v>GIB US Equity</v>
      </c>
      <c r="C27" t="str">
        <f>IFERROR(IF(0=LEN(ReferenceData!$C$27),"",ReferenceData!$C$27),"")</f>
        <v/>
      </c>
      <c r="D27" t="str">
        <f>IFERROR(IF(0=LEN(ReferenceData!$D$27),"",ReferenceData!$D$27),"")</f>
        <v/>
      </c>
      <c r="E27" t="str">
        <f>IFERROR(IF(0=LEN(ReferenceData!$E$27),"",ReferenceData!$E$27),"")</f>
        <v>Expression</v>
      </c>
      <c r="F27">
        <f ca="1">IFERROR(IF(0=LEN(ReferenceData!$L$27),"",ReferenceData!$L$27),"")</f>
        <v>20400</v>
      </c>
      <c r="G27">
        <f ca="1">IFERROR(IF(0=LEN(ReferenceData!$K$27),"",ReferenceData!$K$27),"")</f>
        <v>21080</v>
      </c>
      <c r="H27" t="str">
        <f ca="1">IFERROR(IF(0=LEN(ReferenceData!$J$27),"",ReferenceData!$J$27),"")</f>
        <v/>
      </c>
      <c r="I27" t="str">
        <f ca="1">IFERROR(IF(0=LEN(ReferenceData!$I$27),"",ReferenceData!$I$27),"")</f>
        <v/>
      </c>
      <c r="J27" t="str">
        <f ca="1">IFERROR(IF(0=LEN(ReferenceData!$H$27),"",ReferenceData!$H$27),"")</f>
        <v/>
      </c>
      <c r="K27" t="str">
        <f ca="1">IFERROR(IF(0=LEN(ReferenceData!$G$27),"",ReferenceData!$G$27),"")</f>
        <v/>
      </c>
      <c r="L27" t="str">
        <f ca="1">IFERROR(IF(0=LEN(ReferenceData!$F$27),"",ReferenceData!$F$27),"")</f>
        <v/>
      </c>
    </row>
    <row r="28" spans="1:12" x14ac:dyDescent="0.25">
      <c r="A28" t="str">
        <f>IFERROR(IF(0=LEN(ReferenceData!$A$28),"",ReferenceData!$A$28),"")</f>
        <v xml:space="preserve">    Cognizant Technology Solutions Corp</v>
      </c>
      <c r="B28" t="str">
        <f>IFERROR(IF(0=LEN(ReferenceData!$B$28),"",ReferenceData!$B$28),"")</f>
        <v>CTSH US Equity</v>
      </c>
      <c r="C28" t="str">
        <f>IFERROR(IF(0=LEN(ReferenceData!$C$28),"",ReferenceData!$C$28),"")</f>
        <v/>
      </c>
      <c r="D28" t="str">
        <f>IFERROR(IF(0=LEN(ReferenceData!$D$28),"",ReferenceData!$D$28),"")</f>
        <v/>
      </c>
      <c r="E28" t="str">
        <f>IFERROR(IF(0=LEN(ReferenceData!$E$28),"",ReferenceData!$E$28),"")</f>
        <v>Expression</v>
      </c>
      <c r="F28">
        <f ca="1">IFERROR(IF(0=LEN(ReferenceData!$L$28),"",ReferenceData!$L$28),"")</f>
        <v>54848</v>
      </c>
      <c r="G28">
        <f ca="1">IFERROR(IF(0=LEN(ReferenceData!$K$28),"",ReferenceData!$K$28),"")</f>
        <v>67680</v>
      </c>
      <c r="H28">
        <f ca="1">IFERROR(IF(0=LEN(ReferenceData!$J$28),"",ReferenceData!$J$28),"")</f>
        <v>73161</v>
      </c>
      <c r="I28">
        <f ca="1">IFERROR(IF(0=LEN(ReferenceData!$I$28),"",ReferenceData!$I$28),"")</f>
        <v>86646.597399999999</v>
      </c>
      <c r="J28" t="str">
        <f ca="1">IFERROR(IF(0=LEN(ReferenceData!$H$28),"",ReferenceData!$H$28),"")</f>
        <v/>
      </c>
      <c r="K28" t="str">
        <f ca="1">IFERROR(IF(0=LEN(ReferenceData!$G$28),"",ReferenceData!$G$28),"")</f>
        <v/>
      </c>
      <c r="L28" t="str">
        <f ca="1">IFERROR(IF(0=LEN(ReferenceData!$F$28),"",ReferenceData!$F$28),"")</f>
        <v/>
      </c>
    </row>
    <row r="29" spans="1:12" x14ac:dyDescent="0.25">
      <c r="A29" t="str">
        <f>IFERROR(IF(0=LEN(ReferenceData!$A$29),"",ReferenceData!$A$29),"")</f>
        <v xml:space="preserve">    Conduent Inc</v>
      </c>
      <c r="B29" t="str">
        <f>IFERROR(IF(0=LEN(ReferenceData!$B$29),"",ReferenceData!$B$29),"")</f>
        <v>CNDT US Equity</v>
      </c>
      <c r="C29" t="str">
        <f>IFERROR(IF(0=LEN(ReferenceData!$C$29),"",ReferenceData!$C$29),"")</f>
        <v/>
      </c>
      <c r="D29" t="str">
        <f>IFERROR(IF(0=LEN(ReferenceData!$D$29),"",ReferenceData!$D$29),"")</f>
        <v/>
      </c>
      <c r="E29" t="str">
        <f>IFERROR(IF(0=LEN(ReferenceData!$E$29),"",ReferenceData!$E$29),"")</f>
        <v>Expression</v>
      </c>
      <c r="F29" t="str">
        <f ca="1">IFERROR(IF(0=LEN(ReferenceData!$L$29),"",ReferenceData!$L$29),"")</f>
        <v/>
      </c>
      <c r="G29" t="str">
        <f ca="1">IFERROR(IF(0=LEN(ReferenceData!$K$29),"",ReferenceData!$K$29),"")</f>
        <v/>
      </c>
      <c r="H29" t="str">
        <f ca="1">IFERROR(IF(0=LEN(ReferenceData!$J$29),"",ReferenceData!$J$29),"")</f>
        <v/>
      </c>
      <c r="I29" t="str">
        <f ca="1">IFERROR(IF(0=LEN(ReferenceData!$I$29),"",ReferenceData!$I$29),"")</f>
        <v/>
      </c>
      <c r="J29" t="str">
        <f ca="1">IFERROR(IF(0=LEN(ReferenceData!$H$29),"",ReferenceData!$H$29),"")</f>
        <v/>
      </c>
      <c r="K29" t="str">
        <f ca="1">IFERROR(IF(0=LEN(ReferenceData!$G$29),"",ReferenceData!$G$29),"")</f>
        <v/>
      </c>
      <c r="L29" t="str">
        <f ca="1">IFERROR(IF(0=LEN(ReferenceData!$F$29),"",ReferenceData!$F$29),"")</f>
        <v/>
      </c>
    </row>
    <row r="30" spans="1:12" x14ac:dyDescent="0.25">
      <c r="A30" t="str">
        <f>IFERROR(IF(0=LEN(ReferenceData!$A$30),"",ReferenceData!$A$30),"")</f>
        <v xml:space="preserve">    DXC Technology Co</v>
      </c>
      <c r="B30" t="str">
        <f>IFERROR(IF(0=LEN(ReferenceData!$B$30),"",ReferenceData!$B$30),"")</f>
        <v>DXC US Equity</v>
      </c>
      <c r="C30" t="str">
        <f>IFERROR(IF(0=LEN(ReferenceData!$C$30),"",ReferenceData!$C$30),"")</f>
        <v/>
      </c>
      <c r="D30" t="str">
        <f>IFERROR(IF(0=LEN(ReferenceData!$D$30),"",ReferenceData!$D$30),"")</f>
        <v/>
      </c>
      <c r="E30" t="str">
        <f>IFERROR(IF(0=LEN(ReferenceData!$E$30),"",ReferenceData!$E$30),"")</f>
        <v>Expression</v>
      </c>
      <c r="F30" t="str">
        <f ca="1">IFERROR(IF(0=LEN(ReferenceData!$L$30),"",ReferenceData!$L$30),"")</f>
        <v/>
      </c>
      <c r="G30" t="str">
        <f ca="1">IFERROR(IF(0=LEN(ReferenceData!$K$30),"",ReferenceData!$K$30),"")</f>
        <v/>
      </c>
      <c r="H30" t="str">
        <f ca="1">IFERROR(IF(0=LEN(ReferenceData!$J$30),"",ReferenceData!$J$30),"")</f>
        <v/>
      </c>
      <c r="I30" t="str">
        <f ca="1">IFERROR(IF(0=LEN(ReferenceData!$I$30),"",ReferenceData!$I$30),"")</f>
        <v/>
      </c>
      <c r="J30">
        <f ca="1">IFERROR(IF(0=LEN(ReferenceData!$H$30),"",ReferenceData!$H$30),"")</f>
        <v>49500</v>
      </c>
      <c r="K30">
        <f ca="1">IFERROR(IF(0=LEN(ReferenceData!$G$30),"",ReferenceData!$G$30),"")</f>
        <v>42900</v>
      </c>
      <c r="L30" t="str">
        <f ca="1">IFERROR(IF(0=LEN(ReferenceData!$F$30),"",ReferenceData!$F$30),"")</f>
        <v/>
      </c>
    </row>
    <row r="31" spans="1:12" x14ac:dyDescent="0.25">
      <c r="A31" t="str">
        <f>IFERROR(IF(0=LEN(ReferenceData!$A$31),"",ReferenceData!$A$31),"")</f>
        <v xml:space="preserve">    EPAM Systems Inc</v>
      </c>
      <c r="B31" t="str">
        <f>IFERROR(IF(0=LEN(ReferenceData!$B$31),"",ReferenceData!$B$31),"")</f>
        <v>EPAM US Equity</v>
      </c>
      <c r="C31" t="str">
        <f>IFERROR(IF(0=LEN(ReferenceData!$C$31),"",ReferenceData!$C$31),"")</f>
        <v/>
      </c>
      <c r="D31" t="str">
        <f>IFERROR(IF(0=LEN(ReferenceData!$D$31),"",ReferenceData!$D$31),"")</f>
        <v/>
      </c>
      <c r="E31" t="str">
        <f>IFERROR(IF(0=LEN(ReferenceData!$E$31),"",ReferenceData!$E$31),"")</f>
        <v>Expression</v>
      </c>
      <c r="F31" t="str">
        <f ca="1">IFERROR(IF(0=LEN(ReferenceData!$L$31),"",ReferenceData!$L$31),"")</f>
        <v/>
      </c>
      <c r="G31" t="str">
        <f ca="1">IFERROR(IF(0=LEN(ReferenceData!$K$31),"",ReferenceData!$K$31),"")</f>
        <v/>
      </c>
      <c r="H31" t="str">
        <f ca="1">IFERROR(IF(0=LEN(ReferenceData!$J$31),"",ReferenceData!$J$31),"")</f>
        <v/>
      </c>
      <c r="I31" t="str">
        <f ca="1">IFERROR(IF(0=LEN(ReferenceData!$I$31),"",ReferenceData!$I$31),"")</f>
        <v/>
      </c>
      <c r="J31" t="str">
        <f ca="1">IFERROR(IF(0=LEN(ReferenceData!$H$31),"",ReferenceData!$H$31),"")</f>
        <v/>
      </c>
      <c r="K31" t="str">
        <f ca="1">IFERROR(IF(0=LEN(ReferenceData!$G$31),"",ReferenceData!$G$31),"")</f>
        <v/>
      </c>
      <c r="L31" t="str">
        <f ca="1">IFERROR(IF(0=LEN(ReferenceData!$F$31),"",ReferenceData!$F$31),"")</f>
        <v/>
      </c>
    </row>
    <row r="32" spans="1:12" x14ac:dyDescent="0.25">
      <c r="A32" t="str">
        <f>IFERROR(IF(0=LEN(ReferenceData!$A$32),"",ReferenceData!$A$32),"")</f>
        <v xml:space="preserve">    Genpact Ltd</v>
      </c>
      <c r="B32" t="str">
        <f>IFERROR(IF(0=LEN(ReferenceData!$B$32),"",ReferenceData!$B$32),"")</f>
        <v>G US Equity</v>
      </c>
      <c r="C32" t="str">
        <f>IFERROR(IF(0=LEN(ReferenceData!$C$32),"",ReferenceData!$C$32),"")</f>
        <v/>
      </c>
      <c r="D32" t="str">
        <f>IFERROR(IF(0=LEN(ReferenceData!$D$32),"",ReferenceData!$D$32),"")</f>
        <v/>
      </c>
      <c r="E32" t="str">
        <f>IFERROR(IF(0=LEN(ReferenceData!$E$32),"",ReferenceData!$E$32),"")</f>
        <v>Expression</v>
      </c>
      <c r="F32">
        <f ca="1">IFERROR(IF(0=LEN(ReferenceData!$L$32),"",ReferenceData!$L$32),"")</f>
        <v>23786.401269999998</v>
      </c>
      <c r="G32" t="str">
        <f ca="1">IFERROR(IF(0=LEN(ReferenceData!$K$32),"",ReferenceData!$K$32),"")</f>
        <v/>
      </c>
      <c r="H32">
        <f ca="1">IFERROR(IF(0=LEN(ReferenceData!$J$32),"",ReferenceData!$J$32),"")</f>
        <v>27527.327280000001</v>
      </c>
      <c r="I32">
        <f ca="1">IFERROR(IF(0=LEN(ReferenceData!$I$32),"",ReferenceData!$I$32),"")</f>
        <v>29161.050749999999</v>
      </c>
      <c r="J32">
        <f ca="1">IFERROR(IF(0=LEN(ReferenceData!$H$32),"",ReferenceData!$H$32),"")</f>
        <v>30524.441999999999</v>
      </c>
      <c r="K32" t="str">
        <f ca="1">IFERROR(IF(0=LEN(ReferenceData!$G$32),"",ReferenceData!$G$32),"")</f>
        <v/>
      </c>
      <c r="L32" t="str">
        <f ca="1">IFERROR(IF(0=LEN(ReferenceData!$F$32),"",ReferenceData!$F$32),"")</f>
        <v/>
      </c>
    </row>
    <row r="33" spans="1:12" x14ac:dyDescent="0.25">
      <c r="A33" t="str">
        <f>IFERROR(IF(0=LEN(ReferenceData!$A$33),"",ReferenceData!$A$33),"")</f>
        <v xml:space="preserve">    HCL Technologies Ltd</v>
      </c>
      <c r="B33" t="str">
        <f>IFERROR(IF(0=LEN(ReferenceData!$B$33),"",ReferenceData!$B$33),"")</f>
        <v>HCLT IN Equity</v>
      </c>
      <c r="C33" t="str">
        <f>IFERROR(IF(0=LEN(ReferenceData!$C$33),"",ReferenceData!$C$33),"")</f>
        <v/>
      </c>
      <c r="D33" t="str">
        <f>IFERROR(IF(0=LEN(ReferenceData!$D$33),"",ReferenceData!$D$33),"")</f>
        <v/>
      </c>
      <c r="E33" t="str">
        <f>IFERROR(IF(0=LEN(ReferenceData!$E$33),"",ReferenceData!$E$33),"")</f>
        <v>Expression</v>
      </c>
      <c r="F33">
        <f ca="1">IFERROR(IF(0=LEN(ReferenceData!$L$33),"",ReferenceData!$L$33),"")</f>
        <v>22005.84</v>
      </c>
      <c r="G33" t="str">
        <f ca="1">IFERROR(IF(0=LEN(ReferenceData!$K$33),"",ReferenceData!$K$33),"")</f>
        <v/>
      </c>
      <c r="H33">
        <f ca="1">IFERROR(IF(0=LEN(ReferenceData!$J$33),"",ReferenceData!$J$33),"")</f>
        <v>24126.080000000002</v>
      </c>
      <c r="I33">
        <f ca="1">IFERROR(IF(0=LEN(ReferenceData!$I$33),"",ReferenceData!$I$33),"")</f>
        <v>27833.52</v>
      </c>
      <c r="J33">
        <f ca="1">IFERROR(IF(0=LEN(ReferenceData!$H$33),"",ReferenceData!$H$33),"")</f>
        <v>28819.439999999999</v>
      </c>
      <c r="K33">
        <f ca="1">IFERROR(IF(0=LEN(ReferenceData!$G$33),"",ReferenceData!$G$33),"")</f>
        <v>34353.285000000003</v>
      </c>
      <c r="L33" t="str">
        <f ca="1">IFERROR(IF(0=LEN(ReferenceData!$F$33),"",ReferenceData!$F$33),"")</f>
        <v/>
      </c>
    </row>
    <row r="34" spans="1:12" x14ac:dyDescent="0.25">
      <c r="A34" t="str">
        <f>IFERROR(IF(0=LEN(ReferenceData!$A$34),"",ReferenceData!$A$34),"")</f>
        <v xml:space="preserve">    Indra Sistemas SA</v>
      </c>
      <c r="B34" t="str">
        <f>IFERROR(IF(0=LEN(ReferenceData!$B$34),"",ReferenceData!$B$34),"")</f>
        <v>IDR SM Equity</v>
      </c>
      <c r="C34" t="str">
        <f>IFERROR(IF(0=LEN(ReferenceData!$C$34),"",ReferenceData!$C$34),"")</f>
        <v/>
      </c>
      <c r="D34" t="str">
        <f>IFERROR(IF(0=LEN(ReferenceData!$D$34),"",ReferenceData!$D$34),"")</f>
        <v/>
      </c>
      <c r="E34" t="str">
        <f>IFERROR(IF(0=LEN(ReferenceData!$E$34),"",ReferenceData!$E$34),"")</f>
        <v>Expression</v>
      </c>
      <c r="F34">
        <f ca="1">IFERROR(IF(0=LEN(ReferenceData!$L$34),"",ReferenceData!$L$34),"")</f>
        <v>13931.246810000001</v>
      </c>
      <c r="G34">
        <f ca="1">IFERROR(IF(0=LEN(ReferenceData!$K$34),"",ReferenceData!$K$34),"")</f>
        <v>13840.16877</v>
      </c>
      <c r="H34">
        <f ca="1">IFERROR(IF(0=LEN(ReferenceData!$J$34),"",ReferenceData!$J$34),"")</f>
        <v>13717.01</v>
      </c>
      <c r="I34">
        <f ca="1">IFERROR(IF(0=LEN(ReferenceData!$I$34),"",ReferenceData!$I$34),"")</f>
        <v>13194.2</v>
      </c>
      <c r="J34">
        <f ca="1">IFERROR(IF(0=LEN(ReferenceData!$H$34),"",ReferenceData!$H$34),"")</f>
        <v>13606.8</v>
      </c>
      <c r="K34">
        <f ca="1">IFERROR(IF(0=LEN(ReferenceData!$G$34),"",ReferenceData!$G$34),"")</f>
        <v>13710.445599999999</v>
      </c>
      <c r="L34" t="str">
        <f ca="1">IFERROR(IF(0=LEN(ReferenceData!$F$34),"",ReferenceData!$F$34),"")</f>
        <v/>
      </c>
    </row>
    <row r="35" spans="1:12" x14ac:dyDescent="0.25">
      <c r="A35" t="str">
        <f>IFERROR(IF(0=LEN(ReferenceData!$A$35),"",ReferenceData!$A$35),"")</f>
        <v xml:space="preserve">    Infosys Ltd</v>
      </c>
      <c r="B35" t="str">
        <f>IFERROR(IF(0=LEN(ReferenceData!$B$35),"",ReferenceData!$B$35),"")</f>
        <v>INFY US Equity</v>
      </c>
      <c r="C35" t="str">
        <f>IFERROR(IF(0=LEN(ReferenceData!$C$35),"",ReferenceData!$C$35),"")</f>
        <v/>
      </c>
      <c r="D35" t="str">
        <f>IFERROR(IF(0=LEN(ReferenceData!$D$35),"",ReferenceData!$D$35),"")</f>
        <v/>
      </c>
      <c r="E35" t="str">
        <f>IFERROR(IF(0=LEN(ReferenceData!$E$35),"",ReferenceData!$E$35),"")</f>
        <v>Expression</v>
      </c>
      <c r="F35">
        <f ca="1">IFERROR(IF(0=LEN(ReferenceData!$L$35),"",ReferenceData!$L$35),"")</f>
        <v>55163.277900000001</v>
      </c>
      <c r="G35">
        <f ca="1">IFERROR(IF(0=LEN(ReferenceData!$K$35),"",ReferenceData!$K$35),"")</f>
        <v>61822.25819</v>
      </c>
      <c r="H35">
        <f ca="1">IFERROR(IF(0=LEN(ReferenceData!$J$35),"",ReferenceData!$J$35),"")</f>
        <v>69079.66012</v>
      </c>
      <c r="I35">
        <f ca="1">IFERROR(IF(0=LEN(ReferenceData!$I$35),"",ReferenceData!$I$35),"")</f>
        <v>72231.22</v>
      </c>
      <c r="J35">
        <f ca="1">IFERROR(IF(0=LEN(ReferenceData!$H$35),"",ReferenceData!$H$35),"")</f>
        <v>73703.039739999993</v>
      </c>
      <c r="K35">
        <f ca="1">IFERROR(IF(0=LEN(ReferenceData!$G$35),"",ReferenceData!$G$35),"")</f>
        <v>83652.699540000001</v>
      </c>
      <c r="L35" t="str">
        <f ca="1">IFERROR(IF(0=LEN(ReferenceData!$F$35),"",ReferenceData!$F$35),"")</f>
        <v/>
      </c>
    </row>
    <row r="36" spans="1:12" x14ac:dyDescent="0.25">
      <c r="A36" t="str">
        <f>IFERROR(IF(0=LEN(ReferenceData!$A$36),"",ReferenceData!$A$36),"")</f>
        <v xml:space="preserve">    International Business Machines Corp</v>
      </c>
      <c r="B36" t="str">
        <f>IFERROR(IF(0=LEN(ReferenceData!$B$36),"",ReferenceData!$B$36),"")</f>
        <v>IBM US Equity</v>
      </c>
      <c r="C36" t="str">
        <f>IFERROR(IF(0=LEN(ReferenceData!$C$36),"",ReferenceData!$C$36),"")</f>
        <v/>
      </c>
      <c r="D36" t="str">
        <f>IFERROR(IF(0=LEN(ReferenceData!$D$36),"",ReferenceData!$D$36),"")</f>
        <v/>
      </c>
      <c r="E36" t="str">
        <f>IFERROR(IF(0=LEN(ReferenceData!$E$36),"",ReferenceData!$E$36),"")</f>
        <v>Expression</v>
      </c>
      <c r="F36">
        <f ca="1">IFERROR(IF(0=LEN(ReferenceData!$L$36),"",ReferenceData!$L$36),"")</f>
        <v>129794.81200000001</v>
      </c>
      <c r="G36">
        <f ca="1">IFERROR(IF(0=LEN(ReferenceData!$K$36),"",ReferenceData!$K$36),"")</f>
        <v>118053.11199999999</v>
      </c>
      <c r="H36">
        <f ca="1">IFERROR(IF(0=LEN(ReferenceData!$J$36),"",ReferenceData!$J$36),"")</f>
        <v>118615.698</v>
      </c>
      <c r="I36">
        <f ca="1">IFERROR(IF(0=LEN(ReferenceData!$I$36),"",ReferenceData!$I$36),"")</f>
        <v>120935.3962</v>
      </c>
      <c r="J36" t="str">
        <f ca="1">IFERROR(IF(0=LEN(ReferenceData!$H$36),"",ReferenceData!$H$36),"")</f>
        <v/>
      </c>
      <c r="K36" t="str">
        <f ca="1">IFERROR(IF(0=LEN(ReferenceData!$G$36),"",ReferenceData!$G$36),"")</f>
        <v/>
      </c>
      <c r="L36" t="str">
        <f ca="1">IFERROR(IF(0=LEN(ReferenceData!$F$36),"",ReferenceData!$F$36),"")</f>
        <v/>
      </c>
    </row>
    <row r="37" spans="1:12" x14ac:dyDescent="0.25">
      <c r="A37" t="str">
        <f>IFERROR(IF(0=LEN(ReferenceData!$A$37),"",ReferenceData!$A$37),"")</f>
        <v xml:space="preserve">    Tata Consultancy Services Ltd</v>
      </c>
      <c r="B37" t="str">
        <f>IFERROR(IF(0=LEN(ReferenceData!$B$37),"",ReferenceData!$B$37),"")</f>
        <v>TCS IN Equity</v>
      </c>
      <c r="C37" t="str">
        <f>IFERROR(IF(0=LEN(ReferenceData!$C$37),"",ReferenceData!$C$37),"")</f>
        <v/>
      </c>
      <c r="D37" t="str">
        <f>IFERROR(IF(0=LEN(ReferenceData!$D$37),"",ReferenceData!$D$37),"")</f>
        <v/>
      </c>
      <c r="E37" t="str">
        <f>IFERROR(IF(0=LEN(ReferenceData!$E$37),"",ReferenceData!$E$37),"")</f>
        <v>Expression</v>
      </c>
      <c r="F37">
        <f ca="1">IFERROR(IF(0=LEN(ReferenceData!$L$37),"",ReferenceData!$L$37),"")</f>
        <v>98251.731</v>
      </c>
      <c r="G37">
        <f ca="1">IFERROR(IF(0=LEN(ReferenceData!$K$37),"",ReferenceData!$K$37),"")</f>
        <v>105486.48</v>
      </c>
      <c r="H37">
        <f ca="1">IFERROR(IF(0=LEN(ReferenceData!$J$37),"",ReferenceData!$J$37),"")</f>
        <v>119598.9305</v>
      </c>
      <c r="I37">
        <f ca="1">IFERROR(IF(0=LEN(ReferenceData!$I$37),"",ReferenceData!$I$37),"")</f>
        <v>134366.3849</v>
      </c>
      <c r="J37">
        <f ca="1">IFERROR(IF(0=LEN(ReferenceData!$H$37),"",ReferenceData!$H$37),"")</f>
        <v>139473.7977</v>
      </c>
      <c r="K37">
        <f ca="1">IFERROR(IF(0=LEN(ReferenceData!$G$37),"",ReferenceData!$G$37),"")</f>
        <v>152318.3235</v>
      </c>
      <c r="L37" t="str">
        <f ca="1">IFERROR(IF(0=LEN(ReferenceData!$F$37),"",ReferenceData!$F$37),"")</f>
        <v/>
      </c>
    </row>
    <row r="38" spans="1:12" x14ac:dyDescent="0.25">
      <c r="A38" t="str">
        <f>IFERROR(IF(0=LEN(ReferenceData!$A$38),"",ReferenceData!$A$38),"")</f>
        <v xml:space="preserve">    Tech Mahindra Ltd</v>
      </c>
      <c r="B38" t="str">
        <f>IFERROR(IF(0=LEN(ReferenceData!$B$38),"",ReferenceData!$B$38),"")</f>
        <v>TECHM IN Equity</v>
      </c>
      <c r="C38" t="str">
        <f>IFERROR(IF(0=LEN(ReferenceData!$C$38),"",ReferenceData!$C$38),"")</f>
        <v/>
      </c>
      <c r="D38" t="str">
        <f>IFERROR(IF(0=LEN(ReferenceData!$D$38),"",ReferenceData!$D$38),"")</f>
        <v/>
      </c>
      <c r="E38" t="str">
        <f>IFERROR(IF(0=LEN(ReferenceData!$E$38),"",ReferenceData!$E$38),"")</f>
        <v>Expression</v>
      </c>
      <c r="F38" t="str">
        <f ca="1">IFERROR(IF(0=LEN(ReferenceData!$L$38),"",ReferenceData!$L$38),"")</f>
        <v/>
      </c>
      <c r="G38">
        <f ca="1">IFERROR(IF(0=LEN(ReferenceData!$K$38),"",ReferenceData!$K$38),"")</f>
        <v>31159.877700000001</v>
      </c>
      <c r="H38">
        <f ca="1">IFERROR(IF(0=LEN(ReferenceData!$J$38),"",ReferenceData!$J$38),"")</f>
        <v>31629.599999999999</v>
      </c>
      <c r="I38">
        <f ca="1">IFERROR(IF(0=LEN(ReferenceData!$I$38),"",ReferenceData!$I$38),"")</f>
        <v>36308.290500000003</v>
      </c>
      <c r="J38">
        <f ca="1">IFERROR(IF(0=LEN(ReferenceData!$H$38),"",ReferenceData!$H$38),"")</f>
        <v>34033.871899999998</v>
      </c>
      <c r="K38">
        <f ca="1">IFERROR(IF(0=LEN(ReferenceData!$G$38),"",ReferenceData!$G$38),"")</f>
        <v>31894.11736</v>
      </c>
      <c r="L38" t="str">
        <f ca="1">IFERROR(IF(0=LEN(ReferenceData!$F$38),"",ReferenceData!$F$38),"")</f>
        <v/>
      </c>
    </row>
    <row r="39" spans="1:12" x14ac:dyDescent="0.25">
      <c r="A39" t="str">
        <f>IFERROR(IF(0=LEN(ReferenceData!$A$39),"",ReferenceData!$A$39),"")</f>
        <v xml:space="preserve">    Wipro Ltd</v>
      </c>
      <c r="B39" t="str">
        <f>IFERROR(IF(0=LEN(ReferenceData!$B$39),"",ReferenceData!$B$39),"")</f>
        <v>WIT US Equity</v>
      </c>
      <c r="C39" t="str">
        <f>IFERROR(IF(0=LEN(ReferenceData!$C$39),"",ReferenceData!$C$39),"")</f>
        <v/>
      </c>
      <c r="D39" t="str">
        <f>IFERROR(IF(0=LEN(ReferenceData!$D$39),"",ReferenceData!$D$39),"")</f>
        <v/>
      </c>
      <c r="E39" t="str">
        <f>IFERROR(IF(0=LEN(ReferenceData!$E$39),"",ReferenceData!$E$39),"")</f>
        <v>Expression</v>
      </c>
      <c r="F39">
        <f ca="1">IFERROR(IF(0=LEN(ReferenceData!$L$39),"",ReferenceData!$L$39),"")</f>
        <v>45276.43</v>
      </c>
      <c r="G39">
        <f ca="1">IFERROR(IF(0=LEN(ReferenceData!$K$39),"",ReferenceData!$K$39),"")</f>
        <v>47781.535580000003</v>
      </c>
      <c r="H39">
        <f ca="1">IFERROR(IF(0=LEN(ReferenceData!$J$39),"",ReferenceData!$J$39),"")</f>
        <v>55331.839999999997</v>
      </c>
      <c r="I39">
        <f ca="1">IFERROR(IF(0=LEN(ReferenceData!$I$39),"",ReferenceData!$I$39),"")</f>
        <v>61703.88</v>
      </c>
      <c r="J39">
        <f ca="1">IFERROR(IF(0=LEN(ReferenceData!$H$39),"",ReferenceData!$H$39),"")</f>
        <v>57339.45</v>
      </c>
      <c r="K39">
        <f ca="1">IFERROR(IF(0=LEN(ReferenceData!$G$39),"",ReferenceData!$G$39),"")</f>
        <v>60341.601710000003</v>
      </c>
      <c r="L39" t="str">
        <f ca="1">IFERROR(IF(0=LEN(ReferenceData!$F$39),"",ReferenceData!$F$39),"")</f>
        <v/>
      </c>
    </row>
    <row r="40" spans="1:12" x14ac:dyDescent="0.25">
      <c r="A40" t="str">
        <f>IFERROR(IF(0=LEN(ReferenceData!$A$40),"",ReferenceData!$A$40),"")</f>
        <v>Climate Change</v>
      </c>
      <c r="B40" t="str">
        <f>IFERROR(IF(0=LEN(ReferenceData!$B$40),"",ReferenceData!$B$40),"")</f>
        <v/>
      </c>
      <c r="C40" t="str">
        <f>IFERROR(IF(0=LEN(ReferenceData!$C$40),"",ReferenceData!$C$40),"")</f>
        <v/>
      </c>
      <c r="D40" t="str">
        <f>IFERROR(IF(0=LEN(ReferenceData!$D$40),"",ReferenceData!$D$40),"")</f>
        <v/>
      </c>
      <c r="E40" t="str">
        <f>IFERROR(IF(0=LEN(ReferenceData!$E$40),"",ReferenceData!$E$40),"")</f>
        <v>Heading</v>
      </c>
      <c r="F40" t="str">
        <f>IFERROR(IF(0=LEN(ReferenceData!$L$40),"",ReferenceData!$L$40),"")</f>
        <v/>
      </c>
      <c r="G40" t="str">
        <f>IFERROR(IF(0=LEN(ReferenceData!$K$40),"",ReferenceData!$K$40),"")</f>
        <v/>
      </c>
      <c r="H40" t="str">
        <f>IFERROR(IF(0=LEN(ReferenceData!$J$40),"",ReferenceData!$J$40),"")</f>
        <v/>
      </c>
      <c r="I40" t="str">
        <f>IFERROR(IF(0=LEN(ReferenceData!$I$40),"",ReferenceData!$I$40),"")</f>
        <v/>
      </c>
      <c r="J40" t="str">
        <f>IFERROR(IF(0=LEN(ReferenceData!$H$40),"",ReferenceData!$H$40),"")</f>
        <v/>
      </c>
      <c r="K40" t="str">
        <f>IFERROR(IF(0=LEN(ReferenceData!$G$40),"",ReferenceData!$G$40),"")</f>
        <v/>
      </c>
      <c r="L40" t="str">
        <f>IFERROR(IF(0=LEN(ReferenceData!$F$40),"",ReferenceData!$F$40),"")</f>
        <v/>
      </c>
    </row>
    <row r="41" spans="1:12" x14ac:dyDescent="0.25">
      <c r="A41" t="str">
        <f>IFERROR(IF(0=LEN(ReferenceData!$A$41),"",ReferenceData!$A$41),"")</f>
        <v>Total Greenhouse Gas Emissions (000s Metric Tons)</v>
      </c>
      <c r="B41" t="str">
        <f>IFERROR(IF(0=LEN(ReferenceData!$B$41),"",ReferenceData!$B$41),"")</f>
        <v/>
      </c>
      <c r="C41" t="str">
        <f>IFERROR(IF(0=LEN(ReferenceData!$C$41),"",ReferenceData!$C$41),"")</f>
        <v/>
      </c>
      <c r="D41" t="str">
        <f>IFERROR(IF(0=LEN(ReferenceData!$D$41),"",ReferenceData!$D$41),"")</f>
        <v/>
      </c>
      <c r="E41" t="str">
        <f>IFERROR(IF(0=LEN(ReferenceData!$E$41),"",ReferenceData!$E$41),"")</f>
        <v>Median</v>
      </c>
      <c r="F41">
        <f ca="1">IFERROR(IF(0=LEN(ReferenceData!$L$41),"",ReferenceData!$L$41),"")</f>
        <v>161.654</v>
      </c>
      <c r="G41">
        <f ca="1">IFERROR(IF(0=LEN(ReferenceData!$K$41),"",ReferenceData!$K$41),"")</f>
        <v>163.89400000000001</v>
      </c>
      <c r="H41">
        <f ca="1">IFERROR(IF(0=LEN(ReferenceData!$J$41),"",ReferenceData!$J$41),"")</f>
        <v>165.9</v>
      </c>
      <c r="I41">
        <f ca="1">IFERROR(IF(0=LEN(ReferenceData!$I$41),"",ReferenceData!$I$41),"")</f>
        <v>163.4265</v>
      </c>
      <c r="J41">
        <f ca="1">IFERROR(IF(0=LEN(ReferenceData!$H$41),"",ReferenceData!$H$41),"")</f>
        <v>155.46899999999999</v>
      </c>
      <c r="K41">
        <f ca="1">IFERROR(IF(0=LEN(ReferenceData!$G$41),"",ReferenceData!$G$41),"")</f>
        <v>162.80799999999999</v>
      </c>
      <c r="L41" t="str">
        <f ca="1">IFERROR(IF(0=LEN(ReferenceData!$F$41),"",ReferenceData!$F$41),"")</f>
        <v/>
      </c>
    </row>
    <row r="42" spans="1:12" x14ac:dyDescent="0.25">
      <c r="A42" t="str">
        <f>IFERROR(IF(0=LEN(ReferenceData!$A$42),"",ReferenceData!$A$42),"")</f>
        <v xml:space="preserve">    Accenture PLC</v>
      </c>
      <c r="B42" t="str">
        <f>IFERROR(IF(0=LEN(ReferenceData!$B$42),"",ReferenceData!$B$42),"")</f>
        <v>ACN US Equity</v>
      </c>
      <c r="C42" t="str">
        <f>IFERROR(IF(0=LEN(ReferenceData!$C$42),"",ReferenceData!$C$42),"")</f>
        <v/>
      </c>
      <c r="D42" t="str">
        <f>IFERROR(IF(0=LEN(ReferenceData!$D$42),"",ReferenceData!$D$42),"")</f>
        <v/>
      </c>
      <c r="E42" t="str">
        <f>IFERROR(IF(0=LEN(ReferenceData!$E$42),"",ReferenceData!$E$42),"")</f>
        <v>Expression</v>
      </c>
      <c r="F42">
        <f ca="1">IFERROR(IF(0=LEN(ReferenceData!$L$42),"",ReferenceData!$L$42),"")</f>
        <v>265.14299999999997</v>
      </c>
      <c r="G42">
        <f ca="1">IFERROR(IF(0=LEN(ReferenceData!$K$42),"",ReferenceData!$K$42),"")</f>
        <v>257.79700000000003</v>
      </c>
      <c r="H42">
        <f ca="1">IFERROR(IF(0=LEN(ReferenceData!$J$42),"",ReferenceData!$J$42),"")</f>
        <v>263.529</v>
      </c>
      <c r="I42">
        <f ca="1">IFERROR(IF(0=LEN(ReferenceData!$I$42),"",ReferenceData!$I$42),"")</f>
        <v>290.25299999999999</v>
      </c>
      <c r="J42">
        <f ca="1">IFERROR(IF(0=LEN(ReferenceData!$H$42),"",ReferenceData!$H$42),"")</f>
        <v>328.09300000000002</v>
      </c>
      <c r="K42">
        <f ca="1">IFERROR(IF(0=LEN(ReferenceData!$G$42),"",ReferenceData!$G$42),"")</f>
        <v>304.209</v>
      </c>
      <c r="L42" t="str">
        <f ca="1">IFERROR(IF(0=LEN(ReferenceData!$F$42),"",ReferenceData!$F$42),"")</f>
        <v/>
      </c>
    </row>
    <row r="43" spans="1:12" x14ac:dyDescent="0.25">
      <c r="A43" t="str">
        <f>IFERROR(IF(0=LEN(ReferenceData!$A$43),"",ReferenceData!$A$43),"")</f>
        <v xml:space="preserve">    Amdocs Ltd</v>
      </c>
      <c r="B43" t="str">
        <f>IFERROR(IF(0=LEN(ReferenceData!$B$43),"",ReferenceData!$B$43),"")</f>
        <v>DOX US Equity</v>
      </c>
      <c r="C43" t="str">
        <f>IFERROR(IF(0=LEN(ReferenceData!$C$43),"",ReferenceData!$C$43),"")</f>
        <v/>
      </c>
      <c r="D43" t="str">
        <f>IFERROR(IF(0=LEN(ReferenceData!$D$43),"",ReferenceData!$D$43),"")</f>
        <v/>
      </c>
      <c r="E43" t="str">
        <f>IFERROR(IF(0=LEN(ReferenceData!$E$43),"",ReferenceData!$E$43),"")</f>
        <v>Expression</v>
      </c>
      <c r="F43">
        <f ca="1">IFERROR(IF(0=LEN(ReferenceData!$L$43),"",ReferenceData!$L$43),"")</f>
        <v>97.051000000000002</v>
      </c>
      <c r="G43" t="str">
        <f ca="1">IFERROR(IF(0=LEN(ReferenceData!$K$43),"",ReferenceData!$K$43),"")</f>
        <v/>
      </c>
      <c r="H43" t="str">
        <f ca="1">IFERROR(IF(0=LEN(ReferenceData!$J$43),"",ReferenceData!$J$43),"")</f>
        <v/>
      </c>
      <c r="I43">
        <f ca="1">IFERROR(IF(0=LEN(ReferenceData!$I$43),"",ReferenceData!$I$43),"")</f>
        <v>65.266000000000005</v>
      </c>
      <c r="J43">
        <f ca="1">IFERROR(IF(0=LEN(ReferenceData!$H$43),"",ReferenceData!$H$43),"")</f>
        <v>67.694000000000003</v>
      </c>
      <c r="K43" t="str">
        <f ca="1">IFERROR(IF(0=LEN(ReferenceData!$G$43),"",ReferenceData!$G$43),"")</f>
        <v/>
      </c>
      <c r="L43" t="str">
        <f ca="1">IFERROR(IF(0=LEN(ReferenceData!$F$43),"",ReferenceData!$F$43),"")</f>
        <v/>
      </c>
    </row>
    <row r="44" spans="1:12" x14ac:dyDescent="0.25">
      <c r="A44" t="str">
        <f>IFERROR(IF(0=LEN(ReferenceData!$A$44),"",ReferenceData!$A$44),"")</f>
        <v xml:space="preserve">    Atos SE</v>
      </c>
      <c r="B44" t="str">
        <f>IFERROR(IF(0=LEN(ReferenceData!$B$44),"",ReferenceData!$B$44),"")</f>
        <v>ATO FP Equity</v>
      </c>
      <c r="C44" t="str">
        <f>IFERROR(IF(0=LEN(ReferenceData!$C$44),"",ReferenceData!$C$44),"")</f>
        <v/>
      </c>
      <c r="D44" t="str">
        <f>IFERROR(IF(0=LEN(ReferenceData!$D$44),"",ReferenceData!$D$44),"")</f>
        <v/>
      </c>
      <c r="E44" t="str">
        <f>IFERROR(IF(0=LEN(ReferenceData!$E$44),"",ReferenceData!$E$44),"")</f>
        <v>Expression</v>
      </c>
      <c r="F44" t="str">
        <f ca="1">IFERROR(IF(0=LEN(ReferenceData!$L$44),"",ReferenceData!$L$44),"")</f>
        <v/>
      </c>
      <c r="G44">
        <f ca="1">IFERROR(IF(0=LEN(ReferenceData!$K$44),"",ReferenceData!$K$44),"")</f>
        <v>67.31</v>
      </c>
      <c r="H44">
        <f ca="1">IFERROR(IF(0=LEN(ReferenceData!$J$44),"",ReferenceData!$J$44),"")</f>
        <v>74.995000000000005</v>
      </c>
      <c r="I44">
        <f ca="1">IFERROR(IF(0=LEN(ReferenceData!$I$44),"",ReferenceData!$I$44),"")</f>
        <v>130.42400000000001</v>
      </c>
      <c r="J44">
        <f ca="1">IFERROR(IF(0=LEN(ReferenceData!$H$44),"",ReferenceData!$H$44),"")</f>
        <v>118.789</v>
      </c>
      <c r="K44">
        <f ca="1">IFERROR(IF(0=LEN(ReferenceData!$G$44),"",ReferenceData!$G$44),"")</f>
        <v>94.058000000000007</v>
      </c>
      <c r="L44" t="str">
        <f ca="1">IFERROR(IF(0=LEN(ReferenceData!$F$44),"",ReferenceData!$F$44),"")</f>
        <v/>
      </c>
    </row>
    <row r="45" spans="1:12" x14ac:dyDescent="0.25">
      <c r="A45" t="str">
        <f>IFERROR(IF(0=LEN(ReferenceData!$A$45),"",ReferenceData!$A$45),"")</f>
        <v xml:space="preserve">    Capgemini SE</v>
      </c>
      <c r="B45" t="str">
        <f>IFERROR(IF(0=LEN(ReferenceData!$B$45),"",ReferenceData!$B$45),"")</f>
        <v>CAP FP Equity</v>
      </c>
      <c r="C45" t="str">
        <f>IFERROR(IF(0=LEN(ReferenceData!$C$45),"",ReferenceData!$C$45),"")</f>
        <v/>
      </c>
      <c r="D45" t="str">
        <f>IFERROR(IF(0=LEN(ReferenceData!$D$45),"",ReferenceData!$D$45),"")</f>
        <v/>
      </c>
      <c r="E45" t="str">
        <f>IFERROR(IF(0=LEN(ReferenceData!$E$45),"",ReferenceData!$E$45),"")</f>
        <v>Expression</v>
      </c>
      <c r="F45">
        <f ca="1">IFERROR(IF(0=LEN(ReferenceData!$L$45),"",ReferenceData!$L$45),"")</f>
        <v>156.279</v>
      </c>
      <c r="G45">
        <f ca="1">IFERROR(IF(0=LEN(ReferenceData!$K$45),"",ReferenceData!$K$45),"")</f>
        <v>151.15700000000001</v>
      </c>
      <c r="H45">
        <f ca="1">IFERROR(IF(0=LEN(ReferenceData!$J$45),"",ReferenceData!$J$45),"")</f>
        <v>145.929</v>
      </c>
      <c r="I45">
        <f ca="1">IFERROR(IF(0=LEN(ReferenceData!$I$45),"",ReferenceData!$I$45),"")</f>
        <v>193.047</v>
      </c>
      <c r="J45">
        <f ca="1">IFERROR(IF(0=LEN(ReferenceData!$H$45),"",ReferenceData!$H$45),"")</f>
        <v>184.886</v>
      </c>
      <c r="K45">
        <f ca="1">IFERROR(IF(0=LEN(ReferenceData!$G$45),"",ReferenceData!$G$45),"")</f>
        <v>162.80799999999999</v>
      </c>
      <c r="L45" t="str">
        <f ca="1">IFERROR(IF(0=LEN(ReferenceData!$F$45),"",ReferenceData!$F$45),"")</f>
        <v/>
      </c>
    </row>
    <row r="46" spans="1:12" x14ac:dyDescent="0.25">
      <c r="A46" t="str">
        <f>IFERROR(IF(0=LEN(ReferenceData!$A$46),"",ReferenceData!$A$46),"")</f>
        <v xml:space="preserve">    CGI Inc</v>
      </c>
      <c r="B46" t="str">
        <f>IFERROR(IF(0=LEN(ReferenceData!$B$46),"",ReferenceData!$B$46),"")</f>
        <v>GIB US Equity</v>
      </c>
      <c r="C46" t="str">
        <f>IFERROR(IF(0=LEN(ReferenceData!$C$46),"",ReferenceData!$C$46),"")</f>
        <v/>
      </c>
      <c r="D46" t="str">
        <f>IFERROR(IF(0=LEN(ReferenceData!$D$46),"",ReferenceData!$D$46),"")</f>
        <v/>
      </c>
      <c r="E46" t="str">
        <f>IFERROR(IF(0=LEN(ReferenceData!$E$46),"",ReferenceData!$E$46),"")</f>
        <v>Expression</v>
      </c>
      <c r="F46">
        <f ca="1">IFERROR(IF(0=LEN(ReferenceData!$L$46),"",ReferenceData!$L$46),"")</f>
        <v>96.066000000000003</v>
      </c>
      <c r="G46">
        <f ca="1">IFERROR(IF(0=LEN(ReferenceData!$K$46),"",ReferenceData!$K$46),"")</f>
        <v>84.24</v>
      </c>
      <c r="H46" t="str">
        <f ca="1">IFERROR(IF(0=LEN(ReferenceData!$J$46),"",ReferenceData!$J$46),"")</f>
        <v/>
      </c>
      <c r="I46" t="str">
        <f ca="1">IFERROR(IF(0=LEN(ReferenceData!$I$46),"",ReferenceData!$I$46),"")</f>
        <v/>
      </c>
      <c r="J46" t="str">
        <f ca="1">IFERROR(IF(0=LEN(ReferenceData!$H$46),"",ReferenceData!$H$46),"")</f>
        <v/>
      </c>
      <c r="K46" t="str">
        <f ca="1">IFERROR(IF(0=LEN(ReferenceData!$G$46),"",ReferenceData!$G$46),"")</f>
        <v/>
      </c>
      <c r="L46" t="str">
        <f ca="1">IFERROR(IF(0=LEN(ReferenceData!$F$46),"",ReferenceData!$F$46),"")</f>
        <v/>
      </c>
    </row>
    <row r="47" spans="1:12" x14ac:dyDescent="0.25">
      <c r="A47" t="str">
        <f>IFERROR(IF(0=LEN(ReferenceData!$A$47),"",ReferenceData!$A$47),"")</f>
        <v xml:space="preserve">    Cognizant Technology Solutions Corp</v>
      </c>
      <c r="B47" t="str">
        <f>IFERROR(IF(0=LEN(ReferenceData!$B$47),"",ReferenceData!$B$47),"")</f>
        <v>CTSH US Equity</v>
      </c>
      <c r="C47" t="str">
        <f>IFERROR(IF(0=LEN(ReferenceData!$C$47),"",ReferenceData!$C$47),"")</f>
        <v/>
      </c>
      <c r="D47" t="str">
        <f>IFERROR(IF(0=LEN(ReferenceData!$D$47),"",ReferenceData!$D$47),"")</f>
        <v/>
      </c>
      <c r="E47" t="str">
        <f>IFERROR(IF(0=LEN(ReferenceData!$E$47),"",ReferenceData!$E$47),"")</f>
        <v>Expression</v>
      </c>
      <c r="F47">
        <f ca="1">IFERROR(IF(0=LEN(ReferenceData!$L$47),"",ReferenceData!$L$47),"")</f>
        <v>193.06700000000001</v>
      </c>
      <c r="G47">
        <f ca="1">IFERROR(IF(0=LEN(ReferenceData!$K$47),"",ReferenceData!$K$47),"")</f>
        <v>203.899</v>
      </c>
      <c r="H47">
        <f ca="1">IFERROR(IF(0=LEN(ReferenceData!$J$47),"",ReferenceData!$J$47),"")</f>
        <v>257.625</v>
      </c>
      <c r="I47">
        <f ca="1">IFERROR(IF(0=LEN(ReferenceData!$I$47),"",ReferenceData!$I$47),"")</f>
        <v>254.977</v>
      </c>
      <c r="J47" t="str">
        <f ca="1">IFERROR(IF(0=LEN(ReferenceData!$H$47),"",ReferenceData!$H$47),"")</f>
        <v/>
      </c>
      <c r="K47" t="str">
        <f ca="1">IFERROR(IF(0=LEN(ReferenceData!$G$47),"",ReferenceData!$G$47),"")</f>
        <v/>
      </c>
      <c r="L47" t="str">
        <f ca="1">IFERROR(IF(0=LEN(ReferenceData!$F$47),"",ReferenceData!$F$47),"")</f>
        <v/>
      </c>
    </row>
    <row r="48" spans="1:12" x14ac:dyDescent="0.25">
      <c r="A48" t="str">
        <f>IFERROR(IF(0=LEN(ReferenceData!$A$48),"",ReferenceData!$A$48),"")</f>
        <v xml:space="preserve">    Conduent Inc</v>
      </c>
      <c r="B48" t="str">
        <f>IFERROR(IF(0=LEN(ReferenceData!$B$48),"",ReferenceData!$B$48),"")</f>
        <v>CNDT US Equity</v>
      </c>
      <c r="C48" t="str">
        <f>IFERROR(IF(0=LEN(ReferenceData!$C$48),"",ReferenceData!$C$48),"")</f>
        <v/>
      </c>
      <c r="D48" t="str">
        <f>IFERROR(IF(0=LEN(ReferenceData!$D$48),"",ReferenceData!$D$48),"")</f>
        <v/>
      </c>
      <c r="E48" t="str">
        <f>IFERROR(IF(0=LEN(ReferenceData!$E$48),"",ReferenceData!$E$48),"")</f>
        <v>Expression</v>
      </c>
      <c r="F48" t="str">
        <f ca="1">IFERROR(IF(0=LEN(ReferenceData!$L$48),"",ReferenceData!$L$48),"")</f>
        <v/>
      </c>
      <c r="G48" t="str">
        <f ca="1">IFERROR(IF(0=LEN(ReferenceData!$K$48),"",ReferenceData!$K$48),"")</f>
        <v/>
      </c>
      <c r="H48" t="str">
        <f ca="1">IFERROR(IF(0=LEN(ReferenceData!$J$48),"",ReferenceData!$J$48),"")</f>
        <v/>
      </c>
      <c r="I48" t="str">
        <f ca="1">IFERROR(IF(0=LEN(ReferenceData!$I$48),"",ReferenceData!$I$48),"")</f>
        <v/>
      </c>
      <c r="J48" t="str">
        <f ca="1">IFERROR(IF(0=LEN(ReferenceData!$H$48),"",ReferenceData!$H$48),"")</f>
        <v/>
      </c>
      <c r="K48" t="str">
        <f ca="1">IFERROR(IF(0=LEN(ReferenceData!$G$48),"",ReferenceData!$G$48),"")</f>
        <v/>
      </c>
      <c r="L48" t="str">
        <f ca="1">IFERROR(IF(0=LEN(ReferenceData!$F$48),"",ReferenceData!$F$48),"")</f>
        <v/>
      </c>
    </row>
    <row r="49" spans="1:12" x14ac:dyDescent="0.25">
      <c r="A49" t="str">
        <f>IFERROR(IF(0=LEN(ReferenceData!$A$49),"",ReferenceData!$A$49),"")</f>
        <v xml:space="preserve">    DXC Technology Co</v>
      </c>
      <c r="B49" t="str">
        <f>IFERROR(IF(0=LEN(ReferenceData!$B$49),"",ReferenceData!$B$49),"")</f>
        <v>DXC US Equity</v>
      </c>
      <c r="C49" t="str">
        <f>IFERROR(IF(0=LEN(ReferenceData!$C$49),"",ReferenceData!$C$49),"")</f>
        <v/>
      </c>
      <c r="D49" t="str">
        <f>IFERROR(IF(0=LEN(ReferenceData!$D$49),"",ReferenceData!$D$49),"")</f>
        <v/>
      </c>
      <c r="E49" t="str">
        <f>IFERROR(IF(0=LEN(ReferenceData!$E$49),"",ReferenceData!$E$49),"")</f>
        <v>Expression</v>
      </c>
      <c r="F49" t="str">
        <f ca="1">IFERROR(IF(0=LEN(ReferenceData!$L$49),"",ReferenceData!$L$49),"")</f>
        <v/>
      </c>
      <c r="G49" t="str">
        <f ca="1">IFERROR(IF(0=LEN(ReferenceData!$K$49),"",ReferenceData!$K$49),"")</f>
        <v/>
      </c>
      <c r="H49" t="str">
        <f ca="1">IFERROR(IF(0=LEN(ReferenceData!$J$49),"",ReferenceData!$J$49),"")</f>
        <v/>
      </c>
      <c r="I49" t="str">
        <f ca="1">IFERROR(IF(0=LEN(ReferenceData!$I$49),"",ReferenceData!$I$49),"")</f>
        <v/>
      </c>
      <c r="J49">
        <f ca="1">IFERROR(IF(0=LEN(ReferenceData!$H$49),"",ReferenceData!$H$49),"")</f>
        <v>868.32299999999998</v>
      </c>
      <c r="K49">
        <f ca="1">IFERROR(IF(0=LEN(ReferenceData!$G$49),"",ReferenceData!$G$49),"")</f>
        <v>795.63900000000001</v>
      </c>
      <c r="L49" t="str">
        <f ca="1">IFERROR(IF(0=LEN(ReferenceData!$F$49),"",ReferenceData!$F$49),"")</f>
        <v/>
      </c>
    </row>
    <row r="50" spans="1:12" x14ac:dyDescent="0.25">
      <c r="A50" t="str">
        <f>IFERROR(IF(0=LEN(ReferenceData!$A$50),"",ReferenceData!$A$50),"")</f>
        <v xml:space="preserve">    EPAM Systems Inc</v>
      </c>
      <c r="B50" t="str">
        <f>IFERROR(IF(0=LEN(ReferenceData!$B$50),"",ReferenceData!$B$50),"")</f>
        <v>EPAM US Equity</v>
      </c>
      <c r="C50" t="str">
        <f>IFERROR(IF(0=LEN(ReferenceData!$C$50),"",ReferenceData!$C$50),"")</f>
        <v/>
      </c>
      <c r="D50" t="str">
        <f>IFERROR(IF(0=LEN(ReferenceData!$D$50),"",ReferenceData!$D$50),"")</f>
        <v/>
      </c>
      <c r="E50" t="str">
        <f>IFERROR(IF(0=LEN(ReferenceData!$E$50),"",ReferenceData!$E$50),"")</f>
        <v>Expression</v>
      </c>
      <c r="F50" t="str">
        <f ca="1">IFERROR(IF(0=LEN(ReferenceData!$L$50),"",ReferenceData!$L$50),"")</f>
        <v/>
      </c>
      <c r="G50" t="str">
        <f ca="1">IFERROR(IF(0=LEN(ReferenceData!$K$50),"",ReferenceData!$K$50),"")</f>
        <v/>
      </c>
      <c r="H50" t="str">
        <f ca="1">IFERROR(IF(0=LEN(ReferenceData!$J$50),"",ReferenceData!$J$50),"")</f>
        <v/>
      </c>
      <c r="I50" t="str">
        <f ca="1">IFERROR(IF(0=LEN(ReferenceData!$I$50),"",ReferenceData!$I$50),"")</f>
        <v/>
      </c>
      <c r="J50" t="str">
        <f ca="1">IFERROR(IF(0=LEN(ReferenceData!$H$50),"",ReferenceData!$H$50),"")</f>
        <v/>
      </c>
      <c r="K50" t="str">
        <f ca="1">IFERROR(IF(0=LEN(ReferenceData!$G$50),"",ReferenceData!$G$50),"")</f>
        <v/>
      </c>
      <c r="L50" t="str">
        <f ca="1">IFERROR(IF(0=LEN(ReferenceData!$F$50),"",ReferenceData!$F$50),"")</f>
        <v/>
      </c>
    </row>
    <row r="51" spans="1:12" x14ac:dyDescent="0.25">
      <c r="A51" t="str">
        <f>IFERROR(IF(0=LEN(ReferenceData!$A$51),"",ReferenceData!$A$51),"")</f>
        <v xml:space="preserve">    Genpact Ltd</v>
      </c>
      <c r="B51" t="str">
        <f>IFERROR(IF(0=LEN(ReferenceData!$B$51),"",ReferenceData!$B$51),"")</f>
        <v>G US Equity</v>
      </c>
      <c r="C51" t="str">
        <f>IFERROR(IF(0=LEN(ReferenceData!$C$51),"",ReferenceData!$C$51),"")</f>
        <v/>
      </c>
      <c r="D51" t="str">
        <f>IFERROR(IF(0=LEN(ReferenceData!$D$51),"",ReferenceData!$D$51),"")</f>
        <v/>
      </c>
      <c r="E51" t="str">
        <f>IFERROR(IF(0=LEN(ReferenceData!$E$51),"",ReferenceData!$E$51),"")</f>
        <v>Expression</v>
      </c>
      <c r="F51">
        <f ca="1">IFERROR(IF(0=LEN(ReferenceData!$L$51),"",ReferenceData!$L$51),"")</f>
        <v>64.415000000000006</v>
      </c>
      <c r="G51" t="str">
        <f ca="1">IFERROR(IF(0=LEN(ReferenceData!$K$51),"",ReferenceData!$K$51),"")</f>
        <v/>
      </c>
      <c r="H51">
        <f ca="1">IFERROR(IF(0=LEN(ReferenceData!$J$51),"",ReferenceData!$J$51),"")</f>
        <v>64.495999999999995</v>
      </c>
      <c r="I51">
        <f ca="1">IFERROR(IF(0=LEN(ReferenceData!$I$51),"",ReferenceData!$I$51),"")</f>
        <v>72.391999999999996</v>
      </c>
      <c r="J51">
        <f ca="1">IFERROR(IF(0=LEN(ReferenceData!$H$51),"",ReferenceData!$H$51),"")</f>
        <v>73.61</v>
      </c>
      <c r="K51" t="str">
        <f ca="1">IFERROR(IF(0=LEN(ReferenceData!$G$51),"",ReferenceData!$G$51),"")</f>
        <v/>
      </c>
      <c r="L51" t="str">
        <f ca="1">IFERROR(IF(0=LEN(ReferenceData!$F$51),"",ReferenceData!$F$51),"")</f>
        <v/>
      </c>
    </row>
    <row r="52" spans="1:12" x14ac:dyDescent="0.25">
      <c r="A52" t="str">
        <f>IFERROR(IF(0=LEN(ReferenceData!$A$52),"",ReferenceData!$A$52),"")</f>
        <v xml:space="preserve">    HCL Technologies Ltd</v>
      </c>
      <c r="B52" t="str">
        <f>IFERROR(IF(0=LEN(ReferenceData!$B$52),"",ReferenceData!$B$52),"")</f>
        <v>HCLT IN Equity</v>
      </c>
      <c r="C52" t="str">
        <f>IFERROR(IF(0=LEN(ReferenceData!$C$52),"",ReferenceData!$C$52),"")</f>
        <v/>
      </c>
      <c r="D52" t="str">
        <f>IFERROR(IF(0=LEN(ReferenceData!$D$52),"",ReferenceData!$D$52),"")</f>
        <v/>
      </c>
      <c r="E52" t="str">
        <f>IFERROR(IF(0=LEN(ReferenceData!$E$52),"",ReferenceData!$E$52),"")</f>
        <v>Expression</v>
      </c>
      <c r="F52">
        <f ca="1">IFERROR(IF(0=LEN(ReferenceData!$L$52),"",ReferenceData!$L$52),"")</f>
        <v>168.40100000000001</v>
      </c>
      <c r="G52" t="str">
        <f ca="1">IFERROR(IF(0=LEN(ReferenceData!$K$52),"",ReferenceData!$K$52),"")</f>
        <v/>
      </c>
      <c r="H52">
        <f ca="1">IFERROR(IF(0=LEN(ReferenceData!$J$52),"",ReferenceData!$J$52),"")</f>
        <v>160.55000000000001</v>
      </c>
      <c r="I52" t="str">
        <f ca="1">IFERROR(IF(0=LEN(ReferenceData!$I$52),"",ReferenceData!$I$52),"")</f>
        <v/>
      </c>
      <c r="J52" t="str">
        <f ca="1">IFERROR(IF(0=LEN(ReferenceData!$H$52),"",ReferenceData!$H$52),"")</f>
        <v/>
      </c>
      <c r="K52" t="str">
        <f ca="1">IFERROR(IF(0=LEN(ReferenceData!$G$52),"",ReferenceData!$G$52),"")</f>
        <v/>
      </c>
      <c r="L52" t="str">
        <f ca="1">IFERROR(IF(0=LEN(ReferenceData!$F$52),"",ReferenceData!$F$52),"")</f>
        <v/>
      </c>
    </row>
    <row r="53" spans="1:12" x14ac:dyDescent="0.25">
      <c r="A53" t="str">
        <f>IFERROR(IF(0=LEN(ReferenceData!$A$53),"",ReferenceData!$A$53),"")</f>
        <v xml:space="preserve">    Indra Sistemas SA</v>
      </c>
      <c r="B53" t="str">
        <f>IFERROR(IF(0=LEN(ReferenceData!$B$53),"",ReferenceData!$B$53),"")</f>
        <v>IDR SM Equity</v>
      </c>
      <c r="C53" t="str">
        <f>IFERROR(IF(0=LEN(ReferenceData!$C$53),"",ReferenceData!$C$53),"")</f>
        <v/>
      </c>
      <c r="D53" t="str">
        <f>IFERROR(IF(0=LEN(ReferenceData!$D$53),"",ReferenceData!$D$53),"")</f>
        <v/>
      </c>
      <c r="E53" t="str">
        <f>IFERROR(IF(0=LEN(ReferenceData!$E$53),"",ReferenceData!$E$53),"")</f>
        <v>Expression</v>
      </c>
      <c r="F53">
        <f ca="1">IFERROR(IF(0=LEN(ReferenceData!$L$53),"",ReferenceData!$L$53),"")</f>
        <v>32.317999999999998</v>
      </c>
      <c r="G53">
        <f ca="1">IFERROR(IF(0=LEN(ReferenceData!$K$53),"",ReferenceData!$K$53),"")</f>
        <v>29.49</v>
      </c>
      <c r="H53">
        <f ca="1">IFERROR(IF(0=LEN(ReferenceData!$J$53),"",ReferenceData!$J$53),"")</f>
        <v>24.545000000000002</v>
      </c>
      <c r="I53">
        <f ca="1">IFERROR(IF(0=LEN(ReferenceData!$I$53),"",ReferenceData!$I$53),"")</f>
        <v>22.49</v>
      </c>
      <c r="J53">
        <f ca="1">IFERROR(IF(0=LEN(ReferenceData!$H$53),"",ReferenceData!$H$53),"")</f>
        <v>12.117000000000001</v>
      </c>
      <c r="K53">
        <f ca="1">IFERROR(IF(0=LEN(ReferenceData!$G$53),"",ReferenceData!$G$53),"")</f>
        <v>10.504</v>
      </c>
      <c r="L53" t="str">
        <f ca="1">IFERROR(IF(0=LEN(ReferenceData!$F$53),"",ReferenceData!$F$53),"")</f>
        <v/>
      </c>
    </row>
    <row r="54" spans="1:12" x14ac:dyDescent="0.25">
      <c r="A54" t="str">
        <f>IFERROR(IF(0=LEN(ReferenceData!$A$54),"",ReferenceData!$A$54),"")</f>
        <v xml:space="preserve">    Infosys Ltd</v>
      </c>
      <c r="B54" t="str">
        <f>IFERROR(IF(0=LEN(ReferenceData!$B$54),"",ReferenceData!$B$54),"")</f>
        <v>INFY US Equity</v>
      </c>
      <c r="C54" t="str">
        <f>IFERROR(IF(0=LEN(ReferenceData!$C$54),"",ReferenceData!$C$54),"")</f>
        <v/>
      </c>
      <c r="D54" t="str">
        <f>IFERROR(IF(0=LEN(ReferenceData!$D$54),"",ReferenceData!$D$54),"")</f>
        <v/>
      </c>
      <c r="E54" t="str">
        <f>IFERROR(IF(0=LEN(ReferenceData!$E$54),"",ReferenceData!$E$54),"")</f>
        <v>Expression</v>
      </c>
      <c r="F54">
        <f ca="1">IFERROR(IF(0=LEN(ReferenceData!$L$54),"",ReferenceData!$L$54),"")</f>
        <v>161.654</v>
      </c>
      <c r="G54">
        <f ca="1">IFERROR(IF(0=LEN(ReferenceData!$K$54),"",ReferenceData!$K$54),"")</f>
        <v>163.89400000000001</v>
      </c>
      <c r="H54">
        <f ca="1">IFERROR(IF(0=LEN(ReferenceData!$J$54),"",ReferenceData!$J$54),"")</f>
        <v>171.25</v>
      </c>
      <c r="I54">
        <f ca="1">IFERROR(IF(0=LEN(ReferenceData!$I$54),"",ReferenceData!$I$54),"")</f>
        <v>133.80600000000001</v>
      </c>
      <c r="J54">
        <f ca="1">IFERROR(IF(0=LEN(ReferenceData!$H$54),"",ReferenceData!$H$54),"")</f>
        <v>126.05200000000001</v>
      </c>
      <c r="K54">
        <f ca="1">IFERROR(IF(0=LEN(ReferenceData!$G$54),"",ReferenceData!$G$54),"")</f>
        <v>124.77</v>
      </c>
      <c r="L54" t="str">
        <f ca="1">IFERROR(IF(0=LEN(ReferenceData!$F$54),"",ReferenceData!$F$54),"")</f>
        <v/>
      </c>
    </row>
    <row r="55" spans="1:12" x14ac:dyDescent="0.25">
      <c r="A55" t="str">
        <f>IFERROR(IF(0=LEN(ReferenceData!$A$55),"",ReferenceData!$A$55),"")</f>
        <v xml:space="preserve">    International Business Machines Corp</v>
      </c>
      <c r="B55" t="str">
        <f>IFERROR(IF(0=LEN(ReferenceData!$B$55),"",ReferenceData!$B$55),"")</f>
        <v>IBM US Equity</v>
      </c>
      <c r="C55" t="str">
        <f>IFERROR(IF(0=LEN(ReferenceData!$C$55),"",ReferenceData!$C$55),"")</f>
        <v/>
      </c>
      <c r="D55" t="str">
        <f>IFERROR(IF(0=LEN(ReferenceData!$D$55),"",ReferenceData!$D$55),"")</f>
        <v/>
      </c>
      <c r="E55" t="str">
        <f>IFERROR(IF(0=LEN(ReferenceData!$E$55),"",ReferenceData!$E$55),"")</f>
        <v>Expression</v>
      </c>
      <c r="F55">
        <f ca="1">IFERROR(IF(0=LEN(ReferenceData!$L$55),"",ReferenceData!$L$55),"")</f>
        <v>2493.06</v>
      </c>
      <c r="G55">
        <f ca="1">IFERROR(IF(0=LEN(ReferenceData!$K$55),"",ReferenceData!$K$55),"")</f>
        <v>2438.66</v>
      </c>
      <c r="H55">
        <f ca="1">IFERROR(IF(0=LEN(ReferenceData!$J$55),"",ReferenceData!$J$55),"")</f>
        <v>1787.5</v>
      </c>
      <c r="I55">
        <f ca="1">IFERROR(IF(0=LEN(ReferenceData!$I$55),"",ReferenceData!$I$55),"")</f>
        <v>1619.07</v>
      </c>
      <c r="J55">
        <f ca="1">IFERROR(IF(0=LEN(ReferenceData!$H$55),"",ReferenceData!$H$55),"")</f>
        <v>1496.52</v>
      </c>
      <c r="K55">
        <f ca="1">IFERROR(IF(0=LEN(ReferenceData!$G$55),"",ReferenceData!$G$55),"")</f>
        <v>1257.6600000000001</v>
      </c>
      <c r="L55" t="str">
        <f ca="1">IFERROR(IF(0=LEN(ReferenceData!$F$55),"",ReferenceData!$F$55),"")</f>
        <v/>
      </c>
    </row>
    <row r="56" spans="1:12" x14ac:dyDescent="0.25">
      <c r="A56" t="str">
        <f>IFERROR(IF(0=LEN(ReferenceData!$A$56),"",ReferenceData!$A$56),"")</f>
        <v xml:space="preserve">    Tata Consultancy Services Ltd</v>
      </c>
      <c r="B56" t="str">
        <f>IFERROR(IF(0=LEN(ReferenceData!$B$56),"",ReferenceData!$B$56),"")</f>
        <v>TCS IN Equity</v>
      </c>
      <c r="C56" t="str">
        <f>IFERROR(IF(0=LEN(ReferenceData!$C$56),"",ReferenceData!$C$56),"")</f>
        <v/>
      </c>
      <c r="D56" t="str">
        <f>IFERROR(IF(0=LEN(ReferenceData!$D$56),"",ReferenceData!$D$56),"")</f>
        <v/>
      </c>
      <c r="E56" t="str">
        <f>IFERROR(IF(0=LEN(ReferenceData!$E$56),"",ReferenceData!$E$56),"")</f>
        <v>Expression</v>
      </c>
      <c r="F56">
        <f ca="1">IFERROR(IF(0=LEN(ReferenceData!$L$56),"",ReferenceData!$L$56),"")</f>
        <v>422.589</v>
      </c>
      <c r="G56">
        <f ca="1">IFERROR(IF(0=LEN(ReferenceData!$K$56),"",ReferenceData!$K$56),"")</f>
        <v>458.04</v>
      </c>
      <c r="H56">
        <f ca="1">IFERROR(IF(0=LEN(ReferenceData!$J$56),"",ReferenceData!$J$56),"")</f>
        <v>471.32400000000001</v>
      </c>
      <c r="I56">
        <f ca="1">IFERROR(IF(0=LEN(ReferenceData!$I$56),"",ReferenceData!$I$56),"")</f>
        <v>470.52</v>
      </c>
      <c r="J56">
        <f ca="1">IFERROR(IF(0=LEN(ReferenceData!$H$56),"",ReferenceData!$H$56),"")</f>
        <v>455.32900000000001</v>
      </c>
      <c r="K56" t="str">
        <f ca="1">IFERROR(IF(0=LEN(ReferenceData!$G$56),"",ReferenceData!$G$56),"")</f>
        <v/>
      </c>
      <c r="L56" t="str">
        <f ca="1">IFERROR(IF(0=LEN(ReferenceData!$F$56),"",ReferenceData!$F$56),"")</f>
        <v/>
      </c>
    </row>
    <row r="57" spans="1:12" x14ac:dyDescent="0.25">
      <c r="A57" t="str">
        <f>IFERROR(IF(0=LEN(ReferenceData!$A$57),"",ReferenceData!$A$57),"")</f>
        <v xml:space="preserve">    Tech Mahindra Ltd</v>
      </c>
      <c r="B57" t="str">
        <f>IFERROR(IF(0=LEN(ReferenceData!$B$57),"",ReferenceData!$B$57),"")</f>
        <v>TECHM IN Equity</v>
      </c>
      <c r="C57" t="str">
        <f>IFERROR(IF(0=LEN(ReferenceData!$C$57),"",ReferenceData!$C$57),"")</f>
        <v/>
      </c>
      <c r="D57" t="str">
        <f>IFERROR(IF(0=LEN(ReferenceData!$D$57),"",ReferenceData!$D$57),"")</f>
        <v/>
      </c>
      <c r="E57" t="str">
        <f>IFERROR(IF(0=LEN(ReferenceData!$E$57),"",ReferenceData!$E$57),"")</f>
        <v>Expression</v>
      </c>
      <c r="F57">
        <f ca="1">IFERROR(IF(0=LEN(ReferenceData!$L$57),"",ReferenceData!$L$57),"")</f>
        <v>100.599</v>
      </c>
      <c r="G57">
        <f ca="1">IFERROR(IF(0=LEN(ReferenceData!$K$57),"",ReferenceData!$K$57),"")</f>
        <v>114.94199999999999</v>
      </c>
      <c r="H57">
        <f ca="1">IFERROR(IF(0=LEN(ReferenceData!$J$57),"",ReferenceData!$J$57),"")</f>
        <v>114.309</v>
      </c>
      <c r="I57">
        <f ca="1">IFERROR(IF(0=LEN(ReferenceData!$I$57),"",ReferenceData!$I$57),"")</f>
        <v>122.697</v>
      </c>
      <c r="J57">
        <f ca="1">IFERROR(IF(0=LEN(ReferenceData!$H$57),"",ReferenceData!$H$57),"")</f>
        <v>125.48699999999999</v>
      </c>
      <c r="K57" t="str">
        <f ca="1">IFERROR(IF(0=LEN(ReferenceData!$G$57),"",ReferenceData!$G$57),"")</f>
        <v/>
      </c>
      <c r="L57" t="str">
        <f ca="1">IFERROR(IF(0=LEN(ReferenceData!$F$57),"",ReferenceData!$F$57),"")</f>
        <v/>
      </c>
    </row>
    <row r="58" spans="1:12" x14ac:dyDescent="0.25">
      <c r="A58" t="str">
        <f>IFERROR(IF(0=LEN(ReferenceData!$A$58),"",ReferenceData!$A$58),"")</f>
        <v xml:space="preserve">    Wipro Ltd</v>
      </c>
      <c r="B58" t="str">
        <f>IFERROR(IF(0=LEN(ReferenceData!$B$58),"",ReferenceData!$B$58),"")</f>
        <v>WIT US Equity</v>
      </c>
      <c r="C58" t="str">
        <f>IFERROR(IF(0=LEN(ReferenceData!$C$58),"",ReferenceData!$C$58),"")</f>
        <v/>
      </c>
      <c r="D58" t="str">
        <f>IFERROR(IF(0=LEN(ReferenceData!$D$58),"",ReferenceData!$D$58),"")</f>
        <v/>
      </c>
      <c r="E58" t="str">
        <f>IFERROR(IF(0=LEN(ReferenceData!$E$58),"",ReferenceData!$E$58),"")</f>
        <v>Expression</v>
      </c>
      <c r="F58">
        <f ca="1">IFERROR(IF(0=LEN(ReferenceData!$L$58),"",ReferenceData!$L$58),"")</f>
        <v>254.07300000000001</v>
      </c>
      <c r="G58">
        <f ca="1">IFERROR(IF(0=LEN(ReferenceData!$K$58),"",ReferenceData!$K$58),"")</f>
        <v>478.858</v>
      </c>
      <c r="H58">
        <f ca="1">IFERROR(IF(0=LEN(ReferenceData!$J$58),"",ReferenceData!$J$58),"")</f>
        <v>456.16300000000001</v>
      </c>
      <c r="I58">
        <f ca="1">IFERROR(IF(0=LEN(ReferenceData!$I$58),"",ReferenceData!$I$58),"")</f>
        <v>317.46499999999997</v>
      </c>
      <c r="J58">
        <f ca="1">IFERROR(IF(0=LEN(ReferenceData!$H$58),"",ReferenceData!$H$58),"")</f>
        <v>281.11500000000001</v>
      </c>
      <c r="K58" t="str">
        <f ca="1">IFERROR(IF(0=LEN(ReferenceData!$G$58),"",ReferenceData!$G$58),"")</f>
        <v/>
      </c>
      <c r="L58" t="str">
        <f ca="1">IFERROR(IF(0=LEN(ReferenceData!$F$58),"",ReferenceData!$F$58),"")</f>
        <v/>
      </c>
    </row>
    <row r="59" spans="1:12" x14ac:dyDescent="0.25">
      <c r="A59" t="str">
        <f>IFERROR(IF(0=LEN(ReferenceData!$A$59),"",ReferenceData!$A$59),"")</f>
        <v>Total Energy Consumption (000s MWh)</v>
      </c>
      <c r="B59" t="str">
        <f>IFERROR(IF(0=LEN(ReferenceData!$B$59),"",ReferenceData!$B$59),"")</f>
        <v/>
      </c>
      <c r="C59" t="str">
        <f>IFERROR(IF(0=LEN(ReferenceData!$C$59),"",ReferenceData!$C$59),"")</f>
        <v/>
      </c>
      <c r="D59" t="str">
        <f>IFERROR(IF(0=LEN(ReferenceData!$D$59),"",ReferenceData!$D$59),"")</f>
        <v/>
      </c>
      <c r="E59" t="str">
        <f>IFERROR(IF(0=LEN(ReferenceData!$E$59),"",ReferenceData!$E$59),"")</f>
        <v>Median</v>
      </c>
      <c r="F59">
        <f ca="1">IFERROR(IF(0=LEN(ReferenceData!$L$59),"",ReferenceData!$L$59),"")</f>
        <v>325.30700680000001</v>
      </c>
      <c r="G59">
        <f ca="1">IFERROR(IF(0=LEN(ReferenceData!$K$59),"",ReferenceData!$K$59),"")</f>
        <v>376.66799930000002</v>
      </c>
      <c r="H59">
        <f ca="1">IFERROR(IF(0=LEN(ReferenceData!$J$59),"",ReferenceData!$J$59),"")</f>
        <v>361.96000674999999</v>
      </c>
      <c r="I59">
        <f ca="1">IFERROR(IF(0=LEN(ReferenceData!$I$59),"",ReferenceData!$I$59),"")</f>
        <v>409.55099489999998</v>
      </c>
      <c r="J59">
        <f ca="1">IFERROR(IF(0=LEN(ReferenceData!$H$59),"",ReferenceData!$H$59),"")</f>
        <v>412.31298829999997</v>
      </c>
      <c r="K59">
        <f ca="1">IFERROR(IF(0=LEN(ReferenceData!$G$59),"",ReferenceData!$G$59),"")</f>
        <v>434.61499025000001</v>
      </c>
      <c r="L59">
        <f ca="1">IFERROR(IF(0=LEN(ReferenceData!$F$59),"",ReferenceData!$F$59),"")</f>
        <v>327.05850220000002</v>
      </c>
    </row>
    <row r="60" spans="1:12" x14ac:dyDescent="0.25">
      <c r="A60" t="str">
        <f>IFERROR(IF(0=LEN(ReferenceData!$A$60),"",ReferenceData!$A$60),"")</f>
        <v xml:space="preserve">    Accenture PLC</v>
      </c>
      <c r="B60" t="str">
        <f>IFERROR(IF(0=LEN(ReferenceData!$B$60),"",ReferenceData!$B$60),"")</f>
        <v>ACN US Equity</v>
      </c>
      <c r="C60" t="str">
        <f>IFERROR(IF(0=LEN(ReferenceData!$C$60),"",ReferenceData!$C$60),"")</f>
        <v>ES014</v>
      </c>
      <c r="D60" t="str">
        <f>IFERROR(IF(0=LEN(ReferenceData!$D$60),"",ReferenceData!$D$60),"")</f>
        <v>ENERGY_CONSUMPTION</v>
      </c>
      <c r="E60" t="str">
        <f>IFERROR(IF(0=LEN(ReferenceData!$E$60),"",ReferenceData!$E$60),"")</f>
        <v>Dynamic</v>
      </c>
      <c r="F60">
        <f ca="1">IFERROR(IF(0=LEN(ReferenceData!$L$60),"",ReferenceData!$L$60),"")</f>
        <v>413.30398559999998</v>
      </c>
      <c r="G60">
        <f ca="1">IFERROR(IF(0=LEN(ReferenceData!$K$60),"",ReferenceData!$K$60),"")</f>
        <v>436.31600950000001</v>
      </c>
      <c r="H60">
        <f ca="1">IFERROR(IF(0=LEN(ReferenceData!$J$60),"",ReferenceData!$J$60),"")</f>
        <v>469.3059998</v>
      </c>
      <c r="I60">
        <f ca="1">IFERROR(IF(0=LEN(ReferenceData!$I$60),"",ReferenceData!$I$60),"")</f>
        <v>512.28997800000002</v>
      </c>
      <c r="J60">
        <f ca="1">IFERROR(IF(0=LEN(ReferenceData!$H$60),"",ReferenceData!$H$60),"")</f>
        <v>499.04800419999998</v>
      </c>
      <c r="K60">
        <f ca="1">IFERROR(IF(0=LEN(ReferenceData!$G$60),"",ReferenceData!$G$60),"")</f>
        <v>489.07998659999998</v>
      </c>
      <c r="L60" t="str">
        <f ca="1">IFERROR(IF(0=LEN(ReferenceData!$F$60),"",ReferenceData!$F$60),"")</f>
        <v/>
      </c>
    </row>
    <row r="61" spans="1:12" x14ac:dyDescent="0.25">
      <c r="A61" t="str">
        <f>IFERROR(IF(0=LEN(ReferenceData!$A$61),"",ReferenceData!$A$61),"")</f>
        <v xml:space="preserve">    Amdocs Ltd</v>
      </c>
      <c r="B61" t="str">
        <f>IFERROR(IF(0=LEN(ReferenceData!$B$61),"",ReferenceData!$B$61),"")</f>
        <v>DOX US Equity</v>
      </c>
      <c r="C61" t="str">
        <f>IFERROR(IF(0=LEN(ReferenceData!$C$61),"",ReferenceData!$C$61),"")</f>
        <v>ES014</v>
      </c>
      <c r="D61" t="str">
        <f>IFERROR(IF(0=LEN(ReferenceData!$D$61),"",ReferenceData!$D$61),"")</f>
        <v>ENERGY_CONSUMPTION</v>
      </c>
      <c r="E61" t="str">
        <f>IFERROR(IF(0=LEN(ReferenceData!$E$61),"",ReferenceData!$E$61),"")</f>
        <v>Dynamic</v>
      </c>
      <c r="F61" t="str">
        <f ca="1">IFERROR(IF(0=LEN(ReferenceData!$L$61),"",ReferenceData!$L$61),"")</f>
        <v/>
      </c>
      <c r="G61" t="str">
        <f ca="1">IFERROR(IF(0=LEN(ReferenceData!$K$61),"",ReferenceData!$K$61),"")</f>
        <v/>
      </c>
      <c r="H61" t="str">
        <f ca="1">IFERROR(IF(0=LEN(ReferenceData!$J$61),"",ReferenceData!$J$61),"")</f>
        <v/>
      </c>
      <c r="I61" t="str">
        <f ca="1">IFERROR(IF(0=LEN(ReferenceData!$I$61),"",ReferenceData!$I$61),"")</f>
        <v/>
      </c>
      <c r="J61" t="str">
        <f ca="1">IFERROR(IF(0=LEN(ReferenceData!$H$61),"",ReferenceData!$H$61),"")</f>
        <v/>
      </c>
      <c r="K61" t="str">
        <f ca="1">IFERROR(IF(0=LEN(ReferenceData!$G$61),"",ReferenceData!$G$61),"")</f>
        <v/>
      </c>
      <c r="L61" t="str">
        <f ca="1">IFERROR(IF(0=LEN(ReferenceData!$F$61),"",ReferenceData!$F$61),"")</f>
        <v/>
      </c>
    </row>
    <row r="62" spans="1:12" x14ac:dyDescent="0.25">
      <c r="A62" t="str">
        <f>IFERROR(IF(0=LEN(ReferenceData!$A$62),"",ReferenceData!$A$62),"")</f>
        <v xml:space="preserve">    Atos SE</v>
      </c>
      <c r="B62" t="str">
        <f>IFERROR(IF(0=LEN(ReferenceData!$B$62),"",ReferenceData!$B$62),"")</f>
        <v>ATO FP Equity</v>
      </c>
      <c r="C62" t="str">
        <f>IFERROR(IF(0=LEN(ReferenceData!$C$62),"",ReferenceData!$C$62),"")</f>
        <v>ES014</v>
      </c>
      <c r="D62" t="str">
        <f>IFERROR(IF(0=LEN(ReferenceData!$D$62),"",ReferenceData!$D$62),"")</f>
        <v>ENERGY_CONSUMPTION</v>
      </c>
      <c r="E62" t="str">
        <f>IFERROR(IF(0=LEN(ReferenceData!$E$62),"",ReferenceData!$E$62),"")</f>
        <v>Dynamic</v>
      </c>
      <c r="F62">
        <f ca="1">IFERROR(IF(0=LEN(ReferenceData!$L$62),"",ReferenceData!$L$62),"")</f>
        <v>611.28002930000002</v>
      </c>
      <c r="G62">
        <f ca="1">IFERROR(IF(0=LEN(ReferenceData!$K$62),"",ReferenceData!$K$62),"")</f>
        <v>575.69000240000003</v>
      </c>
      <c r="H62">
        <f ca="1">IFERROR(IF(0=LEN(ReferenceData!$J$62),"",ReferenceData!$J$62),"")</f>
        <v>622.42102050000005</v>
      </c>
      <c r="I62">
        <f ca="1">IFERROR(IF(0=LEN(ReferenceData!$I$62),"",ReferenceData!$I$62),"")</f>
        <v>763.40197750000004</v>
      </c>
      <c r="J62">
        <f ca="1">IFERROR(IF(0=LEN(ReferenceData!$H$62),"",ReferenceData!$H$62),"")</f>
        <v>774.88897710000003</v>
      </c>
      <c r="K62">
        <f ca="1">IFERROR(IF(0=LEN(ReferenceData!$G$62),"",ReferenceData!$G$62),"")</f>
        <v>748.26800539999999</v>
      </c>
      <c r="L62">
        <f ca="1">IFERROR(IF(0=LEN(ReferenceData!$F$62),"",ReferenceData!$F$62),"")</f>
        <v>702.39801030000001</v>
      </c>
    </row>
    <row r="63" spans="1:12" x14ac:dyDescent="0.25">
      <c r="A63" t="str">
        <f>IFERROR(IF(0=LEN(ReferenceData!$A$63),"",ReferenceData!$A$63),"")</f>
        <v xml:space="preserve">    Capgemini SE</v>
      </c>
      <c r="B63" t="str">
        <f>IFERROR(IF(0=LEN(ReferenceData!$B$63),"",ReferenceData!$B$63),"")</f>
        <v>CAP FP Equity</v>
      </c>
      <c r="C63" t="str">
        <f>IFERROR(IF(0=LEN(ReferenceData!$C$63),"",ReferenceData!$C$63),"")</f>
        <v>ES014</v>
      </c>
      <c r="D63" t="str">
        <f>IFERROR(IF(0=LEN(ReferenceData!$D$63),"",ReferenceData!$D$63),"")</f>
        <v>ENERGY_CONSUMPTION</v>
      </c>
      <c r="E63" t="str">
        <f>IFERROR(IF(0=LEN(ReferenceData!$E$63),"",ReferenceData!$E$63),"")</f>
        <v>Dynamic</v>
      </c>
      <c r="F63">
        <f ca="1">IFERROR(IF(0=LEN(ReferenceData!$L$63),"",ReferenceData!$L$63),"")</f>
        <v>392.51098630000001</v>
      </c>
      <c r="G63">
        <f ca="1">IFERROR(IF(0=LEN(ReferenceData!$K$63),"",ReferenceData!$K$63),"")</f>
        <v>376.66799930000002</v>
      </c>
      <c r="H63">
        <f ca="1">IFERROR(IF(0=LEN(ReferenceData!$J$63),"",ReferenceData!$J$63),"")</f>
        <v>432.71600339999998</v>
      </c>
      <c r="I63">
        <f ca="1">IFERROR(IF(0=LEN(ReferenceData!$I$63),"",ReferenceData!$I$63),"")</f>
        <v>418.43200680000001</v>
      </c>
      <c r="J63">
        <f ca="1">IFERROR(IF(0=LEN(ReferenceData!$H$63),"",ReferenceData!$H$63),"")</f>
        <v>412.31298829999997</v>
      </c>
      <c r="K63">
        <f ca="1">IFERROR(IF(0=LEN(ReferenceData!$G$63),"",ReferenceData!$G$63),"")</f>
        <v>380.14999390000003</v>
      </c>
      <c r="L63">
        <f ca="1">IFERROR(IF(0=LEN(ReferenceData!$F$63),"",ReferenceData!$F$63),"")</f>
        <v>368.06799319999999</v>
      </c>
    </row>
    <row r="64" spans="1:12" x14ac:dyDescent="0.25">
      <c r="A64" t="str">
        <f>IFERROR(IF(0=LEN(ReferenceData!$A$64),"",ReferenceData!$A$64),"")</f>
        <v xml:space="preserve">    CGI Inc</v>
      </c>
      <c r="B64" t="str">
        <f>IFERROR(IF(0=LEN(ReferenceData!$B$64),"",ReferenceData!$B$64),"")</f>
        <v>GIB US Equity</v>
      </c>
      <c r="C64" t="str">
        <f>IFERROR(IF(0=LEN(ReferenceData!$C$64),"",ReferenceData!$C$64),"")</f>
        <v>ES014</v>
      </c>
      <c r="D64" t="str">
        <f>IFERROR(IF(0=LEN(ReferenceData!$D$64),"",ReferenceData!$D$64),"")</f>
        <v>ENERGY_CONSUMPTION</v>
      </c>
      <c r="E64" t="str">
        <f>IFERROR(IF(0=LEN(ReferenceData!$E$64),"",ReferenceData!$E$64),"")</f>
        <v>Dynamic</v>
      </c>
      <c r="F64">
        <f ca="1">IFERROR(IF(0=LEN(ReferenceData!$L$64),"",ReferenceData!$L$64),"")</f>
        <v>325.30700680000001</v>
      </c>
      <c r="G64">
        <f ca="1">IFERROR(IF(0=LEN(ReferenceData!$K$64),"",ReferenceData!$K$64),"")</f>
        <v>303.99301150000002</v>
      </c>
      <c r="H64" t="str">
        <f ca="1">IFERROR(IF(0=LEN(ReferenceData!$J$64),"",ReferenceData!$J$64),"")</f>
        <v/>
      </c>
      <c r="I64" t="str">
        <f ca="1">IFERROR(IF(0=LEN(ReferenceData!$I$64),"",ReferenceData!$I$64),"")</f>
        <v/>
      </c>
      <c r="J64" t="str">
        <f ca="1">IFERROR(IF(0=LEN(ReferenceData!$H$64),"",ReferenceData!$H$64),"")</f>
        <v/>
      </c>
      <c r="K64" t="str">
        <f ca="1">IFERROR(IF(0=LEN(ReferenceData!$G$64),"",ReferenceData!$G$64),"")</f>
        <v/>
      </c>
      <c r="L64" t="str">
        <f ca="1">IFERROR(IF(0=LEN(ReferenceData!$F$64),"",ReferenceData!$F$64),"")</f>
        <v/>
      </c>
    </row>
    <row r="65" spans="1:12" x14ac:dyDescent="0.25">
      <c r="A65" t="str">
        <f>IFERROR(IF(0=LEN(ReferenceData!$A$65),"",ReferenceData!$A$65),"")</f>
        <v xml:space="preserve">    Cognizant Technology Solutions Corp</v>
      </c>
      <c r="B65" t="str">
        <f>IFERROR(IF(0=LEN(ReferenceData!$B$65),"",ReferenceData!$B$65),"")</f>
        <v>CTSH US Equity</v>
      </c>
      <c r="C65" t="str">
        <f>IFERROR(IF(0=LEN(ReferenceData!$C$65),"",ReferenceData!$C$65),"")</f>
        <v>ES014</v>
      </c>
      <c r="D65" t="str">
        <f>IFERROR(IF(0=LEN(ReferenceData!$D$65),"",ReferenceData!$D$65),"")</f>
        <v>ENERGY_CONSUMPTION</v>
      </c>
      <c r="E65" t="str">
        <f>IFERROR(IF(0=LEN(ReferenceData!$E$65),"",ReferenceData!$E$65),"")</f>
        <v>Dynamic</v>
      </c>
      <c r="F65">
        <f ca="1">IFERROR(IF(0=LEN(ReferenceData!$L$65),"",ReferenceData!$L$65),"")</f>
        <v>259.06201170000003</v>
      </c>
      <c r="G65">
        <f ca="1">IFERROR(IF(0=LEN(ReferenceData!$K$65),"",ReferenceData!$K$65),"")</f>
        <v>301.01699830000001</v>
      </c>
      <c r="H65">
        <f ca="1">IFERROR(IF(0=LEN(ReferenceData!$J$65),"",ReferenceData!$J$65),"")</f>
        <v>300.61401369999999</v>
      </c>
      <c r="I65">
        <f ca="1">IFERROR(IF(0=LEN(ReferenceData!$I$65),"",ReferenceData!$I$65),"")</f>
        <v>67.455497739999998</v>
      </c>
      <c r="J65" t="str">
        <f ca="1">IFERROR(IF(0=LEN(ReferenceData!$H$65),"",ReferenceData!$H$65),"")</f>
        <v/>
      </c>
      <c r="K65" t="str">
        <f ca="1">IFERROR(IF(0=LEN(ReferenceData!$G$65),"",ReferenceData!$G$65),"")</f>
        <v/>
      </c>
      <c r="L65" t="str">
        <f ca="1">IFERROR(IF(0=LEN(ReferenceData!$F$65),"",ReferenceData!$F$65),"")</f>
        <v/>
      </c>
    </row>
    <row r="66" spans="1:12" x14ac:dyDescent="0.25">
      <c r="A66" t="str">
        <f>IFERROR(IF(0=LEN(ReferenceData!$A$66),"",ReferenceData!$A$66),"")</f>
        <v xml:space="preserve">    Conduent Inc</v>
      </c>
      <c r="B66" t="str">
        <f>IFERROR(IF(0=LEN(ReferenceData!$B$66),"",ReferenceData!$B$66),"")</f>
        <v>CNDT US Equity</v>
      </c>
      <c r="C66" t="str">
        <f>IFERROR(IF(0=LEN(ReferenceData!$C$66),"",ReferenceData!$C$66),"")</f>
        <v>ES014</v>
      </c>
      <c r="D66" t="str">
        <f>IFERROR(IF(0=LEN(ReferenceData!$D$66),"",ReferenceData!$D$66),"")</f>
        <v>ENERGY_CONSUMPTION</v>
      </c>
      <c r="E66" t="str">
        <f>IFERROR(IF(0=LEN(ReferenceData!$E$66),"",ReferenceData!$E$66),"")</f>
        <v>Dynamic</v>
      </c>
      <c r="F66" t="str">
        <f ca="1">IFERROR(IF(0=LEN(ReferenceData!$L$66),"",ReferenceData!$L$66),"")</f>
        <v/>
      </c>
      <c r="G66" t="str">
        <f ca="1">IFERROR(IF(0=LEN(ReferenceData!$K$66),"",ReferenceData!$K$66),"")</f>
        <v/>
      </c>
      <c r="H66" t="str">
        <f ca="1">IFERROR(IF(0=LEN(ReferenceData!$J$66),"",ReferenceData!$J$66),"")</f>
        <v/>
      </c>
      <c r="I66" t="str">
        <f ca="1">IFERROR(IF(0=LEN(ReferenceData!$I$66),"",ReferenceData!$I$66),"")</f>
        <v/>
      </c>
      <c r="J66" t="str">
        <f ca="1">IFERROR(IF(0=LEN(ReferenceData!$H$66),"",ReferenceData!$H$66),"")</f>
        <v/>
      </c>
      <c r="K66" t="str">
        <f ca="1">IFERROR(IF(0=LEN(ReferenceData!$G$66),"",ReferenceData!$G$66),"")</f>
        <v/>
      </c>
      <c r="L66" t="str">
        <f ca="1">IFERROR(IF(0=LEN(ReferenceData!$F$66),"",ReferenceData!$F$66),"")</f>
        <v/>
      </c>
    </row>
    <row r="67" spans="1:12" x14ac:dyDescent="0.25">
      <c r="A67" t="str">
        <f>IFERROR(IF(0=LEN(ReferenceData!$A$67),"",ReferenceData!$A$67),"")</f>
        <v xml:space="preserve">    DXC Technology Co</v>
      </c>
      <c r="B67" t="str">
        <f>IFERROR(IF(0=LEN(ReferenceData!$B$67),"",ReferenceData!$B$67),"")</f>
        <v>DXC US Equity</v>
      </c>
      <c r="C67" t="str">
        <f>IFERROR(IF(0=LEN(ReferenceData!$C$67),"",ReferenceData!$C$67),"")</f>
        <v>ES014</v>
      </c>
      <c r="D67" t="str">
        <f>IFERROR(IF(0=LEN(ReferenceData!$D$67),"",ReferenceData!$D$67),"")</f>
        <v>ENERGY_CONSUMPTION</v>
      </c>
      <c r="E67" t="str">
        <f>IFERROR(IF(0=LEN(ReferenceData!$E$67),"",ReferenceData!$E$67),"")</f>
        <v>Dynamic</v>
      </c>
      <c r="F67" t="str">
        <f ca="1">IFERROR(IF(0=LEN(ReferenceData!$L$67),"",ReferenceData!$L$67),"")</f>
        <v/>
      </c>
      <c r="G67" t="str">
        <f ca="1">IFERROR(IF(0=LEN(ReferenceData!$K$67),"",ReferenceData!$K$67),"")</f>
        <v/>
      </c>
      <c r="H67" t="str">
        <f ca="1">IFERROR(IF(0=LEN(ReferenceData!$J$67),"",ReferenceData!$J$67),"")</f>
        <v/>
      </c>
      <c r="I67" t="str">
        <f ca="1">IFERROR(IF(0=LEN(ReferenceData!$I$67),"",ReferenceData!$I$67),"")</f>
        <v/>
      </c>
      <c r="J67">
        <f ca="1">IFERROR(IF(0=LEN(ReferenceData!$H$67),"",ReferenceData!$H$67),"")</f>
        <v>2184.9099120000001</v>
      </c>
      <c r="K67">
        <f ca="1">IFERROR(IF(0=LEN(ReferenceData!$G$67),"",ReferenceData!$G$67),"")</f>
        <v>1867.920044</v>
      </c>
      <c r="L67" t="str">
        <f ca="1">IFERROR(IF(0=LEN(ReferenceData!$F$67),"",ReferenceData!$F$67),"")</f>
        <v/>
      </c>
    </row>
    <row r="68" spans="1:12" x14ac:dyDescent="0.25">
      <c r="A68" t="str">
        <f>IFERROR(IF(0=LEN(ReferenceData!$A$68),"",ReferenceData!$A$68),"")</f>
        <v xml:space="preserve">    EPAM Systems Inc</v>
      </c>
      <c r="B68" t="str">
        <f>IFERROR(IF(0=LEN(ReferenceData!$B$68),"",ReferenceData!$B$68),"")</f>
        <v>EPAM US Equity</v>
      </c>
      <c r="C68" t="str">
        <f>IFERROR(IF(0=LEN(ReferenceData!$C$68),"",ReferenceData!$C$68),"")</f>
        <v>ES014</v>
      </c>
      <c r="D68" t="str">
        <f>IFERROR(IF(0=LEN(ReferenceData!$D$68),"",ReferenceData!$D$68),"")</f>
        <v>ENERGY_CONSUMPTION</v>
      </c>
      <c r="E68" t="str">
        <f>IFERROR(IF(0=LEN(ReferenceData!$E$68),"",ReferenceData!$E$68),"")</f>
        <v>Dynamic</v>
      </c>
      <c r="F68" t="str">
        <f ca="1">IFERROR(IF(0=LEN(ReferenceData!$L$68),"",ReferenceData!$L$68),"")</f>
        <v/>
      </c>
      <c r="G68" t="str">
        <f ca="1">IFERROR(IF(0=LEN(ReferenceData!$K$68),"",ReferenceData!$K$68),"")</f>
        <v/>
      </c>
      <c r="H68" t="str">
        <f ca="1">IFERROR(IF(0=LEN(ReferenceData!$J$68),"",ReferenceData!$J$68),"")</f>
        <v/>
      </c>
      <c r="I68" t="str">
        <f ca="1">IFERROR(IF(0=LEN(ReferenceData!$I$68),"",ReferenceData!$I$68),"")</f>
        <v/>
      </c>
      <c r="J68" t="str">
        <f ca="1">IFERROR(IF(0=LEN(ReferenceData!$H$68),"",ReferenceData!$H$68),"")</f>
        <v/>
      </c>
      <c r="K68" t="str">
        <f ca="1">IFERROR(IF(0=LEN(ReferenceData!$G$68),"",ReferenceData!$G$68),"")</f>
        <v/>
      </c>
      <c r="L68" t="str">
        <f ca="1">IFERROR(IF(0=LEN(ReferenceData!$F$68),"",ReferenceData!$F$68),"")</f>
        <v/>
      </c>
    </row>
    <row r="69" spans="1:12" x14ac:dyDescent="0.25">
      <c r="A69" t="str">
        <f>IFERROR(IF(0=LEN(ReferenceData!$A$69),"",ReferenceData!$A$69),"")</f>
        <v xml:space="preserve">    Genpact Ltd</v>
      </c>
      <c r="B69" t="str">
        <f>IFERROR(IF(0=LEN(ReferenceData!$B$69),"",ReferenceData!$B$69),"")</f>
        <v>G US Equity</v>
      </c>
      <c r="C69" t="str">
        <f>IFERROR(IF(0=LEN(ReferenceData!$C$69),"",ReferenceData!$C$69),"")</f>
        <v>ES014</v>
      </c>
      <c r="D69" t="str">
        <f>IFERROR(IF(0=LEN(ReferenceData!$D$69),"",ReferenceData!$D$69),"")</f>
        <v>ENERGY_CONSUMPTION</v>
      </c>
      <c r="E69" t="str">
        <f>IFERROR(IF(0=LEN(ReferenceData!$E$69),"",ReferenceData!$E$69),"")</f>
        <v>Dynamic</v>
      </c>
      <c r="F69">
        <f ca="1">IFERROR(IF(0=LEN(ReferenceData!$L$69),"",ReferenceData!$L$69),"")</f>
        <v>90.777801510000003</v>
      </c>
      <c r="G69" t="str">
        <f ca="1">IFERROR(IF(0=LEN(ReferenceData!$K$69),"",ReferenceData!$K$69),"")</f>
        <v/>
      </c>
      <c r="H69">
        <f ca="1">IFERROR(IF(0=LEN(ReferenceData!$J$69),"",ReferenceData!$J$69),"")</f>
        <v>98.904403689999995</v>
      </c>
      <c r="I69">
        <f ca="1">IFERROR(IF(0=LEN(ReferenceData!$I$69),"",ReferenceData!$I$69),"")</f>
        <v>94.292503359999998</v>
      </c>
      <c r="J69">
        <f ca="1">IFERROR(IF(0=LEN(ReferenceData!$H$69),"",ReferenceData!$H$69),"")</f>
        <v>102.7360001</v>
      </c>
      <c r="K69" t="str">
        <f ca="1">IFERROR(IF(0=LEN(ReferenceData!$G$69),"",ReferenceData!$G$69),"")</f>
        <v/>
      </c>
      <c r="L69" t="str">
        <f ca="1">IFERROR(IF(0=LEN(ReferenceData!$F$69),"",ReferenceData!$F$69),"")</f>
        <v/>
      </c>
    </row>
    <row r="70" spans="1:12" x14ac:dyDescent="0.25">
      <c r="A70" t="str">
        <f>IFERROR(IF(0=LEN(ReferenceData!$A$70),"",ReferenceData!$A$70),"")</f>
        <v xml:space="preserve">    HCL Technologies Ltd</v>
      </c>
      <c r="B70" t="str">
        <f>IFERROR(IF(0=LEN(ReferenceData!$B$70),"",ReferenceData!$B$70),"")</f>
        <v>HCLT IN Equity</v>
      </c>
      <c r="C70" t="str">
        <f>IFERROR(IF(0=LEN(ReferenceData!$C$70),"",ReferenceData!$C$70),"")</f>
        <v>ES014</v>
      </c>
      <c r="D70" t="str">
        <f>IFERROR(IF(0=LEN(ReferenceData!$D$70),"",ReferenceData!$D$70),"")</f>
        <v>ENERGY_CONSUMPTION</v>
      </c>
      <c r="E70" t="str">
        <f>IFERROR(IF(0=LEN(ReferenceData!$E$70),"",ReferenceData!$E$70),"")</f>
        <v>Dynamic</v>
      </c>
      <c r="F70">
        <f ca="1">IFERROR(IF(0=LEN(ReferenceData!$L$70),"",ReferenceData!$L$70),"")</f>
        <v>309.26000979999998</v>
      </c>
      <c r="G70" t="str">
        <f ca="1">IFERROR(IF(0=LEN(ReferenceData!$K$70),"",ReferenceData!$K$70),"")</f>
        <v/>
      </c>
      <c r="H70">
        <f ca="1">IFERROR(IF(0=LEN(ReferenceData!$J$70),"",ReferenceData!$J$70),"")</f>
        <v>296.51199339999999</v>
      </c>
      <c r="I70" t="str">
        <f ca="1">IFERROR(IF(0=LEN(ReferenceData!$I$70),"",ReferenceData!$I$70),"")</f>
        <v/>
      </c>
      <c r="J70" t="str">
        <f ca="1">IFERROR(IF(0=LEN(ReferenceData!$H$70),"",ReferenceData!$H$70),"")</f>
        <v/>
      </c>
      <c r="K70" t="str">
        <f ca="1">IFERROR(IF(0=LEN(ReferenceData!$G$70),"",ReferenceData!$G$70),"")</f>
        <v/>
      </c>
      <c r="L70" t="str">
        <f ca="1">IFERROR(IF(0=LEN(ReferenceData!$F$70),"",ReferenceData!$F$70),"")</f>
        <v/>
      </c>
    </row>
    <row r="71" spans="1:12" x14ac:dyDescent="0.25">
      <c r="A71" t="str">
        <f>IFERROR(IF(0=LEN(ReferenceData!$A$71),"",ReferenceData!$A$71),"")</f>
        <v xml:space="preserve">    Indra Sistemas SA</v>
      </c>
      <c r="B71" t="str">
        <f>IFERROR(IF(0=LEN(ReferenceData!$B$71),"",ReferenceData!$B$71),"")</f>
        <v>IDR SM Equity</v>
      </c>
      <c r="C71" t="str">
        <f>IFERROR(IF(0=LEN(ReferenceData!$C$71),"",ReferenceData!$C$71),"")</f>
        <v>ES014</v>
      </c>
      <c r="D71" t="str">
        <f>IFERROR(IF(0=LEN(ReferenceData!$D$71),"",ReferenceData!$D$71),"")</f>
        <v>ENERGY_CONSUMPTION</v>
      </c>
      <c r="E71" t="str">
        <f>IFERROR(IF(0=LEN(ReferenceData!$E$71),"",ReferenceData!$E$71),"")</f>
        <v>Dynamic</v>
      </c>
      <c r="F71">
        <f ca="1">IFERROR(IF(0=LEN(ReferenceData!$L$71),"",ReferenceData!$L$71),"")</f>
        <v>104.8519974</v>
      </c>
      <c r="G71">
        <f ca="1">IFERROR(IF(0=LEN(ReferenceData!$K$71),"",ReferenceData!$K$71),"")</f>
        <v>91.710800169999999</v>
      </c>
      <c r="H71">
        <f ca="1">IFERROR(IF(0=LEN(ReferenceData!$J$71),"",ReferenceData!$J$71),"")</f>
        <v>86.152496339999999</v>
      </c>
      <c r="I71">
        <f ca="1">IFERROR(IF(0=LEN(ReferenceData!$I$71),"",ReferenceData!$I$71),"")</f>
        <v>77.636703490000002</v>
      </c>
      <c r="J71">
        <f ca="1">IFERROR(IF(0=LEN(ReferenceData!$H$71),"",ReferenceData!$H$71),"")</f>
        <v>76.08159637</v>
      </c>
      <c r="K71">
        <f ca="1">IFERROR(IF(0=LEN(ReferenceData!$G$71),"",ReferenceData!$G$71),"")</f>
        <v>82.207901000000007</v>
      </c>
      <c r="L71">
        <f ca="1">IFERROR(IF(0=LEN(ReferenceData!$F$71),"",ReferenceData!$F$71),"")</f>
        <v>81.64949799</v>
      </c>
    </row>
    <row r="72" spans="1:12" x14ac:dyDescent="0.25">
      <c r="A72" t="str">
        <f>IFERROR(IF(0=LEN(ReferenceData!$A$72),"",ReferenceData!$A$72),"")</f>
        <v xml:space="preserve">    Infosys Ltd</v>
      </c>
      <c r="B72" t="str">
        <f>IFERROR(IF(0=LEN(ReferenceData!$B$72),"",ReferenceData!$B$72),"")</f>
        <v>INFY US Equity</v>
      </c>
      <c r="C72" t="str">
        <f>IFERROR(IF(0=LEN(ReferenceData!$C$72),"",ReferenceData!$C$72),"")</f>
        <v>ES014</v>
      </c>
      <c r="D72" t="str">
        <f>IFERROR(IF(0=LEN(ReferenceData!$D$72),"",ReferenceData!$D$72),"")</f>
        <v>ENERGY_CONSUMPTION</v>
      </c>
      <c r="E72" t="str">
        <f>IFERROR(IF(0=LEN(ReferenceData!$E$72),"",ReferenceData!$E$72),"")</f>
        <v>Dynamic</v>
      </c>
      <c r="F72">
        <f ca="1">IFERROR(IF(0=LEN(ReferenceData!$L$72),"",ReferenceData!$L$72),"")</f>
        <v>284.4100037</v>
      </c>
      <c r="G72">
        <f ca="1">IFERROR(IF(0=LEN(ReferenceData!$K$72),"",ReferenceData!$K$72),"")</f>
        <v>257.5759888</v>
      </c>
      <c r="H72">
        <f ca="1">IFERROR(IF(0=LEN(ReferenceData!$J$72),"",ReferenceData!$J$72),"")</f>
        <v>265.89300539999999</v>
      </c>
      <c r="I72">
        <f ca="1">IFERROR(IF(0=LEN(ReferenceData!$I$72),"",ReferenceData!$I$72),"")</f>
        <v>266.57299799999998</v>
      </c>
      <c r="J72">
        <f ca="1">IFERROR(IF(0=LEN(ReferenceData!$H$72),"",ReferenceData!$H$72),"")</f>
        <v>263.48199460000001</v>
      </c>
      <c r="K72">
        <f ca="1">IFERROR(IF(0=LEN(ReferenceData!$G$72),"",ReferenceData!$G$72),"")</f>
        <v>278.70400999999998</v>
      </c>
      <c r="L72">
        <f ca="1">IFERROR(IF(0=LEN(ReferenceData!$F$72),"",ReferenceData!$F$72),"")</f>
        <v>286.0490112</v>
      </c>
    </row>
    <row r="73" spans="1:12" x14ac:dyDescent="0.25">
      <c r="A73" t="str">
        <f>IFERROR(IF(0=LEN(ReferenceData!$A$73),"",ReferenceData!$A$73),"")</f>
        <v xml:space="preserve">    International Business Machines Corp</v>
      </c>
      <c r="B73" t="str">
        <f>IFERROR(IF(0=LEN(ReferenceData!$B$73),"",ReferenceData!$B$73),"")</f>
        <v>IBM US Equity</v>
      </c>
      <c r="C73" t="str">
        <f>IFERROR(IF(0=LEN(ReferenceData!$C$73),"",ReferenceData!$C$73),"")</f>
        <v>ES014</v>
      </c>
      <c r="D73" t="str">
        <f>IFERROR(IF(0=LEN(ReferenceData!$D$73),"",ReferenceData!$D$73),"")</f>
        <v>ENERGY_CONSUMPTION</v>
      </c>
      <c r="E73" t="str">
        <f>IFERROR(IF(0=LEN(ReferenceData!$E$73),"",ReferenceData!$E$73),"")</f>
        <v>Dynamic</v>
      </c>
      <c r="F73">
        <f ca="1">IFERROR(IF(0=LEN(ReferenceData!$L$73),"",ReferenceData!$L$73),"")</f>
        <v>6297.2998049999997</v>
      </c>
      <c r="G73">
        <f ca="1">IFERROR(IF(0=LEN(ReferenceData!$K$73),"",ReferenceData!$K$73),"")</f>
        <v>6173.3999020000001</v>
      </c>
      <c r="H73">
        <f ca="1">IFERROR(IF(0=LEN(ReferenceData!$J$73),"",ReferenceData!$J$73),"")</f>
        <v>5375.7299800000001</v>
      </c>
      <c r="I73">
        <f ca="1">IFERROR(IF(0=LEN(ReferenceData!$I$73),"",ReferenceData!$I$73),"")</f>
        <v>4373.5400390000004</v>
      </c>
      <c r="J73">
        <f ca="1">IFERROR(IF(0=LEN(ReferenceData!$H$73),"",ReferenceData!$H$73),"")</f>
        <v>4192.5200199999999</v>
      </c>
      <c r="K73">
        <f ca="1">IFERROR(IF(0=LEN(ReferenceData!$G$73),"",ReferenceData!$G$73),"")</f>
        <v>4666.5097660000001</v>
      </c>
      <c r="L73" t="str">
        <f ca="1">IFERROR(IF(0=LEN(ReferenceData!$F$73),"",ReferenceData!$F$73),"")</f>
        <v/>
      </c>
    </row>
    <row r="74" spans="1:12" x14ac:dyDescent="0.25">
      <c r="A74" t="str">
        <f>IFERROR(IF(0=LEN(ReferenceData!$A$74),"",ReferenceData!$A$74),"")</f>
        <v xml:space="preserve">    Tata Consultancy Services Ltd</v>
      </c>
      <c r="B74" t="str">
        <f>IFERROR(IF(0=LEN(ReferenceData!$B$74),"",ReferenceData!$B$74),"")</f>
        <v>TCS IN Equity</v>
      </c>
      <c r="C74" t="str">
        <f>IFERROR(IF(0=LEN(ReferenceData!$C$74),"",ReferenceData!$C$74),"")</f>
        <v>ES014</v>
      </c>
      <c r="D74" t="str">
        <f>IFERROR(IF(0=LEN(ReferenceData!$D$74),"",ReferenceData!$D$74),"")</f>
        <v>ENERGY_CONSUMPTION</v>
      </c>
      <c r="E74" t="str">
        <f>IFERROR(IF(0=LEN(ReferenceData!$E$74),"",ReferenceData!$E$74),"")</f>
        <v>Dynamic</v>
      </c>
      <c r="F74">
        <f ca="1">IFERROR(IF(0=LEN(ReferenceData!$L$74),"",ReferenceData!$L$74),"")</f>
        <v>610.78698729999996</v>
      </c>
      <c r="G74">
        <f ca="1">IFERROR(IF(0=LEN(ReferenceData!$K$74),"",ReferenceData!$K$74),"")</f>
        <v>692.36798099999999</v>
      </c>
      <c r="H74">
        <f ca="1">IFERROR(IF(0=LEN(ReferenceData!$J$74),"",ReferenceData!$J$74),"")</f>
        <v>669.37597659999994</v>
      </c>
      <c r="I74">
        <f ca="1">IFERROR(IF(0=LEN(ReferenceData!$I$74),"",ReferenceData!$I$74),"")</f>
        <v>638.88897710000003</v>
      </c>
      <c r="J74">
        <f ca="1">IFERROR(IF(0=LEN(ReferenceData!$H$74),"",ReferenceData!$H$74),"")</f>
        <v>1206.1099850000001</v>
      </c>
      <c r="K74" t="str">
        <f ca="1">IFERROR(IF(0=LEN(ReferenceData!$G$74),"",ReferenceData!$G$74),"")</f>
        <v/>
      </c>
      <c r="L74" t="str">
        <f ca="1">IFERROR(IF(0=LEN(ReferenceData!$F$74),"",ReferenceData!$F$74),"")</f>
        <v/>
      </c>
    </row>
    <row r="75" spans="1:12" x14ac:dyDescent="0.25">
      <c r="A75" t="str">
        <f>IFERROR(IF(0=LEN(ReferenceData!$A$75),"",ReferenceData!$A$75),"")</f>
        <v xml:space="preserve">    Tech Mahindra Ltd</v>
      </c>
      <c r="B75" t="str">
        <f>IFERROR(IF(0=LEN(ReferenceData!$B$75),"",ReferenceData!$B$75),"")</f>
        <v>TECHM IN Equity</v>
      </c>
      <c r="C75" t="str">
        <f>IFERROR(IF(0=LEN(ReferenceData!$C$75),"",ReferenceData!$C$75),"")</f>
        <v>ES014</v>
      </c>
      <c r="D75" t="str">
        <f>IFERROR(IF(0=LEN(ReferenceData!$D$75),"",ReferenceData!$D$75),"")</f>
        <v>ENERGY_CONSUMPTION</v>
      </c>
      <c r="E75" t="str">
        <f>IFERROR(IF(0=LEN(ReferenceData!$E$75),"",ReferenceData!$E$75),"")</f>
        <v>Dynamic</v>
      </c>
      <c r="F75">
        <f ca="1">IFERROR(IF(0=LEN(ReferenceData!$L$75),"",ReferenceData!$L$75),"")</f>
        <v>150.91400150000001</v>
      </c>
      <c r="G75">
        <f ca="1">IFERROR(IF(0=LEN(ReferenceData!$K$75),"",ReferenceData!$K$75),"")</f>
        <v>167.60699460000001</v>
      </c>
      <c r="H75">
        <f ca="1">IFERROR(IF(0=LEN(ReferenceData!$J$75),"",ReferenceData!$J$75),"")</f>
        <v>155.24299619999999</v>
      </c>
      <c r="I75">
        <f ca="1">IFERROR(IF(0=LEN(ReferenceData!$I$75),"",ReferenceData!$I$75),"")</f>
        <v>160.4060059</v>
      </c>
      <c r="J75">
        <f ca="1">IFERROR(IF(0=LEN(ReferenceData!$H$75),"",ReferenceData!$H$75),"")</f>
        <v>160.72999569999999</v>
      </c>
      <c r="K75" t="str">
        <f ca="1">IFERROR(IF(0=LEN(ReferenceData!$G$75),"",ReferenceData!$G$75),"")</f>
        <v/>
      </c>
      <c r="L75" t="str">
        <f ca="1">IFERROR(IF(0=LEN(ReferenceData!$F$75),"",ReferenceData!$F$75),"")</f>
        <v/>
      </c>
    </row>
    <row r="76" spans="1:12" x14ac:dyDescent="0.25">
      <c r="A76" t="str">
        <f>IFERROR(IF(0=LEN(ReferenceData!$A$76),"",ReferenceData!$A$76),"")</f>
        <v xml:space="preserve">    Wipro Ltd</v>
      </c>
      <c r="B76" t="str">
        <f>IFERROR(IF(0=LEN(ReferenceData!$B$76),"",ReferenceData!$B$76),"")</f>
        <v>WIT US Equity</v>
      </c>
      <c r="C76" t="str">
        <f>IFERROR(IF(0=LEN(ReferenceData!$C$76),"",ReferenceData!$C$76),"")</f>
        <v>ES014</v>
      </c>
      <c r="D76" t="str">
        <f>IFERROR(IF(0=LEN(ReferenceData!$D$76),"",ReferenceData!$D$76),"")</f>
        <v>ENERGY_CONSUMPTION</v>
      </c>
      <c r="E76" t="str">
        <f>IFERROR(IF(0=LEN(ReferenceData!$E$76),"",ReferenceData!$E$76),"")</f>
        <v>Dynamic</v>
      </c>
      <c r="F76">
        <f ca="1">IFERROR(IF(0=LEN(ReferenceData!$L$76),"",ReferenceData!$L$76),"")</f>
        <v>412.27899170000001</v>
      </c>
      <c r="G76">
        <f ca="1">IFERROR(IF(0=LEN(ReferenceData!$K$76),"",ReferenceData!$K$76),"")</f>
        <v>421.48699950000002</v>
      </c>
      <c r="H76">
        <f ca="1">IFERROR(IF(0=LEN(ReferenceData!$J$76),"",ReferenceData!$J$76),"")</f>
        <v>423.3059998</v>
      </c>
      <c r="I76">
        <f ca="1">IFERROR(IF(0=LEN(ReferenceData!$I$76),"",ReferenceData!$I$76),"")</f>
        <v>409.55099489999998</v>
      </c>
      <c r="J76">
        <f ca="1">IFERROR(IF(0=LEN(ReferenceData!$H$76),"",ReferenceData!$H$76),"")</f>
        <v>358.2990112</v>
      </c>
      <c r="K76">
        <f ca="1">IFERROR(IF(0=LEN(ReferenceData!$G$76),"",ReferenceData!$G$76),"")</f>
        <v>250.2220001</v>
      </c>
      <c r="L76" t="str">
        <f ca="1">IFERROR(IF(0=LEN(ReferenceData!$F$76),"",ReferenceData!$F$76),"")</f>
        <v/>
      </c>
    </row>
    <row r="77" spans="1:12" x14ac:dyDescent="0.25">
      <c r="A77" t="str">
        <f>IFERROR(IF(0=LEN(ReferenceData!$A$77),"",ReferenceData!$A$77),"")</f>
        <v>Renewable Energy Consumption (000s MWh)</v>
      </c>
      <c r="B77" t="str">
        <f>IFERROR(IF(0=LEN(ReferenceData!$B$77),"",ReferenceData!$B$77),"")</f>
        <v/>
      </c>
      <c r="C77" t="str">
        <f>IFERROR(IF(0=LEN(ReferenceData!$C$77),"",ReferenceData!$C$77),"")</f>
        <v/>
      </c>
      <c r="D77" t="str">
        <f>IFERROR(IF(0=LEN(ReferenceData!$D$77),"",ReferenceData!$D$77),"")</f>
        <v/>
      </c>
      <c r="E77" t="str">
        <f>IFERROR(IF(0=LEN(ReferenceData!$E$77),"",ReferenceData!$E$77),"")</f>
        <v>Median</v>
      </c>
      <c r="F77">
        <f ca="1">IFERROR(IF(0=LEN(ReferenceData!$L$77),"",ReferenceData!$L$77),"")</f>
        <v>70.933998110000005</v>
      </c>
      <c r="G77">
        <f ca="1">IFERROR(IF(0=LEN(ReferenceData!$K$77),"",ReferenceData!$K$77),"")</f>
        <v>46.445949554999999</v>
      </c>
      <c r="H77">
        <f ca="1">IFERROR(IF(0=LEN(ReferenceData!$J$77),"",ReferenceData!$J$77),"")</f>
        <v>73.625247954999992</v>
      </c>
      <c r="I77">
        <f ca="1">IFERROR(IF(0=LEN(ReferenceData!$I$77),"",ReferenceData!$I$77),"")</f>
        <v>82.898498534999987</v>
      </c>
      <c r="J77">
        <f ca="1">IFERROR(IF(0=LEN(ReferenceData!$H$77),"",ReferenceData!$H$77),"")</f>
        <v>101.8980026</v>
      </c>
      <c r="K77">
        <f ca="1">IFERROR(IF(0=LEN(ReferenceData!$G$77),"",ReferenceData!$G$77),"")</f>
        <v>184.67450335000001</v>
      </c>
      <c r="L77">
        <f ca="1">IFERROR(IF(0=LEN(ReferenceData!$F$77),"",ReferenceData!$F$77),"")</f>
        <v>156.5249939</v>
      </c>
    </row>
    <row r="78" spans="1:12" x14ac:dyDescent="0.25">
      <c r="A78" t="str">
        <f>IFERROR(IF(0=LEN(ReferenceData!$A$78),"",ReferenceData!$A$78),"")</f>
        <v xml:space="preserve">    Accenture PLC</v>
      </c>
      <c r="B78" t="str">
        <f>IFERROR(IF(0=LEN(ReferenceData!$B$78),"",ReferenceData!$B$78),"")</f>
        <v>ACN US Equity</v>
      </c>
      <c r="C78" t="str">
        <f>IFERROR(IF(0=LEN(ReferenceData!$C$78),"",ReferenceData!$C$78),"")</f>
        <v>ES015</v>
      </c>
      <c r="D78" t="str">
        <f>IFERROR(IF(0=LEN(ReferenceData!$D$78),"",ReferenceData!$D$78),"")</f>
        <v>RENEW_ENERGY_USE</v>
      </c>
      <c r="E78" t="str">
        <f>IFERROR(IF(0=LEN(ReferenceData!$E$78),"",ReferenceData!$E$78),"")</f>
        <v>Dynamic</v>
      </c>
      <c r="F78" t="str">
        <f ca="1">IFERROR(IF(0=LEN(ReferenceData!$L$78),"",ReferenceData!$L$78),"")</f>
        <v/>
      </c>
      <c r="G78" t="str">
        <f ca="1">IFERROR(IF(0=LEN(ReferenceData!$K$78),"",ReferenceData!$K$78),"")</f>
        <v/>
      </c>
      <c r="H78" t="str">
        <f ca="1">IFERROR(IF(0=LEN(ReferenceData!$J$78),"",ReferenceData!$J$78),"")</f>
        <v/>
      </c>
      <c r="I78" t="str">
        <f ca="1">IFERROR(IF(0=LEN(ReferenceData!$I$78),"",ReferenceData!$I$78),"")</f>
        <v/>
      </c>
      <c r="J78">
        <f ca="1">IFERROR(IF(0=LEN(ReferenceData!$H$78),"",ReferenceData!$H$78),"")</f>
        <v>101.8980026</v>
      </c>
      <c r="K78">
        <f ca="1">IFERROR(IF(0=LEN(ReferenceData!$G$78),"",ReferenceData!$G$78),"")</f>
        <v>111.5739975</v>
      </c>
      <c r="L78" t="str">
        <f ca="1">IFERROR(IF(0=LEN(ReferenceData!$F$78),"",ReferenceData!$F$78),"")</f>
        <v/>
      </c>
    </row>
    <row r="79" spans="1:12" x14ac:dyDescent="0.25">
      <c r="A79" t="str">
        <f>IFERROR(IF(0=LEN(ReferenceData!$A$79),"",ReferenceData!$A$79),"")</f>
        <v xml:space="preserve">    Amdocs Ltd</v>
      </c>
      <c r="B79" t="str">
        <f>IFERROR(IF(0=LEN(ReferenceData!$B$79),"",ReferenceData!$B$79),"")</f>
        <v>DOX US Equity</v>
      </c>
      <c r="C79" t="str">
        <f>IFERROR(IF(0=LEN(ReferenceData!$C$79),"",ReferenceData!$C$79),"")</f>
        <v>ES015</v>
      </c>
      <c r="D79" t="str">
        <f>IFERROR(IF(0=LEN(ReferenceData!$D$79),"",ReferenceData!$D$79),"")</f>
        <v>RENEW_ENERGY_USE</v>
      </c>
      <c r="E79" t="str">
        <f>IFERROR(IF(0=LEN(ReferenceData!$E$79),"",ReferenceData!$E$79),"")</f>
        <v>Dynamic</v>
      </c>
      <c r="F79" t="str">
        <f ca="1">IFERROR(IF(0=LEN(ReferenceData!$L$79),"",ReferenceData!$L$79),"")</f>
        <v/>
      </c>
      <c r="G79" t="str">
        <f ca="1">IFERROR(IF(0=LEN(ReferenceData!$K$79),"",ReferenceData!$K$79),"")</f>
        <v/>
      </c>
      <c r="H79" t="str">
        <f ca="1">IFERROR(IF(0=LEN(ReferenceData!$J$79),"",ReferenceData!$J$79),"")</f>
        <v/>
      </c>
      <c r="I79" t="str">
        <f ca="1">IFERROR(IF(0=LEN(ReferenceData!$I$79),"",ReferenceData!$I$79),"")</f>
        <v/>
      </c>
      <c r="J79" t="str">
        <f ca="1">IFERROR(IF(0=LEN(ReferenceData!$H$79),"",ReferenceData!$H$79),"")</f>
        <v/>
      </c>
      <c r="K79" t="str">
        <f ca="1">IFERROR(IF(0=LEN(ReferenceData!$G$79),"",ReferenceData!$G$79),"")</f>
        <v/>
      </c>
      <c r="L79" t="str">
        <f ca="1">IFERROR(IF(0=LEN(ReferenceData!$F$79),"",ReferenceData!$F$79),"")</f>
        <v/>
      </c>
    </row>
    <row r="80" spans="1:12" x14ac:dyDescent="0.25">
      <c r="A80" t="str">
        <f>IFERROR(IF(0=LEN(ReferenceData!$A$80),"",ReferenceData!$A$80),"")</f>
        <v xml:space="preserve">    Atos SE</v>
      </c>
      <c r="B80" t="str">
        <f>IFERROR(IF(0=LEN(ReferenceData!$B$80),"",ReferenceData!$B$80),"")</f>
        <v>ATO FP Equity</v>
      </c>
      <c r="C80" t="str">
        <f>IFERROR(IF(0=LEN(ReferenceData!$C$80),"",ReferenceData!$C$80),"")</f>
        <v>ES015</v>
      </c>
      <c r="D80" t="str">
        <f>IFERROR(IF(0=LEN(ReferenceData!$D$80),"",ReferenceData!$D$80),"")</f>
        <v>RENEW_ENERGY_USE</v>
      </c>
      <c r="E80" t="str">
        <f>IFERROR(IF(0=LEN(ReferenceData!$E$80),"",ReferenceData!$E$80),"")</f>
        <v>Dynamic</v>
      </c>
      <c r="F80" t="str">
        <f ca="1">IFERROR(IF(0=LEN(ReferenceData!$L$80),"",ReferenceData!$L$80),"")</f>
        <v/>
      </c>
      <c r="G80">
        <f ca="1">IFERROR(IF(0=LEN(ReferenceData!$K$80),"",ReferenceData!$K$80),"")</f>
        <v>0</v>
      </c>
      <c r="H80">
        <f ca="1">IFERROR(IF(0=LEN(ReferenceData!$J$80),"",ReferenceData!$J$80),"")</f>
        <v>193.92399599999999</v>
      </c>
      <c r="I80">
        <f ca="1">IFERROR(IF(0=LEN(ReferenceData!$I$80),"",ReferenceData!$I$80),"")</f>
        <v>102.4309998</v>
      </c>
      <c r="J80">
        <f ca="1">IFERROR(IF(0=LEN(ReferenceData!$H$80),"",ReferenceData!$H$80),"")</f>
        <v>130.38900760000001</v>
      </c>
      <c r="K80">
        <f ca="1">IFERROR(IF(0=LEN(ReferenceData!$G$80),"",ReferenceData!$G$80),"")</f>
        <v>243.7400055</v>
      </c>
      <c r="L80">
        <f ca="1">IFERROR(IF(0=LEN(ReferenceData!$F$80),"",ReferenceData!$F$80),"")</f>
        <v>210.4160004</v>
      </c>
    </row>
    <row r="81" spans="1:12" x14ac:dyDescent="0.25">
      <c r="A81" t="str">
        <f>IFERROR(IF(0=LEN(ReferenceData!$A$81),"",ReferenceData!$A$81),"")</f>
        <v xml:space="preserve">    Capgemini SE</v>
      </c>
      <c r="B81" t="str">
        <f>IFERROR(IF(0=LEN(ReferenceData!$B$81),"",ReferenceData!$B$81),"")</f>
        <v>CAP FP Equity</v>
      </c>
      <c r="C81" t="str">
        <f>IFERROR(IF(0=LEN(ReferenceData!$C$81),"",ReferenceData!$C$81),"")</f>
        <v>ES015</v>
      </c>
      <c r="D81" t="str">
        <f>IFERROR(IF(0=LEN(ReferenceData!$D$81),"",ReferenceData!$D$81),"")</f>
        <v>RENEW_ENERGY_USE</v>
      </c>
      <c r="E81" t="str">
        <f>IFERROR(IF(0=LEN(ReferenceData!$E$81),"",ReferenceData!$E$81),"")</f>
        <v>Dynamic</v>
      </c>
      <c r="F81" t="str">
        <f ca="1">IFERROR(IF(0=LEN(ReferenceData!$L$81),"",ReferenceData!$L$81),"")</f>
        <v/>
      </c>
      <c r="G81" t="str">
        <f ca="1">IFERROR(IF(0=LEN(ReferenceData!$K$81),"",ReferenceData!$K$81),"")</f>
        <v/>
      </c>
      <c r="H81" t="str">
        <f ca="1">IFERROR(IF(0=LEN(ReferenceData!$J$81),"",ReferenceData!$J$81),"")</f>
        <v/>
      </c>
      <c r="I81">
        <f ca="1">IFERROR(IF(0=LEN(ReferenceData!$I$81),"",ReferenceData!$I$81),"")</f>
        <v>87.863998409999994</v>
      </c>
      <c r="J81">
        <f ca="1">IFERROR(IF(0=LEN(ReferenceData!$H$81),"",ReferenceData!$H$81),"")</f>
        <v>70.157997129999998</v>
      </c>
      <c r="K81">
        <f ca="1">IFERROR(IF(0=LEN(ReferenceData!$G$81),"",ReferenceData!$G$81),"")</f>
        <v>82.078002929999997</v>
      </c>
      <c r="L81">
        <f ca="1">IFERROR(IF(0=LEN(ReferenceData!$F$81),"",ReferenceData!$F$81),"")</f>
        <v>156.5249939</v>
      </c>
    </row>
    <row r="82" spans="1:12" x14ac:dyDescent="0.25">
      <c r="A82" t="str">
        <f>IFERROR(IF(0=LEN(ReferenceData!$A$82),"",ReferenceData!$A$82),"")</f>
        <v xml:space="preserve">    CGI Inc</v>
      </c>
      <c r="B82" t="str">
        <f>IFERROR(IF(0=LEN(ReferenceData!$B$82),"",ReferenceData!$B$82),"")</f>
        <v>GIB US Equity</v>
      </c>
      <c r="C82" t="str">
        <f>IFERROR(IF(0=LEN(ReferenceData!$C$82),"",ReferenceData!$C$82),"")</f>
        <v>ES015</v>
      </c>
      <c r="D82" t="str">
        <f>IFERROR(IF(0=LEN(ReferenceData!$D$82),"",ReferenceData!$D$82),"")</f>
        <v>RENEW_ENERGY_USE</v>
      </c>
      <c r="E82" t="str">
        <f>IFERROR(IF(0=LEN(ReferenceData!$E$82),"",ReferenceData!$E$82),"")</f>
        <v>Dynamic</v>
      </c>
      <c r="F82" t="str">
        <f ca="1">IFERROR(IF(0=LEN(ReferenceData!$L$82),"",ReferenceData!$L$82),"")</f>
        <v/>
      </c>
      <c r="G82" t="str">
        <f ca="1">IFERROR(IF(0=LEN(ReferenceData!$K$82),"",ReferenceData!$K$82),"")</f>
        <v/>
      </c>
      <c r="H82" t="str">
        <f ca="1">IFERROR(IF(0=LEN(ReferenceData!$J$82),"",ReferenceData!$J$82),"")</f>
        <v/>
      </c>
      <c r="I82" t="str">
        <f ca="1">IFERROR(IF(0=LEN(ReferenceData!$I$82),"",ReferenceData!$I$82),"")</f>
        <v/>
      </c>
      <c r="J82" t="str">
        <f ca="1">IFERROR(IF(0=LEN(ReferenceData!$H$82),"",ReferenceData!$H$82),"")</f>
        <v/>
      </c>
      <c r="K82" t="str">
        <f ca="1">IFERROR(IF(0=LEN(ReferenceData!$G$82),"",ReferenceData!$G$82),"")</f>
        <v/>
      </c>
      <c r="L82" t="str">
        <f ca="1">IFERROR(IF(0=LEN(ReferenceData!$F$82),"",ReferenceData!$F$82),"")</f>
        <v/>
      </c>
    </row>
    <row r="83" spans="1:12" x14ac:dyDescent="0.25">
      <c r="A83" t="str">
        <f>IFERROR(IF(0=LEN(ReferenceData!$A$83),"",ReferenceData!$A$83),"")</f>
        <v xml:space="preserve">    Cognizant Technology Solutions Corp</v>
      </c>
      <c r="B83" t="str">
        <f>IFERROR(IF(0=LEN(ReferenceData!$B$83),"",ReferenceData!$B$83),"")</f>
        <v>CTSH US Equity</v>
      </c>
      <c r="C83" t="str">
        <f>IFERROR(IF(0=LEN(ReferenceData!$C$83),"",ReferenceData!$C$83),"")</f>
        <v>ES015</v>
      </c>
      <c r="D83" t="str">
        <f>IFERROR(IF(0=LEN(ReferenceData!$D$83),"",ReferenceData!$D$83),"")</f>
        <v>RENEW_ENERGY_USE</v>
      </c>
      <c r="E83" t="str">
        <f>IFERROR(IF(0=LEN(ReferenceData!$E$83),"",ReferenceData!$E$83),"")</f>
        <v>Dynamic</v>
      </c>
      <c r="F83">
        <f ca="1">IFERROR(IF(0=LEN(ReferenceData!$L$83),"",ReferenceData!$L$83),"")</f>
        <v>23.639099120000001</v>
      </c>
      <c r="G83">
        <f ca="1">IFERROR(IF(0=LEN(ReferenceData!$K$83),"",ReferenceData!$K$83),"")</f>
        <v>25.59790039</v>
      </c>
      <c r="H83">
        <f ca="1">IFERROR(IF(0=LEN(ReferenceData!$J$83),"",ReferenceData!$J$83),"")</f>
        <v>21.468599319999999</v>
      </c>
      <c r="I83">
        <f ca="1">IFERROR(IF(0=LEN(ReferenceData!$I$83),"",ReferenceData!$I$83),"")</f>
        <v>33.610298159999999</v>
      </c>
      <c r="J83" t="str">
        <f ca="1">IFERROR(IF(0=LEN(ReferenceData!$H$83),"",ReferenceData!$H$83),"")</f>
        <v/>
      </c>
      <c r="K83" t="str">
        <f ca="1">IFERROR(IF(0=LEN(ReferenceData!$G$83),"",ReferenceData!$G$83),"")</f>
        <v/>
      </c>
      <c r="L83" t="str">
        <f ca="1">IFERROR(IF(0=LEN(ReferenceData!$F$83),"",ReferenceData!$F$83),"")</f>
        <v/>
      </c>
    </row>
    <row r="84" spans="1:12" x14ac:dyDescent="0.25">
      <c r="A84" t="str">
        <f>IFERROR(IF(0=LEN(ReferenceData!$A$84),"",ReferenceData!$A$84),"")</f>
        <v xml:space="preserve">    Conduent Inc</v>
      </c>
      <c r="B84" t="str">
        <f>IFERROR(IF(0=LEN(ReferenceData!$B$84),"",ReferenceData!$B$84),"")</f>
        <v>CNDT US Equity</v>
      </c>
      <c r="C84" t="str">
        <f>IFERROR(IF(0=LEN(ReferenceData!$C$84),"",ReferenceData!$C$84),"")</f>
        <v>ES015</v>
      </c>
      <c r="D84" t="str">
        <f>IFERROR(IF(0=LEN(ReferenceData!$D$84),"",ReferenceData!$D$84),"")</f>
        <v>RENEW_ENERGY_USE</v>
      </c>
      <c r="E84" t="str">
        <f>IFERROR(IF(0=LEN(ReferenceData!$E$84),"",ReferenceData!$E$84),"")</f>
        <v>Dynamic</v>
      </c>
      <c r="F84" t="str">
        <f ca="1">IFERROR(IF(0=LEN(ReferenceData!$L$84),"",ReferenceData!$L$84),"")</f>
        <v/>
      </c>
      <c r="G84" t="str">
        <f ca="1">IFERROR(IF(0=LEN(ReferenceData!$K$84),"",ReferenceData!$K$84),"")</f>
        <v/>
      </c>
      <c r="H84" t="str">
        <f ca="1">IFERROR(IF(0=LEN(ReferenceData!$J$84),"",ReferenceData!$J$84),"")</f>
        <v/>
      </c>
      <c r="I84" t="str">
        <f ca="1">IFERROR(IF(0=LEN(ReferenceData!$I$84),"",ReferenceData!$I$84),"")</f>
        <v/>
      </c>
      <c r="J84" t="str">
        <f ca="1">IFERROR(IF(0=LEN(ReferenceData!$H$84),"",ReferenceData!$H$84),"")</f>
        <v/>
      </c>
      <c r="K84" t="str">
        <f ca="1">IFERROR(IF(0=LEN(ReferenceData!$G$84),"",ReferenceData!$G$84),"")</f>
        <v/>
      </c>
      <c r="L84" t="str">
        <f ca="1">IFERROR(IF(0=LEN(ReferenceData!$F$84),"",ReferenceData!$F$84),"")</f>
        <v/>
      </c>
    </row>
    <row r="85" spans="1:12" x14ac:dyDescent="0.25">
      <c r="A85" t="str">
        <f>IFERROR(IF(0=LEN(ReferenceData!$A$85),"",ReferenceData!$A$85),"")</f>
        <v xml:space="preserve">    DXC Technology Co</v>
      </c>
      <c r="B85" t="str">
        <f>IFERROR(IF(0=LEN(ReferenceData!$B$85),"",ReferenceData!$B$85),"")</f>
        <v>DXC US Equity</v>
      </c>
      <c r="C85" t="str">
        <f>IFERROR(IF(0=LEN(ReferenceData!$C$85),"",ReferenceData!$C$85),"")</f>
        <v>ES015</v>
      </c>
      <c r="D85" t="str">
        <f>IFERROR(IF(0=LEN(ReferenceData!$D$85),"",ReferenceData!$D$85),"")</f>
        <v>RENEW_ENERGY_USE</v>
      </c>
      <c r="E85" t="str">
        <f>IFERROR(IF(0=LEN(ReferenceData!$E$85),"",ReferenceData!$E$85),"")</f>
        <v>Dynamic</v>
      </c>
      <c r="F85" t="str">
        <f ca="1">IFERROR(IF(0=LEN(ReferenceData!$L$85),"",ReferenceData!$L$85),"")</f>
        <v/>
      </c>
      <c r="G85" t="str">
        <f ca="1">IFERROR(IF(0=LEN(ReferenceData!$K$85),"",ReferenceData!$K$85),"")</f>
        <v/>
      </c>
      <c r="H85" t="str">
        <f ca="1">IFERROR(IF(0=LEN(ReferenceData!$J$85),"",ReferenceData!$J$85),"")</f>
        <v/>
      </c>
      <c r="I85" t="str">
        <f ca="1">IFERROR(IF(0=LEN(ReferenceData!$I$85),"",ReferenceData!$I$85),"")</f>
        <v/>
      </c>
      <c r="J85">
        <f ca="1">IFERROR(IF(0=LEN(ReferenceData!$H$85),"",ReferenceData!$H$85),"")</f>
        <v>238.18699649999999</v>
      </c>
      <c r="K85">
        <f ca="1">IFERROR(IF(0=LEN(ReferenceData!$G$85),"",ReferenceData!$G$85),"")</f>
        <v>317.60101320000001</v>
      </c>
      <c r="L85" t="str">
        <f ca="1">IFERROR(IF(0=LEN(ReferenceData!$F$85),"",ReferenceData!$F$85),"")</f>
        <v/>
      </c>
    </row>
    <row r="86" spans="1:12" x14ac:dyDescent="0.25">
      <c r="A86" t="str">
        <f>IFERROR(IF(0=LEN(ReferenceData!$A$86),"",ReferenceData!$A$86),"")</f>
        <v xml:space="preserve">    EPAM Systems Inc</v>
      </c>
      <c r="B86" t="str">
        <f>IFERROR(IF(0=LEN(ReferenceData!$B$86),"",ReferenceData!$B$86),"")</f>
        <v>EPAM US Equity</v>
      </c>
      <c r="C86" t="str">
        <f>IFERROR(IF(0=LEN(ReferenceData!$C$86),"",ReferenceData!$C$86),"")</f>
        <v>ES015</v>
      </c>
      <c r="D86" t="str">
        <f>IFERROR(IF(0=LEN(ReferenceData!$D$86),"",ReferenceData!$D$86),"")</f>
        <v>RENEW_ENERGY_USE</v>
      </c>
      <c r="E86" t="str">
        <f>IFERROR(IF(0=LEN(ReferenceData!$E$86),"",ReferenceData!$E$86),"")</f>
        <v>Dynamic</v>
      </c>
      <c r="F86" t="str">
        <f ca="1">IFERROR(IF(0=LEN(ReferenceData!$L$86),"",ReferenceData!$L$86),"")</f>
        <v/>
      </c>
      <c r="G86" t="str">
        <f ca="1">IFERROR(IF(0=LEN(ReferenceData!$K$86),"",ReferenceData!$K$86),"")</f>
        <v/>
      </c>
      <c r="H86" t="str">
        <f ca="1">IFERROR(IF(0=LEN(ReferenceData!$J$86),"",ReferenceData!$J$86),"")</f>
        <v/>
      </c>
      <c r="I86" t="str">
        <f ca="1">IFERROR(IF(0=LEN(ReferenceData!$I$86),"",ReferenceData!$I$86),"")</f>
        <v/>
      </c>
      <c r="J86" t="str">
        <f ca="1">IFERROR(IF(0=LEN(ReferenceData!$H$86),"",ReferenceData!$H$86),"")</f>
        <v/>
      </c>
      <c r="K86" t="str">
        <f ca="1">IFERROR(IF(0=LEN(ReferenceData!$G$86),"",ReferenceData!$G$86),"")</f>
        <v/>
      </c>
      <c r="L86" t="str">
        <f ca="1">IFERROR(IF(0=LEN(ReferenceData!$F$86),"",ReferenceData!$F$86),"")</f>
        <v/>
      </c>
    </row>
    <row r="87" spans="1:12" x14ac:dyDescent="0.25">
      <c r="A87" t="str">
        <f>IFERROR(IF(0=LEN(ReferenceData!$A$87),"",ReferenceData!$A$87),"")</f>
        <v xml:space="preserve">    Genpact Ltd</v>
      </c>
      <c r="B87" t="str">
        <f>IFERROR(IF(0=LEN(ReferenceData!$B$87),"",ReferenceData!$B$87),"")</f>
        <v>G US Equity</v>
      </c>
      <c r="C87" t="str">
        <f>IFERROR(IF(0=LEN(ReferenceData!$C$87),"",ReferenceData!$C$87),"")</f>
        <v>ES015</v>
      </c>
      <c r="D87" t="str">
        <f>IFERROR(IF(0=LEN(ReferenceData!$D$87),"",ReferenceData!$D$87),"")</f>
        <v>RENEW_ENERGY_USE</v>
      </c>
      <c r="E87" t="str">
        <f>IFERROR(IF(0=LEN(ReferenceData!$E$87),"",ReferenceData!$E$87),"")</f>
        <v>Dynamic</v>
      </c>
      <c r="F87" t="str">
        <f ca="1">IFERROR(IF(0=LEN(ReferenceData!$L$87),"",ReferenceData!$L$87),"")</f>
        <v/>
      </c>
      <c r="G87" t="str">
        <f ca="1">IFERROR(IF(0=LEN(ReferenceData!$K$87),"",ReferenceData!$K$87),"")</f>
        <v/>
      </c>
      <c r="H87" t="str">
        <f ca="1">IFERROR(IF(0=LEN(ReferenceData!$J$87),"",ReferenceData!$J$87),"")</f>
        <v/>
      </c>
      <c r="I87">
        <f ca="1">IFERROR(IF(0=LEN(ReferenceData!$I$87),"",ReferenceData!$I$87),"")</f>
        <v>4.5408301350000002</v>
      </c>
      <c r="J87">
        <f ca="1">IFERROR(IF(0=LEN(ReferenceData!$H$87),"",ReferenceData!$H$87),"")</f>
        <v>11.748100279999999</v>
      </c>
      <c r="K87" t="str">
        <f ca="1">IFERROR(IF(0=LEN(ReferenceData!$G$87),"",ReferenceData!$G$87),"")</f>
        <v/>
      </c>
      <c r="L87" t="str">
        <f ca="1">IFERROR(IF(0=LEN(ReferenceData!$F$87),"",ReferenceData!$F$87),"")</f>
        <v/>
      </c>
    </row>
    <row r="88" spans="1:12" x14ac:dyDescent="0.25">
      <c r="A88" t="str">
        <f>IFERROR(IF(0=LEN(ReferenceData!$A$88),"",ReferenceData!$A$88),"")</f>
        <v xml:space="preserve">    HCL Technologies Ltd</v>
      </c>
      <c r="B88" t="str">
        <f>IFERROR(IF(0=LEN(ReferenceData!$B$88),"",ReferenceData!$B$88),"")</f>
        <v>HCLT IN Equity</v>
      </c>
      <c r="C88" t="str">
        <f>IFERROR(IF(0=LEN(ReferenceData!$C$88),"",ReferenceData!$C$88),"")</f>
        <v>ES015</v>
      </c>
      <c r="D88" t="str">
        <f>IFERROR(IF(0=LEN(ReferenceData!$D$88),"",ReferenceData!$D$88),"")</f>
        <v>RENEW_ENERGY_USE</v>
      </c>
      <c r="E88" t="str">
        <f>IFERROR(IF(0=LEN(ReferenceData!$E$88),"",ReferenceData!$E$88),"")</f>
        <v>Dynamic</v>
      </c>
      <c r="F88" t="str">
        <f ca="1">IFERROR(IF(0=LEN(ReferenceData!$L$88),"",ReferenceData!$L$88),"")</f>
        <v/>
      </c>
      <c r="G88" t="str">
        <f ca="1">IFERROR(IF(0=LEN(ReferenceData!$K$88),"",ReferenceData!$K$88),"")</f>
        <v/>
      </c>
      <c r="H88" t="str">
        <f ca="1">IFERROR(IF(0=LEN(ReferenceData!$J$88),"",ReferenceData!$J$88),"")</f>
        <v/>
      </c>
      <c r="I88" t="str">
        <f ca="1">IFERROR(IF(0=LEN(ReferenceData!$I$88),"",ReferenceData!$I$88),"")</f>
        <v/>
      </c>
      <c r="J88" t="str">
        <f ca="1">IFERROR(IF(0=LEN(ReferenceData!$H$88),"",ReferenceData!$H$88),"")</f>
        <v/>
      </c>
      <c r="K88" t="str">
        <f ca="1">IFERROR(IF(0=LEN(ReferenceData!$G$88),"",ReferenceData!$G$88),"")</f>
        <v/>
      </c>
      <c r="L88" t="str">
        <f ca="1">IFERROR(IF(0=LEN(ReferenceData!$F$88),"",ReferenceData!$F$88),"")</f>
        <v/>
      </c>
    </row>
    <row r="89" spans="1:12" x14ac:dyDescent="0.25">
      <c r="A89" t="str">
        <f>IFERROR(IF(0=LEN(ReferenceData!$A$89),"",ReferenceData!$A$89),"")</f>
        <v xml:space="preserve">    Indra Sistemas SA</v>
      </c>
      <c r="B89" t="str">
        <f>IFERROR(IF(0=LEN(ReferenceData!$B$89),"",ReferenceData!$B$89),"")</f>
        <v>IDR SM Equity</v>
      </c>
      <c r="C89" t="str">
        <f>IFERROR(IF(0=LEN(ReferenceData!$C$89),"",ReferenceData!$C$89),"")</f>
        <v>ES015</v>
      </c>
      <c r="D89" t="str">
        <f>IFERROR(IF(0=LEN(ReferenceData!$D$89),"",ReferenceData!$D$89),"")</f>
        <v>RENEW_ENERGY_USE</v>
      </c>
      <c r="E89" t="str">
        <f>IFERROR(IF(0=LEN(ReferenceData!$E$89),"",ReferenceData!$E$89),"")</f>
        <v>Dynamic</v>
      </c>
      <c r="F89" t="str">
        <f ca="1">IFERROR(IF(0=LEN(ReferenceData!$L$89),"",ReferenceData!$L$89),"")</f>
        <v/>
      </c>
      <c r="G89" t="str">
        <f ca="1">IFERROR(IF(0=LEN(ReferenceData!$K$89),"",ReferenceData!$K$89),"")</f>
        <v/>
      </c>
      <c r="H89" t="str">
        <f ca="1">IFERROR(IF(0=LEN(ReferenceData!$J$89),"",ReferenceData!$J$89),"")</f>
        <v/>
      </c>
      <c r="I89" t="str">
        <f ca="1">IFERROR(IF(0=LEN(ReferenceData!$I$89),"",ReferenceData!$I$89),"")</f>
        <v/>
      </c>
      <c r="J89" t="str">
        <f ca="1">IFERROR(IF(0=LEN(ReferenceData!$H$89),"",ReferenceData!$H$89),"")</f>
        <v/>
      </c>
      <c r="K89" t="str">
        <f ca="1">IFERROR(IF(0=LEN(ReferenceData!$G$89),"",ReferenceData!$G$89),"")</f>
        <v/>
      </c>
      <c r="L89" t="str">
        <f ca="1">IFERROR(IF(0=LEN(ReferenceData!$F$89),"",ReferenceData!$F$89),"")</f>
        <v/>
      </c>
    </row>
    <row r="90" spans="1:12" x14ac:dyDescent="0.25">
      <c r="A90" t="str">
        <f>IFERROR(IF(0=LEN(ReferenceData!$A$90),"",ReferenceData!$A$90),"")</f>
        <v xml:space="preserve">    Infosys Ltd</v>
      </c>
      <c r="B90" t="str">
        <f>IFERROR(IF(0=LEN(ReferenceData!$B$90),"",ReferenceData!$B$90),"")</f>
        <v>INFY US Equity</v>
      </c>
      <c r="C90" t="str">
        <f>IFERROR(IF(0=LEN(ReferenceData!$C$90),"",ReferenceData!$C$90),"")</f>
        <v>ES015</v>
      </c>
      <c r="D90" t="str">
        <f>IFERROR(IF(0=LEN(ReferenceData!$D$90),"",ReferenceData!$D$90),"")</f>
        <v>RENEW_ENERGY_USE</v>
      </c>
      <c r="E90" t="str">
        <f>IFERROR(IF(0=LEN(ReferenceData!$E$90),"",ReferenceData!$E$90),"")</f>
        <v>Dynamic</v>
      </c>
      <c r="F90">
        <f ca="1">IFERROR(IF(0=LEN(ReferenceData!$L$90),"",ReferenceData!$L$90),"")</f>
        <v>75.674201969999999</v>
      </c>
      <c r="G90">
        <f ca="1">IFERROR(IF(0=LEN(ReferenceData!$K$90),"",ReferenceData!$K$90),"")</f>
        <v>74.986297609999994</v>
      </c>
      <c r="H90">
        <f ca="1">IFERROR(IF(0=LEN(ReferenceData!$J$90),"",ReferenceData!$J$90),"")</f>
        <v>69.803497309999997</v>
      </c>
      <c r="I90">
        <f ca="1">IFERROR(IF(0=LEN(ReferenceData!$I$90),"",ReferenceData!$I$90),"")</f>
        <v>118.9029999</v>
      </c>
      <c r="J90">
        <f ca="1">IFERROR(IF(0=LEN(ReferenceData!$H$90),"",ReferenceData!$H$90),"")</f>
        <v>113.072998</v>
      </c>
      <c r="K90">
        <f ca="1">IFERROR(IF(0=LEN(ReferenceData!$G$90),"",ReferenceData!$G$90),"")</f>
        <v>125.60900119999999</v>
      </c>
      <c r="L90">
        <f ca="1">IFERROR(IF(0=LEN(ReferenceData!$F$90),"",ReferenceData!$F$90),"")</f>
        <v>124.8219986</v>
      </c>
    </row>
    <row r="91" spans="1:12" x14ac:dyDescent="0.25">
      <c r="A91" t="str">
        <f>IFERROR(IF(0=LEN(ReferenceData!$A$91),"",ReferenceData!$A$91),"")</f>
        <v xml:space="preserve">    International Business Machines Corp</v>
      </c>
      <c r="B91" t="str">
        <f>IFERROR(IF(0=LEN(ReferenceData!$B$91),"",ReferenceData!$B$91),"")</f>
        <v>IBM US Equity</v>
      </c>
      <c r="C91" t="str">
        <f>IFERROR(IF(0=LEN(ReferenceData!$C$91),"",ReferenceData!$C$91),"")</f>
        <v>ES015</v>
      </c>
      <c r="D91" t="str">
        <f>IFERROR(IF(0=LEN(ReferenceData!$D$91),"",ReferenceData!$D$91),"")</f>
        <v>RENEW_ENERGY_USE</v>
      </c>
      <c r="E91" t="str">
        <f>IFERROR(IF(0=LEN(ReferenceData!$E$91),"",ReferenceData!$E$91),"")</f>
        <v>Dynamic</v>
      </c>
      <c r="F91">
        <f ca="1">IFERROR(IF(0=LEN(ReferenceData!$L$91),"",ReferenceData!$L$91),"")</f>
        <v>579.67901610000001</v>
      </c>
      <c r="G91">
        <f ca="1">IFERROR(IF(0=LEN(ReferenceData!$K$91),"",ReferenceData!$K$91),"")</f>
        <v>683.29400629999998</v>
      </c>
      <c r="H91">
        <f ca="1">IFERROR(IF(0=LEN(ReferenceData!$J$91),"",ReferenceData!$J$91),"")</f>
        <v>679.23199460000001</v>
      </c>
      <c r="I91">
        <f ca="1">IFERROR(IF(0=LEN(ReferenceData!$I$91),"",ReferenceData!$I$91),"")</f>
        <v>783</v>
      </c>
      <c r="J91">
        <f ca="1">IFERROR(IF(0=LEN(ReferenceData!$H$91),"",ReferenceData!$H$91),"")</f>
        <v>778.85900879999997</v>
      </c>
      <c r="K91">
        <f ca="1">IFERROR(IF(0=LEN(ReferenceData!$G$91),"",ReferenceData!$G$91),"")</f>
        <v>1520.420044</v>
      </c>
      <c r="L91" t="str">
        <f ca="1">IFERROR(IF(0=LEN(ReferenceData!$F$91),"",ReferenceData!$F$91),"")</f>
        <v/>
      </c>
    </row>
    <row r="92" spans="1:12" x14ac:dyDescent="0.25">
      <c r="A92" t="str">
        <f>IFERROR(IF(0=LEN(ReferenceData!$A$92),"",ReferenceData!$A$92),"")</f>
        <v xml:space="preserve">    Tata Consultancy Services Ltd</v>
      </c>
      <c r="B92" t="str">
        <f>IFERROR(IF(0=LEN(ReferenceData!$B$92),"",ReferenceData!$B$92),"")</f>
        <v>TCS IN Equity</v>
      </c>
      <c r="C92" t="str">
        <f>IFERROR(IF(0=LEN(ReferenceData!$C$92),"",ReferenceData!$C$92),"")</f>
        <v>ES015</v>
      </c>
      <c r="D92" t="str">
        <f>IFERROR(IF(0=LEN(ReferenceData!$D$92),"",ReferenceData!$D$92),"")</f>
        <v>RENEW_ENERGY_USE</v>
      </c>
      <c r="E92" t="str">
        <f>IFERROR(IF(0=LEN(ReferenceData!$E$92),"",ReferenceData!$E$92),"")</f>
        <v>Dynamic</v>
      </c>
      <c r="F92">
        <f ca="1">IFERROR(IF(0=LEN(ReferenceData!$L$92),"",ReferenceData!$L$92),"")</f>
        <v>11.45610046</v>
      </c>
      <c r="G92">
        <f ca="1">IFERROR(IF(0=LEN(ReferenceData!$K$92),"",ReferenceData!$K$92),"")</f>
        <v>14.73630047</v>
      </c>
      <c r="H92">
        <f ca="1">IFERROR(IF(0=LEN(ReferenceData!$J$92),"",ReferenceData!$J$92),"")</f>
        <v>18.598899840000001</v>
      </c>
      <c r="I92">
        <f ca="1">IFERROR(IF(0=LEN(ReferenceData!$I$92),"",ReferenceData!$I$92),"")</f>
        <v>46.319400790000003</v>
      </c>
      <c r="J92">
        <f ca="1">IFERROR(IF(0=LEN(ReferenceData!$H$92),"",ReferenceData!$H$92),"")</f>
        <v>50.277500150000002</v>
      </c>
      <c r="K92" t="str">
        <f ca="1">IFERROR(IF(0=LEN(ReferenceData!$G$92),"",ReferenceData!$G$92),"")</f>
        <v/>
      </c>
      <c r="L92" t="str">
        <f ca="1">IFERROR(IF(0=LEN(ReferenceData!$F$92),"",ReferenceData!$F$92),"")</f>
        <v/>
      </c>
    </row>
    <row r="93" spans="1:12" x14ac:dyDescent="0.25">
      <c r="A93" t="str">
        <f>IFERROR(IF(0=LEN(ReferenceData!$A$93),"",ReferenceData!$A$93),"")</f>
        <v xml:space="preserve">    Tech Mahindra Ltd</v>
      </c>
      <c r="B93" t="str">
        <f>IFERROR(IF(0=LEN(ReferenceData!$B$93),"",ReferenceData!$B$93),"")</f>
        <v>TECHM IN Equity</v>
      </c>
      <c r="C93" t="str">
        <f>IFERROR(IF(0=LEN(ReferenceData!$C$93),"",ReferenceData!$C$93),"")</f>
        <v>ES015</v>
      </c>
      <c r="D93" t="str">
        <f>IFERROR(IF(0=LEN(ReferenceData!$D$93),"",ReferenceData!$D$93),"")</f>
        <v>RENEW_ENERGY_USE</v>
      </c>
      <c r="E93" t="str">
        <f>IFERROR(IF(0=LEN(ReferenceData!$E$93),"",ReferenceData!$E$93),"")</f>
        <v>Dynamic</v>
      </c>
      <c r="F93" t="str">
        <f ca="1">IFERROR(IF(0=LEN(ReferenceData!$L$93),"",ReferenceData!$L$93),"")</f>
        <v/>
      </c>
      <c r="G93" t="str">
        <f ca="1">IFERROR(IF(0=LEN(ReferenceData!$K$93),"",ReferenceData!$K$93),"")</f>
        <v/>
      </c>
      <c r="H93" t="str">
        <f ca="1">IFERROR(IF(0=LEN(ReferenceData!$J$93),"",ReferenceData!$J$93),"")</f>
        <v/>
      </c>
      <c r="I93" t="str">
        <f ca="1">IFERROR(IF(0=LEN(ReferenceData!$I$93),"",ReferenceData!$I$93),"")</f>
        <v/>
      </c>
      <c r="J93" t="str">
        <f ca="1">IFERROR(IF(0=LEN(ReferenceData!$H$93),"",ReferenceData!$H$93),"")</f>
        <v/>
      </c>
      <c r="K93" t="str">
        <f ca="1">IFERROR(IF(0=LEN(ReferenceData!$G$93),"",ReferenceData!$G$93),"")</f>
        <v/>
      </c>
      <c r="L93" t="str">
        <f ca="1">IFERROR(IF(0=LEN(ReferenceData!$F$93),"",ReferenceData!$F$93),"")</f>
        <v/>
      </c>
    </row>
    <row r="94" spans="1:12" x14ac:dyDescent="0.25">
      <c r="A94" t="str">
        <f>IFERROR(IF(0=LEN(ReferenceData!$A$94),"",ReferenceData!$A$94),"")</f>
        <v xml:space="preserve">    Wipro Ltd</v>
      </c>
      <c r="B94" t="str">
        <f>IFERROR(IF(0=LEN(ReferenceData!$B$94),"",ReferenceData!$B$94),"")</f>
        <v>WIT US Equity</v>
      </c>
      <c r="C94" t="str">
        <f>IFERROR(IF(0=LEN(ReferenceData!$C$94),"",ReferenceData!$C$94),"")</f>
        <v>ES015</v>
      </c>
      <c r="D94" t="str">
        <f>IFERROR(IF(0=LEN(ReferenceData!$D$94),"",ReferenceData!$D$94),"")</f>
        <v>RENEW_ENERGY_USE</v>
      </c>
      <c r="E94" t="str">
        <f>IFERROR(IF(0=LEN(ReferenceData!$E$94),"",ReferenceData!$E$94),"")</f>
        <v>Dynamic</v>
      </c>
      <c r="F94">
        <f ca="1">IFERROR(IF(0=LEN(ReferenceData!$L$94),"",ReferenceData!$L$94),"")</f>
        <v>70.933998110000005</v>
      </c>
      <c r="G94">
        <f ca="1">IFERROR(IF(0=LEN(ReferenceData!$K$94),"",ReferenceData!$K$94),"")</f>
        <v>67.293998720000005</v>
      </c>
      <c r="H94">
        <f ca="1">IFERROR(IF(0=LEN(ReferenceData!$J$94),"",ReferenceData!$J$94),"")</f>
        <v>77.446998600000001</v>
      </c>
      <c r="I94">
        <f ca="1">IFERROR(IF(0=LEN(ReferenceData!$I$94),"",ReferenceData!$I$94),"")</f>
        <v>77.932998659999996</v>
      </c>
      <c r="J94">
        <f ca="1">IFERROR(IF(0=LEN(ReferenceData!$H$94),"",ReferenceData!$H$94),"")</f>
        <v>93.335998540000006</v>
      </c>
      <c r="K94" t="str">
        <f ca="1">IFERROR(IF(0=LEN(ReferenceData!$G$94),"",ReferenceData!$G$94),"")</f>
        <v/>
      </c>
      <c r="L94" t="str">
        <f ca="1">IFERROR(IF(0=LEN(ReferenceData!$F$94),"",ReferenceData!$F$94),"")</f>
        <v/>
      </c>
    </row>
    <row r="95" spans="1:12" x14ac:dyDescent="0.25">
      <c r="A95" t="str">
        <f>IFERROR(IF(0=LEN(ReferenceData!$A$95),"",ReferenceData!$A$95),"")</f>
        <v>Resource Efficiency</v>
      </c>
      <c r="B95" t="str">
        <f>IFERROR(IF(0=LEN(ReferenceData!$B$95),"",ReferenceData!$B$95),"")</f>
        <v/>
      </c>
      <c r="C95" t="str">
        <f>IFERROR(IF(0=LEN(ReferenceData!$C$95),"",ReferenceData!$C$95),"")</f>
        <v/>
      </c>
      <c r="D95" t="str">
        <f>IFERROR(IF(0=LEN(ReferenceData!$D$95),"",ReferenceData!$D$95),"")</f>
        <v/>
      </c>
      <c r="E95" t="str">
        <f>IFERROR(IF(0=LEN(ReferenceData!$E$95),"",ReferenceData!$E$95),"")</f>
        <v>Heading</v>
      </c>
      <c r="F95" t="str">
        <f>IFERROR(IF(0=LEN(ReferenceData!$L$95),"",ReferenceData!$L$95),"")</f>
        <v/>
      </c>
      <c r="G95" t="str">
        <f>IFERROR(IF(0=LEN(ReferenceData!$K$95),"",ReferenceData!$K$95),"")</f>
        <v/>
      </c>
      <c r="H95" t="str">
        <f>IFERROR(IF(0=LEN(ReferenceData!$J$95),"",ReferenceData!$J$95),"")</f>
        <v/>
      </c>
      <c r="I95" t="str">
        <f>IFERROR(IF(0=LEN(ReferenceData!$I$95),"",ReferenceData!$I$95),"")</f>
        <v/>
      </c>
      <c r="J95" t="str">
        <f>IFERROR(IF(0=LEN(ReferenceData!$H$95),"",ReferenceData!$H$95),"")</f>
        <v/>
      </c>
      <c r="K95" t="str">
        <f>IFERROR(IF(0=LEN(ReferenceData!$G$95),"",ReferenceData!$G$95),"")</f>
        <v/>
      </c>
      <c r="L95" t="str">
        <f>IFERROR(IF(0=LEN(ReferenceData!$F$95),"",ReferenceData!$F$95),"")</f>
        <v/>
      </c>
    </row>
    <row r="96" spans="1:12" x14ac:dyDescent="0.25">
      <c r="A96" t="str">
        <f>IFERROR(IF(0=LEN(ReferenceData!$A$96),"",ReferenceData!$A$96),"")</f>
        <v>Total Energy Consumption (000s MWh)</v>
      </c>
      <c r="B96" t="str">
        <f>IFERROR(IF(0=LEN(ReferenceData!$B$96),"",ReferenceData!$B$96),"")</f>
        <v/>
      </c>
      <c r="C96" t="str">
        <f>IFERROR(IF(0=LEN(ReferenceData!$C$96),"",ReferenceData!$C$96),"")</f>
        <v/>
      </c>
      <c r="D96" t="str">
        <f>IFERROR(IF(0=LEN(ReferenceData!$D$96),"",ReferenceData!$D$96),"")</f>
        <v/>
      </c>
      <c r="E96" t="str">
        <f>IFERROR(IF(0=LEN(ReferenceData!$E$96),"",ReferenceData!$E$96),"")</f>
        <v>Median</v>
      </c>
      <c r="F96">
        <f ca="1">IFERROR(IF(0=LEN(ReferenceData!$L$96),"",ReferenceData!$L$96),"")</f>
        <v>325.30700680000001</v>
      </c>
      <c r="G96">
        <f ca="1">IFERROR(IF(0=LEN(ReferenceData!$K$96),"",ReferenceData!$K$96),"")</f>
        <v>376.66799930000002</v>
      </c>
      <c r="H96">
        <f ca="1">IFERROR(IF(0=LEN(ReferenceData!$J$96),"",ReferenceData!$J$96),"")</f>
        <v>361.96000674999999</v>
      </c>
      <c r="I96">
        <f ca="1">IFERROR(IF(0=LEN(ReferenceData!$I$96),"",ReferenceData!$I$96),"")</f>
        <v>409.55099489999998</v>
      </c>
      <c r="J96">
        <f ca="1">IFERROR(IF(0=LEN(ReferenceData!$H$96),"",ReferenceData!$H$96),"")</f>
        <v>412.31298829999997</v>
      </c>
      <c r="K96">
        <f ca="1">IFERROR(IF(0=LEN(ReferenceData!$G$96),"",ReferenceData!$G$96),"")</f>
        <v>434.61499025000001</v>
      </c>
      <c r="L96">
        <f ca="1">IFERROR(IF(0=LEN(ReferenceData!$F$96),"",ReferenceData!$F$96),"")</f>
        <v>327.05850220000002</v>
      </c>
    </row>
    <row r="97" spans="1:12" x14ac:dyDescent="0.25">
      <c r="A97" t="str">
        <f>IFERROR(IF(0=LEN(ReferenceData!$A$97),"",ReferenceData!$A$97),"")</f>
        <v xml:space="preserve">    Accenture PLC</v>
      </c>
      <c r="B97" t="str">
        <f>IFERROR(IF(0=LEN(ReferenceData!$B$97),"",ReferenceData!$B$97),"")</f>
        <v>ACN US Equity</v>
      </c>
      <c r="C97" t="str">
        <f>IFERROR(IF(0=LEN(ReferenceData!$C$97),"",ReferenceData!$C$97),"")</f>
        <v>ES014</v>
      </c>
      <c r="D97" t="str">
        <f>IFERROR(IF(0=LEN(ReferenceData!$D$97),"",ReferenceData!$D$97),"")</f>
        <v>ENERGY_CONSUMPTION</v>
      </c>
      <c r="E97" t="str">
        <f>IFERROR(IF(0=LEN(ReferenceData!$E$97),"",ReferenceData!$E$97),"")</f>
        <v>Dynamic</v>
      </c>
      <c r="F97">
        <f ca="1">IFERROR(IF(0=LEN(ReferenceData!$L$97),"",ReferenceData!$L$97),"")</f>
        <v>413.30398559999998</v>
      </c>
      <c r="G97">
        <f ca="1">IFERROR(IF(0=LEN(ReferenceData!$K$97),"",ReferenceData!$K$97),"")</f>
        <v>436.31600950000001</v>
      </c>
      <c r="H97">
        <f ca="1">IFERROR(IF(0=LEN(ReferenceData!$J$97),"",ReferenceData!$J$97),"")</f>
        <v>469.3059998</v>
      </c>
      <c r="I97">
        <f ca="1">IFERROR(IF(0=LEN(ReferenceData!$I$97),"",ReferenceData!$I$97),"")</f>
        <v>512.28997800000002</v>
      </c>
      <c r="J97">
        <f ca="1">IFERROR(IF(0=LEN(ReferenceData!$H$97),"",ReferenceData!$H$97),"")</f>
        <v>499.04800419999998</v>
      </c>
      <c r="K97">
        <f ca="1">IFERROR(IF(0=LEN(ReferenceData!$G$97),"",ReferenceData!$G$97),"")</f>
        <v>489.07998659999998</v>
      </c>
      <c r="L97" t="str">
        <f ca="1">IFERROR(IF(0=LEN(ReferenceData!$F$97),"",ReferenceData!$F$97),"")</f>
        <v/>
      </c>
    </row>
    <row r="98" spans="1:12" x14ac:dyDescent="0.25">
      <c r="A98" t="str">
        <f>IFERROR(IF(0=LEN(ReferenceData!$A$98),"",ReferenceData!$A$98),"")</f>
        <v xml:space="preserve">    Amdocs Ltd</v>
      </c>
      <c r="B98" t="str">
        <f>IFERROR(IF(0=LEN(ReferenceData!$B$98),"",ReferenceData!$B$98),"")</f>
        <v>DOX US Equity</v>
      </c>
      <c r="C98" t="str">
        <f>IFERROR(IF(0=LEN(ReferenceData!$C$98),"",ReferenceData!$C$98),"")</f>
        <v>ES014</v>
      </c>
      <c r="D98" t="str">
        <f>IFERROR(IF(0=LEN(ReferenceData!$D$98),"",ReferenceData!$D$98),"")</f>
        <v>ENERGY_CONSUMPTION</v>
      </c>
      <c r="E98" t="str">
        <f>IFERROR(IF(0=LEN(ReferenceData!$E$98),"",ReferenceData!$E$98),"")</f>
        <v>Dynamic</v>
      </c>
      <c r="F98" t="str">
        <f ca="1">IFERROR(IF(0=LEN(ReferenceData!$L$98),"",ReferenceData!$L$98),"")</f>
        <v/>
      </c>
      <c r="G98" t="str">
        <f ca="1">IFERROR(IF(0=LEN(ReferenceData!$K$98),"",ReferenceData!$K$98),"")</f>
        <v/>
      </c>
      <c r="H98" t="str">
        <f ca="1">IFERROR(IF(0=LEN(ReferenceData!$J$98),"",ReferenceData!$J$98),"")</f>
        <v/>
      </c>
      <c r="I98" t="str">
        <f ca="1">IFERROR(IF(0=LEN(ReferenceData!$I$98),"",ReferenceData!$I$98),"")</f>
        <v/>
      </c>
      <c r="J98" t="str">
        <f ca="1">IFERROR(IF(0=LEN(ReferenceData!$H$98),"",ReferenceData!$H$98),"")</f>
        <v/>
      </c>
      <c r="K98" t="str">
        <f ca="1">IFERROR(IF(0=LEN(ReferenceData!$G$98),"",ReferenceData!$G$98),"")</f>
        <v/>
      </c>
      <c r="L98" t="str">
        <f ca="1">IFERROR(IF(0=LEN(ReferenceData!$F$98),"",ReferenceData!$F$98),"")</f>
        <v/>
      </c>
    </row>
    <row r="99" spans="1:12" x14ac:dyDescent="0.25">
      <c r="A99" t="str">
        <f>IFERROR(IF(0=LEN(ReferenceData!$A$99),"",ReferenceData!$A$99),"")</f>
        <v xml:space="preserve">    Atos SE</v>
      </c>
      <c r="B99" t="str">
        <f>IFERROR(IF(0=LEN(ReferenceData!$B$99),"",ReferenceData!$B$99),"")</f>
        <v>ATO FP Equity</v>
      </c>
      <c r="C99" t="str">
        <f>IFERROR(IF(0=LEN(ReferenceData!$C$99),"",ReferenceData!$C$99),"")</f>
        <v>ES014</v>
      </c>
      <c r="D99" t="str">
        <f>IFERROR(IF(0=LEN(ReferenceData!$D$99),"",ReferenceData!$D$99),"")</f>
        <v>ENERGY_CONSUMPTION</v>
      </c>
      <c r="E99" t="str">
        <f>IFERROR(IF(0=LEN(ReferenceData!$E$99),"",ReferenceData!$E$99),"")</f>
        <v>Dynamic</v>
      </c>
      <c r="F99">
        <f ca="1">IFERROR(IF(0=LEN(ReferenceData!$L$99),"",ReferenceData!$L$99),"")</f>
        <v>611.28002930000002</v>
      </c>
      <c r="G99">
        <f ca="1">IFERROR(IF(0=LEN(ReferenceData!$K$99),"",ReferenceData!$K$99),"")</f>
        <v>575.69000240000003</v>
      </c>
      <c r="H99">
        <f ca="1">IFERROR(IF(0=LEN(ReferenceData!$J$99),"",ReferenceData!$J$99),"")</f>
        <v>622.42102050000005</v>
      </c>
      <c r="I99">
        <f ca="1">IFERROR(IF(0=LEN(ReferenceData!$I$99),"",ReferenceData!$I$99),"")</f>
        <v>763.40197750000004</v>
      </c>
      <c r="J99">
        <f ca="1">IFERROR(IF(0=LEN(ReferenceData!$H$99),"",ReferenceData!$H$99),"")</f>
        <v>774.88897710000003</v>
      </c>
      <c r="K99">
        <f ca="1">IFERROR(IF(0=LEN(ReferenceData!$G$99),"",ReferenceData!$G$99),"")</f>
        <v>748.26800539999999</v>
      </c>
      <c r="L99">
        <f ca="1">IFERROR(IF(0=LEN(ReferenceData!$F$99),"",ReferenceData!$F$99),"")</f>
        <v>702.39801030000001</v>
      </c>
    </row>
    <row r="100" spans="1:12" x14ac:dyDescent="0.25">
      <c r="A100" t="str">
        <f>IFERROR(IF(0=LEN(ReferenceData!$A$100),"",ReferenceData!$A$100),"")</f>
        <v xml:space="preserve">    Capgemini SE</v>
      </c>
      <c r="B100" t="str">
        <f>IFERROR(IF(0=LEN(ReferenceData!$B$100),"",ReferenceData!$B$100),"")</f>
        <v>CAP FP Equity</v>
      </c>
      <c r="C100" t="str">
        <f>IFERROR(IF(0=LEN(ReferenceData!$C$100),"",ReferenceData!$C$100),"")</f>
        <v>ES014</v>
      </c>
      <c r="D100" t="str">
        <f>IFERROR(IF(0=LEN(ReferenceData!$D$100),"",ReferenceData!$D$100),"")</f>
        <v>ENERGY_CONSUMPTION</v>
      </c>
      <c r="E100" t="str">
        <f>IFERROR(IF(0=LEN(ReferenceData!$E$100),"",ReferenceData!$E$100),"")</f>
        <v>Dynamic</v>
      </c>
      <c r="F100">
        <f ca="1">IFERROR(IF(0=LEN(ReferenceData!$L$100),"",ReferenceData!$L$100),"")</f>
        <v>392.51098630000001</v>
      </c>
      <c r="G100">
        <f ca="1">IFERROR(IF(0=LEN(ReferenceData!$K$100),"",ReferenceData!$K$100),"")</f>
        <v>376.66799930000002</v>
      </c>
      <c r="H100">
        <f ca="1">IFERROR(IF(0=LEN(ReferenceData!$J$100),"",ReferenceData!$J$100),"")</f>
        <v>432.71600339999998</v>
      </c>
      <c r="I100">
        <f ca="1">IFERROR(IF(0=LEN(ReferenceData!$I$100),"",ReferenceData!$I$100),"")</f>
        <v>418.43200680000001</v>
      </c>
      <c r="J100">
        <f ca="1">IFERROR(IF(0=LEN(ReferenceData!$H$100),"",ReferenceData!$H$100),"")</f>
        <v>412.31298829999997</v>
      </c>
      <c r="K100">
        <f ca="1">IFERROR(IF(0=LEN(ReferenceData!$G$100),"",ReferenceData!$G$100),"")</f>
        <v>380.14999390000003</v>
      </c>
      <c r="L100">
        <f ca="1">IFERROR(IF(0=LEN(ReferenceData!$F$100),"",ReferenceData!$F$100),"")</f>
        <v>368.06799319999999</v>
      </c>
    </row>
    <row r="101" spans="1:12" x14ac:dyDescent="0.25">
      <c r="A101" t="str">
        <f>IFERROR(IF(0=LEN(ReferenceData!$A$101),"",ReferenceData!$A$101),"")</f>
        <v xml:space="preserve">    CGI Inc</v>
      </c>
      <c r="B101" t="str">
        <f>IFERROR(IF(0=LEN(ReferenceData!$B$101),"",ReferenceData!$B$101),"")</f>
        <v>GIB US Equity</v>
      </c>
      <c r="C101" t="str">
        <f>IFERROR(IF(0=LEN(ReferenceData!$C$101),"",ReferenceData!$C$101),"")</f>
        <v>ES014</v>
      </c>
      <c r="D101" t="str">
        <f>IFERROR(IF(0=LEN(ReferenceData!$D$101),"",ReferenceData!$D$101),"")</f>
        <v>ENERGY_CONSUMPTION</v>
      </c>
      <c r="E101" t="str">
        <f>IFERROR(IF(0=LEN(ReferenceData!$E$101),"",ReferenceData!$E$101),"")</f>
        <v>Dynamic</v>
      </c>
      <c r="F101">
        <f ca="1">IFERROR(IF(0=LEN(ReferenceData!$L$101),"",ReferenceData!$L$101),"")</f>
        <v>325.30700680000001</v>
      </c>
      <c r="G101">
        <f ca="1">IFERROR(IF(0=LEN(ReferenceData!$K$101),"",ReferenceData!$K$101),"")</f>
        <v>303.99301150000002</v>
      </c>
      <c r="H101" t="str">
        <f ca="1">IFERROR(IF(0=LEN(ReferenceData!$J$101),"",ReferenceData!$J$101),"")</f>
        <v/>
      </c>
      <c r="I101" t="str">
        <f ca="1">IFERROR(IF(0=LEN(ReferenceData!$I$101),"",ReferenceData!$I$101),"")</f>
        <v/>
      </c>
      <c r="J101" t="str">
        <f ca="1">IFERROR(IF(0=LEN(ReferenceData!$H$101),"",ReferenceData!$H$101),"")</f>
        <v/>
      </c>
      <c r="K101" t="str">
        <f ca="1">IFERROR(IF(0=LEN(ReferenceData!$G$101),"",ReferenceData!$G$101),"")</f>
        <v/>
      </c>
      <c r="L101" t="str">
        <f ca="1">IFERROR(IF(0=LEN(ReferenceData!$F$101),"",ReferenceData!$F$101),"")</f>
        <v/>
      </c>
    </row>
    <row r="102" spans="1:12" x14ac:dyDescent="0.25">
      <c r="A102" t="str">
        <f>IFERROR(IF(0=LEN(ReferenceData!$A$102),"",ReferenceData!$A$102),"")</f>
        <v xml:space="preserve">    Cognizant Technology Solutions Corp</v>
      </c>
      <c r="B102" t="str">
        <f>IFERROR(IF(0=LEN(ReferenceData!$B$102),"",ReferenceData!$B$102),"")</f>
        <v>CTSH US Equity</v>
      </c>
      <c r="C102" t="str">
        <f>IFERROR(IF(0=LEN(ReferenceData!$C$102),"",ReferenceData!$C$102),"")</f>
        <v>ES014</v>
      </c>
      <c r="D102" t="str">
        <f>IFERROR(IF(0=LEN(ReferenceData!$D$102),"",ReferenceData!$D$102),"")</f>
        <v>ENERGY_CONSUMPTION</v>
      </c>
      <c r="E102" t="str">
        <f>IFERROR(IF(0=LEN(ReferenceData!$E$102),"",ReferenceData!$E$102),"")</f>
        <v>Dynamic</v>
      </c>
      <c r="F102">
        <f ca="1">IFERROR(IF(0=LEN(ReferenceData!$L$102),"",ReferenceData!$L$102),"")</f>
        <v>259.06201170000003</v>
      </c>
      <c r="G102">
        <f ca="1">IFERROR(IF(0=LEN(ReferenceData!$K$102),"",ReferenceData!$K$102),"")</f>
        <v>301.01699830000001</v>
      </c>
      <c r="H102">
        <f ca="1">IFERROR(IF(0=LEN(ReferenceData!$J$102),"",ReferenceData!$J$102),"")</f>
        <v>300.61401369999999</v>
      </c>
      <c r="I102">
        <f ca="1">IFERROR(IF(0=LEN(ReferenceData!$I$102),"",ReferenceData!$I$102),"")</f>
        <v>67.455497739999998</v>
      </c>
      <c r="J102" t="str">
        <f ca="1">IFERROR(IF(0=LEN(ReferenceData!$H$102),"",ReferenceData!$H$102),"")</f>
        <v/>
      </c>
      <c r="K102" t="str">
        <f ca="1">IFERROR(IF(0=LEN(ReferenceData!$G$102),"",ReferenceData!$G$102),"")</f>
        <v/>
      </c>
      <c r="L102" t="str">
        <f ca="1">IFERROR(IF(0=LEN(ReferenceData!$F$102),"",ReferenceData!$F$102),"")</f>
        <v/>
      </c>
    </row>
    <row r="103" spans="1:12" x14ac:dyDescent="0.25">
      <c r="A103" t="str">
        <f>IFERROR(IF(0=LEN(ReferenceData!$A$103),"",ReferenceData!$A$103),"")</f>
        <v xml:space="preserve">    Conduent Inc</v>
      </c>
      <c r="B103" t="str">
        <f>IFERROR(IF(0=LEN(ReferenceData!$B$103),"",ReferenceData!$B$103),"")</f>
        <v>CNDT US Equity</v>
      </c>
      <c r="C103" t="str">
        <f>IFERROR(IF(0=LEN(ReferenceData!$C$103),"",ReferenceData!$C$103),"")</f>
        <v>ES014</v>
      </c>
      <c r="D103" t="str">
        <f>IFERROR(IF(0=LEN(ReferenceData!$D$103),"",ReferenceData!$D$103),"")</f>
        <v>ENERGY_CONSUMPTION</v>
      </c>
      <c r="E103" t="str">
        <f>IFERROR(IF(0=LEN(ReferenceData!$E$103),"",ReferenceData!$E$103),"")</f>
        <v>Dynamic</v>
      </c>
      <c r="F103" t="str">
        <f ca="1">IFERROR(IF(0=LEN(ReferenceData!$L$103),"",ReferenceData!$L$103),"")</f>
        <v/>
      </c>
      <c r="G103" t="str">
        <f ca="1">IFERROR(IF(0=LEN(ReferenceData!$K$103),"",ReferenceData!$K$103),"")</f>
        <v/>
      </c>
      <c r="H103" t="str">
        <f ca="1">IFERROR(IF(0=LEN(ReferenceData!$J$103),"",ReferenceData!$J$103),"")</f>
        <v/>
      </c>
      <c r="I103" t="str">
        <f ca="1">IFERROR(IF(0=LEN(ReferenceData!$I$103),"",ReferenceData!$I$103),"")</f>
        <v/>
      </c>
      <c r="J103" t="str">
        <f ca="1">IFERROR(IF(0=LEN(ReferenceData!$H$103),"",ReferenceData!$H$103),"")</f>
        <v/>
      </c>
      <c r="K103" t="str">
        <f ca="1">IFERROR(IF(0=LEN(ReferenceData!$G$103),"",ReferenceData!$G$103),"")</f>
        <v/>
      </c>
      <c r="L103" t="str">
        <f ca="1">IFERROR(IF(0=LEN(ReferenceData!$F$103),"",ReferenceData!$F$103),"")</f>
        <v/>
      </c>
    </row>
    <row r="104" spans="1:12" x14ac:dyDescent="0.25">
      <c r="A104" t="str">
        <f>IFERROR(IF(0=LEN(ReferenceData!$A$104),"",ReferenceData!$A$104),"")</f>
        <v xml:space="preserve">    DXC Technology Co</v>
      </c>
      <c r="B104" t="str">
        <f>IFERROR(IF(0=LEN(ReferenceData!$B$104),"",ReferenceData!$B$104),"")</f>
        <v>DXC US Equity</v>
      </c>
      <c r="C104" t="str">
        <f>IFERROR(IF(0=LEN(ReferenceData!$C$104),"",ReferenceData!$C$104),"")</f>
        <v>ES014</v>
      </c>
      <c r="D104" t="str">
        <f>IFERROR(IF(0=LEN(ReferenceData!$D$104),"",ReferenceData!$D$104),"")</f>
        <v>ENERGY_CONSUMPTION</v>
      </c>
      <c r="E104" t="str">
        <f>IFERROR(IF(0=LEN(ReferenceData!$E$104),"",ReferenceData!$E$104),"")</f>
        <v>Dynamic</v>
      </c>
      <c r="F104" t="str">
        <f ca="1">IFERROR(IF(0=LEN(ReferenceData!$L$104),"",ReferenceData!$L$104),"")</f>
        <v/>
      </c>
      <c r="G104" t="str">
        <f ca="1">IFERROR(IF(0=LEN(ReferenceData!$K$104),"",ReferenceData!$K$104),"")</f>
        <v/>
      </c>
      <c r="H104" t="str">
        <f ca="1">IFERROR(IF(0=LEN(ReferenceData!$J$104),"",ReferenceData!$J$104),"")</f>
        <v/>
      </c>
      <c r="I104" t="str">
        <f ca="1">IFERROR(IF(0=LEN(ReferenceData!$I$104),"",ReferenceData!$I$104),"")</f>
        <v/>
      </c>
      <c r="J104">
        <f ca="1">IFERROR(IF(0=LEN(ReferenceData!$H$104),"",ReferenceData!$H$104),"")</f>
        <v>2184.9099120000001</v>
      </c>
      <c r="K104">
        <f ca="1">IFERROR(IF(0=LEN(ReferenceData!$G$104),"",ReferenceData!$G$104),"")</f>
        <v>1867.920044</v>
      </c>
      <c r="L104" t="str">
        <f ca="1">IFERROR(IF(0=LEN(ReferenceData!$F$104),"",ReferenceData!$F$104),"")</f>
        <v/>
      </c>
    </row>
    <row r="105" spans="1:12" x14ac:dyDescent="0.25">
      <c r="A105" t="str">
        <f>IFERROR(IF(0=LEN(ReferenceData!$A$105),"",ReferenceData!$A$105),"")</f>
        <v xml:space="preserve">    EPAM Systems Inc</v>
      </c>
      <c r="B105" t="str">
        <f>IFERROR(IF(0=LEN(ReferenceData!$B$105),"",ReferenceData!$B$105),"")</f>
        <v>EPAM US Equity</v>
      </c>
      <c r="C105" t="str">
        <f>IFERROR(IF(0=LEN(ReferenceData!$C$105),"",ReferenceData!$C$105),"")</f>
        <v>ES014</v>
      </c>
      <c r="D105" t="str">
        <f>IFERROR(IF(0=LEN(ReferenceData!$D$105),"",ReferenceData!$D$105),"")</f>
        <v>ENERGY_CONSUMPTION</v>
      </c>
      <c r="E105" t="str">
        <f>IFERROR(IF(0=LEN(ReferenceData!$E$105),"",ReferenceData!$E$105),"")</f>
        <v>Dynamic</v>
      </c>
      <c r="F105" t="str">
        <f ca="1">IFERROR(IF(0=LEN(ReferenceData!$L$105),"",ReferenceData!$L$105),"")</f>
        <v/>
      </c>
      <c r="G105" t="str">
        <f ca="1">IFERROR(IF(0=LEN(ReferenceData!$K$105),"",ReferenceData!$K$105),"")</f>
        <v/>
      </c>
      <c r="H105" t="str">
        <f ca="1">IFERROR(IF(0=LEN(ReferenceData!$J$105),"",ReferenceData!$J$105),"")</f>
        <v/>
      </c>
      <c r="I105" t="str">
        <f ca="1">IFERROR(IF(0=LEN(ReferenceData!$I$105),"",ReferenceData!$I$105),"")</f>
        <v/>
      </c>
      <c r="J105" t="str">
        <f ca="1">IFERROR(IF(0=LEN(ReferenceData!$H$105),"",ReferenceData!$H$105),"")</f>
        <v/>
      </c>
      <c r="K105" t="str">
        <f ca="1">IFERROR(IF(0=LEN(ReferenceData!$G$105),"",ReferenceData!$G$105),"")</f>
        <v/>
      </c>
      <c r="L105" t="str">
        <f ca="1">IFERROR(IF(0=LEN(ReferenceData!$F$105),"",ReferenceData!$F$105),"")</f>
        <v/>
      </c>
    </row>
    <row r="106" spans="1:12" x14ac:dyDescent="0.25">
      <c r="A106" t="str">
        <f>IFERROR(IF(0=LEN(ReferenceData!$A$106),"",ReferenceData!$A$106),"")</f>
        <v xml:space="preserve">    Genpact Ltd</v>
      </c>
      <c r="B106" t="str">
        <f>IFERROR(IF(0=LEN(ReferenceData!$B$106),"",ReferenceData!$B$106),"")</f>
        <v>G US Equity</v>
      </c>
      <c r="C106" t="str">
        <f>IFERROR(IF(0=LEN(ReferenceData!$C$106),"",ReferenceData!$C$106),"")</f>
        <v>ES014</v>
      </c>
      <c r="D106" t="str">
        <f>IFERROR(IF(0=LEN(ReferenceData!$D$106),"",ReferenceData!$D$106),"")</f>
        <v>ENERGY_CONSUMPTION</v>
      </c>
      <c r="E106" t="str">
        <f>IFERROR(IF(0=LEN(ReferenceData!$E$106),"",ReferenceData!$E$106),"")</f>
        <v>Dynamic</v>
      </c>
      <c r="F106">
        <f ca="1">IFERROR(IF(0=LEN(ReferenceData!$L$106),"",ReferenceData!$L$106),"")</f>
        <v>90.777801510000003</v>
      </c>
      <c r="G106" t="str">
        <f ca="1">IFERROR(IF(0=LEN(ReferenceData!$K$106),"",ReferenceData!$K$106),"")</f>
        <v/>
      </c>
      <c r="H106">
        <f ca="1">IFERROR(IF(0=LEN(ReferenceData!$J$106),"",ReferenceData!$J$106),"")</f>
        <v>98.904403689999995</v>
      </c>
      <c r="I106">
        <f ca="1">IFERROR(IF(0=LEN(ReferenceData!$I$106),"",ReferenceData!$I$106),"")</f>
        <v>94.292503359999998</v>
      </c>
      <c r="J106">
        <f ca="1">IFERROR(IF(0=LEN(ReferenceData!$H$106),"",ReferenceData!$H$106),"")</f>
        <v>102.7360001</v>
      </c>
      <c r="K106" t="str">
        <f ca="1">IFERROR(IF(0=LEN(ReferenceData!$G$106),"",ReferenceData!$G$106),"")</f>
        <v/>
      </c>
      <c r="L106" t="str">
        <f ca="1">IFERROR(IF(0=LEN(ReferenceData!$F$106),"",ReferenceData!$F$106),"")</f>
        <v/>
      </c>
    </row>
    <row r="107" spans="1:12" x14ac:dyDescent="0.25">
      <c r="A107" t="str">
        <f>IFERROR(IF(0=LEN(ReferenceData!$A$107),"",ReferenceData!$A$107),"")</f>
        <v xml:space="preserve">    HCL Technologies Ltd</v>
      </c>
      <c r="B107" t="str">
        <f>IFERROR(IF(0=LEN(ReferenceData!$B$107),"",ReferenceData!$B$107),"")</f>
        <v>HCLT IN Equity</v>
      </c>
      <c r="C107" t="str">
        <f>IFERROR(IF(0=LEN(ReferenceData!$C$107),"",ReferenceData!$C$107),"")</f>
        <v>ES014</v>
      </c>
      <c r="D107" t="str">
        <f>IFERROR(IF(0=LEN(ReferenceData!$D$107),"",ReferenceData!$D$107),"")</f>
        <v>ENERGY_CONSUMPTION</v>
      </c>
      <c r="E107" t="str">
        <f>IFERROR(IF(0=LEN(ReferenceData!$E$107),"",ReferenceData!$E$107),"")</f>
        <v>Dynamic</v>
      </c>
      <c r="F107">
        <f ca="1">IFERROR(IF(0=LEN(ReferenceData!$L$107),"",ReferenceData!$L$107),"")</f>
        <v>309.26000979999998</v>
      </c>
      <c r="G107" t="str">
        <f ca="1">IFERROR(IF(0=LEN(ReferenceData!$K$107),"",ReferenceData!$K$107),"")</f>
        <v/>
      </c>
      <c r="H107">
        <f ca="1">IFERROR(IF(0=LEN(ReferenceData!$J$107),"",ReferenceData!$J$107),"")</f>
        <v>296.51199339999999</v>
      </c>
      <c r="I107" t="str">
        <f ca="1">IFERROR(IF(0=LEN(ReferenceData!$I$107),"",ReferenceData!$I$107),"")</f>
        <v/>
      </c>
      <c r="J107" t="str">
        <f ca="1">IFERROR(IF(0=LEN(ReferenceData!$H$107),"",ReferenceData!$H$107),"")</f>
        <v/>
      </c>
      <c r="K107" t="str">
        <f ca="1">IFERROR(IF(0=LEN(ReferenceData!$G$107),"",ReferenceData!$G$107),"")</f>
        <v/>
      </c>
      <c r="L107" t="str">
        <f ca="1">IFERROR(IF(0=LEN(ReferenceData!$F$107),"",ReferenceData!$F$107),"")</f>
        <v/>
      </c>
    </row>
    <row r="108" spans="1:12" x14ac:dyDescent="0.25">
      <c r="A108" t="str">
        <f>IFERROR(IF(0=LEN(ReferenceData!$A$108),"",ReferenceData!$A$108),"")</f>
        <v xml:space="preserve">    Indra Sistemas SA</v>
      </c>
      <c r="B108" t="str">
        <f>IFERROR(IF(0=LEN(ReferenceData!$B$108),"",ReferenceData!$B$108),"")</f>
        <v>IDR SM Equity</v>
      </c>
      <c r="C108" t="str">
        <f>IFERROR(IF(0=LEN(ReferenceData!$C$108),"",ReferenceData!$C$108),"")</f>
        <v>ES014</v>
      </c>
      <c r="D108" t="str">
        <f>IFERROR(IF(0=LEN(ReferenceData!$D$108),"",ReferenceData!$D$108),"")</f>
        <v>ENERGY_CONSUMPTION</v>
      </c>
      <c r="E108" t="str">
        <f>IFERROR(IF(0=LEN(ReferenceData!$E$108),"",ReferenceData!$E$108),"")</f>
        <v>Dynamic</v>
      </c>
      <c r="F108">
        <f ca="1">IFERROR(IF(0=LEN(ReferenceData!$L$108),"",ReferenceData!$L$108),"")</f>
        <v>104.8519974</v>
      </c>
      <c r="G108">
        <f ca="1">IFERROR(IF(0=LEN(ReferenceData!$K$108),"",ReferenceData!$K$108),"")</f>
        <v>91.710800169999999</v>
      </c>
      <c r="H108">
        <f ca="1">IFERROR(IF(0=LEN(ReferenceData!$J$108),"",ReferenceData!$J$108),"")</f>
        <v>86.152496339999999</v>
      </c>
      <c r="I108">
        <f ca="1">IFERROR(IF(0=LEN(ReferenceData!$I$108),"",ReferenceData!$I$108),"")</f>
        <v>77.636703490000002</v>
      </c>
      <c r="J108">
        <f ca="1">IFERROR(IF(0=LEN(ReferenceData!$H$108),"",ReferenceData!$H$108),"")</f>
        <v>76.08159637</v>
      </c>
      <c r="K108">
        <f ca="1">IFERROR(IF(0=LEN(ReferenceData!$G$108),"",ReferenceData!$G$108),"")</f>
        <v>82.207901000000007</v>
      </c>
      <c r="L108">
        <f ca="1">IFERROR(IF(0=LEN(ReferenceData!$F$108),"",ReferenceData!$F$108),"")</f>
        <v>81.64949799</v>
      </c>
    </row>
    <row r="109" spans="1:12" x14ac:dyDescent="0.25">
      <c r="A109" t="str">
        <f>IFERROR(IF(0=LEN(ReferenceData!$A$109),"",ReferenceData!$A$109),"")</f>
        <v xml:space="preserve">    Infosys Ltd</v>
      </c>
      <c r="B109" t="str">
        <f>IFERROR(IF(0=LEN(ReferenceData!$B$109),"",ReferenceData!$B$109),"")</f>
        <v>INFY US Equity</v>
      </c>
      <c r="C109" t="str">
        <f>IFERROR(IF(0=LEN(ReferenceData!$C$109),"",ReferenceData!$C$109),"")</f>
        <v>ES014</v>
      </c>
      <c r="D109" t="str">
        <f>IFERROR(IF(0=LEN(ReferenceData!$D$109),"",ReferenceData!$D$109),"")</f>
        <v>ENERGY_CONSUMPTION</v>
      </c>
      <c r="E109" t="str">
        <f>IFERROR(IF(0=LEN(ReferenceData!$E$109),"",ReferenceData!$E$109),"")</f>
        <v>Dynamic</v>
      </c>
      <c r="F109">
        <f ca="1">IFERROR(IF(0=LEN(ReferenceData!$L$109),"",ReferenceData!$L$109),"")</f>
        <v>284.4100037</v>
      </c>
      <c r="G109">
        <f ca="1">IFERROR(IF(0=LEN(ReferenceData!$K$109),"",ReferenceData!$K$109),"")</f>
        <v>257.5759888</v>
      </c>
      <c r="H109">
        <f ca="1">IFERROR(IF(0=LEN(ReferenceData!$J$109),"",ReferenceData!$J$109),"")</f>
        <v>265.89300539999999</v>
      </c>
      <c r="I109">
        <f ca="1">IFERROR(IF(0=LEN(ReferenceData!$I$109),"",ReferenceData!$I$109),"")</f>
        <v>266.57299799999998</v>
      </c>
      <c r="J109">
        <f ca="1">IFERROR(IF(0=LEN(ReferenceData!$H$109),"",ReferenceData!$H$109),"")</f>
        <v>263.48199460000001</v>
      </c>
      <c r="K109">
        <f ca="1">IFERROR(IF(0=LEN(ReferenceData!$G$109),"",ReferenceData!$G$109),"")</f>
        <v>278.70400999999998</v>
      </c>
      <c r="L109">
        <f ca="1">IFERROR(IF(0=LEN(ReferenceData!$F$109),"",ReferenceData!$F$109),"")</f>
        <v>286.0490112</v>
      </c>
    </row>
    <row r="110" spans="1:12" x14ac:dyDescent="0.25">
      <c r="A110" t="str">
        <f>IFERROR(IF(0=LEN(ReferenceData!$A$110),"",ReferenceData!$A$110),"")</f>
        <v xml:space="preserve">    International Business Machines Corp</v>
      </c>
      <c r="B110" t="str">
        <f>IFERROR(IF(0=LEN(ReferenceData!$B$110),"",ReferenceData!$B$110),"")</f>
        <v>IBM US Equity</v>
      </c>
      <c r="C110" t="str">
        <f>IFERROR(IF(0=LEN(ReferenceData!$C$110),"",ReferenceData!$C$110),"")</f>
        <v>ES014</v>
      </c>
      <c r="D110" t="str">
        <f>IFERROR(IF(0=LEN(ReferenceData!$D$110),"",ReferenceData!$D$110),"")</f>
        <v>ENERGY_CONSUMPTION</v>
      </c>
      <c r="E110" t="str">
        <f>IFERROR(IF(0=LEN(ReferenceData!$E$110),"",ReferenceData!$E$110),"")</f>
        <v>Dynamic</v>
      </c>
      <c r="F110">
        <f ca="1">IFERROR(IF(0=LEN(ReferenceData!$L$110),"",ReferenceData!$L$110),"")</f>
        <v>6297.2998049999997</v>
      </c>
      <c r="G110">
        <f ca="1">IFERROR(IF(0=LEN(ReferenceData!$K$110),"",ReferenceData!$K$110),"")</f>
        <v>6173.3999020000001</v>
      </c>
      <c r="H110">
        <f ca="1">IFERROR(IF(0=LEN(ReferenceData!$J$110),"",ReferenceData!$J$110),"")</f>
        <v>5375.7299800000001</v>
      </c>
      <c r="I110">
        <f ca="1">IFERROR(IF(0=LEN(ReferenceData!$I$110),"",ReferenceData!$I$110),"")</f>
        <v>4373.5400390000004</v>
      </c>
      <c r="J110">
        <f ca="1">IFERROR(IF(0=LEN(ReferenceData!$H$110),"",ReferenceData!$H$110),"")</f>
        <v>4192.5200199999999</v>
      </c>
      <c r="K110">
        <f ca="1">IFERROR(IF(0=LEN(ReferenceData!$G$110),"",ReferenceData!$G$110),"")</f>
        <v>4666.5097660000001</v>
      </c>
      <c r="L110" t="str">
        <f ca="1">IFERROR(IF(0=LEN(ReferenceData!$F$110),"",ReferenceData!$F$110),"")</f>
        <v/>
      </c>
    </row>
    <row r="111" spans="1:12" x14ac:dyDescent="0.25">
      <c r="A111" t="str">
        <f>IFERROR(IF(0=LEN(ReferenceData!$A$111),"",ReferenceData!$A$111),"")</f>
        <v xml:space="preserve">    Tata Consultancy Services Ltd</v>
      </c>
      <c r="B111" t="str">
        <f>IFERROR(IF(0=LEN(ReferenceData!$B$111),"",ReferenceData!$B$111),"")</f>
        <v>TCS IN Equity</v>
      </c>
      <c r="C111" t="str">
        <f>IFERROR(IF(0=LEN(ReferenceData!$C$111),"",ReferenceData!$C$111),"")</f>
        <v>ES014</v>
      </c>
      <c r="D111" t="str">
        <f>IFERROR(IF(0=LEN(ReferenceData!$D$111),"",ReferenceData!$D$111),"")</f>
        <v>ENERGY_CONSUMPTION</v>
      </c>
      <c r="E111" t="str">
        <f>IFERROR(IF(0=LEN(ReferenceData!$E$111),"",ReferenceData!$E$111),"")</f>
        <v>Dynamic</v>
      </c>
      <c r="F111">
        <f ca="1">IFERROR(IF(0=LEN(ReferenceData!$L$111),"",ReferenceData!$L$111),"")</f>
        <v>610.78698729999996</v>
      </c>
      <c r="G111">
        <f ca="1">IFERROR(IF(0=LEN(ReferenceData!$K$111),"",ReferenceData!$K$111),"")</f>
        <v>692.36798099999999</v>
      </c>
      <c r="H111">
        <f ca="1">IFERROR(IF(0=LEN(ReferenceData!$J$111),"",ReferenceData!$J$111),"")</f>
        <v>669.37597659999994</v>
      </c>
      <c r="I111">
        <f ca="1">IFERROR(IF(0=LEN(ReferenceData!$I$111),"",ReferenceData!$I$111),"")</f>
        <v>638.88897710000003</v>
      </c>
      <c r="J111">
        <f ca="1">IFERROR(IF(0=LEN(ReferenceData!$H$111),"",ReferenceData!$H$111),"")</f>
        <v>1206.1099850000001</v>
      </c>
      <c r="K111" t="str">
        <f ca="1">IFERROR(IF(0=LEN(ReferenceData!$G$111),"",ReferenceData!$G$111),"")</f>
        <v/>
      </c>
      <c r="L111" t="str">
        <f ca="1">IFERROR(IF(0=LEN(ReferenceData!$F$111),"",ReferenceData!$F$111),"")</f>
        <v/>
      </c>
    </row>
    <row r="112" spans="1:12" x14ac:dyDescent="0.25">
      <c r="A112" t="str">
        <f>IFERROR(IF(0=LEN(ReferenceData!$A$112),"",ReferenceData!$A$112),"")</f>
        <v xml:space="preserve">    Tech Mahindra Ltd</v>
      </c>
      <c r="B112" t="str">
        <f>IFERROR(IF(0=LEN(ReferenceData!$B$112),"",ReferenceData!$B$112),"")</f>
        <v>TECHM IN Equity</v>
      </c>
      <c r="C112" t="str">
        <f>IFERROR(IF(0=LEN(ReferenceData!$C$112),"",ReferenceData!$C$112),"")</f>
        <v>ES014</v>
      </c>
      <c r="D112" t="str">
        <f>IFERROR(IF(0=LEN(ReferenceData!$D$112),"",ReferenceData!$D$112),"")</f>
        <v>ENERGY_CONSUMPTION</v>
      </c>
      <c r="E112" t="str">
        <f>IFERROR(IF(0=LEN(ReferenceData!$E$112),"",ReferenceData!$E$112),"")</f>
        <v>Dynamic</v>
      </c>
      <c r="F112">
        <f ca="1">IFERROR(IF(0=LEN(ReferenceData!$L$112),"",ReferenceData!$L$112),"")</f>
        <v>150.91400150000001</v>
      </c>
      <c r="G112">
        <f ca="1">IFERROR(IF(0=LEN(ReferenceData!$K$112),"",ReferenceData!$K$112),"")</f>
        <v>167.60699460000001</v>
      </c>
      <c r="H112">
        <f ca="1">IFERROR(IF(0=LEN(ReferenceData!$J$112),"",ReferenceData!$J$112),"")</f>
        <v>155.24299619999999</v>
      </c>
      <c r="I112">
        <f ca="1">IFERROR(IF(0=LEN(ReferenceData!$I$112),"",ReferenceData!$I$112),"")</f>
        <v>160.4060059</v>
      </c>
      <c r="J112">
        <f ca="1">IFERROR(IF(0=LEN(ReferenceData!$H$112),"",ReferenceData!$H$112),"")</f>
        <v>160.72999569999999</v>
      </c>
      <c r="K112" t="str">
        <f ca="1">IFERROR(IF(0=LEN(ReferenceData!$G$112),"",ReferenceData!$G$112),"")</f>
        <v/>
      </c>
      <c r="L112" t="str">
        <f ca="1">IFERROR(IF(0=LEN(ReferenceData!$F$112),"",ReferenceData!$F$112),"")</f>
        <v/>
      </c>
    </row>
    <row r="113" spans="1:12" x14ac:dyDescent="0.25">
      <c r="A113" t="str">
        <f>IFERROR(IF(0=LEN(ReferenceData!$A$113),"",ReferenceData!$A$113),"")</f>
        <v xml:space="preserve">    Wipro Ltd</v>
      </c>
      <c r="B113" t="str">
        <f>IFERROR(IF(0=LEN(ReferenceData!$B$113),"",ReferenceData!$B$113),"")</f>
        <v>WIT US Equity</v>
      </c>
      <c r="C113" t="str">
        <f>IFERROR(IF(0=LEN(ReferenceData!$C$113),"",ReferenceData!$C$113),"")</f>
        <v>ES014</v>
      </c>
      <c r="D113" t="str">
        <f>IFERROR(IF(0=LEN(ReferenceData!$D$113),"",ReferenceData!$D$113),"")</f>
        <v>ENERGY_CONSUMPTION</v>
      </c>
      <c r="E113" t="str">
        <f>IFERROR(IF(0=LEN(ReferenceData!$E$113),"",ReferenceData!$E$113),"")</f>
        <v>Dynamic</v>
      </c>
      <c r="F113">
        <f ca="1">IFERROR(IF(0=LEN(ReferenceData!$L$113),"",ReferenceData!$L$113),"")</f>
        <v>412.27899170000001</v>
      </c>
      <c r="G113">
        <f ca="1">IFERROR(IF(0=LEN(ReferenceData!$K$113),"",ReferenceData!$K$113),"")</f>
        <v>421.48699950000002</v>
      </c>
      <c r="H113">
        <f ca="1">IFERROR(IF(0=LEN(ReferenceData!$J$113),"",ReferenceData!$J$113),"")</f>
        <v>423.3059998</v>
      </c>
      <c r="I113">
        <f ca="1">IFERROR(IF(0=LEN(ReferenceData!$I$113),"",ReferenceData!$I$113),"")</f>
        <v>409.55099489999998</v>
      </c>
      <c r="J113">
        <f ca="1">IFERROR(IF(0=LEN(ReferenceData!$H$113),"",ReferenceData!$H$113),"")</f>
        <v>358.2990112</v>
      </c>
      <c r="K113">
        <f ca="1">IFERROR(IF(0=LEN(ReferenceData!$G$113),"",ReferenceData!$G$113),"")</f>
        <v>250.2220001</v>
      </c>
      <c r="L113" t="str">
        <f ca="1">IFERROR(IF(0=LEN(ReferenceData!$F$113),"",ReferenceData!$F$113),"")</f>
        <v/>
      </c>
    </row>
    <row r="114" spans="1:12" x14ac:dyDescent="0.25">
      <c r="A114" t="str">
        <f>IFERROR(IF(0=LEN(ReferenceData!$A$114),"",ReferenceData!$A$114),"")</f>
        <v>Total Waste (000s Metric Tons)</v>
      </c>
      <c r="B114" t="str">
        <f>IFERROR(IF(0=LEN(ReferenceData!$B$114),"",ReferenceData!$B$114),"")</f>
        <v/>
      </c>
      <c r="C114" t="str">
        <f>IFERROR(IF(0=LEN(ReferenceData!$C$114),"",ReferenceData!$C$114),"")</f>
        <v/>
      </c>
      <c r="D114" t="str">
        <f>IFERROR(IF(0=LEN(ReferenceData!$D$114),"",ReferenceData!$D$114),"")</f>
        <v/>
      </c>
      <c r="E114" t="str">
        <f>IFERROR(IF(0=LEN(ReferenceData!$E$114),"",ReferenceData!$E$114),"")</f>
        <v>Median</v>
      </c>
      <c r="F114">
        <f ca="1">IFERROR(IF(0=LEN(ReferenceData!$L$114),"",ReferenceData!$L$114),"")</f>
        <v>2.3620949390000003</v>
      </c>
      <c r="G114">
        <f ca="1">IFERROR(IF(0=LEN(ReferenceData!$K$114),"",ReferenceData!$K$114),"")</f>
        <v>2.8219298720000001</v>
      </c>
      <c r="H114">
        <f ca="1">IFERROR(IF(0=LEN(ReferenceData!$J$114),"",ReferenceData!$J$114),"")</f>
        <v>1.66613996</v>
      </c>
      <c r="I114">
        <f ca="1">IFERROR(IF(0=LEN(ReferenceData!$I$114),"",ReferenceData!$I$114),"")</f>
        <v>1.70551002</v>
      </c>
      <c r="J114">
        <f ca="1">IFERROR(IF(0=LEN(ReferenceData!$H$114),"",ReferenceData!$H$114),"")</f>
        <v>3.0711498854999997</v>
      </c>
      <c r="K114">
        <f ca="1">IFERROR(IF(0=LEN(ReferenceData!$G$114),"",ReferenceData!$G$114),"")</f>
        <v>5.1824998855000004</v>
      </c>
      <c r="L114">
        <f ca="1">IFERROR(IF(0=LEN(ReferenceData!$F$114),"",ReferenceData!$F$114),"")</f>
        <v>3.6763350964999999</v>
      </c>
    </row>
    <row r="115" spans="1:12" x14ac:dyDescent="0.25">
      <c r="A115" t="str">
        <f>IFERROR(IF(0=LEN(ReferenceData!$A$115),"",ReferenceData!$A$115),"")</f>
        <v xml:space="preserve">    Accenture PLC</v>
      </c>
      <c r="B115" t="str">
        <f>IFERROR(IF(0=LEN(ReferenceData!$B$115),"",ReferenceData!$B$115),"")</f>
        <v>ACN US Equity</v>
      </c>
      <c r="C115" t="str">
        <f>IFERROR(IF(0=LEN(ReferenceData!$C$115),"",ReferenceData!$C$115),"")</f>
        <v>ES020</v>
      </c>
      <c r="D115" t="str">
        <f>IFERROR(IF(0=LEN(ReferenceData!$D$115),"",ReferenceData!$D$115),"")</f>
        <v>TOTAL_WASTE</v>
      </c>
      <c r="E115" t="str">
        <f>IFERROR(IF(0=LEN(ReferenceData!$E$115),"",ReferenceData!$E$115),"")</f>
        <v>Dynamic</v>
      </c>
      <c r="F115" t="str">
        <f ca="1">IFERROR(IF(0=LEN(ReferenceData!$L$115),"",ReferenceData!$L$115),"")</f>
        <v/>
      </c>
      <c r="G115" t="str">
        <f ca="1">IFERROR(IF(0=LEN(ReferenceData!$K$115),"",ReferenceData!$K$115),"")</f>
        <v/>
      </c>
      <c r="H115" t="str">
        <f ca="1">IFERROR(IF(0=LEN(ReferenceData!$J$115),"",ReferenceData!$J$115),"")</f>
        <v/>
      </c>
      <c r="I115">
        <f ca="1">IFERROR(IF(0=LEN(ReferenceData!$I$115),"",ReferenceData!$I$115),"")</f>
        <v>0.36000001399999998</v>
      </c>
      <c r="J115">
        <f ca="1">IFERROR(IF(0=LEN(ReferenceData!$H$115),"",ReferenceData!$H$115),"")</f>
        <v>0.301999986</v>
      </c>
      <c r="K115">
        <f ca="1">IFERROR(IF(0=LEN(ReferenceData!$G$115),"",ReferenceData!$G$115),"")</f>
        <v>0.58300000399999996</v>
      </c>
      <c r="L115" t="str">
        <f ca="1">IFERROR(IF(0=LEN(ReferenceData!$F$115),"",ReferenceData!$F$115),"")</f>
        <v/>
      </c>
    </row>
    <row r="116" spans="1:12" x14ac:dyDescent="0.25">
      <c r="A116" t="str">
        <f>IFERROR(IF(0=LEN(ReferenceData!$A$116),"",ReferenceData!$A$116),"")</f>
        <v xml:space="preserve">    Amdocs Ltd</v>
      </c>
      <c r="B116" t="str">
        <f>IFERROR(IF(0=LEN(ReferenceData!$B$116),"",ReferenceData!$B$116),"")</f>
        <v>DOX US Equity</v>
      </c>
      <c r="C116" t="str">
        <f>IFERROR(IF(0=LEN(ReferenceData!$C$116),"",ReferenceData!$C$116),"")</f>
        <v>ES020</v>
      </c>
      <c r="D116" t="str">
        <f>IFERROR(IF(0=LEN(ReferenceData!$D$116),"",ReferenceData!$D$116),"")</f>
        <v>TOTAL_WASTE</v>
      </c>
      <c r="E116" t="str">
        <f>IFERROR(IF(0=LEN(ReferenceData!$E$116),"",ReferenceData!$E$116),"")</f>
        <v>Dynamic</v>
      </c>
      <c r="F116" t="str">
        <f ca="1">IFERROR(IF(0=LEN(ReferenceData!$L$116),"",ReferenceData!$L$116),"")</f>
        <v/>
      </c>
      <c r="G116" t="str">
        <f ca="1">IFERROR(IF(0=LEN(ReferenceData!$K$116),"",ReferenceData!$K$116),"")</f>
        <v/>
      </c>
      <c r="H116" t="str">
        <f ca="1">IFERROR(IF(0=LEN(ReferenceData!$J$116),"",ReferenceData!$J$116),"")</f>
        <v/>
      </c>
      <c r="I116" t="str">
        <f ca="1">IFERROR(IF(0=LEN(ReferenceData!$I$116),"",ReferenceData!$I$116),"")</f>
        <v/>
      </c>
      <c r="J116" t="str">
        <f ca="1">IFERROR(IF(0=LEN(ReferenceData!$H$116),"",ReferenceData!$H$116),"")</f>
        <v/>
      </c>
      <c r="K116" t="str">
        <f ca="1">IFERROR(IF(0=LEN(ReferenceData!$G$116),"",ReferenceData!$G$116),"")</f>
        <v/>
      </c>
      <c r="L116" t="str">
        <f ca="1">IFERROR(IF(0=LEN(ReferenceData!$F$116),"",ReferenceData!$F$116),"")</f>
        <v/>
      </c>
    </row>
    <row r="117" spans="1:12" x14ac:dyDescent="0.25">
      <c r="A117" t="str">
        <f>IFERROR(IF(0=LEN(ReferenceData!$A$117),"",ReferenceData!$A$117),"")</f>
        <v xml:space="preserve">    Atos SE</v>
      </c>
      <c r="B117" t="str">
        <f>IFERROR(IF(0=LEN(ReferenceData!$B$117),"",ReferenceData!$B$117),"")</f>
        <v>ATO FP Equity</v>
      </c>
      <c r="C117" t="str">
        <f>IFERROR(IF(0=LEN(ReferenceData!$C$117),"",ReferenceData!$C$117),"")</f>
        <v>ES020</v>
      </c>
      <c r="D117" t="str">
        <f>IFERROR(IF(0=LEN(ReferenceData!$D$117),"",ReferenceData!$D$117),"")</f>
        <v>TOTAL_WASTE</v>
      </c>
      <c r="E117" t="str">
        <f>IFERROR(IF(0=LEN(ReferenceData!$E$117),"",ReferenceData!$E$117),"")</f>
        <v>Dynamic</v>
      </c>
      <c r="F117" t="str">
        <f ca="1">IFERROR(IF(0=LEN(ReferenceData!$L$117),"",ReferenceData!$L$117),"")</f>
        <v/>
      </c>
      <c r="G117" t="str">
        <f ca="1">IFERROR(IF(0=LEN(ReferenceData!$K$117),"",ReferenceData!$K$117),"")</f>
        <v/>
      </c>
      <c r="H117" t="str">
        <f ca="1">IFERROR(IF(0=LEN(ReferenceData!$J$117),"",ReferenceData!$J$117),"")</f>
        <v/>
      </c>
      <c r="I117" t="str">
        <f ca="1">IFERROR(IF(0=LEN(ReferenceData!$I$117),"",ReferenceData!$I$117),"")</f>
        <v/>
      </c>
      <c r="J117" t="str">
        <f ca="1">IFERROR(IF(0=LEN(ReferenceData!$H$117),"",ReferenceData!$H$117),"")</f>
        <v/>
      </c>
      <c r="K117" t="str">
        <f ca="1">IFERROR(IF(0=LEN(ReferenceData!$G$117),"",ReferenceData!$G$117),"")</f>
        <v/>
      </c>
      <c r="L117" t="str">
        <f ca="1">IFERROR(IF(0=LEN(ReferenceData!$F$117),"",ReferenceData!$F$117),"")</f>
        <v/>
      </c>
    </row>
    <row r="118" spans="1:12" x14ac:dyDescent="0.25">
      <c r="A118" t="str">
        <f>IFERROR(IF(0=LEN(ReferenceData!$A$118),"",ReferenceData!$A$118),"")</f>
        <v xml:space="preserve">    Capgemini SE</v>
      </c>
      <c r="B118" t="str">
        <f>IFERROR(IF(0=LEN(ReferenceData!$B$118),"",ReferenceData!$B$118),"")</f>
        <v>CAP FP Equity</v>
      </c>
      <c r="C118" t="str">
        <f>IFERROR(IF(0=LEN(ReferenceData!$C$118),"",ReferenceData!$C$118),"")</f>
        <v>ES020</v>
      </c>
      <c r="D118" t="str">
        <f>IFERROR(IF(0=LEN(ReferenceData!$D$118),"",ReferenceData!$D$118),"")</f>
        <v>TOTAL_WASTE</v>
      </c>
      <c r="E118" t="str">
        <f>IFERROR(IF(0=LEN(ReferenceData!$E$118),"",ReferenceData!$E$118),"")</f>
        <v>Dynamic</v>
      </c>
      <c r="F118">
        <f ca="1">IFERROR(IF(0=LEN(ReferenceData!$L$118),"",ReferenceData!$L$118),"")</f>
        <v>3.7179999349999999</v>
      </c>
      <c r="G118">
        <f ca="1">IFERROR(IF(0=LEN(ReferenceData!$K$118),"",ReferenceData!$K$118),"")</f>
        <v>4.3319997790000002</v>
      </c>
      <c r="H118">
        <f ca="1">IFERROR(IF(0=LEN(ReferenceData!$J$118),"",ReferenceData!$J$118),"")</f>
        <v>5.0929999349999999</v>
      </c>
      <c r="I118">
        <f ca="1">IFERROR(IF(0=LEN(ReferenceData!$I$118),"",ReferenceData!$I$118),"")</f>
        <v>4.6009998320000003</v>
      </c>
      <c r="J118">
        <f ca="1">IFERROR(IF(0=LEN(ReferenceData!$H$118),"",ReferenceData!$H$118),"")</f>
        <v>4.6799998279999997</v>
      </c>
      <c r="K118">
        <f ca="1">IFERROR(IF(0=LEN(ReferenceData!$G$118),"",ReferenceData!$G$118),"")</f>
        <v>4.1599998469999999</v>
      </c>
      <c r="L118">
        <f ca="1">IFERROR(IF(0=LEN(ReferenceData!$F$118),"",ReferenceData!$F$118),"")</f>
        <v>5.2010002139999996</v>
      </c>
    </row>
    <row r="119" spans="1:12" x14ac:dyDescent="0.25">
      <c r="A119" t="str">
        <f>IFERROR(IF(0=LEN(ReferenceData!$A$119),"",ReferenceData!$A$119),"")</f>
        <v xml:space="preserve">    CGI Inc</v>
      </c>
      <c r="B119" t="str">
        <f>IFERROR(IF(0=LEN(ReferenceData!$B$119),"",ReferenceData!$B$119),"")</f>
        <v>GIB US Equity</v>
      </c>
      <c r="C119" t="str">
        <f>IFERROR(IF(0=LEN(ReferenceData!$C$119),"",ReferenceData!$C$119),"")</f>
        <v>ES020</v>
      </c>
      <c r="D119" t="str">
        <f>IFERROR(IF(0=LEN(ReferenceData!$D$119),"",ReferenceData!$D$119),"")</f>
        <v>TOTAL_WASTE</v>
      </c>
      <c r="E119" t="str">
        <f>IFERROR(IF(0=LEN(ReferenceData!$E$119),"",ReferenceData!$E$119),"")</f>
        <v>Dynamic</v>
      </c>
      <c r="F119" t="str">
        <f ca="1">IFERROR(IF(0=LEN(ReferenceData!$L$119),"",ReferenceData!$L$119),"")</f>
        <v/>
      </c>
      <c r="G119" t="str">
        <f ca="1">IFERROR(IF(0=LEN(ReferenceData!$K$119),"",ReferenceData!$K$119),"")</f>
        <v/>
      </c>
      <c r="H119" t="str">
        <f ca="1">IFERROR(IF(0=LEN(ReferenceData!$J$119),"",ReferenceData!$J$119),"")</f>
        <v/>
      </c>
      <c r="I119" t="str">
        <f ca="1">IFERROR(IF(0=LEN(ReferenceData!$I$119),"",ReferenceData!$I$119),"")</f>
        <v/>
      </c>
      <c r="J119" t="str">
        <f ca="1">IFERROR(IF(0=LEN(ReferenceData!$H$119),"",ReferenceData!$H$119),"")</f>
        <v/>
      </c>
      <c r="K119" t="str">
        <f ca="1">IFERROR(IF(0=LEN(ReferenceData!$G$119),"",ReferenceData!$G$119),"")</f>
        <v/>
      </c>
      <c r="L119" t="str">
        <f ca="1">IFERROR(IF(0=LEN(ReferenceData!$F$119),"",ReferenceData!$F$119),"")</f>
        <v/>
      </c>
    </row>
    <row r="120" spans="1:12" x14ac:dyDescent="0.25">
      <c r="A120" t="str">
        <f>IFERROR(IF(0=LEN(ReferenceData!$A$120),"",ReferenceData!$A$120),"")</f>
        <v xml:space="preserve">    Cognizant Technology Solutions Corp</v>
      </c>
      <c r="B120" t="str">
        <f>IFERROR(IF(0=LEN(ReferenceData!$B$120),"",ReferenceData!$B$120),"")</f>
        <v>CTSH US Equity</v>
      </c>
      <c r="C120" t="str">
        <f>IFERROR(IF(0=LEN(ReferenceData!$C$120),"",ReferenceData!$C$120),"")</f>
        <v>ES020</v>
      </c>
      <c r="D120" t="str">
        <f>IFERROR(IF(0=LEN(ReferenceData!$D$120),"",ReferenceData!$D$120),"")</f>
        <v>TOTAL_WASTE</v>
      </c>
      <c r="E120" t="str">
        <f>IFERROR(IF(0=LEN(ReferenceData!$E$120),"",ReferenceData!$E$120),"")</f>
        <v>Dynamic</v>
      </c>
      <c r="F120">
        <f ca="1">IFERROR(IF(0=LEN(ReferenceData!$L$120),"",ReferenceData!$L$120),"")</f>
        <v>1.019189954</v>
      </c>
      <c r="G120">
        <f ca="1">IFERROR(IF(0=LEN(ReferenceData!$K$120),"",ReferenceData!$K$120),"")</f>
        <v>1.311859965</v>
      </c>
      <c r="H120">
        <f ca="1">IFERROR(IF(0=LEN(ReferenceData!$J$120),"",ReferenceData!$J$120),"")</f>
        <v>1.66613996</v>
      </c>
      <c r="I120">
        <f ca="1">IFERROR(IF(0=LEN(ReferenceData!$I$120),"",ReferenceData!$I$120),"")</f>
        <v>1.70551002</v>
      </c>
      <c r="J120" t="str">
        <f ca="1">IFERROR(IF(0=LEN(ReferenceData!$H$120),"",ReferenceData!$H$120),"")</f>
        <v/>
      </c>
      <c r="K120" t="str">
        <f ca="1">IFERROR(IF(0=LEN(ReferenceData!$G$120),"",ReferenceData!$G$120),"")</f>
        <v/>
      </c>
      <c r="L120" t="str">
        <f ca="1">IFERROR(IF(0=LEN(ReferenceData!$F$120),"",ReferenceData!$F$120),"")</f>
        <v/>
      </c>
    </row>
    <row r="121" spans="1:12" x14ac:dyDescent="0.25">
      <c r="A121" t="str">
        <f>IFERROR(IF(0=LEN(ReferenceData!$A$121),"",ReferenceData!$A$121),"")</f>
        <v xml:space="preserve">    Conduent Inc</v>
      </c>
      <c r="B121" t="str">
        <f>IFERROR(IF(0=LEN(ReferenceData!$B$121),"",ReferenceData!$B$121),"")</f>
        <v>CNDT US Equity</v>
      </c>
      <c r="C121" t="str">
        <f>IFERROR(IF(0=LEN(ReferenceData!$C$121),"",ReferenceData!$C$121),"")</f>
        <v>ES020</v>
      </c>
      <c r="D121" t="str">
        <f>IFERROR(IF(0=LEN(ReferenceData!$D$121),"",ReferenceData!$D$121),"")</f>
        <v>TOTAL_WASTE</v>
      </c>
      <c r="E121" t="str">
        <f>IFERROR(IF(0=LEN(ReferenceData!$E$121),"",ReferenceData!$E$121),"")</f>
        <v>Dynamic</v>
      </c>
      <c r="F121" t="str">
        <f ca="1">IFERROR(IF(0=LEN(ReferenceData!$L$121),"",ReferenceData!$L$121),"")</f>
        <v/>
      </c>
      <c r="G121" t="str">
        <f ca="1">IFERROR(IF(0=LEN(ReferenceData!$K$121),"",ReferenceData!$K$121),"")</f>
        <v/>
      </c>
      <c r="H121" t="str">
        <f ca="1">IFERROR(IF(0=LEN(ReferenceData!$J$121),"",ReferenceData!$J$121),"")</f>
        <v/>
      </c>
      <c r="I121" t="str">
        <f ca="1">IFERROR(IF(0=LEN(ReferenceData!$I$121),"",ReferenceData!$I$121),"")</f>
        <v/>
      </c>
      <c r="J121" t="str">
        <f ca="1">IFERROR(IF(0=LEN(ReferenceData!$H$121),"",ReferenceData!$H$121),"")</f>
        <v/>
      </c>
      <c r="K121" t="str">
        <f ca="1">IFERROR(IF(0=LEN(ReferenceData!$G$121),"",ReferenceData!$G$121),"")</f>
        <v/>
      </c>
      <c r="L121" t="str">
        <f ca="1">IFERROR(IF(0=LEN(ReferenceData!$F$121),"",ReferenceData!$F$121),"")</f>
        <v/>
      </c>
    </row>
    <row r="122" spans="1:12" x14ac:dyDescent="0.25">
      <c r="A122" t="str">
        <f>IFERROR(IF(0=LEN(ReferenceData!$A$122),"",ReferenceData!$A$122),"")</f>
        <v xml:space="preserve">    DXC Technology Co</v>
      </c>
      <c r="B122" t="str">
        <f>IFERROR(IF(0=LEN(ReferenceData!$B$122),"",ReferenceData!$B$122),"")</f>
        <v>DXC US Equity</v>
      </c>
      <c r="C122" t="str">
        <f>IFERROR(IF(0=LEN(ReferenceData!$C$122),"",ReferenceData!$C$122),"")</f>
        <v>ES020</v>
      </c>
      <c r="D122" t="str">
        <f>IFERROR(IF(0=LEN(ReferenceData!$D$122),"",ReferenceData!$D$122),"")</f>
        <v>TOTAL_WASTE</v>
      </c>
      <c r="E122" t="str">
        <f>IFERROR(IF(0=LEN(ReferenceData!$E$122),"",ReferenceData!$E$122),"")</f>
        <v>Dynamic</v>
      </c>
      <c r="F122" t="str">
        <f ca="1">IFERROR(IF(0=LEN(ReferenceData!$L$122),"",ReferenceData!$L$122),"")</f>
        <v/>
      </c>
      <c r="G122" t="str">
        <f ca="1">IFERROR(IF(0=LEN(ReferenceData!$K$122),"",ReferenceData!$K$122),"")</f>
        <v/>
      </c>
      <c r="H122" t="str">
        <f ca="1">IFERROR(IF(0=LEN(ReferenceData!$J$122),"",ReferenceData!$J$122),"")</f>
        <v/>
      </c>
      <c r="I122" t="str">
        <f ca="1">IFERROR(IF(0=LEN(ReferenceData!$I$122),"",ReferenceData!$I$122),"")</f>
        <v/>
      </c>
      <c r="J122" t="str">
        <f ca="1">IFERROR(IF(0=LEN(ReferenceData!$H$122),"",ReferenceData!$H$122),"")</f>
        <v/>
      </c>
      <c r="K122">
        <f ca="1">IFERROR(IF(0=LEN(ReferenceData!$G$122),"",ReferenceData!$G$122),"")</f>
        <v>7920.2299800000001</v>
      </c>
      <c r="L122" t="str">
        <f ca="1">IFERROR(IF(0=LEN(ReferenceData!$F$122),"",ReferenceData!$F$122),"")</f>
        <v/>
      </c>
    </row>
    <row r="123" spans="1:12" x14ac:dyDescent="0.25">
      <c r="A123" t="str">
        <f>IFERROR(IF(0=LEN(ReferenceData!$A$123),"",ReferenceData!$A$123),"")</f>
        <v xml:space="preserve">    EPAM Systems Inc</v>
      </c>
      <c r="B123" t="str">
        <f>IFERROR(IF(0=LEN(ReferenceData!$B$123),"",ReferenceData!$B$123),"")</f>
        <v>EPAM US Equity</v>
      </c>
      <c r="C123" t="str">
        <f>IFERROR(IF(0=LEN(ReferenceData!$C$123),"",ReferenceData!$C$123),"")</f>
        <v>ES020</v>
      </c>
      <c r="D123" t="str">
        <f>IFERROR(IF(0=LEN(ReferenceData!$D$123),"",ReferenceData!$D$123),"")</f>
        <v>TOTAL_WASTE</v>
      </c>
      <c r="E123" t="str">
        <f>IFERROR(IF(0=LEN(ReferenceData!$E$123),"",ReferenceData!$E$123),"")</f>
        <v>Dynamic</v>
      </c>
      <c r="F123" t="str">
        <f ca="1">IFERROR(IF(0=LEN(ReferenceData!$L$123),"",ReferenceData!$L$123),"")</f>
        <v/>
      </c>
      <c r="G123" t="str">
        <f ca="1">IFERROR(IF(0=LEN(ReferenceData!$K$123),"",ReferenceData!$K$123),"")</f>
        <v/>
      </c>
      <c r="H123" t="str">
        <f ca="1">IFERROR(IF(0=LEN(ReferenceData!$J$123),"",ReferenceData!$J$123),"")</f>
        <v/>
      </c>
      <c r="I123" t="str">
        <f ca="1">IFERROR(IF(0=LEN(ReferenceData!$I$123),"",ReferenceData!$I$123),"")</f>
        <v/>
      </c>
      <c r="J123" t="str">
        <f ca="1">IFERROR(IF(0=LEN(ReferenceData!$H$123),"",ReferenceData!$H$123),"")</f>
        <v/>
      </c>
      <c r="K123" t="str">
        <f ca="1">IFERROR(IF(0=LEN(ReferenceData!$G$123),"",ReferenceData!$G$123),"")</f>
        <v/>
      </c>
      <c r="L123" t="str">
        <f ca="1">IFERROR(IF(0=LEN(ReferenceData!$F$123),"",ReferenceData!$F$123),"")</f>
        <v/>
      </c>
    </row>
    <row r="124" spans="1:12" x14ac:dyDescent="0.25">
      <c r="A124" t="str">
        <f>IFERROR(IF(0=LEN(ReferenceData!$A$124),"",ReferenceData!$A$124),"")</f>
        <v xml:space="preserve">    Genpact Ltd</v>
      </c>
      <c r="B124" t="str">
        <f>IFERROR(IF(0=LEN(ReferenceData!$B$124),"",ReferenceData!$B$124),"")</f>
        <v>G US Equity</v>
      </c>
      <c r="C124" t="str">
        <f>IFERROR(IF(0=LEN(ReferenceData!$C$124),"",ReferenceData!$C$124),"")</f>
        <v>ES020</v>
      </c>
      <c r="D124" t="str">
        <f>IFERROR(IF(0=LEN(ReferenceData!$D$124),"",ReferenceData!$D$124),"")</f>
        <v>TOTAL_WASTE</v>
      </c>
      <c r="E124" t="str">
        <f>IFERROR(IF(0=LEN(ReferenceData!$E$124),"",ReferenceData!$E$124),"")</f>
        <v>Dynamic</v>
      </c>
      <c r="F124" t="str">
        <f ca="1">IFERROR(IF(0=LEN(ReferenceData!$L$124),"",ReferenceData!$L$124),"")</f>
        <v/>
      </c>
      <c r="G124" t="str">
        <f ca="1">IFERROR(IF(0=LEN(ReferenceData!$K$124),"",ReferenceData!$K$124),"")</f>
        <v/>
      </c>
      <c r="H124">
        <f ca="1">IFERROR(IF(0=LEN(ReferenceData!$J$124),"",ReferenceData!$J$124),"")</f>
        <v>0.105435997</v>
      </c>
      <c r="I124">
        <f ca="1">IFERROR(IF(0=LEN(ReferenceData!$I$124),"",ReferenceData!$I$124),"")</f>
        <v>1.0821199420000001</v>
      </c>
      <c r="J124">
        <f ca="1">IFERROR(IF(0=LEN(ReferenceData!$H$124),"",ReferenceData!$H$124),"")</f>
        <v>1.375069976</v>
      </c>
      <c r="K124" t="str">
        <f ca="1">IFERROR(IF(0=LEN(ReferenceData!$G$124),"",ReferenceData!$G$124),"")</f>
        <v/>
      </c>
      <c r="L124" t="str">
        <f ca="1">IFERROR(IF(0=LEN(ReferenceData!$F$124),"",ReferenceData!$F$124),"")</f>
        <v/>
      </c>
    </row>
    <row r="125" spans="1:12" x14ac:dyDescent="0.25">
      <c r="A125" t="str">
        <f>IFERROR(IF(0=LEN(ReferenceData!$A$125),"",ReferenceData!$A$125),"")</f>
        <v xml:space="preserve">    HCL Technologies Ltd</v>
      </c>
      <c r="B125" t="str">
        <f>IFERROR(IF(0=LEN(ReferenceData!$B$125),"",ReferenceData!$B$125),"")</f>
        <v>HCLT IN Equity</v>
      </c>
      <c r="C125" t="str">
        <f>IFERROR(IF(0=LEN(ReferenceData!$C$125),"",ReferenceData!$C$125),"")</f>
        <v>ES020</v>
      </c>
      <c r="D125" t="str">
        <f>IFERROR(IF(0=LEN(ReferenceData!$D$125),"",ReferenceData!$D$125),"")</f>
        <v>TOTAL_WASTE</v>
      </c>
      <c r="E125" t="str">
        <f>IFERROR(IF(0=LEN(ReferenceData!$E$125),"",ReferenceData!$E$125),"")</f>
        <v>Dynamic</v>
      </c>
      <c r="F125" t="str">
        <f ca="1">IFERROR(IF(0=LEN(ReferenceData!$L$125),"",ReferenceData!$L$125),"")</f>
        <v/>
      </c>
      <c r="G125" t="str">
        <f ca="1">IFERROR(IF(0=LEN(ReferenceData!$K$125),"",ReferenceData!$K$125),"")</f>
        <v/>
      </c>
      <c r="H125" t="str">
        <f ca="1">IFERROR(IF(0=LEN(ReferenceData!$J$125),"",ReferenceData!$J$125),"")</f>
        <v/>
      </c>
      <c r="I125" t="str">
        <f ca="1">IFERROR(IF(0=LEN(ReferenceData!$I$125),"",ReferenceData!$I$125),"")</f>
        <v/>
      </c>
      <c r="J125" t="str">
        <f ca="1">IFERROR(IF(0=LEN(ReferenceData!$H$125),"",ReferenceData!$H$125),"")</f>
        <v/>
      </c>
      <c r="K125" t="str">
        <f ca="1">IFERROR(IF(0=LEN(ReferenceData!$G$125),"",ReferenceData!$G$125),"")</f>
        <v/>
      </c>
      <c r="L125" t="str">
        <f ca="1">IFERROR(IF(0=LEN(ReferenceData!$F$125),"",ReferenceData!$F$125),"")</f>
        <v/>
      </c>
    </row>
    <row r="126" spans="1:12" x14ac:dyDescent="0.25">
      <c r="A126" t="str">
        <f>IFERROR(IF(0=LEN(ReferenceData!$A$126),"",ReferenceData!$A$126),"")</f>
        <v xml:space="preserve">    Indra Sistemas SA</v>
      </c>
      <c r="B126" t="str">
        <f>IFERROR(IF(0=LEN(ReferenceData!$B$126),"",ReferenceData!$B$126),"")</f>
        <v>IDR SM Equity</v>
      </c>
      <c r="C126" t="str">
        <f>IFERROR(IF(0=LEN(ReferenceData!$C$126),"",ReferenceData!$C$126),"")</f>
        <v>ES020</v>
      </c>
      <c r="D126" t="str">
        <f>IFERROR(IF(0=LEN(ReferenceData!$D$126),"",ReferenceData!$D$126),"")</f>
        <v>TOTAL_WASTE</v>
      </c>
      <c r="E126" t="str">
        <f>IFERROR(IF(0=LEN(ReferenceData!$E$126),"",ReferenceData!$E$126),"")</f>
        <v>Dynamic</v>
      </c>
      <c r="F126">
        <f ca="1">IFERROR(IF(0=LEN(ReferenceData!$L$126),"",ReferenceData!$L$126),"")</f>
        <v>0.80998998899999997</v>
      </c>
      <c r="G126">
        <f ca="1">IFERROR(IF(0=LEN(ReferenceData!$K$126),"",ReferenceData!$K$126),"")</f>
        <v>0.65717202399999997</v>
      </c>
      <c r="H126">
        <f ca="1">IFERROR(IF(0=LEN(ReferenceData!$J$126),"",ReferenceData!$J$126),"")</f>
        <v>0.94392198299999996</v>
      </c>
      <c r="I126">
        <f ca="1">IFERROR(IF(0=LEN(ReferenceData!$I$126),"",ReferenceData!$I$126),"")</f>
        <v>1.1050100329999999</v>
      </c>
      <c r="J126">
        <f ca="1">IFERROR(IF(0=LEN(ReferenceData!$H$126),"",ReferenceData!$H$126),"")</f>
        <v>1.4622999430000001</v>
      </c>
      <c r="K126">
        <f ca="1">IFERROR(IF(0=LEN(ReferenceData!$G$126),"",ReferenceData!$G$126),"")</f>
        <v>2.3327898980000001</v>
      </c>
      <c r="L126">
        <f ca="1">IFERROR(IF(0=LEN(ReferenceData!$F$126),"",ReferenceData!$F$126),"")</f>
        <v>2.1516699789999998</v>
      </c>
    </row>
    <row r="127" spans="1:12" x14ac:dyDescent="0.25">
      <c r="A127" t="str">
        <f>IFERROR(IF(0=LEN(ReferenceData!$A$127),"",ReferenceData!$A$127),"")</f>
        <v xml:space="preserve">    Infosys Ltd</v>
      </c>
      <c r="B127" t="str">
        <f>IFERROR(IF(0=LEN(ReferenceData!$B$127),"",ReferenceData!$B$127),"")</f>
        <v>INFY US Equity</v>
      </c>
      <c r="C127" t="str">
        <f>IFERROR(IF(0=LEN(ReferenceData!$C$127),"",ReferenceData!$C$127),"")</f>
        <v>ES020</v>
      </c>
      <c r="D127" t="str">
        <f>IFERROR(IF(0=LEN(ReferenceData!$D$127),"",ReferenceData!$D$127),"")</f>
        <v>TOTAL_WASTE</v>
      </c>
      <c r="E127" t="str">
        <f>IFERROR(IF(0=LEN(ReferenceData!$E$127),"",ReferenceData!$E$127),"")</f>
        <v>Dynamic</v>
      </c>
      <c r="F127" t="str">
        <f ca="1">IFERROR(IF(0=LEN(ReferenceData!$L$127),"",ReferenceData!$L$127),"")</f>
        <v/>
      </c>
      <c r="G127" t="str">
        <f ca="1">IFERROR(IF(0=LEN(ReferenceData!$K$127),"",ReferenceData!$K$127),"")</f>
        <v/>
      </c>
      <c r="H127" t="str">
        <f ca="1">IFERROR(IF(0=LEN(ReferenceData!$J$127),"",ReferenceData!$J$127),"")</f>
        <v/>
      </c>
      <c r="I127" t="str">
        <f ca="1">IFERROR(IF(0=LEN(ReferenceData!$I$127),"",ReferenceData!$I$127),"")</f>
        <v/>
      </c>
      <c r="J127" t="str">
        <f ca="1">IFERROR(IF(0=LEN(ReferenceData!$H$127),"",ReferenceData!$H$127),"")</f>
        <v/>
      </c>
      <c r="K127" t="str">
        <f ca="1">IFERROR(IF(0=LEN(ReferenceData!$G$127),"",ReferenceData!$G$127),"")</f>
        <v/>
      </c>
      <c r="L127" t="str">
        <f ca="1">IFERROR(IF(0=LEN(ReferenceData!$F$127),"",ReferenceData!$F$127),"")</f>
        <v/>
      </c>
    </row>
    <row r="128" spans="1:12" x14ac:dyDescent="0.25">
      <c r="A128" t="str">
        <f>IFERROR(IF(0=LEN(ReferenceData!$A$128),"",ReferenceData!$A$128),"")</f>
        <v xml:space="preserve">    International Business Machines Corp</v>
      </c>
      <c r="B128" t="str">
        <f>IFERROR(IF(0=LEN(ReferenceData!$B$128),"",ReferenceData!$B$128),"")</f>
        <v>IBM US Equity</v>
      </c>
      <c r="C128" t="str">
        <f>IFERROR(IF(0=LEN(ReferenceData!$C$128),"",ReferenceData!$C$128),"")</f>
        <v>ES020</v>
      </c>
      <c r="D128" t="str">
        <f>IFERROR(IF(0=LEN(ReferenceData!$D$128),"",ReferenceData!$D$128),"")</f>
        <v>TOTAL_WASTE</v>
      </c>
      <c r="E128" t="str">
        <f>IFERROR(IF(0=LEN(ReferenceData!$E$128),"",ReferenceData!$E$128),"")</f>
        <v>Dynamic</v>
      </c>
      <c r="F128">
        <f ca="1">IFERROR(IF(0=LEN(ReferenceData!$L$128),"",ReferenceData!$L$128),"")</f>
        <v>72.51499939</v>
      </c>
      <c r="G128">
        <f ca="1">IFERROR(IF(0=LEN(ReferenceData!$K$128),"",ReferenceData!$K$128),"")</f>
        <v>110.72899630000001</v>
      </c>
      <c r="H128">
        <f ca="1">IFERROR(IF(0=LEN(ReferenceData!$J$128),"",ReferenceData!$J$128),"")</f>
        <v>56.229900360000002</v>
      </c>
      <c r="I128">
        <f ca="1">IFERROR(IF(0=LEN(ReferenceData!$I$128),"",ReferenceData!$I$128),"")</f>
        <v>45.36000061</v>
      </c>
      <c r="J128">
        <f ca="1">IFERROR(IF(0=LEN(ReferenceData!$H$128),"",ReferenceData!$H$128),"")</f>
        <v>38.36000061</v>
      </c>
      <c r="K128">
        <f ca="1">IFERROR(IF(0=LEN(ReferenceData!$G$128),"",ReferenceData!$G$128),"")</f>
        <v>35.959999080000003</v>
      </c>
      <c r="L128" t="str">
        <f ca="1">IFERROR(IF(0=LEN(ReferenceData!$F$128),"",ReferenceData!$F$128),"")</f>
        <v/>
      </c>
    </row>
    <row r="129" spans="1:12" x14ac:dyDescent="0.25">
      <c r="A129" t="str">
        <f>IFERROR(IF(0=LEN(ReferenceData!$A$129),"",ReferenceData!$A$129),"")</f>
        <v xml:space="preserve">    Tata Consultancy Services Ltd</v>
      </c>
      <c r="B129" t="str">
        <f>IFERROR(IF(0=LEN(ReferenceData!$B$129),"",ReferenceData!$B$129),"")</f>
        <v>TCS IN Equity</v>
      </c>
      <c r="C129" t="str">
        <f>IFERROR(IF(0=LEN(ReferenceData!$C$129),"",ReferenceData!$C$129),"")</f>
        <v>ES020</v>
      </c>
      <c r="D129" t="str">
        <f>IFERROR(IF(0=LEN(ReferenceData!$D$129),"",ReferenceData!$D$129),"")</f>
        <v>TOTAL_WASTE</v>
      </c>
      <c r="E129" t="str">
        <f>IFERROR(IF(0=LEN(ReferenceData!$E$129),"",ReferenceData!$E$129),"")</f>
        <v>Dynamic</v>
      </c>
      <c r="F129" t="str">
        <f ca="1">IFERROR(IF(0=LEN(ReferenceData!$L$129),"",ReferenceData!$L$129),"")</f>
        <v/>
      </c>
      <c r="G129" t="str">
        <f ca="1">IFERROR(IF(0=LEN(ReferenceData!$K$129),"",ReferenceData!$K$129),"")</f>
        <v/>
      </c>
      <c r="H129" t="str">
        <f ca="1">IFERROR(IF(0=LEN(ReferenceData!$J$129),"",ReferenceData!$J$129),"")</f>
        <v/>
      </c>
      <c r="I129">
        <f ca="1">IFERROR(IF(0=LEN(ReferenceData!$I$129),"",ReferenceData!$I$129),"")</f>
        <v>5.3020000459999999</v>
      </c>
      <c r="J129">
        <f ca="1">IFERROR(IF(0=LEN(ReferenceData!$H$129),"",ReferenceData!$H$129),"")</f>
        <v>5.9450001720000003</v>
      </c>
      <c r="K129" t="str">
        <f ca="1">IFERROR(IF(0=LEN(ReferenceData!$G$129),"",ReferenceData!$G$129),"")</f>
        <v/>
      </c>
      <c r="L129" t="str">
        <f ca="1">IFERROR(IF(0=LEN(ReferenceData!$F$129),"",ReferenceData!$F$129),"")</f>
        <v/>
      </c>
    </row>
    <row r="130" spans="1:12" x14ac:dyDescent="0.25">
      <c r="A130" t="str">
        <f>IFERROR(IF(0=LEN(ReferenceData!$A$130),"",ReferenceData!$A$130),"")</f>
        <v xml:space="preserve">    Tech Mahindra Ltd</v>
      </c>
      <c r="B130" t="str">
        <f>IFERROR(IF(0=LEN(ReferenceData!$B$130),"",ReferenceData!$B$130),"")</f>
        <v>TECHM IN Equity</v>
      </c>
      <c r="C130" t="str">
        <f>IFERROR(IF(0=LEN(ReferenceData!$C$130),"",ReferenceData!$C$130),"")</f>
        <v>ES020</v>
      </c>
      <c r="D130" t="str">
        <f>IFERROR(IF(0=LEN(ReferenceData!$D$130),"",ReferenceData!$D$130),"")</f>
        <v>TOTAL_WASTE</v>
      </c>
      <c r="E130" t="str">
        <f>IFERROR(IF(0=LEN(ReferenceData!$E$130),"",ReferenceData!$E$130),"")</f>
        <v>Dynamic</v>
      </c>
      <c r="F130">
        <f ca="1">IFERROR(IF(0=LEN(ReferenceData!$L$130),"",ReferenceData!$L$130),"")</f>
        <v>0.398999989</v>
      </c>
      <c r="G130">
        <f ca="1">IFERROR(IF(0=LEN(ReferenceData!$K$130),"",ReferenceData!$K$130),"")</f>
        <v>0.58300000399999996</v>
      </c>
      <c r="H130">
        <f ca="1">IFERROR(IF(0=LEN(ReferenceData!$J$130),"",ReferenceData!$J$130),"")</f>
        <v>0.64200002</v>
      </c>
      <c r="I130">
        <f ca="1">IFERROR(IF(0=LEN(ReferenceData!$I$130),"",ReferenceData!$I$130),"")</f>
        <v>0.84637999500000005</v>
      </c>
      <c r="J130">
        <f ca="1">IFERROR(IF(0=LEN(ReferenceData!$H$130),"",ReferenceData!$H$130),"")</f>
        <v>0.90806001400000003</v>
      </c>
      <c r="K130" t="str">
        <f ca="1">IFERROR(IF(0=LEN(ReferenceData!$G$130),"",ReferenceData!$G$130),"")</f>
        <v/>
      </c>
      <c r="L130" t="str">
        <f ca="1">IFERROR(IF(0=LEN(ReferenceData!$F$130),"",ReferenceData!$F$130),"")</f>
        <v/>
      </c>
    </row>
    <row r="131" spans="1:12" x14ac:dyDescent="0.25">
      <c r="A131" t="str">
        <f>IFERROR(IF(0=LEN(ReferenceData!$A$131),"",ReferenceData!$A$131),"")</f>
        <v xml:space="preserve">    Wipro Ltd</v>
      </c>
      <c r="B131" t="str">
        <f>IFERROR(IF(0=LEN(ReferenceData!$B$131),"",ReferenceData!$B$131),"")</f>
        <v>WIT US Equity</v>
      </c>
      <c r="C131" t="str">
        <f>IFERROR(IF(0=LEN(ReferenceData!$C$131),"",ReferenceData!$C$131),"")</f>
        <v>ES020</v>
      </c>
      <c r="D131" t="str">
        <f>IFERROR(IF(0=LEN(ReferenceData!$D$131),"",ReferenceData!$D$131),"")</f>
        <v>TOTAL_WASTE</v>
      </c>
      <c r="E131" t="str">
        <f>IFERROR(IF(0=LEN(ReferenceData!$E$131),"",ReferenceData!$E$131),"")</f>
        <v>Dynamic</v>
      </c>
      <c r="F131">
        <f ca="1">IFERROR(IF(0=LEN(ReferenceData!$L$131),"",ReferenceData!$L$131),"")</f>
        <v>3.704999924</v>
      </c>
      <c r="G131">
        <f ca="1">IFERROR(IF(0=LEN(ReferenceData!$K$131),"",ReferenceData!$K$131),"")</f>
        <v>4.566999912</v>
      </c>
      <c r="H131">
        <f ca="1">IFERROR(IF(0=LEN(ReferenceData!$J$131),"",ReferenceData!$J$131),"")</f>
        <v>6.7039999960000003</v>
      </c>
      <c r="I131">
        <f ca="1">IFERROR(IF(0=LEN(ReferenceData!$I$131),"",ReferenceData!$I$131),"")</f>
        <v>4.3379998210000004</v>
      </c>
      <c r="J131">
        <f ca="1">IFERROR(IF(0=LEN(ReferenceData!$H$131),"",ReferenceData!$H$131),"")</f>
        <v>5.0060000420000001</v>
      </c>
      <c r="K131">
        <f ca="1">IFERROR(IF(0=LEN(ReferenceData!$G$131),"",ReferenceData!$G$131),"")</f>
        <v>6.204999924</v>
      </c>
      <c r="L131" t="str">
        <f ca="1">IFERROR(IF(0=LEN(ReferenceData!$F$131),"",ReferenceData!$F$131),"")</f>
        <v/>
      </c>
    </row>
    <row r="132" spans="1:12" x14ac:dyDescent="0.25">
      <c r="A132" t="str">
        <f>IFERROR(IF(0=LEN(ReferenceData!$A$132),"",ReferenceData!$A$132),"")</f>
        <v>Waste Recycled (000s Metric Tons)</v>
      </c>
      <c r="B132" t="str">
        <f>IFERROR(IF(0=LEN(ReferenceData!$B$132),"",ReferenceData!$B$132),"")</f>
        <v/>
      </c>
      <c r="C132" t="str">
        <f>IFERROR(IF(0=LEN(ReferenceData!$C$132),"",ReferenceData!$C$132),"")</f>
        <v/>
      </c>
      <c r="D132" t="str">
        <f>IFERROR(IF(0=LEN(ReferenceData!$D$132),"",ReferenceData!$D$132),"")</f>
        <v/>
      </c>
      <c r="E132" t="str">
        <f>IFERROR(IF(0=LEN(ReferenceData!$E$132),"",ReferenceData!$E$132),"")</f>
        <v>Median</v>
      </c>
      <c r="F132">
        <f ca="1">IFERROR(IF(0=LEN(ReferenceData!$L$132),"",ReferenceData!$L$132),"")</f>
        <v>2.1748299599999998</v>
      </c>
      <c r="G132">
        <f ca="1">IFERROR(IF(0=LEN(ReferenceData!$K$132),"",ReferenceData!$K$132),"")</f>
        <v>4.2203598019999999</v>
      </c>
      <c r="H132">
        <f ca="1">IFERROR(IF(0=LEN(ReferenceData!$J$132),"",ReferenceData!$J$132),"")</f>
        <v>3.7446800469999997</v>
      </c>
      <c r="I132">
        <f ca="1">IFERROR(IF(0=LEN(ReferenceData!$I$132),"",ReferenceData!$I$132),"")</f>
        <v>2.2430000305000002</v>
      </c>
      <c r="J132">
        <f ca="1">IFERROR(IF(0=LEN(ReferenceData!$H$132),"",ReferenceData!$H$132),"")</f>
        <v>3.9662499430000002</v>
      </c>
      <c r="K132">
        <f ca="1">IFERROR(IF(0=LEN(ReferenceData!$G$132),"",ReferenceData!$G$132),"")</f>
        <v>18.017674924000001</v>
      </c>
      <c r="L132">
        <f ca="1">IFERROR(IF(0=LEN(ReferenceData!$F$132),"",ReferenceData!$F$132),"")</f>
        <v>1.2029999490000001</v>
      </c>
    </row>
    <row r="133" spans="1:12" x14ac:dyDescent="0.25">
      <c r="A133" t="str">
        <f>IFERROR(IF(0=LEN(ReferenceData!$A$133),"",ReferenceData!$A$133),"")</f>
        <v xml:space="preserve">    Accenture PLC</v>
      </c>
      <c r="B133" t="str">
        <f>IFERROR(IF(0=LEN(ReferenceData!$B$133),"",ReferenceData!$B$133),"")</f>
        <v>ACN US Equity</v>
      </c>
      <c r="C133" t="str">
        <f>IFERROR(IF(0=LEN(ReferenceData!$C$133),"",ReferenceData!$C$133),"")</f>
        <v>ES021</v>
      </c>
      <c r="D133" t="str">
        <f>IFERROR(IF(0=LEN(ReferenceData!$D$133),"",ReferenceData!$D$133),"")</f>
        <v>WASTE_RECYCLED</v>
      </c>
      <c r="E133" t="str">
        <f>IFERROR(IF(0=LEN(ReferenceData!$E$133),"",ReferenceData!$E$133),"")</f>
        <v>Dynamic</v>
      </c>
      <c r="F133" t="str">
        <f ca="1">IFERROR(IF(0=LEN(ReferenceData!$L$133),"",ReferenceData!$L$133),"")</f>
        <v/>
      </c>
      <c r="G133" t="str">
        <f ca="1">IFERROR(IF(0=LEN(ReferenceData!$K$133),"",ReferenceData!$K$133),"")</f>
        <v/>
      </c>
      <c r="H133" t="str">
        <f ca="1">IFERROR(IF(0=LEN(ReferenceData!$J$133),"",ReferenceData!$J$133),"")</f>
        <v/>
      </c>
      <c r="I133" t="str">
        <f ca="1">IFERROR(IF(0=LEN(ReferenceData!$I$133),"",ReferenceData!$I$133),"")</f>
        <v/>
      </c>
      <c r="J133" t="str">
        <f ca="1">IFERROR(IF(0=LEN(ReferenceData!$H$133),"",ReferenceData!$H$133),"")</f>
        <v/>
      </c>
      <c r="K133" t="str">
        <f ca="1">IFERROR(IF(0=LEN(ReferenceData!$G$133),"",ReferenceData!$G$133),"")</f>
        <v/>
      </c>
      <c r="L133" t="str">
        <f ca="1">IFERROR(IF(0=LEN(ReferenceData!$F$133),"",ReferenceData!$F$133),"")</f>
        <v/>
      </c>
    </row>
    <row r="134" spans="1:12" x14ac:dyDescent="0.25">
      <c r="A134" t="str">
        <f>IFERROR(IF(0=LEN(ReferenceData!$A$134),"",ReferenceData!$A$134),"")</f>
        <v xml:space="preserve">    Amdocs Ltd</v>
      </c>
      <c r="B134" t="str">
        <f>IFERROR(IF(0=LEN(ReferenceData!$B$134),"",ReferenceData!$B$134),"")</f>
        <v>DOX US Equity</v>
      </c>
      <c r="C134" t="str">
        <f>IFERROR(IF(0=LEN(ReferenceData!$C$134),"",ReferenceData!$C$134),"")</f>
        <v>ES021</v>
      </c>
      <c r="D134" t="str">
        <f>IFERROR(IF(0=LEN(ReferenceData!$D$134),"",ReferenceData!$D$134),"")</f>
        <v>WASTE_RECYCLED</v>
      </c>
      <c r="E134" t="str">
        <f>IFERROR(IF(0=LEN(ReferenceData!$E$134),"",ReferenceData!$E$134),"")</f>
        <v>Dynamic</v>
      </c>
      <c r="F134" t="str">
        <f ca="1">IFERROR(IF(0=LEN(ReferenceData!$L$134),"",ReferenceData!$L$134),"")</f>
        <v/>
      </c>
      <c r="G134" t="str">
        <f ca="1">IFERROR(IF(0=LEN(ReferenceData!$K$134),"",ReferenceData!$K$134),"")</f>
        <v/>
      </c>
      <c r="H134" t="str">
        <f ca="1">IFERROR(IF(0=LEN(ReferenceData!$J$134),"",ReferenceData!$J$134),"")</f>
        <v/>
      </c>
      <c r="I134" t="str">
        <f ca="1">IFERROR(IF(0=LEN(ReferenceData!$I$134),"",ReferenceData!$I$134),"")</f>
        <v/>
      </c>
      <c r="J134" t="str">
        <f ca="1">IFERROR(IF(0=LEN(ReferenceData!$H$134),"",ReferenceData!$H$134),"")</f>
        <v/>
      </c>
      <c r="K134" t="str">
        <f ca="1">IFERROR(IF(0=LEN(ReferenceData!$G$134),"",ReferenceData!$G$134),"")</f>
        <v/>
      </c>
      <c r="L134" t="str">
        <f ca="1">IFERROR(IF(0=LEN(ReferenceData!$F$134),"",ReferenceData!$F$134),"")</f>
        <v/>
      </c>
    </row>
    <row r="135" spans="1:12" x14ac:dyDescent="0.25">
      <c r="A135" t="str">
        <f>IFERROR(IF(0=LEN(ReferenceData!$A$135),"",ReferenceData!$A$135),"")</f>
        <v xml:space="preserve">    Atos SE</v>
      </c>
      <c r="B135" t="str">
        <f>IFERROR(IF(0=LEN(ReferenceData!$B$135),"",ReferenceData!$B$135),"")</f>
        <v>ATO FP Equity</v>
      </c>
      <c r="C135" t="str">
        <f>IFERROR(IF(0=LEN(ReferenceData!$C$135),"",ReferenceData!$C$135),"")</f>
        <v>ES021</v>
      </c>
      <c r="D135" t="str">
        <f>IFERROR(IF(0=LEN(ReferenceData!$D$135),"",ReferenceData!$D$135),"")</f>
        <v>WASTE_RECYCLED</v>
      </c>
      <c r="E135" t="str">
        <f>IFERROR(IF(0=LEN(ReferenceData!$E$135),"",ReferenceData!$E$135),"")</f>
        <v>Dynamic</v>
      </c>
      <c r="F135" t="str">
        <f ca="1">IFERROR(IF(0=LEN(ReferenceData!$L$135),"",ReferenceData!$L$135),"")</f>
        <v/>
      </c>
      <c r="G135" t="str">
        <f ca="1">IFERROR(IF(0=LEN(ReferenceData!$K$135),"",ReferenceData!$K$135),"")</f>
        <v/>
      </c>
      <c r="H135" t="str">
        <f ca="1">IFERROR(IF(0=LEN(ReferenceData!$J$135),"",ReferenceData!$J$135),"")</f>
        <v/>
      </c>
      <c r="I135" t="str">
        <f ca="1">IFERROR(IF(0=LEN(ReferenceData!$I$135),"",ReferenceData!$I$135),"")</f>
        <v/>
      </c>
      <c r="J135" t="str">
        <f ca="1">IFERROR(IF(0=LEN(ReferenceData!$H$135),"",ReferenceData!$H$135),"")</f>
        <v/>
      </c>
      <c r="K135" t="str">
        <f ca="1">IFERROR(IF(0=LEN(ReferenceData!$G$135),"",ReferenceData!$G$135),"")</f>
        <v/>
      </c>
      <c r="L135" t="str">
        <f ca="1">IFERROR(IF(0=LEN(ReferenceData!$F$135),"",ReferenceData!$F$135),"")</f>
        <v/>
      </c>
    </row>
    <row r="136" spans="1:12" x14ac:dyDescent="0.25">
      <c r="A136" t="str">
        <f>IFERROR(IF(0=LEN(ReferenceData!$A$136),"",ReferenceData!$A$136),"")</f>
        <v xml:space="preserve">    Capgemini SE</v>
      </c>
      <c r="B136" t="str">
        <f>IFERROR(IF(0=LEN(ReferenceData!$B$136),"",ReferenceData!$B$136),"")</f>
        <v>CAP FP Equity</v>
      </c>
      <c r="C136" t="str">
        <f>IFERROR(IF(0=LEN(ReferenceData!$C$136),"",ReferenceData!$C$136),"")</f>
        <v>ES021</v>
      </c>
      <c r="D136" t="str">
        <f>IFERROR(IF(0=LEN(ReferenceData!$D$136),"",ReferenceData!$D$136),"")</f>
        <v>WASTE_RECYCLED</v>
      </c>
      <c r="E136" t="str">
        <f>IFERROR(IF(0=LEN(ReferenceData!$E$136),"",ReferenceData!$E$136),"")</f>
        <v>Dynamic</v>
      </c>
      <c r="F136" t="str">
        <f ca="1">IFERROR(IF(0=LEN(ReferenceData!$L$136),"",ReferenceData!$L$136),"")</f>
        <v/>
      </c>
      <c r="G136" t="str">
        <f ca="1">IFERROR(IF(0=LEN(ReferenceData!$K$136),"",ReferenceData!$K$136),"")</f>
        <v/>
      </c>
      <c r="H136">
        <f ca="1">IFERROR(IF(0=LEN(ReferenceData!$J$136),"",ReferenceData!$J$136),"")</f>
        <v>1.319000006</v>
      </c>
      <c r="I136">
        <f ca="1">IFERROR(IF(0=LEN(ReferenceData!$I$136),"",ReferenceData!$I$136),"")</f>
        <v>1.1080000400000001</v>
      </c>
      <c r="J136">
        <f ca="1">IFERROR(IF(0=LEN(ReferenceData!$H$136),"",ReferenceData!$H$136),"")</f>
        <v>1.4060000180000001</v>
      </c>
      <c r="K136">
        <f ca="1">IFERROR(IF(0=LEN(ReferenceData!$G$136),"",ReferenceData!$G$136),"")</f>
        <v>1.0420000549999999</v>
      </c>
      <c r="L136">
        <f ca="1">IFERROR(IF(0=LEN(ReferenceData!$F$136),"",ReferenceData!$F$136),"")</f>
        <v>1.2029999490000001</v>
      </c>
    </row>
    <row r="137" spans="1:12" x14ac:dyDescent="0.25">
      <c r="A137" t="str">
        <f>IFERROR(IF(0=LEN(ReferenceData!$A$137),"",ReferenceData!$A$137),"")</f>
        <v xml:space="preserve">    CGI Inc</v>
      </c>
      <c r="B137" t="str">
        <f>IFERROR(IF(0=LEN(ReferenceData!$B$137),"",ReferenceData!$B$137),"")</f>
        <v>GIB US Equity</v>
      </c>
      <c r="C137" t="str">
        <f>IFERROR(IF(0=LEN(ReferenceData!$C$137),"",ReferenceData!$C$137),"")</f>
        <v>ES021</v>
      </c>
      <c r="D137" t="str">
        <f>IFERROR(IF(0=LEN(ReferenceData!$D$137),"",ReferenceData!$D$137),"")</f>
        <v>WASTE_RECYCLED</v>
      </c>
      <c r="E137" t="str">
        <f>IFERROR(IF(0=LEN(ReferenceData!$E$137),"",ReferenceData!$E$137),"")</f>
        <v>Dynamic</v>
      </c>
      <c r="F137" t="str">
        <f ca="1">IFERROR(IF(0=LEN(ReferenceData!$L$137),"",ReferenceData!$L$137),"")</f>
        <v/>
      </c>
      <c r="G137" t="str">
        <f ca="1">IFERROR(IF(0=LEN(ReferenceData!$K$137),"",ReferenceData!$K$137),"")</f>
        <v/>
      </c>
      <c r="H137" t="str">
        <f ca="1">IFERROR(IF(0=LEN(ReferenceData!$J$137),"",ReferenceData!$J$137),"")</f>
        <v/>
      </c>
      <c r="I137" t="str">
        <f ca="1">IFERROR(IF(0=LEN(ReferenceData!$I$137),"",ReferenceData!$I$137),"")</f>
        <v/>
      </c>
      <c r="J137" t="str">
        <f ca="1">IFERROR(IF(0=LEN(ReferenceData!$H$137),"",ReferenceData!$H$137),"")</f>
        <v/>
      </c>
      <c r="K137" t="str">
        <f ca="1">IFERROR(IF(0=LEN(ReferenceData!$G$137),"",ReferenceData!$G$137),"")</f>
        <v/>
      </c>
      <c r="L137" t="str">
        <f ca="1">IFERROR(IF(0=LEN(ReferenceData!$F$137),"",ReferenceData!$F$137),"")</f>
        <v/>
      </c>
    </row>
    <row r="138" spans="1:12" x14ac:dyDescent="0.25">
      <c r="A138" t="str">
        <f>IFERROR(IF(0=LEN(ReferenceData!$A$138),"",ReferenceData!$A$138),"")</f>
        <v xml:space="preserve">    Cognizant Technology Solutions Corp</v>
      </c>
      <c r="B138" t="str">
        <f>IFERROR(IF(0=LEN(ReferenceData!$B$138),"",ReferenceData!$B$138),"")</f>
        <v>CTSH US Equity</v>
      </c>
      <c r="C138" t="str">
        <f>IFERROR(IF(0=LEN(ReferenceData!$C$138),"",ReferenceData!$C$138),"")</f>
        <v>ES021</v>
      </c>
      <c r="D138" t="str">
        <f>IFERROR(IF(0=LEN(ReferenceData!$D$138),"",ReferenceData!$D$138),"")</f>
        <v>WASTE_RECYCLED</v>
      </c>
      <c r="E138" t="str">
        <f>IFERROR(IF(0=LEN(ReferenceData!$E$138),"",ReferenceData!$E$138),"")</f>
        <v>Dynamic</v>
      </c>
      <c r="F138">
        <f ca="1">IFERROR(IF(0=LEN(ReferenceData!$L$138),"",ReferenceData!$L$138),"")</f>
        <v>0.231821001</v>
      </c>
      <c r="G138">
        <f ca="1">IFERROR(IF(0=LEN(ReferenceData!$K$138),"",ReferenceData!$K$138),"")</f>
        <v>0.31093600399999999</v>
      </c>
      <c r="H138">
        <f ca="1">IFERROR(IF(0=LEN(ReferenceData!$J$138),"",ReferenceData!$J$138),"")</f>
        <v>0.38127899199999998</v>
      </c>
      <c r="I138">
        <f ca="1">IFERROR(IF(0=LEN(ReferenceData!$I$138),"",ReferenceData!$I$138),"")</f>
        <v>0.32625600700000001</v>
      </c>
      <c r="J138" t="str">
        <f ca="1">IFERROR(IF(0=LEN(ReferenceData!$H$138),"",ReferenceData!$H$138),"")</f>
        <v/>
      </c>
      <c r="K138" t="str">
        <f ca="1">IFERROR(IF(0=LEN(ReferenceData!$G$138),"",ReferenceData!$G$138),"")</f>
        <v/>
      </c>
      <c r="L138" t="str">
        <f ca="1">IFERROR(IF(0=LEN(ReferenceData!$F$138),"",ReferenceData!$F$138),"")</f>
        <v/>
      </c>
    </row>
    <row r="139" spans="1:12" x14ac:dyDescent="0.25">
      <c r="A139" t="str">
        <f>IFERROR(IF(0=LEN(ReferenceData!$A$139),"",ReferenceData!$A$139),"")</f>
        <v xml:space="preserve">    Conduent Inc</v>
      </c>
      <c r="B139" t="str">
        <f>IFERROR(IF(0=LEN(ReferenceData!$B$139),"",ReferenceData!$B$139),"")</f>
        <v>CNDT US Equity</v>
      </c>
      <c r="C139" t="str">
        <f>IFERROR(IF(0=LEN(ReferenceData!$C$139),"",ReferenceData!$C$139),"")</f>
        <v>ES021</v>
      </c>
      <c r="D139" t="str">
        <f>IFERROR(IF(0=LEN(ReferenceData!$D$139),"",ReferenceData!$D$139),"")</f>
        <v>WASTE_RECYCLED</v>
      </c>
      <c r="E139" t="str">
        <f>IFERROR(IF(0=LEN(ReferenceData!$E$139),"",ReferenceData!$E$139),"")</f>
        <v>Dynamic</v>
      </c>
      <c r="F139" t="str">
        <f ca="1">IFERROR(IF(0=LEN(ReferenceData!$L$139),"",ReferenceData!$L$139),"")</f>
        <v/>
      </c>
      <c r="G139" t="str">
        <f ca="1">IFERROR(IF(0=LEN(ReferenceData!$K$139),"",ReferenceData!$K$139),"")</f>
        <v/>
      </c>
      <c r="H139" t="str">
        <f ca="1">IFERROR(IF(0=LEN(ReferenceData!$J$139),"",ReferenceData!$J$139),"")</f>
        <v/>
      </c>
      <c r="I139" t="str">
        <f ca="1">IFERROR(IF(0=LEN(ReferenceData!$I$139),"",ReferenceData!$I$139),"")</f>
        <v/>
      </c>
      <c r="J139" t="str">
        <f ca="1">IFERROR(IF(0=LEN(ReferenceData!$H$139),"",ReferenceData!$H$139),"")</f>
        <v/>
      </c>
      <c r="K139" t="str">
        <f ca="1">IFERROR(IF(0=LEN(ReferenceData!$G$139),"",ReferenceData!$G$139),"")</f>
        <v/>
      </c>
      <c r="L139" t="str">
        <f ca="1">IFERROR(IF(0=LEN(ReferenceData!$F$139),"",ReferenceData!$F$139),"")</f>
        <v/>
      </c>
    </row>
    <row r="140" spans="1:12" x14ac:dyDescent="0.25">
      <c r="A140" t="str">
        <f>IFERROR(IF(0=LEN(ReferenceData!$A$140),"",ReferenceData!$A$140),"")</f>
        <v xml:space="preserve">    DXC Technology Co</v>
      </c>
      <c r="B140" t="str">
        <f>IFERROR(IF(0=LEN(ReferenceData!$B$140),"",ReferenceData!$B$140),"")</f>
        <v>DXC US Equity</v>
      </c>
      <c r="C140" t="str">
        <f>IFERROR(IF(0=LEN(ReferenceData!$C$140),"",ReferenceData!$C$140),"")</f>
        <v>ES021</v>
      </c>
      <c r="D140" t="str">
        <f>IFERROR(IF(0=LEN(ReferenceData!$D$140),"",ReferenceData!$D$140),"")</f>
        <v>WASTE_RECYCLED</v>
      </c>
      <c r="E140" t="str">
        <f>IFERROR(IF(0=LEN(ReferenceData!$E$140),"",ReferenceData!$E$140),"")</f>
        <v>Dynamic</v>
      </c>
      <c r="F140" t="str">
        <f ca="1">IFERROR(IF(0=LEN(ReferenceData!$L$140),"",ReferenceData!$L$140),"")</f>
        <v/>
      </c>
      <c r="G140" t="str">
        <f ca="1">IFERROR(IF(0=LEN(ReferenceData!$K$140),"",ReferenceData!$K$140),"")</f>
        <v/>
      </c>
      <c r="H140" t="str">
        <f ca="1">IFERROR(IF(0=LEN(ReferenceData!$J$140),"",ReferenceData!$J$140),"")</f>
        <v/>
      </c>
      <c r="I140" t="str">
        <f ca="1">IFERROR(IF(0=LEN(ReferenceData!$I$140),"",ReferenceData!$I$140),"")</f>
        <v/>
      </c>
      <c r="J140" t="str">
        <f ca="1">IFERROR(IF(0=LEN(ReferenceData!$H$140),"",ReferenceData!$H$140),"")</f>
        <v/>
      </c>
      <c r="K140">
        <f ca="1">IFERROR(IF(0=LEN(ReferenceData!$G$140),"",ReferenceData!$G$140),"")</f>
        <v>3326.5</v>
      </c>
      <c r="L140" t="str">
        <f ca="1">IFERROR(IF(0=LEN(ReferenceData!$F$140),"",ReferenceData!$F$140),"")</f>
        <v/>
      </c>
    </row>
    <row r="141" spans="1:12" x14ac:dyDescent="0.25">
      <c r="A141" t="str">
        <f>IFERROR(IF(0=LEN(ReferenceData!$A$141),"",ReferenceData!$A$141),"")</f>
        <v xml:space="preserve">    EPAM Systems Inc</v>
      </c>
      <c r="B141" t="str">
        <f>IFERROR(IF(0=LEN(ReferenceData!$B$141),"",ReferenceData!$B$141),"")</f>
        <v>EPAM US Equity</v>
      </c>
      <c r="C141" t="str">
        <f>IFERROR(IF(0=LEN(ReferenceData!$C$141),"",ReferenceData!$C$141),"")</f>
        <v>ES021</v>
      </c>
      <c r="D141" t="str">
        <f>IFERROR(IF(0=LEN(ReferenceData!$D$141),"",ReferenceData!$D$141),"")</f>
        <v>WASTE_RECYCLED</v>
      </c>
      <c r="E141" t="str">
        <f>IFERROR(IF(0=LEN(ReferenceData!$E$141),"",ReferenceData!$E$141),"")</f>
        <v>Dynamic</v>
      </c>
      <c r="F141" t="str">
        <f ca="1">IFERROR(IF(0=LEN(ReferenceData!$L$141),"",ReferenceData!$L$141),"")</f>
        <v/>
      </c>
      <c r="G141" t="str">
        <f ca="1">IFERROR(IF(0=LEN(ReferenceData!$K$141),"",ReferenceData!$K$141),"")</f>
        <v/>
      </c>
      <c r="H141" t="str">
        <f ca="1">IFERROR(IF(0=LEN(ReferenceData!$J$141),"",ReferenceData!$J$141),"")</f>
        <v/>
      </c>
      <c r="I141" t="str">
        <f ca="1">IFERROR(IF(0=LEN(ReferenceData!$I$141),"",ReferenceData!$I$141),"")</f>
        <v/>
      </c>
      <c r="J141" t="str">
        <f ca="1">IFERROR(IF(0=LEN(ReferenceData!$H$141),"",ReferenceData!$H$141),"")</f>
        <v/>
      </c>
      <c r="K141" t="str">
        <f ca="1">IFERROR(IF(0=LEN(ReferenceData!$G$141),"",ReferenceData!$G$141),"")</f>
        <v/>
      </c>
      <c r="L141" t="str">
        <f ca="1">IFERROR(IF(0=LEN(ReferenceData!$F$141),"",ReferenceData!$F$141),"")</f>
        <v/>
      </c>
    </row>
    <row r="142" spans="1:12" x14ac:dyDescent="0.25">
      <c r="A142" t="str">
        <f>IFERROR(IF(0=LEN(ReferenceData!$A$142),"",ReferenceData!$A$142),"")</f>
        <v xml:space="preserve">    Genpact Ltd</v>
      </c>
      <c r="B142" t="str">
        <f>IFERROR(IF(0=LEN(ReferenceData!$B$142),"",ReferenceData!$B$142),"")</f>
        <v>G US Equity</v>
      </c>
      <c r="C142" t="str">
        <f>IFERROR(IF(0=LEN(ReferenceData!$C$142),"",ReferenceData!$C$142),"")</f>
        <v>ES021</v>
      </c>
      <c r="D142" t="str">
        <f>IFERROR(IF(0=LEN(ReferenceData!$D$142),"",ReferenceData!$D$142),"")</f>
        <v>WASTE_RECYCLED</v>
      </c>
      <c r="E142" t="str">
        <f>IFERROR(IF(0=LEN(ReferenceData!$E$142),"",ReferenceData!$E$142),"")</f>
        <v>Dynamic</v>
      </c>
      <c r="F142" t="str">
        <f ca="1">IFERROR(IF(0=LEN(ReferenceData!$L$142),"",ReferenceData!$L$142),"")</f>
        <v/>
      </c>
      <c r="G142" t="str">
        <f ca="1">IFERROR(IF(0=LEN(ReferenceData!$K$142),"",ReferenceData!$K$142),"")</f>
        <v/>
      </c>
      <c r="H142" t="str">
        <f ca="1">IFERROR(IF(0=LEN(ReferenceData!$J$142),"",ReferenceData!$J$142),"")</f>
        <v/>
      </c>
      <c r="I142" t="str">
        <f ca="1">IFERROR(IF(0=LEN(ReferenceData!$I$142),"",ReferenceData!$I$142),"")</f>
        <v/>
      </c>
      <c r="J142" t="str">
        <f ca="1">IFERROR(IF(0=LEN(ReferenceData!$H$142),"",ReferenceData!$H$142),"")</f>
        <v/>
      </c>
      <c r="K142" t="str">
        <f ca="1">IFERROR(IF(0=LEN(ReferenceData!$G$142),"",ReferenceData!$G$142),"")</f>
        <v/>
      </c>
      <c r="L142" t="str">
        <f ca="1">IFERROR(IF(0=LEN(ReferenceData!$F$142),"",ReferenceData!$F$142),"")</f>
        <v/>
      </c>
    </row>
    <row r="143" spans="1:12" x14ac:dyDescent="0.25">
      <c r="A143" t="str">
        <f>IFERROR(IF(0=LEN(ReferenceData!$A$143),"",ReferenceData!$A$143),"")</f>
        <v xml:space="preserve">    HCL Technologies Ltd</v>
      </c>
      <c r="B143" t="str">
        <f>IFERROR(IF(0=LEN(ReferenceData!$B$143),"",ReferenceData!$B$143),"")</f>
        <v>HCLT IN Equity</v>
      </c>
      <c r="C143" t="str">
        <f>IFERROR(IF(0=LEN(ReferenceData!$C$143),"",ReferenceData!$C$143),"")</f>
        <v>ES021</v>
      </c>
      <c r="D143" t="str">
        <f>IFERROR(IF(0=LEN(ReferenceData!$D$143),"",ReferenceData!$D$143),"")</f>
        <v>WASTE_RECYCLED</v>
      </c>
      <c r="E143" t="str">
        <f>IFERROR(IF(0=LEN(ReferenceData!$E$143),"",ReferenceData!$E$143),"")</f>
        <v>Dynamic</v>
      </c>
      <c r="F143" t="str">
        <f ca="1">IFERROR(IF(0=LEN(ReferenceData!$L$143),"",ReferenceData!$L$143),"")</f>
        <v/>
      </c>
      <c r="G143" t="str">
        <f ca="1">IFERROR(IF(0=LEN(ReferenceData!$K$143),"",ReferenceData!$K$143),"")</f>
        <v/>
      </c>
      <c r="H143" t="str">
        <f ca="1">IFERROR(IF(0=LEN(ReferenceData!$J$143),"",ReferenceData!$J$143),"")</f>
        <v/>
      </c>
      <c r="I143" t="str">
        <f ca="1">IFERROR(IF(0=LEN(ReferenceData!$I$143),"",ReferenceData!$I$143),"")</f>
        <v/>
      </c>
      <c r="J143" t="str">
        <f ca="1">IFERROR(IF(0=LEN(ReferenceData!$H$143),"",ReferenceData!$H$143),"")</f>
        <v/>
      </c>
      <c r="K143" t="str">
        <f ca="1">IFERROR(IF(0=LEN(ReferenceData!$G$143),"",ReferenceData!$G$143),"")</f>
        <v/>
      </c>
      <c r="L143" t="str">
        <f ca="1">IFERROR(IF(0=LEN(ReferenceData!$F$143),"",ReferenceData!$F$143),"")</f>
        <v/>
      </c>
    </row>
    <row r="144" spans="1:12" x14ac:dyDescent="0.25">
      <c r="A144" t="str">
        <f>IFERROR(IF(0=LEN(ReferenceData!$A$144),"",ReferenceData!$A$144),"")</f>
        <v xml:space="preserve">    Indra Sistemas SA</v>
      </c>
      <c r="B144" t="str">
        <f>IFERROR(IF(0=LEN(ReferenceData!$B$144),"",ReferenceData!$B$144),"")</f>
        <v>IDR SM Equity</v>
      </c>
      <c r="C144" t="str">
        <f>IFERROR(IF(0=LEN(ReferenceData!$C$144),"",ReferenceData!$C$144),"")</f>
        <v>ES021</v>
      </c>
      <c r="D144" t="str">
        <f>IFERROR(IF(0=LEN(ReferenceData!$D$144),"",ReferenceData!$D$144),"")</f>
        <v>WASTE_RECYCLED</v>
      </c>
      <c r="E144" t="str">
        <f>IFERROR(IF(0=LEN(ReferenceData!$E$144),"",ReferenceData!$E$144),"")</f>
        <v>Dynamic</v>
      </c>
      <c r="F144" t="str">
        <f ca="1">IFERROR(IF(0=LEN(ReferenceData!$L$144),"",ReferenceData!$L$144),"")</f>
        <v/>
      </c>
      <c r="G144" t="str">
        <f ca="1">IFERROR(IF(0=LEN(ReferenceData!$K$144),"",ReferenceData!$K$144),"")</f>
        <v/>
      </c>
      <c r="H144" t="str">
        <f ca="1">IFERROR(IF(0=LEN(ReferenceData!$J$144),"",ReferenceData!$J$144),"")</f>
        <v/>
      </c>
      <c r="I144" t="str">
        <f ca="1">IFERROR(IF(0=LEN(ReferenceData!$I$144),"",ReferenceData!$I$144),"")</f>
        <v/>
      </c>
      <c r="J144" t="str">
        <f ca="1">IFERROR(IF(0=LEN(ReferenceData!$H$144),"",ReferenceData!$H$144),"")</f>
        <v/>
      </c>
      <c r="K144" t="str">
        <f ca="1">IFERROR(IF(0=LEN(ReferenceData!$G$144),"",ReferenceData!$G$144),"")</f>
        <v/>
      </c>
      <c r="L144" t="str">
        <f ca="1">IFERROR(IF(0=LEN(ReferenceData!$F$144),"",ReferenceData!$F$144),"")</f>
        <v/>
      </c>
    </row>
    <row r="145" spans="1:12" x14ac:dyDescent="0.25">
      <c r="A145" t="str">
        <f>IFERROR(IF(0=LEN(ReferenceData!$A$145),"",ReferenceData!$A$145),"")</f>
        <v xml:space="preserve">    Infosys Ltd</v>
      </c>
      <c r="B145" t="str">
        <f>IFERROR(IF(0=LEN(ReferenceData!$B$145),"",ReferenceData!$B$145),"")</f>
        <v>INFY US Equity</v>
      </c>
      <c r="C145" t="str">
        <f>IFERROR(IF(0=LEN(ReferenceData!$C$145),"",ReferenceData!$C$145),"")</f>
        <v>ES021</v>
      </c>
      <c r="D145" t="str">
        <f>IFERROR(IF(0=LEN(ReferenceData!$D$145),"",ReferenceData!$D$145),"")</f>
        <v>WASTE_RECYCLED</v>
      </c>
      <c r="E145" t="str">
        <f>IFERROR(IF(0=LEN(ReferenceData!$E$145),"",ReferenceData!$E$145),"")</f>
        <v>Dynamic</v>
      </c>
      <c r="F145" t="str">
        <f ca="1">IFERROR(IF(0=LEN(ReferenceData!$L$145),"",ReferenceData!$L$145),"")</f>
        <v/>
      </c>
      <c r="G145" t="str">
        <f ca="1">IFERROR(IF(0=LEN(ReferenceData!$K$145),"",ReferenceData!$K$145),"")</f>
        <v/>
      </c>
      <c r="H145" t="str">
        <f ca="1">IFERROR(IF(0=LEN(ReferenceData!$J$145),"",ReferenceData!$J$145),"")</f>
        <v/>
      </c>
      <c r="I145" t="str">
        <f ca="1">IFERROR(IF(0=LEN(ReferenceData!$I$145),"",ReferenceData!$I$145),"")</f>
        <v/>
      </c>
      <c r="J145" t="str">
        <f ca="1">IFERROR(IF(0=LEN(ReferenceData!$H$145),"",ReferenceData!$H$145),"")</f>
        <v/>
      </c>
      <c r="K145" t="str">
        <f ca="1">IFERROR(IF(0=LEN(ReferenceData!$G$145),"",ReferenceData!$G$145),"")</f>
        <v/>
      </c>
      <c r="L145" t="str">
        <f ca="1">IFERROR(IF(0=LEN(ReferenceData!$F$145),"",ReferenceData!$F$145),"")</f>
        <v/>
      </c>
    </row>
    <row r="146" spans="1:12" x14ac:dyDescent="0.25">
      <c r="A146" t="str">
        <f>IFERROR(IF(0=LEN(ReferenceData!$A$146),"",ReferenceData!$A$146),"")</f>
        <v xml:space="preserve">    International Business Machines Corp</v>
      </c>
      <c r="B146" t="str">
        <f>IFERROR(IF(0=LEN(ReferenceData!$B$146),"",ReferenceData!$B$146),"")</f>
        <v>IBM US Equity</v>
      </c>
      <c r="C146" t="str">
        <f>IFERROR(IF(0=LEN(ReferenceData!$C$146),"",ReferenceData!$C$146),"")</f>
        <v>ES021</v>
      </c>
      <c r="D146" t="str">
        <f>IFERROR(IF(0=LEN(ReferenceData!$D$146),"",ReferenceData!$D$146),"")</f>
        <v>WASTE_RECYCLED</v>
      </c>
      <c r="E146" t="str">
        <f>IFERROR(IF(0=LEN(ReferenceData!$E$146),"",ReferenceData!$E$146),"")</f>
        <v>Dynamic</v>
      </c>
      <c r="F146">
        <f ca="1">IFERROR(IF(0=LEN(ReferenceData!$L$146),"",ReferenceData!$L$146),"")</f>
        <v>53.57419968</v>
      </c>
      <c r="G146">
        <f ca="1">IFERROR(IF(0=LEN(ReferenceData!$K$146),"",ReferenceData!$K$146),"")</f>
        <v>83.807701109999996</v>
      </c>
      <c r="H146">
        <f ca="1">IFERROR(IF(0=LEN(ReferenceData!$J$146),"",ReferenceData!$J$146),"")</f>
        <v>46.3207016</v>
      </c>
      <c r="I146">
        <f ca="1">IFERROR(IF(0=LEN(ReferenceData!$I$146),"",ReferenceData!$I$146),"")</f>
        <v>38</v>
      </c>
      <c r="J146">
        <f ca="1">IFERROR(IF(0=LEN(ReferenceData!$H$146),"",ReferenceData!$H$146),"")</f>
        <v>33.043498990000003</v>
      </c>
      <c r="K146">
        <f ca="1">IFERROR(IF(0=LEN(ReferenceData!$G$146),"",ReferenceData!$G$146),"")</f>
        <v>31.51189995</v>
      </c>
      <c r="L146" t="str">
        <f ca="1">IFERROR(IF(0=LEN(ReferenceData!$F$146),"",ReferenceData!$F$146),"")</f>
        <v/>
      </c>
    </row>
    <row r="147" spans="1:12" x14ac:dyDescent="0.25">
      <c r="A147" t="str">
        <f>IFERROR(IF(0=LEN(ReferenceData!$A$147),"",ReferenceData!$A$147),"")</f>
        <v xml:space="preserve">    Tata Consultancy Services Ltd</v>
      </c>
      <c r="B147" t="str">
        <f>IFERROR(IF(0=LEN(ReferenceData!$B$147),"",ReferenceData!$B$147),"")</f>
        <v>TCS IN Equity</v>
      </c>
      <c r="C147" t="str">
        <f>IFERROR(IF(0=LEN(ReferenceData!$C$147),"",ReferenceData!$C$147),"")</f>
        <v>ES021</v>
      </c>
      <c r="D147" t="str">
        <f>IFERROR(IF(0=LEN(ReferenceData!$D$147),"",ReferenceData!$D$147),"")</f>
        <v>WASTE_RECYCLED</v>
      </c>
      <c r="E147" t="str">
        <f>IFERROR(IF(0=LEN(ReferenceData!$E$147),"",ReferenceData!$E$147),"")</f>
        <v>Dynamic</v>
      </c>
      <c r="F147" t="str">
        <f ca="1">IFERROR(IF(0=LEN(ReferenceData!$L$147),"",ReferenceData!$L$147),"")</f>
        <v/>
      </c>
      <c r="G147" t="str">
        <f ca="1">IFERROR(IF(0=LEN(ReferenceData!$K$147),"",ReferenceData!$K$147),"")</f>
        <v/>
      </c>
      <c r="H147" t="str">
        <f ca="1">IFERROR(IF(0=LEN(ReferenceData!$J$147),"",ReferenceData!$J$147),"")</f>
        <v/>
      </c>
      <c r="I147" t="str">
        <f ca="1">IFERROR(IF(0=LEN(ReferenceData!$I$147),"",ReferenceData!$I$147),"")</f>
        <v/>
      </c>
      <c r="J147" t="str">
        <f ca="1">IFERROR(IF(0=LEN(ReferenceData!$H$147),"",ReferenceData!$H$147),"")</f>
        <v/>
      </c>
      <c r="K147" t="str">
        <f ca="1">IFERROR(IF(0=LEN(ReferenceData!$G$147),"",ReferenceData!$G$147),"")</f>
        <v/>
      </c>
      <c r="L147" t="str">
        <f ca="1">IFERROR(IF(0=LEN(ReferenceData!$F$147),"",ReferenceData!$F$147),"")</f>
        <v/>
      </c>
    </row>
    <row r="148" spans="1:12" x14ac:dyDescent="0.25">
      <c r="A148" t="str">
        <f>IFERROR(IF(0=LEN(ReferenceData!$A$148),"",ReferenceData!$A$148),"")</f>
        <v xml:space="preserve">    Tech Mahindra Ltd</v>
      </c>
      <c r="B148" t="str">
        <f>IFERROR(IF(0=LEN(ReferenceData!$B$148),"",ReferenceData!$B$148),"")</f>
        <v>TECHM IN Equity</v>
      </c>
      <c r="C148" t="str">
        <f>IFERROR(IF(0=LEN(ReferenceData!$C$148),"",ReferenceData!$C$148),"")</f>
        <v>ES021</v>
      </c>
      <c r="D148" t="str">
        <f>IFERROR(IF(0=LEN(ReferenceData!$D$148),"",ReferenceData!$D$148),"")</f>
        <v>WASTE_RECYCLED</v>
      </c>
      <c r="E148" t="str">
        <f>IFERROR(IF(0=LEN(ReferenceData!$E$148),"",ReferenceData!$E$148),"")</f>
        <v>Dynamic</v>
      </c>
      <c r="F148" t="str">
        <f ca="1">IFERROR(IF(0=LEN(ReferenceData!$L$148),"",ReferenceData!$L$148),"")</f>
        <v/>
      </c>
      <c r="G148" t="str">
        <f ca="1">IFERROR(IF(0=LEN(ReferenceData!$K$148),"",ReferenceData!$K$148),"")</f>
        <v/>
      </c>
      <c r="H148" t="str">
        <f ca="1">IFERROR(IF(0=LEN(ReferenceData!$J$148),"",ReferenceData!$J$148),"")</f>
        <v/>
      </c>
      <c r="I148" t="str">
        <f ca="1">IFERROR(IF(0=LEN(ReferenceData!$I$148),"",ReferenceData!$I$148),"")</f>
        <v/>
      </c>
      <c r="J148" t="str">
        <f ca="1">IFERROR(IF(0=LEN(ReferenceData!$H$148),"",ReferenceData!$H$148),"")</f>
        <v/>
      </c>
      <c r="K148" t="str">
        <f ca="1">IFERROR(IF(0=LEN(ReferenceData!$G$148),"",ReferenceData!$G$148),"")</f>
        <v/>
      </c>
      <c r="L148" t="str">
        <f ca="1">IFERROR(IF(0=LEN(ReferenceData!$F$148),"",ReferenceData!$F$148),"")</f>
        <v/>
      </c>
    </row>
    <row r="149" spans="1:12" x14ac:dyDescent="0.25">
      <c r="A149" t="str">
        <f>IFERROR(IF(0=LEN(ReferenceData!$A$149),"",ReferenceData!$A$149),"")</f>
        <v xml:space="preserve">    Wipro Ltd</v>
      </c>
      <c r="B149" t="str">
        <f>IFERROR(IF(0=LEN(ReferenceData!$B$149),"",ReferenceData!$B$149),"")</f>
        <v>WIT US Equity</v>
      </c>
      <c r="C149" t="str">
        <f>IFERROR(IF(0=LEN(ReferenceData!$C$149),"",ReferenceData!$C$149),"")</f>
        <v>ES021</v>
      </c>
      <c r="D149" t="str">
        <f>IFERROR(IF(0=LEN(ReferenceData!$D$149),"",ReferenceData!$D$149),"")</f>
        <v>WASTE_RECYCLED</v>
      </c>
      <c r="E149" t="str">
        <f>IFERROR(IF(0=LEN(ReferenceData!$E$149),"",ReferenceData!$E$149),"")</f>
        <v>Dynamic</v>
      </c>
      <c r="F149">
        <f ca="1">IFERROR(IF(0=LEN(ReferenceData!$L$149),"",ReferenceData!$L$149),"")</f>
        <v>2.1748299599999998</v>
      </c>
      <c r="G149">
        <f ca="1">IFERROR(IF(0=LEN(ReferenceData!$K$149),"",ReferenceData!$K$149),"")</f>
        <v>4.2203598019999999</v>
      </c>
      <c r="H149">
        <f ca="1">IFERROR(IF(0=LEN(ReferenceData!$J$149),"",ReferenceData!$J$149),"")</f>
        <v>6.1703600879999998</v>
      </c>
      <c r="I149">
        <f ca="1">IFERROR(IF(0=LEN(ReferenceData!$I$149),"",ReferenceData!$I$149),"")</f>
        <v>3.3780000210000001</v>
      </c>
      <c r="J149">
        <f ca="1">IFERROR(IF(0=LEN(ReferenceData!$H$149),"",ReferenceData!$H$149),"")</f>
        <v>3.9662499430000002</v>
      </c>
      <c r="K149">
        <f ca="1">IFERROR(IF(0=LEN(ReferenceData!$G$149),"",ReferenceData!$G$149),"")</f>
        <v>4.523449898</v>
      </c>
      <c r="L149" t="str">
        <f ca="1">IFERROR(IF(0=LEN(ReferenceData!$F$149),"",ReferenceData!$F$149),"")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A809-158E-45D0-A052-FC768A1838C4}">
  <dimension ref="A2:L149"/>
  <sheetViews>
    <sheetView workbookViewId="0">
      <selection sqref="A1:XFD1048576"/>
    </sheetView>
  </sheetViews>
  <sheetFormatPr defaultRowHeight="15" x14ac:dyDescent="0.25"/>
  <sheetData>
    <row r="2" spans="1:12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</row>
    <row r="3" spans="1:12" x14ac:dyDescent="0.25">
      <c r="A3" t="s">
        <v>40</v>
      </c>
      <c r="B3" t="s">
        <v>41</v>
      </c>
      <c r="C3" t="s">
        <v>41</v>
      </c>
      <c r="D3" t="s">
        <v>41</v>
      </c>
      <c r="E3" t="s">
        <v>42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</row>
    <row r="4" spans="1:12" x14ac:dyDescent="0.25">
      <c r="A4" t="s">
        <v>43</v>
      </c>
      <c r="B4" t="s">
        <v>41</v>
      </c>
      <c r="C4" t="s">
        <v>41</v>
      </c>
      <c r="D4" t="s">
        <v>41</v>
      </c>
      <c r="E4" t="s">
        <v>44</v>
      </c>
      <c r="F4">
        <v>111560.5</v>
      </c>
      <c r="G4">
        <v>123462</v>
      </c>
      <c r="H4">
        <v>105432</v>
      </c>
      <c r="I4">
        <v>116833</v>
      </c>
      <c r="J4">
        <v>120081</v>
      </c>
      <c r="K4">
        <v>130000</v>
      </c>
      <c r="L4">
        <v>138000</v>
      </c>
    </row>
    <row r="5" spans="1:12" x14ac:dyDescent="0.25">
      <c r="A5" t="s">
        <v>45</v>
      </c>
      <c r="B5" t="s">
        <v>46</v>
      </c>
      <c r="C5" t="s">
        <v>47</v>
      </c>
      <c r="D5" t="s">
        <v>48</v>
      </c>
      <c r="E5" t="s">
        <v>49</v>
      </c>
      <c r="F5">
        <v>275000</v>
      </c>
      <c r="G5">
        <v>305000</v>
      </c>
      <c r="H5">
        <v>358498</v>
      </c>
      <c r="I5">
        <v>384000</v>
      </c>
      <c r="J5">
        <v>459000</v>
      </c>
      <c r="K5">
        <v>459000</v>
      </c>
      <c r="L5">
        <v>492000</v>
      </c>
    </row>
    <row r="6" spans="1:12" x14ac:dyDescent="0.25">
      <c r="A6" t="s">
        <v>50</v>
      </c>
      <c r="B6" t="s">
        <v>51</v>
      </c>
      <c r="C6" t="s">
        <v>47</v>
      </c>
      <c r="D6" t="s">
        <v>48</v>
      </c>
      <c r="E6" t="s">
        <v>49</v>
      </c>
      <c r="F6">
        <v>20774</v>
      </c>
      <c r="G6">
        <v>22546</v>
      </c>
      <c r="H6">
        <v>24950</v>
      </c>
      <c r="I6">
        <v>25561</v>
      </c>
      <c r="J6">
        <v>24670</v>
      </c>
      <c r="K6">
        <v>24381</v>
      </c>
      <c r="L6">
        <v>24516</v>
      </c>
    </row>
    <row r="7" spans="1:12" x14ac:dyDescent="0.25">
      <c r="A7" t="s">
        <v>52</v>
      </c>
      <c r="B7" t="s">
        <v>53</v>
      </c>
      <c r="C7" t="s">
        <v>47</v>
      </c>
      <c r="D7" t="s">
        <v>48</v>
      </c>
      <c r="E7" t="s">
        <v>49</v>
      </c>
      <c r="F7">
        <v>76320</v>
      </c>
      <c r="G7">
        <v>85865</v>
      </c>
      <c r="H7">
        <v>91322</v>
      </c>
      <c r="I7">
        <v>100096</v>
      </c>
      <c r="J7">
        <v>97267</v>
      </c>
      <c r="K7">
        <v>122110</v>
      </c>
      <c r="L7">
        <v>108317</v>
      </c>
    </row>
    <row r="8" spans="1:12" x14ac:dyDescent="0.25">
      <c r="A8" t="s">
        <v>54</v>
      </c>
      <c r="B8" t="s">
        <v>55</v>
      </c>
      <c r="C8" t="s">
        <v>47</v>
      </c>
      <c r="D8" t="s">
        <v>48</v>
      </c>
      <c r="E8" t="s">
        <v>49</v>
      </c>
      <c r="F8">
        <v>131430</v>
      </c>
      <c r="G8">
        <v>143643</v>
      </c>
      <c r="H8">
        <v>180639</v>
      </c>
      <c r="I8">
        <v>193077</v>
      </c>
      <c r="J8">
        <v>199698</v>
      </c>
      <c r="K8">
        <v>211313</v>
      </c>
      <c r="L8">
        <v>219300</v>
      </c>
    </row>
    <row r="9" spans="1:12" x14ac:dyDescent="0.25">
      <c r="A9" t="s">
        <v>56</v>
      </c>
      <c r="B9" t="s">
        <v>57</v>
      </c>
      <c r="C9" t="s">
        <v>47</v>
      </c>
      <c r="D9" t="s">
        <v>48</v>
      </c>
      <c r="E9" t="s">
        <v>49</v>
      </c>
      <c r="F9">
        <v>68000</v>
      </c>
      <c r="G9">
        <v>68000</v>
      </c>
      <c r="H9">
        <v>65000</v>
      </c>
      <c r="I9">
        <v>68000</v>
      </c>
      <c r="J9">
        <v>71000</v>
      </c>
      <c r="K9">
        <v>74000</v>
      </c>
      <c r="L9">
        <v>77500</v>
      </c>
    </row>
    <row r="10" spans="1:12" x14ac:dyDescent="0.25">
      <c r="A10" t="s">
        <v>58</v>
      </c>
      <c r="B10" t="s">
        <v>59</v>
      </c>
      <c r="C10" t="s">
        <v>47</v>
      </c>
      <c r="D10" t="s">
        <v>48</v>
      </c>
      <c r="E10" t="s">
        <v>49</v>
      </c>
      <c r="F10">
        <v>171400</v>
      </c>
      <c r="G10">
        <v>211500</v>
      </c>
      <c r="H10">
        <v>221700</v>
      </c>
      <c r="I10">
        <v>260200</v>
      </c>
      <c r="J10">
        <v>260000</v>
      </c>
      <c r="K10">
        <v>281600</v>
      </c>
      <c r="L10">
        <v>292500</v>
      </c>
    </row>
    <row r="11" spans="1:12" x14ac:dyDescent="0.25">
      <c r="A11" t="s">
        <v>60</v>
      </c>
      <c r="B11" t="s">
        <v>61</v>
      </c>
      <c r="C11" t="s">
        <v>47</v>
      </c>
      <c r="D11" t="s">
        <v>48</v>
      </c>
      <c r="E11" t="s">
        <v>49</v>
      </c>
      <c r="F11" t="s">
        <v>41</v>
      </c>
      <c r="G11" t="s">
        <v>41</v>
      </c>
      <c r="H11" t="s">
        <v>41</v>
      </c>
      <c r="I11">
        <v>96000</v>
      </c>
      <c r="J11">
        <v>90000</v>
      </c>
      <c r="K11">
        <v>82000</v>
      </c>
      <c r="L11">
        <v>67000</v>
      </c>
    </row>
    <row r="12" spans="1:12" x14ac:dyDescent="0.25">
      <c r="A12" t="s">
        <v>62</v>
      </c>
      <c r="B12" t="s">
        <v>63</v>
      </c>
      <c r="C12" t="s">
        <v>47</v>
      </c>
      <c r="D12" t="s">
        <v>48</v>
      </c>
      <c r="E12" t="s">
        <v>49</v>
      </c>
      <c r="F12" t="s">
        <v>41</v>
      </c>
      <c r="G12" t="s">
        <v>41</v>
      </c>
      <c r="H12" t="s">
        <v>41</v>
      </c>
      <c r="I12" t="s">
        <v>41</v>
      </c>
      <c r="J12">
        <v>150000</v>
      </c>
      <c r="K12">
        <v>130000</v>
      </c>
      <c r="L12">
        <v>138000</v>
      </c>
    </row>
    <row r="13" spans="1:12" x14ac:dyDescent="0.25">
      <c r="A13" t="s">
        <v>64</v>
      </c>
      <c r="B13" t="s">
        <v>65</v>
      </c>
      <c r="C13" t="s">
        <v>47</v>
      </c>
      <c r="D13" t="s">
        <v>48</v>
      </c>
      <c r="E13" t="s">
        <v>49</v>
      </c>
      <c r="F13" t="s">
        <v>41</v>
      </c>
      <c r="G13">
        <v>14109</v>
      </c>
      <c r="H13">
        <v>18354</v>
      </c>
      <c r="I13">
        <v>22383</v>
      </c>
      <c r="J13">
        <v>25962</v>
      </c>
      <c r="K13">
        <v>30200</v>
      </c>
      <c r="L13">
        <v>36739</v>
      </c>
    </row>
    <row r="14" spans="1:12" x14ac:dyDescent="0.25">
      <c r="A14" t="s">
        <v>66</v>
      </c>
      <c r="B14" t="s">
        <v>67</v>
      </c>
      <c r="C14" t="s">
        <v>47</v>
      </c>
      <c r="D14" t="s">
        <v>48</v>
      </c>
      <c r="E14" t="s">
        <v>49</v>
      </c>
      <c r="F14">
        <v>63600</v>
      </c>
      <c r="G14">
        <v>67900</v>
      </c>
      <c r="H14">
        <v>72000</v>
      </c>
      <c r="I14">
        <v>75000</v>
      </c>
      <c r="J14">
        <v>78000</v>
      </c>
      <c r="K14">
        <v>87000</v>
      </c>
      <c r="L14">
        <v>96500</v>
      </c>
    </row>
    <row r="15" spans="1:12" x14ac:dyDescent="0.25">
      <c r="A15" t="s">
        <v>68</v>
      </c>
      <c r="B15" t="s">
        <v>69</v>
      </c>
      <c r="C15" t="s">
        <v>47</v>
      </c>
      <c r="D15" t="s">
        <v>48</v>
      </c>
      <c r="E15" t="s">
        <v>49</v>
      </c>
      <c r="F15">
        <v>91691</v>
      </c>
      <c r="G15" t="s">
        <v>41</v>
      </c>
      <c r="H15">
        <v>104896</v>
      </c>
      <c r="I15">
        <v>115973</v>
      </c>
      <c r="J15">
        <v>120081</v>
      </c>
      <c r="K15">
        <v>137965</v>
      </c>
      <c r="L15">
        <v>150423</v>
      </c>
    </row>
    <row r="16" spans="1:12" x14ac:dyDescent="0.25">
      <c r="A16" t="s">
        <v>70</v>
      </c>
      <c r="B16" t="s">
        <v>71</v>
      </c>
      <c r="C16" t="s">
        <v>47</v>
      </c>
      <c r="D16" t="s">
        <v>48</v>
      </c>
      <c r="E16" t="s">
        <v>49</v>
      </c>
      <c r="F16">
        <v>38548</v>
      </c>
      <c r="G16">
        <v>38552</v>
      </c>
      <c r="H16">
        <v>37073</v>
      </c>
      <c r="I16">
        <v>35660</v>
      </c>
      <c r="J16">
        <v>40020</v>
      </c>
      <c r="K16">
        <v>41572</v>
      </c>
      <c r="L16">
        <v>47409</v>
      </c>
    </row>
    <row r="17" spans="1:12" x14ac:dyDescent="0.25">
      <c r="A17" t="s">
        <v>72</v>
      </c>
      <c r="B17" t="s">
        <v>73</v>
      </c>
      <c r="C17" t="s">
        <v>47</v>
      </c>
      <c r="D17" t="s">
        <v>48</v>
      </c>
      <c r="E17" t="s">
        <v>49</v>
      </c>
      <c r="F17">
        <v>160405</v>
      </c>
      <c r="G17">
        <v>176187</v>
      </c>
      <c r="H17">
        <v>194044</v>
      </c>
      <c r="I17">
        <v>200364</v>
      </c>
      <c r="J17">
        <v>204107</v>
      </c>
      <c r="K17">
        <v>228123</v>
      </c>
      <c r="L17">
        <v>242371</v>
      </c>
    </row>
    <row r="18" spans="1:12" x14ac:dyDescent="0.25">
      <c r="A18" t="s">
        <v>74</v>
      </c>
      <c r="B18" t="s">
        <v>75</v>
      </c>
      <c r="C18" t="s">
        <v>47</v>
      </c>
      <c r="D18" t="s">
        <v>48</v>
      </c>
      <c r="E18" t="s">
        <v>49</v>
      </c>
      <c r="F18">
        <v>431212</v>
      </c>
      <c r="G18">
        <v>379592</v>
      </c>
      <c r="H18">
        <v>377757</v>
      </c>
      <c r="I18">
        <v>380300</v>
      </c>
      <c r="J18">
        <v>366600</v>
      </c>
      <c r="K18">
        <v>350600</v>
      </c>
      <c r="L18">
        <v>350600</v>
      </c>
    </row>
    <row r="19" spans="1:12" x14ac:dyDescent="0.25">
      <c r="A19" t="s">
        <v>76</v>
      </c>
      <c r="B19" t="s">
        <v>77</v>
      </c>
      <c r="C19" t="s">
        <v>47</v>
      </c>
      <c r="D19" t="s">
        <v>48</v>
      </c>
      <c r="E19" t="s">
        <v>49</v>
      </c>
      <c r="F19">
        <v>300464</v>
      </c>
      <c r="G19">
        <v>319656</v>
      </c>
      <c r="H19">
        <v>353843</v>
      </c>
      <c r="I19">
        <v>387223</v>
      </c>
      <c r="J19">
        <v>394998</v>
      </c>
      <c r="K19">
        <v>424285</v>
      </c>
      <c r="L19">
        <v>448464</v>
      </c>
    </row>
    <row r="20" spans="1:12" x14ac:dyDescent="0.25">
      <c r="A20" t="s">
        <v>78</v>
      </c>
      <c r="B20" t="s">
        <v>79</v>
      </c>
      <c r="C20" t="s">
        <v>47</v>
      </c>
      <c r="D20" t="s">
        <v>48</v>
      </c>
      <c r="E20" t="s">
        <v>49</v>
      </c>
      <c r="F20">
        <v>89441</v>
      </c>
      <c r="G20">
        <v>103281</v>
      </c>
      <c r="H20">
        <v>105432</v>
      </c>
      <c r="I20">
        <v>117693</v>
      </c>
      <c r="J20">
        <v>112807</v>
      </c>
      <c r="K20">
        <v>103822</v>
      </c>
      <c r="L20">
        <v>103822</v>
      </c>
    </row>
    <row r="21" spans="1:12" x14ac:dyDescent="0.25">
      <c r="A21" t="s">
        <v>80</v>
      </c>
      <c r="B21" t="s">
        <v>81</v>
      </c>
      <c r="C21" t="s">
        <v>47</v>
      </c>
      <c r="D21" t="s">
        <v>48</v>
      </c>
      <c r="E21" t="s">
        <v>49</v>
      </c>
      <c r="F21">
        <v>146053</v>
      </c>
      <c r="G21">
        <v>158217</v>
      </c>
      <c r="H21">
        <v>172912</v>
      </c>
      <c r="I21">
        <v>181482</v>
      </c>
      <c r="J21">
        <v>163827</v>
      </c>
      <c r="K21">
        <v>171425</v>
      </c>
      <c r="L21">
        <v>182886</v>
      </c>
    </row>
    <row r="22" spans="1:12" x14ac:dyDescent="0.25">
      <c r="A22" t="s">
        <v>82</v>
      </c>
      <c r="B22" t="s">
        <v>41</v>
      </c>
      <c r="C22" t="s">
        <v>41</v>
      </c>
      <c r="D22" t="s">
        <v>41</v>
      </c>
      <c r="E22" t="s">
        <v>44</v>
      </c>
      <c r="F22">
        <v>37326.120000000003</v>
      </c>
      <c r="G22">
        <v>47781.535580000003</v>
      </c>
      <c r="H22">
        <v>54310.172500000001</v>
      </c>
      <c r="I22">
        <v>60103.104534999999</v>
      </c>
      <c r="J22">
        <v>41766.935949999999</v>
      </c>
      <c r="K22">
        <v>51620.800855000001</v>
      </c>
      <c r="L22">
        <v>33491.616399999999</v>
      </c>
    </row>
    <row r="23" spans="1:12" x14ac:dyDescent="0.25">
      <c r="A23" t="s">
        <v>45</v>
      </c>
      <c r="B23" t="s">
        <v>46</v>
      </c>
      <c r="C23" t="s">
        <v>41</v>
      </c>
      <c r="D23" t="s">
        <v>41</v>
      </c>
      <c r="E23" t="s">
        <v>83</v>
      </c>
      <c r="F23">
        <v>99000</v>
      </c>
      <c r="G23">
        <v>109800</v>
      </c>
      <c r="H23">
        <v>136229.24</v>
      </c>
      <c r="I23">
        <v>149760</v>
      </c>
      <c r="J23">
        <v>188190</v>
      </c>
      <c r="K23">
        <v>192780</v>
      </c>
      <c r="L23" t="s">
        <v>41</v>
      </c>
    </row>
    <row r="24" spans="1:12" x14ac:dyDescent="0.25">
      <c r="A24" t="s">
        <v>50</v>
      </c>
      <c r="B24" t="s">
        <v>51</v>
      </c>
      <c r="C24" t="s">
        <v>41</v>
      </c>
      <c r="D24" t="s">
        <v>41</v>
      </c>
      <c r="E24" t="s">
        <v>83</v>
      </c>
      <c r="F24">
        <v>6232.2</v>
      </c>
      <c r="G24" t="s">
        <v>41</v>
      </c>
      <c r="H24" t="s">
        <v>41</v>
      </c>
      <c r="I24" t="s">
        <v>41</v>
      </c>
      <c r="J24">
        <v>7450.3402470000001</v>
      </c>
      <c r="K24" t="s">
        <v>41</v>
      </c>
      <c r="L24">
        <v>7526.4122450000004</v>
      </c>
    </row>
    <row r="25" spans="1:12" x14ac:dyDescent="0.25">
      <c r="A25" t="s">
        <v>52</v>
      </c>
      <c r="B25" t="s">
        <v>53</v>
      </c>
      <c r="C25" t="s">
        <v>41</v>
      </c>
      <c r="D25" t="s">
        <v>41</v>
      </c>
      <c r="E25" t="s">
        <v>83</v>
      </c>
      <c r="F25">
        <v>20606.400000000001</v>
      </c>
      <c r="G25">
        <v>23921.989860000001</v>
      </c>
      <c r="H25">
        <v>24737.66865</v>
      </c>
      <c r="I25">
        <v>26735.640599999999</v>
      </c>
      <c r="J25">
        <v>28372.783899999999</v>
      </c>
      <c r="K25">
        <v>35924.762000000002</v>
      </c>
      <c r="L25">
        <v>33491.616399999999</v>
      </c>
    </row>
    <row r="26" spans="1:12" x14ac:dyDescent="0.25">
      <c r="A26" t="s">
        <v>54</v>
      </c>
      <c r="B26" t="s">
        <v>55</v>
      </c>
      <c r="C26" t="s">
        <v>41</v>
      </c>
      <c r="D26" t="s">
        <v>41</v>
      </c>
      <c r="E26" t="s">
        <v>83</v>
      </c>
      <c r="F26">
        <v>37326.120000000003</v>
      </c>
      <c r="G26">
        <v>41369.182560000001</v>
      </c>
      <c r="H26">
        <v>53288.504999999997</v>
      </c>
      <c r="I26">
        <v>58502.32907</v>
      </c>
      <c r="J26">
        <v>62705.171999999999</v>
      </c>
      <c r="K26">
        <v>67408.846999999994</v>
      </c>
      <c r="L26">
        <v>72369</v>
      </c>
    </row>
    <row r="27" spans="1:12" x14ac:dyDescent="0.25">
      <c r="A27" t="s">
        <v>56</v>
      </c>
      <c r="B27" t="s">
        <v>57</v>
      </c>
      <c r="C27" t="s">
        <v>41</v>
      </c>
      <c r="D27" t="s">
        <v>41</v>
      </c>
      <c r="E27" t="s">
        <v>83</v>
      </c>
      <c r="F27">
        <v>20400</v>
      </c>
      <c r="G27">
        <v>21080</v>
      </c>
      <c r="H27" t="s">
        <v>41</v>
      </c>
      <c r="I27" t="s">
        <v>41</v>
      </c>
      <c r="J27" t="s">
        <v>41</v>
      </c>
      <c r="K27" t="s">
        <v>41</v>
      </c>
      <c r="L27" t="s">
        <v>41</v>
      </c>
    </row>
    <row r="28" spans="1:12" x14ac:dyDescent="0.25">
      <c r="A28" t="s">
        <v>58</v>
      </c>
      <c r="B28" t="s">
        <v>59</v>
      </c>
      <c r="C28" t="s">
        <v>41</v>
      </c>
      <c r="D28" t="s">
        <v>41</v>
      </c>
      <c r="E28" t="s">
        <v>83</v>
      </c>
      <c r="F28">
        <v>54848</v>
      </c>
      <c r="G28">
        <v>67680</v>
      </c>
      <c r="H28">
        <v>73161</v>
      </c>
      <c r="I28">
        <v>86646.597399999999</v>
      </c>
      <c r="J28" t="s">
        <v>41</v>
      </c>
      <c r="K28" t="s">
        <v>41</v>
      </c>
      <c r="L28" t="s">
        <v>41</v>
      </c>
    </row>
    <row r="29" spans="1:12" x14ac:dyDescent="0.25">
      <c r="A29" t="s">
        <v>60</v>
      </c>
      <c r="B29" t="s">
        <v>61</v>
      </c>
      <c r="C29" t="s">
        <v>41</v>
      </c>
      <c r="D29" t="s">
        <v>41</v>
      </c>
      <c r="E29" t="s">
        <v>83</v>
      </c>
      <c r="F29" t="s">
        <v>41</v>
      </c>
      <c r="G29" t="s">
        <v>41</v>
      </c>
      <c r="H29" t="s">
        <v>41</v>
      </c>
      <c r="I29" t="s">
        <v>41</v>
      </c>
      <c r="J29" t="s">
        <v>41</v>
      </c>
      <c r="K29" t="s">
        <v>41</v>
      </c>
      <c r="L29" t="s">
        <v>41</v>
      </c>
    </row>
    <row r="30" spans="1:12" x14ac:dyDescent="0.25">
      <c r="A30" t="s">
        <v>62</v>
      </c>
      <c r="B30" t="s">
        <v>63</v>
      </c>
      <c r="C30" t="s">
        <v>41</v>
      </c>
      <c r="D30" t="s">
        <v>41</v>
      </c>
      <c r="E30" t="s">
        <v>83</v>
      </c>
      <c r="F30" t="s">
        <v>41</v>
      </c>
      <c r="G30" t="s">
        <v>41</v>
      </c>
      <c r="H30" t="s">
        <v>41</v>
      </c>
      <c r="I30" t="s">
        <v>41</v>
      </c>
      <c r="J30">
        <v>49500</v>
      </c>
      <c r="K30">
        <v>42900</v>
      </c>
      <c r="L30" t="s">
        <v>41</v>
      </c>
    </row>
    <row r="31" spans="1:12" x14ac:dyDescent="0.25">
      <c r="A31" t="s">
        <v>64</v>
      </c>
      <c r="B31" t="s">
        <v>65</v>
      </c>
      <c r="C31" t="s">
        <v>41</v>
      </c>
      <c r="D31" t="s">
        <v>41</v>
      </c>
      <c r="E31" t="s">
        <v>83</v>
      </c>
      <c r="F31" t="s">
        <v>41</v>
      </c>
      <c r="G31" t="s">
        <v>41</v>
      </c>
      <c r="H31" t="s">
        <v>41</v>
      </c>
      <c r="I31" t="s">
        <v>41</v>
      </c>
      <c r="J31" t="s">
        <v>41</v>
      </c>
      <c r="K31" t="s">
        <v>41</v>
      </c>
      <c r="L31" t="s">
        <v>41</v>
      </c>
    </row>
    <row r="32" spans="1:12" x14ac:dyDescent="0.25">
      <c r="A32" t="s">
        <v>66</v>
      </c>
      <c r="B32" t="s">
        <v>67</v>
      </c>
      <c r="C32" t="s">
        <v>41</v>
      </c>
      <c r="D32" t="s">
        <v>41</v>
      </c>
      <c r="E32" t="s">
        <v>83</v>
      </c>
      <c r="F32">
        <v>23786.401269999998</v>
      </c>
      <c r="G32" t="s">
        <v>41</v>
      </c>
      <c r="H32">
        <v>27527.327280000001</v>
      </c>
      <c r="I32">
        <v>29161.050749999999</v>
      </c>
      <c r="J32">
        <v>30524.441999999999</v>
      </c>
      <c r="K32" t="s">
        <v>41</v>
      </c>
      <c r="L32" t="s">
        <v>41</v>
      </c>
    </row>
    <row r="33" spans="1:12" x14ac:dyDescent="0.25">
      <c r="A33" t="s">
        <v>68</v>
      </c>
      <c r="B33" t="s">
        <v>69</v>
      </c>
      <c r="C33" t="s">
        <v>41</v>
      </c>
      <c r="D33" t="s">
        <v>41</v>
      </c>
      <c r="E33" t="s">
        <v>83</v>
      </c>
      <c r="F33">
        <v>22005.84</v>
      </c>
      <c r="G33" t="s">
        <v>41</v>
      </c>
      <c r="H33">
        <v>24126.080000000002</v>
      </c>
      <c r="I33">
        <v>27833.52</v>
      </c>
      <c r="J33">
        <v>28819.439999999999</v>
      </c>
      <c r="K33">
        <v>34353.285000000003</v>
      </c>
      <c r="L33" t="s">
        <v>41</v>
      </c>
    </row>
    <row r="34" spans="1:12" x14ac:dyDescent="0.25">
      <c r="A34" t="s">
        <v>70</v>
      </c>
      <c r="B34" t="s">
        <v>71</v>
      </c>
      <c r="C34" t="s">
        <v>41</v>
      </c>
      <c r="D34" t="s">
        <v>41</v>
      </c>
      <c r="E34" t="s">
        <v>83</v>
      </c>
      <c r="F34">
        <v>13931.246810000001</v>
      </c>
      <c r="G34">
        <v>13840.16877</v>
      </c>
      <c r="H34">
        <v>13717.01</v>
      </c>
      <c r="I34">
        <v>13194.2</v>
      </c>
      <c r="J34">
        <v>13606.8</v>
      </c>
      <c r="K34">
        <v>13710.445599999999</v>
      </c>
      <c r="L34">
        <v>16593.150000000001</v>
      </c>
    </row>
    <row r="35" spans="1:12" x14ac:dyDescent="0.25">
      <c r="A35" t="s">
        <v>72</v>
      </c>
      <c r="B35" t="s">
        <v>73</v>
      </c>
      <c r="C35" t="s">
        <v>41</v>
      </c>
      <c r="D35" t="s">
        <v>41</v>
      </c>
      <c r="E35" t="s">
        <v>83</v>
      </c>
      <c r="F35">
        <v>55163.277900000001</v>
      </c>
      <c r="G35">
        <v>61822.25819</v>
      </c>
      <c r="H35">
        <v>69079.66012</v>
      </c>
      <c r="I35">
        <v>72231.22</v>
      </c>
      <c r="J35">
        <v>73703.039739999993</v>
      </c>
      <c r="K35">
        <v>83652.699540000001</v>
      </c>
      <c r="L35">
        <v>91679.014509999994</v>
      </c>
    </row>
    <row r="36" spans="1:12" x14ac:dyDescent="0.25">
      <c r="A36" t="s">
        <v>74</v>
      </c>
      <c r="B36" t="s">
        <v>75</v>
      </c>
      <c r="C36" t="s">
        <v>41</v>
      </c>
      <c r="D36" t="s">
        <v>41</v>
      </c>
      <c r="E36" t="s">
        <v>83</v>
      </c>
      <c r="F36">
        <v>129794.81200000001</v>
      </c>
      <c r="G36">
        <v>118053.11199999999</v>
      </c>
      <c r="H36">
        <v>118615.698</v>
      </c>
      <c r="I36">
        <v>120935.3962</v>
      </c>
      <c r="J36" t="s">
        <v>41</v>
      </c>
      <c r="K36" t="s">
        <v>41</v>
      </c>
      <c r="L36" t="s">
        <v>41</v>
      </c>
    </row>
    <row r="37" spans="1:12" x14ac:dyDescent="0.25">
      <c r="A37" t="s">
        <v>76</v>
      </c>
      <c r="B37" t="s">
        <v>77</v>
      </c>
      <c r="C37" t="s">
        <v>41</v>
      </c>
      <c r="D37" t="s">
        <v>41</v>
      </c>
      <c r="E37" t="s">
        <v>83</v>
      </c>
      <c r="F37">
        <v>98251.731</v>
      </c>
      <c r="G37">
        <v>105486.48</v>
      </c>
      <c r="H37">
        <v>119598.9305</v>
      </c>
      <c r="I37">
        <v>134366.3849</v>
      </c>
      <c r="J37">
        <v>139473.7977</v>
      </c>
      <c r="K37">
        <v>152318.3235</v>
      </c>
      <c r="L37" t="s">
        <v>41</v>
      </c>
    </row>
    <row r="38" spans="1:12" x14ac:dyDescent="0.25">
      <c r="A38" t="s">
        <v>78</v>
      </c>
      <c r="B38" t="s">
        <v>79</v>
      </c>
      <c r="C38" t="s">
        <v>41</v>
      </c>
      <c r="D38" t="s">
        <v>41</v>
      </c>
      <c r="E38" t="s">
        <v>83</v>
      </c>
      <c r="F38" t="s">
        <v>41</v>
      </c>
      <c r="G38">
        <v>31159.877700000001</v>
      </c>
      <c r="H38">
        <v>31629.599999999999</v>
      </c>
      <c r="I38">
        <v>36308.290500000003</v>
      </c>
      <c r="J38">
        <v>34033.871899999998</v>
      </c>
      <c r="K38">
        <v>31894.11736</v>
      </c>
      <c r="L38" t="s">
        <v>41</v>
      </c>
    </row>
    <row r="39" spans="1:12" x14ac:dyDescent="0.25">
      <c r="A39" t="s">
        <v>80</v>
      </c>
      <c r="B39" t="s">
        <v>81</v>
      </c>
      <c r="C39" t="s">
        <v>41</v>
      </c>
      <c r="D39" t="s">
        <v>41</v>
      </c>
      <c r="E39" t="s">
        <v>83</v>
      </c>
      <c r="F39">
        <v>45276.43</v>
      </c>
      <c r="G39">
        <v>47781.535580000003</v>
      </c>
      <c r="H39">
        <v>55331.839999999997</v>
      </c>
      <c r="I39">
        <v>61703.88</v>
      </c>
      <c r="J39">
        <v>57339.45</v>
      </c>
      <c r="K39">
        <v>60341.601710000003</v>
      </c>
      <c r="L39" t="s">
        <v>41</v>
      </c>
    </row>
    <row r="40" spans="1:12" x14ac:dyDescent="0.25">
      <c r="A40" t="s">
        <v>84</v>
      </c>
      <c r="B40" t="s">
        <v>41</v>
      </c>
      <c r="C40" t="s">
        <v>41</v>
      </c>
      <c r="D40" t="s">
        <v>41</v>
      </c>
      <c r="E40" t="s">
        <v>42</v>
      </c>
      <c r="F40" t="s">
        <v>41</v>
      </c>
      <c r="G40" t="s">
        <v>41</v>
      </c>
      <c r="H40" t="s">
        <v>41</v>
      </c>
      <c r="I40" t="s">
        <v>41</v>
      </c>
      <c r="J40" t="s">
        <v>41</v>
      </c>
      <c r="K40" t="s">
        <v>41</v>
      </c>
      <c r="L40" t="s">
        <v>41</v>
      </c>
    </row>
    <row r="41" spans="1:12" x14ac:dyDescent="0.25">
      <c r="A41" t="s">
        <v>85</v>
      </c>
      <c r="B41" t="s">
        <v>41</v>
      </c>
      <c r="C41" t="s">
        <v>41</v>
      </c>
      <c r="D41" t="s">
        <v>41</v>
      </c>
      <c r="E41" t="s">
        <v>44</v>
      </c>
      <c r="F41">
        <v>161.654</v>
      </c>
      <c r="G41">
        <v>163.89400000000001</v>
      </c>
      <c r="H41">
        <v>165.9</v>
      </c>
      <c r="I41">
        <v>163.4265</v>
      </c>
      <c r="J41">
        <v>155.46899999999999</v>
      </c>
      <c r="K41">
        <v>162.80799999999999</v>
      </c>
      <c r="L41">
        <v>121.07850000000001</v>
      </c>
    </row>
    <row r="42" spans="1:12" x14ac:dyDescent="0.25">
      <c r="A42" t="s">
        <v>45</v>
      </c>
      <c r="B42" t="s">
        <v>46</v>
      </c>
      <c r="C42" t="s">
        <v>41</v>
      </c>
      <c r="D42" t="s">
        <v>41</v>
      </c>
      <c r="E42" t="s">
        <v>83</v>
      </c>
      <c r="F42">
        <v>265.14299999999997</v>
      </c>
      <c r="G42">
        <v>257.79700000000003</v>
      </c>
      <c r="H42">
        <v>263.529</v>
      </c>
      <c r="I42">
        <v>290.25299999999999</v>
      </c>
      <c r="J42">
        <v>328.09300000000002</v>
      </c>
      <c r="K42">
        <v>304.209</v>
      </c>
      <c r="L42" t="s">
        <v>41</v>
      </c>
    </row>
    <row r="43" spans="1:12" x14ac:dyDescent="0.25">
      <c r="A43" t="s">
        <v>50</v>
      </c>
      <c r="B43" t="s">
        <v>51</v>
      </c>
      <c r="C43" t="s">
        <v>41</v>
      </c>
      <c r="D43" t="s">
        <v>41</v>
      </c>
      <c r="E43" t="s">
        <v>83</v>
      </c>
      <c r="F43">
        <v>97.051000000000002</v>
      </c>
      <c r="G43" t="s">
        <v>41</v>
      </c>
      <c r="H43" t="s">
        <v>41</v>
      </c>
      <c r="I43">
        <v>65.266000000000005</v>
      </c>
      <c r="J43">
        <v>67.694000000000003</v>
      </c>
      <c r="K43" t="s">
        <v>41</v>
      </c>
      <c r="L43" t="s">
        <v>41</v>
      </c>
    </row>
    <row r="44" spans="1:12" x14ac:dyDescent="0.25">
      <c r="A44" t="s">
        <v>52</v>
      </c>
      <c r="B44" t="s">
        <v>53</v>
      </c>
      <c r="C44" t="s">
        <v>41</v>
      </c>
      <c r="D44" t="s">
        <v>41</v>
      </c>
      <c r="E44" t="s">
        <v>83</v>
      </c>
      <c r="F44" t="s">
        <v>41</v>
      </c>
      <c r="G44">
        <v>67.31</v>
      </c>
      <c r="H44">
        <v>74.995000000000005</v>
      </c>
      <c r="I44">
        <v>130.42400000000001</v>
      </c>
      <c r="J44">
        <v>118.789</v>
      </c>
      <c r="K44">
        <v>94.058000000000007</v>
      </c>
      <c r="L44">
        <v>102.75</v>
      </c>
    </row>
    <row r="45" spans="1:12" x14ac:dyDescent="0.25">
      <c r="A45" t="s">
        <v>54</v>
      </c>
      <c r="B45" t="s">
        <v>55</v>
      </c>
      <c r="C45" t="s">
        <v>41</v>
      </c>
      <c r="D45" t="s">
        <v>41</v>
      </c>
      <c r="E45" t="s">
        <v>83</v>
      </c>
      <c r="F45">
        <v>156.279</v>
      </c>
      <c r="G45">
        <v>151.15700000000001</v>
      </c>
      <c r="H45">
        <v>145.929</v>
      </c>
      <c r="I45">
        <v>193.047</v>
      </c>
      <c r="J45">
        <v>184.886</v>
      </c>
      <c r="K45">
        <v>162.80799999999999</v>
      </c>
      <c r="L45">
        <v>155</v>
      </c>
    </row>
    <row r="46" spans="1:12" x14ac:dyDescent="0.25">
      <c r="A46" t="s">
        <v>56</v>
      </c>
      <c r="B46" t="s">
        <v>57</v>
      </c>
      <c r="C46" t="s">
        <v>41</v>
      </c>
      <c r="D46" t="s">
        <v>41</v>
      </c>
      <c r="E46" t="s">
        <v>83</v>
      </c>
      <c r="F46">
        <v>96.066000000000003</v>
      </c>
      <c r="G46">
        <v>84.24</v>
      </c>
      <c r="H46" t="s">
        <v>41</v>
      </c>
      <c r="I46" t="s">
        <v>41</v>
      </c>
      <c r="J46" t="s">
        <v>41</v>
      </c>
      <c r="K46" t="s">
        <v>41</v>
      </c>
      <c r="L46" t="s">
        <v>41</v>
      </c>
    </row>
    <row r="47" spans="1:12" x14ac:dyDescent="0.25">
      <c r="A47" t="s">
        <v>58</v>
      </c>
      <c r="B47" t="s">
        <v>59</v>
      </c>
      <c r="C47" t="s">
        <v>41</v>
      </c>
      <c r="D47" t="s">
        <v>41</v>
      </c>
      <c r="E47" t="s">
        <v>83</v>
      </c>
      <c r="F47">
        <v>193.06700000000001</v>
      </c>
      <c r="G47">
        <v>203.899</v>
      </c>
      <c r="H47">
        <v>257.625</v>
      </c>
      <c r="I47">
        <v>254.977</v>
      </c>
      <c r="J47" t="s">
        <v>41</v>
      </c>
      <c r="K47" t="s">
        <v>41</v>
      </c>
      <c r="L47" t="s">
        <v>41</v>
      </c>
    </row>
    <row r="48" spans="1:12" x14ac:dyDescent="0.25">
      <c r="A48" t="s">
        <v>60</v>
      </c>
      <c r="B48" t="s">
        <v>61</v>
      </c>
      <c r="C48" t="s">
        <v>41</v>
      </c>
      <c r="D48" t="s">
        <v>41</v>
      </c>
      <c r="E48" t="s">
        <v>83</v>
      </c>
      <c r="F48" t="s">
        <v>41</v>
      </c>
      <c r="G48" t="s">
        <v>41</v>
      </c>
      <c r="H48" t="s">
        <v>41</v>
      </c>
      <c r="I48" t="s">
        <v>41</v>
      </c>
      <c r="J48" t="s">
        <v>41</v>
      </c>
      <c r="K48" t="s">
        <v>41</v>
      </c>
      <c r="L48" t="s">
        <v>41</v>
      </c>
    </row>
    <row r="49" spans="1:12" x14ac:dyDescent="0.25">
      <c r="A49" t="s">
        <v>62</v>
      </c>
      <c r="B49" t="s">
        <v>63</v>
      </c>
      <c r="C49" t="s">
        <v>41</v>
      </c>
      <c r="D49" t="s">
        <v>41</v>
      </c>
      <c r="E49" t="s">
        <v>83</v>
      </c>
      <c r="F49" t="s">
        <v>41</v>
      </c>
      <c r="G49" t="s">
        <v>41</v>
      </c>
      <c r="H49" t="s">
        <v>41</v>
      </c>
      <c r="I49" t="s">
        <v>41</v>
      </c>
      <c r="J49">
        <v>868.32299999999998</v>
      </c>
      <c r="K49">
        <v>795.63900000000001</v>
      </c>
      <c r="L49" t="s">
        <v>41</v>
      </c>
    </row>
    <row r="50" spans="1:12" x14ac:dyDescent="0.25">
      <c r="A50" t="s">
        <v>64</v>
      </c>
      <c r="B50" t="s">
        <v>65</v>
      </c>
      <c r="C50" t="s">
        <v>41</v>
      </c>
      <c r="D50" t="s">
        <v>41</v>
      </c>
      <c r="E50" t="s">
        <v>83</v>
      </c>
      <c r="F50" t="s">
        <v>41</v>
      </c>
      <c r="G50" t="s">
        <v>41</v>
      </c>
      <c r="H50" t="s">
        <v>41</v>
      </c>
      <c r="I50" t="s">
        <v>41</v>
      </c>
      <c r="J50" t="s">
        <v>41</v>
      </c>
      <c r="K50" t="s">
        <v>41</v>
      </c>
      <c r="L50" t="s">
        <v>41</v>
      </c>
    </row>
    <row r="51" spans="1:12" x14ac:dyDescent="0.25">
      <c r="A51" t="s">
        <v>66</v>
      </c>
      <c r="B51" t="s">
        <v>67</v>
      </c>
      <c r="C51" t="s">
        <v>41</v>
      </c>
      <c r="D51" t="s">
        <v>41</v>
      </c>
      <c r="E51" t="s">
        <v>83</v>
      </c>
      <c r="F51">
        <v>64.415000000000006</v>
      </c>
      <c r="G51" t="s">
        <v>41</v>
      </c>
      <c r="H51">
        <v>64.495999999999995</v>
      </c>
      <c r="I51">
        <v>72.391999999999996</v>
      </c>
      <c r="J51">
        <v>73.61</v>
      </c>
      <c r="K51" t="s">
        <v>41</v>
      </c>
      <c r="L51" t="s">
        <v>41</v>
      </c>
    </row>
    <row r="52" spans="1:12" x14ac:dyDescent="0.25">
      <c r="A52" t="s">
        <v>68</v>
      </c>
      <c r="B52" t="s">
        <v>69</v>
      </c>
      <c r="C52" t="s">
        <v>41</v>
      </c>
      <c r="D52" t="s">
        <v>41</v>
      </c>
      <c r="E52" t="s">
        <v>83</v>
      </c>
      <c r="F52">
        <v>168.40100000000001</v>
      </c>
      <c r="G52" t="s">
        <v>41</v>
      </c>
      <c r="H52">
        <v>160.55000000000001</v>
      </c>
      <c r="I52" t="s">
        <v>41</v>
      </c>
      <c r="J52" t="s">
        <v>41</v>
      </c>
      <c r="K52" t="s">
        <v>41</v>
      </c>
      <c r="L52" t="s">
        <v>41</v>
      </c>
    </row>
    <row r="53" spans="1:12" x14ac:dyDescent="0.25">
      <c r="A53" t="s">
        <v>70</v>
      </c>
      <c r="B53" t="s">
        <v>71</v>
      </c>
      <c r="C53" t="s">
        <v>41</v>
      </c>
      <c r="D53" t="s">
        <v>41</v>
      </c>
      <c r="E53" t="s">
        <v>83</v>
      </c>
      <c r="F53">
        <v>32.317999999999998</v>
      </c>
      <c r="G53">
        <v>29.49</v>
      </c>
      <c r="H53">
        <v>24.545000000000002</v>
      </c>
      <c r="I53">
        <v>22.49</v>
      </c>
      <c r="J53">
        <v>12.117000000000001</v>
      </c>
      <c r="K53">
        <v>10.504</v>
      </c>
      <c r="L53">
        <v>9.9969999999999999</v>
      </c>
    </row>
    <row r="54" spans="1:12" x14ac:dyDescent="0.25">
      <c r="A54" t="s">
        <v>72</v>
      </c>
      <c r="B54" t="s">
        <v>73</v>
      </c>
      <c r="C54" t="s">
        <v>41</v>
      </c>
      <c r="D54" t="s">
        <v>41</v>
      </c>
      <c r="E54" t="s">
        <v>83</v>
      </c>
      <c r="F54">
        <v>161.654</v>
      </c>
      <c r="G54">
        <v>163.89400000000001</v>
      </c>
      <c r="H54">
        <v>171.25</v>
      </c>
      <c r="I54">
        <v>133.80600000000001</v>
      </c>
      <c r="J54">
        <v>126.05200000000001</v>
      </c>
      <c r="K54">
        <v>124.77</v>
      </c>
      <c r="L54">
        <v>139.40700000000001</v>
      </c>
    </row>
    <row r="55" spans="1:12" x14ac:dyDescent="0.25">
      <c r="A55" t="s">
        <v>74</v>
      </c>
      <c r="B55" t="s">
        <v>75</v>
      </c>
      <c r="C55" t="s">
        <v>41</v>
      </c>
      <c r="D55" t="s">
        <v>41</v>
      </c>
      <c r="E55" t="s">
        <v>83</v>
      </c>
      <c r="F55">
        <v>2493.06</v>
      </c>
      <c r="G55">
        <v>2438.66</v>
      </c>
      <c r="H55">
        <v>1787.5</v>
      </c>
      <c r="I55">
        <v>1619.07</v>
      </c>
      <c r="J55">
        <v>1496.52</v>
      </c>
      <c r="K55">
        <v>1257.6600000000001</v>
      </c>
      <c r="L55" t="s">
        <v>41</v>
      </c>
    </row>
    <row r="56" spans="1:12" x14ac:dyDescent="0.25">
      <c r="A56" t="s">
        <v>76</v>
      </c>
      <c r="B56" t="s">
        <v>77</v>
      </c>
      <c r="C56" t="s">
        <v>41</v>
      </c>
      <c r="D56" t="s">
        <v>41</v>
      </c>
      <c r="E56" t="s">
        <v>83</v>
      </c>
      <c r="F56">
        <v>422.589</v>
      </c>
      <c r="G56">
        <v>458.04</v>
      </c>
      <c r="H56">
        <v>471.32400000000001</v>
      </c>
      <c r="I56">
        <v>470.52</v>
      </c>
      <c r="J56">
        <v>455.32900000000001</v>
      </c>
      <c r="K56" t="s">
        <v>41</v>
      </c>
      <c r="L56" t="s">
        <v>41</v>
      </c>
    </row>
    <row r="57" spans="1:12" x14ac:dyDescent="0.25">
      <c r="A57" t="s">
        <v>78</v>
      </c>
      <c r="B57" t="s">
        <v>79</v>
      </c>
      <c r="C57" t="s">
        <v>41</v>
      </c>
      <c r="D57" t="s">
        <v>41</v>
      </c>
      <c r="E57" t="s">
        <v>83</v>
      </c>
      <c r="F57">
        <v>100.599</v>
      </c>
      <c r="G57">
        <v>114.94199999999999</v>
      </c>
      <c r="H57">
        <v>114.309</v>
      </c>
      <c r="I57">
        <v>122.697</v>
      </c>
      <c r="J57">
        <v>125.48699999999999</v>
      </c>
      <c r="K57" t="s">
        <v>41</v>
      </c>
      <c r="L57" t="s">
        <v>41</v>
      </c>
    </row>
    <row r="58" spans="1:12" x14ac:dyDescent="0.25">
      <c r="A58" t="s">
        <v>80</v>
      </c>
      <c r="B58" t="s">
        <v>81</v>
      </c>
      <c r="C58" t="s">
        <v>41</v>
      </c>
      <c r="D58" t="s">
        <v>41</v>
      </c>
      <c r="E58" t="s">
        <v>83</v>
      </c>
      <c r="F58">
        <v>254.07300000000001</v>
      </c>
      <c r="G58">
        <v>478.858</v>
      </c>
      <c r="H58">
        <v>456.16300000000001</v>
      </c>
      <c r="I58">
        <v>317.46499999999997</v>
      </c>
      <c r="J58">
        <v>281.11500000000001</v>
      </c>
      <c r="K58" t="s">
        <v>41</v>
      </c>
      <c r="L58" t="s">
        <v>41</v>
      </c>
    </row>
    <row r="59" spans="1:12" x14ac:dyDescent="0.25">
      <c r="A59" t="s">
        <v>86</v>
      </c>
      <c r="B59" t="s">
        <v>41</v>
      </c>
      <c r="C59" t="s">
        <v>41</v>
      </c>
      <c r="D59" t="s">
        <v>41</v>
      </c>
      <c r="E59" t="s">
        <v>44</v>
      </c>
      <c r="F59">
        <v>325.30700680000001</v>
      </c>
      <c r="G59">
        <v>376.66799930000002</v>
      </c>
      <c r="H59">
        <v>361.96000674999999</v>
      </c>
      <c r="I59">
        <v>409.55099489999998</v>
      </c>
      <c r="J59">
        <v>412.31298829999997</v>
      </c>
      <c r="K59">
        <v>434.61499025000001</v>
      </c>
      <c r="L59">
        <v>327.05850220000002</v>
      </c>
    </row>
    <row r="60" spans="1:12" x14ac:dyDescent="0.25">
      <c r="A60" t="s">
        <v>45</v>
      </c>
      <c r="B60" t="s">
        <v>46</v>
      </c>
      <c r="C60" t="s">
        <v>87</v>
      </c>
      <c r="D60" t="s">
        <v>88</v>
      </c>
      <c r="E60" t="s">
        <v>49</v>
      </c>
      <c r="F60">
        <v>413.30398559999998</v>
      </c>
      <c r="G60">
        <v>436.31600950000001</v>
      </c>
      <c r="H60">
        <v>469.3059998</v>
      </c>
      <c r="I60">
        <v>512.28997800000002</v>
      </c>
      <c r="J60">
        <v>499.04800419999998</v>
      </c>
      <c r="K60">
        <v>489.07998659999998</v>
      </c>
      <c r="L60" t="s">
        <v>41</v>
      </c>
    </row>
    <row r="61" spans="1:12" x14ac:dyDescent="0.25">
      <c r="A61" t="s">
        <v>50</v>
      </c>
      <c r="B61" t="s">
        <v>51</v>
      </c>
      <c r="C61" t="s">
        <v>87</v>
      </c>
      <c r="D61" t="s">
        <v>88</v>
      </c>
      <c r="E61" t="s">
        <v>49</v>
      </c>
      <c r="F61" t="s">
        <v>41</v>
      </c>
      <c r="G61" t="s">
        <v>41</v>
      </c>
      <c r="H61" t="s">
        <v>41</v>
      </c>
      <c r="I61" t="s">
        <v>41</v>
      </c>
      <c r="J61" t="s">
        <v>41</v>
      </c>
      <c r="K61" t="s">
        <v>41</v>
      </c>
      <c r="L61" t="s">
        <v>41</v>
      </c>
    </row>
    <row r="62" spans="1:12" x14ac:dyDescent="0.25">
      <c r="A62" t="s">
        <v>52</v>
      </c>
      <c r="B62" t="s">
        <v>53</v>
      </c>
      <c r="C62" t="s">
        <v>87</v>
      </c>
      <c r="D62" t="s">
        <v>88</v>
      </c>
      <c r="E62" t="s">
        <v>49</v>
      </c>
      <c r="F62">
        <v>611.28002930000002</v>
      </c>
      <c r="G62">
        <v>575.69000240000003</v>
      </c>
      <c r="H62">
        <v>622.42102050000005</v>
      </c>
      <c r="I62">
        <v>763.40197750000004</v>
      </c>
      <c r="J62">
        <v>774.88897710000003</v>
      </c>
      <c r="K62">
        <v>748.26800539999999</v>
      </c>
      <c r="L62">
        <v>702.39801030000001</v>
      </c>
    </row>
    <row r="63" spans="1:12" x14ac:dyDescent="0.25">
      <c r="A63" t="s">
        <v>54</v>
      </c>
      <c r="B63" t="s">
        <v>55</v>
      </c>
      <c r="C63" t="s">
        <v>87</v>
      </c>
      <c r="D63" t="s">
        <v>88</v>
      </c>
      <c r="E63" t="s">
        <v>49</v>
      </c>
      <c r="F63">
        <v>392.51098630000001</v>
      </c>
      <c r="G63">
        <v>376.66799930000002</v>
      </c>
      <c r="H63">
        <v>432.71600339999998</v>
      </c>
      <c r="I63">
        <v>418.43200680000001</v>
      </c>
      <c r="J63">
        <v>412.31298829999997</v>
      </c>
      <c r="K63">
        <v>380.14999390000003</v>
      </c>
      <c r="L63">
        <v>368.06799319999999</v>
      </c>
    </row>
    <row r="64" spans="1:12" x14ac:dyDescent="0.25">
      <c r="A64" t="s">
        <v>56</v>
      </c>
      <c r="B64" t="s">
        <v>57</v>
      </c>
      <c r="C64" t="s">
        <v>87</v>
      </c>
      <c r="D64" t="s">
        <v>88</v>
      </c>
      <c r="E64" t="s">
        <v>49</v>
      </c>
      <c r="F64">
        <v>325.30700680000001</v>
      </c>
      <c r="G64">
        <v>303.99301150000002</v>
      </c>
      <c r="H64" t="s">
        <v>41</v>
      </c>
      <c r="I64" t="s">
        <v>41</v>
      </c>
      <c r="J64" t="s">
        <v>41</v>
      </c>
      <c r="K64" t="s">
        <v>41</v>
      </c>
      <c r="L64" t="s">
        <v>41</v>
      </c>
    </row>
    <row r="65" spans="1:12" x14ac:dyDescent="0.25">
      <c r="A65" t="s">
        <v>58</v>
      </c>
      <c r="B65" t="s">
        <v>59</v>
      </c>
      <c r="C65" t="s">
        <v>87</v>
      </c>
      <c r="D65" t="s">
        <v>88</v>
      </c>
      <c r="E65" t="s">
        <v>49</v>
      </c>
      <c r="F65">
        <v>259.06201170000003</v>
      </c>
      <c r="G65">
        <v>301.01699830000001</v>
      </c>
      <c r="H65">
        <v>300.61401369999999</v>
      </c>
      <c r="I65">
        <v>67.455497739999998</v>
      </c>
      <c r="J65" t="s">
        <v>41</v>
      </c>
      <c r="K65" t="s">
        <v>41</v>
      </c>
      <c r="L65" t="s">
        <v>41</v>
      </c>
    </row>
    <row r="66" spans="1:12" x14ac:dyDescent="0.25">
      <c r="A66" t="s">
        <v>60</v>
      </c>
      <c r="B66" t="s">
        <v>61</v>
      </c>
      <c r="C66" t="s">
        <v>87</v>
      </c>
      <c r="D66" t="s">
        <v>88</v>
      </c>
      <c r="E66" t="s">
        <v>49</v>
      </c>
      <c r="F66" t="s">
        <v>41</v>
      </c>
      <c r="G66" t="s">
        <v>41</v>
      </c>
      <c r="H66" t="s">
        <v>41</v>
      </c>
      <c r="I66" t="s">
        <v>41</v>
      </c>
      <c r="J66" t="s">
        <v>41</v>
      </c>
      <c r="K66" t="s">
        <v>41</v>
      </c>
      <c r="L66" t="s">
        <v>41</v>
      </c>
    </row>
    <row r="67" spans="1:12" x14ac:dyDescent="0.25">
      <c r="A67" t="s">
        <v>62</v>
      </c>
      <c r="B67" t="s">
        <v>63</v>
      </c>
      <c r="C67" t="s">
        <v>87</v>
      </c>
      <c r="D67" t="s">
        <v>88</v>
      </c>
      <c r="E67" t="s">
        <v>49</v>
      </c>
      <c r="F67" t="s">
        <v>41</v>
      </c>
      <c r="G67" t="s">
        <v>41</v>
      </c>
      <c r="H67" t="s">
        <v>41</v>
      </c>
      <c r="I67" t="s">
        <v>41</v>
      </c>
      <c r="J67">
        <v>2184.9099120000001</v>
      </c>
      <c r="K67">
        <v>1867.920044</v>
      </c>
      <c r="L67" t="s">
        <v>41</v>
      </c>
    </row>
    <row r="68" spans="1:12" x14ac:dyDescent="0.25">
      <c r="A68" t="s">
        <v>64</v>
      </c>
      <c r="B68" t="s">
        <v>65</v>
      </c>
      <c r="C68" t="s">
        <v>87</v>
      </c>
      <c r="D68" t="s">
        <v>88</v>
      </c>
      <c r="E68" t="s">
        <v>49</v>
      </c>
      <c r="F68" t="s">
        <v>41</v>
      </c>
      <c r="G68" t="s">
        <v>41</v>
      </c>
      <c r="H68" t="s">
        <v>41</v>
      </c>
      <c r="I68" t="s">
        <v>41</v>
      </c>
      <c r="J68" t="s">
        <v>41</v>
      </c>
      <c r="K68" t="s">
        <v>41</v>
      </c>
      <c r="L68" t="s">
        <v>41</v>
      </c>
    </row>
    <row r="69" spans="1:12" x14ac:dyDescent="0.25">
      <c r="A69" t="s">
        <v>66</v>
      </c>
      <c r="B69" t="s">
        <v>67</v>
      </c>
      <c r="C69" t="s">
        <v>87</v>
      </c>
      <c r="D69" t="s">
        <v>88</v>
      </c>
      <c r="E69" t="s">
        <v>49</v>
      </c>
      <c r="F69">
        <v>90.777801510000003</v>
      </c>
      <c r="G69" t="s">
        <v>41</v>
      </c>
      <c r="H69">
        <v>98.904403689999995</v>
      </c>
      <c r="I69">
        <v>94.292503359999998</v>
      </c>
      <c r="J69">
        <v>102.7360001</v>
      </c>
      <c r="K69" t="s">
        <v>41</v>
      </c>
      <c r="L69" t="s">
        <v>41</v>
      </c>
    </row>
    <row r="70" spans="1:12" x14ac:dyDescent="0.25">
      <c r="A70" t="s">
        <v>68</v>
      </c>
      <c r="B70" t="s">
        <v>69</v>
      </c>
      <c r="C70" t="s">
        <v>87</v>
      </c>
      <c r="D70" t="s">
        <v>88</v>
      </c>
      <c r="E70" t="s">
        <v>49</v>
      </c>
      <c r="F70">
        <v>309.26000979999998</v>
      </c>
      <c r="G70" t="s">
        <v>41</v>
      </c>
      <c r="H70">
        <v>296.51199339999999</v>
      </c>
      <c r="I70" t="s">
        <v>41</v>
      </c>
      <c r="J70" t="s">
        <v>41</v>
      </c>
      <c r="K70" t="s">
        <v>41</v>
      </c>
      <c r="L70" t="s">
        <v>41</v>
      </c>
    </row>
    <row r="71" spans="1:12" x14ac:dyDescent="0.25">
      <c r="A71" t="s">
        <v>70</v>
      </c>
      <c r="B71" t="s">
        <v>71</v>
      </c>
      <c r="C71" t="s">
        <v>87</v>
      </c>
      <c r="D71" t="s">
        <v>88</v>
      </c>
      <c r="E71" t="s">
        <v>49</v>
      </c>
      <c r="F71">
        <v>104.8519974</v>
      </c>
      <c r="G71">
        <v>91.710800169999999</v>
      </c>
      <c r="H71">
        <v>86.152496339999999</v>
      </c>
      <c r="I71">
        <v>77.636703490000002</v>
      </c>
      <c r="J71">
        <v>76.08159637</v>
      </c>
      <c r="K71">
        <v>82.207901000000007</v>
      </c>
      <c r="L71">
        <v>81.64949799</v>
      </c>
    </row>
    <row r="72" spans="1:12" x14ac:dyDescent="0.25">
      <c r="A72" t="s">
        <v>72</v>
      </c>
      <c r="B72" t="s">
        <v>73</v>
      </c>
      <c r="C72" t="s">
        <v>87</v>
      </c>
      <c r="D72" t="s">
        <v>88</v>
      </c>
      <c r="E72" t="s">
        <v>49</v>
      </c>
      <c r="F72">
        <v>284.4100037</v>
      </c>
      <c r="G72">
        <v>257.5759888</v>
      </c>
      <c r="H72">
        <v>265.89300539999999</v>
      </c>
      <c r="I72">
        <v>266.57299799999998</v>
      </c>
      <c r="J72">
        <v>263.48199460000001</v>
      </c>
      <c r="K72">
        <v>278.70400999999998</v>
      </c>
      <c r="L72">
        <v>286.0490112</v>
      </c>
    </row>
    <row r="73" spans="1:12" x14ac:dyDescent="0.25">
      <c r="A73" t="s">
        <v>74</v>
      </c>
      <c r="B73" t="s">
        <v>75</v>
      </c>
      <c r="C73" t="s">
        <v>87</v>
      </c>
      <c r="D73" t="s">
        <v>88</v>
      </c>
      <c r="E73" t="s">
        <v>49</v>
      </c>
      <c r="F73">
        <v>6297.2998049999997</v>
      </c>
      <c r="G73">
        <v>6173.3999020000001</v>
      </c>
      <c r="H73">
        <v>5375.7299800000001</v>
      </c>
      <c r="I73">
        <v>4373.5400390000004</v>
      </c>
      <c r="J73">
        <v>4192.5200199999999</v>
      </c>
      <c r="K73">
        <v>4666.5097660000001</v>
      </c>
      <c r="L73" t="s">
        <v>41</v>
      </c>
    </row>
    <row r="74" spans="1:12" x14ac:dyDescent="0.25">
      <c r="A74" t="s">
        <v>76</v>
      </c>
      <c r="B74" t="s">
        <v>77</v>
      </c>
      <c r="C74" t="s">
        <v>87</v>
      </c>
      <c r="D74" t="s">
        <v>88</v>
      </c>
      <c r="E74" t="s">
        <v>49</v>
      </c>
      <c r="F74">
        <v>610.78698729999996</v>
      </c>
      <c r="G74">
        <v>692.36798099999999</v>
      </c>
      <c r="H74">
        <v>669.37597659999994</v>
      </c>
      <c r="I74">
        <v>638.88897710000003</v>
      </c>
      <c r="J74">
        <v>1206.1099850000001</v>
      </c>
      <c r="K74" t="s">
        <v>41</v>
      </c>
      <c r="L74" t="s">
        <v>41</v>
      </c>
    </row>
    <row r="75" spans="1:12" x14ac:dyDescent="0.25">
      <c r="A75" t="s">
        <v>78</v>
      </c>
      <c r="B75" t="s">
        <v>79</v>
      </c>
      <c r="C75" t="s">
        <v>87</v>
      </c>
      <c r="D75" t="s">
        <v>88</v>
      </c>
      <c r="E75" t="s">
        <v>49</v>
      </c>
      <c r="F75">
        <v>150.91400150000001</v>
      </c>
      <c r="G75">
        <v>167.60699460000001</v>
      </c>
      <c r="H75">
        <v>155.24299619999999</v>
      </c>
      <c r="I75">
        <v>160.4060059</v>
      </c>
      <c r="J75">
        <v>160.72999569999999</v>
      </c>
      <c r="K75" t="s">
        <v>41</v>
      </c>
      <c r="L75" t="s">
        <v>41</v>
      </c>
    </row>
    <row r="76" spans="1:12" x14ac:dyDescent="0.25">
      <c r="A76" t="s">
        <v>80</v>
      </c>
      <c r="B76" t="s">
        <v>81</v>
      </c>
      <c r="C76" t="s">
        <v>87</v>
      </c>
      <c r="D76" t="s">
        <v>88</v>
      </c>
      <c r="E76" t="s">
        <v>49</v>
      </c>
      <c r="F76">
        <v>412.27899170000001</v>
      </c>
      <c r="G76">
        <v>421.48699950000002</v>
      </c>
      <c r="H76">
        <v>423.3059998</v>
      </c>
      <c r="I76">
        <v>409.55099489999998</v>
      </c>
      <c r="J76">
        <v>358.2990112</v>
      </c>
      <c r="K76">
        <v>250.2220001</v>
      </c>
      <c r="L76" t="s">
        <v>41</v>
      </c>
    </row>
    <row r="77" spans="1:12" x14ac:dyDescent="0.25">
      <c r="A77" t="s">
        <v>89</v>
      </c>
      <c r="B77" t="s">
        <v>41</v>
      </c>
      <c r="C77" t="s">
        <v>41</v>
      </c>
      <c r="D77" t="s">
        <v>41</v>
      </c>
      <c r="E77" t="s">
        <v>44</v>
      </c>
      <c r="F77">
        <v>70.933998110000005</v>
      </c>
      <c r="G77">
        <v>46.445949554999999</v>
      </c>
      <c r="H77">
        <v>73.625247954999992</v>
      </c>
      <c r="I77">
        <v>82.898498534999987</v>
      </c>
      <c r="J77">
        <v>101.8980026</v>
      </c>
      <c r="K77">
        <v>184.67450335000001</v>
      </c>
      <c r="L77">
        <v>156.5249939</v>
      </c>
    </row>
    <row r="78" spans="1:12" x14ac:dyDescent="0.25">
      <c r="A78" t="s">
        <v>45</v>
      </c>
      <c r="B78" t="s">
        <v>46</v>
      </c>
      <c r="C78" t="s">
        <v>90</v>
      </c>
      <c r="D78" t="s">
        <v>91</v>
      </c>
      <c r="E78" t="s">
        <v>49</v>
      </c>
      <c r="F78" t="s">
        <v>41</v>
      </c>
      <c r="G78" t="s">
        <v>41</v>
      </c>
      <c r="H78" t="s">
        <v>41</v>
      </c>
      <c r="I78" t="s">
        <v>41</v>
      </c>
      <c r="J78">
        <v>101.8980026</v>
      </c>
      <c r="K78">
        <v>111.5739975</v>
      </c>
      <c r="L78" t="s">
        <v>41</v>
      </c>
    </row>
    <row r="79" spans="1:12" x14ac:dyDescent="0.25">
      <c r="A79" t="s">
        <v>50</v>
      </c>
      <c r="B79" t="s">
        <v>51</v>
      </c>
      <c r="C79" t="s">
        <v>90</v>
      </c>
      <c r="D79" t="s">
        <v>91</v>
      </c>
      <c r="E79" t="s">
        <v>49</v>
      </c>
      <c r="F79" t="s">
        <v>41</v>
      </c>
      <c r="G79" t="s">
        <v>41</v>
      </c>
      <c r="H79" t="s">
        <v>41</v>
      </c>
      <c r="I79" t="s">
        <v>41</v>
      </c>
      <c r="J79" t="s">
        <v>41</v>
      </c>
      <c r="K79" t="s">
        <v>41</v>
      </c>
      <c r="L79" t="s">
        <v>41</v>
      </c>
    </row>
    <row r="80" spans="1:12" x14ac:dyDescent="0.25">
      <c r="A80" t="s">
        <v>52</v>
      </c>
      <c r="B80" t="s">
        <v>53</v>
      </c>
      <c r="C80" t="s">
        <v>90</v>
      </c>
      <c r="D80" t="s">
        <v>91</v>
      </c>
      <c r="E80" t="s">
        <v>49</v>
      </c>
      <c r="F80" t="s">
        <v>41</v>
      </c>
      <c r="G80">
        <v>0</v>
      </c>
      <c r="H80">
        <v>193.92399599999999</v>
      </c>
      <c r="I80">
        <v>102.4309998</v>
      </c>
      <c r="J80">
        <v>130.38900760000001</v>
      </c>
      <c r="K80">
        <v>243.7400055</v>
      </c>
      <c r="L80">
        <v>210.4160004</v>
      </c>
    </row>
    <row r="81" spans="1:12" x14ac:dyDescent="0.25">
      <c r="A81" t="s">
        <v>54</v>
      </c>
      <c r="B81" t="s">
        <v>55</v>
      </c>
      <c r="C81" t="s">
        <v>90</v>
      </c>
      <c r="D81" t="s">
        <v>91</v>
      </c>
      <c r="E81" t="s">
        <v>49</v>
      </c>
      <c r="F81" t="s">
        <v>41</v>
      </c>
      <c r="G81" t="s">
        <v>41</v>
      </c>
      <c r="H81" t="s">
        <v>41</v>
      </c>
      <c r="I81">
        <v>87.863998409999994</v>
      </c>
      <c r="J81">
        <v>70.157997129999998</v>
      </c>
      <c r="K81">
        <v>82.078002929999997</v>
      </c>
      <c r="L81">
        <v>156.5249939</v>
      </c>
    </row>
    <row r="82" spans="1:12" x14ac:dyDescent="0.25">
      <c r="A82" t="s">
        <v>56</v>
      </c>
      <c r="B82" t="s">
        <v>57</v>
      </c>
      <c r="C82" t="s">
        <v>90</v>
      </c>
      <c r="D82" t="s">
        <v>91</v>
      </c>
      <c r="E82" t="s">
        <v>49</v>
      </c>
      <c r="F82" t="s">
        <v>41</v>
      </c>
      <c r="G82" t="s">
        <v>41</v>
      </c>
      <c r="H82" t="s">
        <v>41</v>
      </c>
      <c r="I82" t="s">
        <v>41</v>
      </c>
      <c r="J82" t="s">
        <v>41</v>
      </c>
      <c r="K82" t="s">
        <v>41</v>
      </c>
      <c r="L82" t="s">
        <v>41</v>
      </c>
    </row>
    <row r="83" spans="1:12" x14ac:dyDescent="0.25">
      <c r="A83" t="s">
        <v>58</v>
      </c>
      <c r="B83" t="s">
        <v>59</v>
      </c>
      <c r="C83" t="s">
        <v>90</v>
      </c>
      <c r="D83" t="s">
        <v>91</v>
      </c>
      <c r="E83" t="s">
        <v>49</v>
      </c>
      <c r="F83">
        <v>23.639099120000001</v>
      </c>
      <c r="G83">
        <v>25.59790039</v>
      </c>
      <c r="H83">
        <v>21.468599319999999</v>
      </c>
      <c r="I83">
        <v>33.610298159999999</v>
      </c>
      <c r="J83" t="s">
        <v>41</v>
      </c>
      <c r="K83" t="s">
        <v>41</v>
      </c>
      <c r="L83" t="s">
        <v>41</v>
      </c>
    </row>
    <row r="84" spans="1:12" x14ac:dyDescent="0.25">
      <c r="A84" t="s">
        <v>60</v>
      </c>
      <c r="B84" t="s">
        <v>61</v>
      </c>
      <c r="C84" t="s">
        <v>90</v>
      </c>
      <c r="D84" t="s">
        <v>91</v>
      </c>
      <c r="E84" t="s">
        <v>49</v>
      </c>
      <c r="F84" t="s">
        <v>41</v>
      </c>
      <c r="G84" t="s">
        <v>41</v>
      </c>
      <c r="H84" t="s">
        <v>41</v>
      </c>
      <c r="I84" t="s">
        <v>41</v>
      </c>
      <c r="J84" t="s">
        <v>41</v>
      </c>
      <c r="K84" t="s">
        <v>41</v>
      </c>
      <c r="L84" t="s">
        <v>41</v>
      </c>
    </row>
    <row r="85" spans="1:12" x14ac:dyDescent="0.25">
      <c r="A85" t="s">
        <v>62</v>
      </c>
      <c r="B85" t="s">
        <v>63</v>
      </c>
      <c r="C85" t="s">
        <v>90</v>
      </c>
      <c r="D85" t="s">
        <v>91</v>
      </c>
      <c r="E85" t="s">
        <v>49</v>
      </c>
      <c r="F85" t="s">
        <v>41</v>
      </c>
      <c r="G85" t="s">
        <v>41</v>
      </c>
      <c r="H85" t="s">
        <v>41</v>
      </c>
      <c r="I85" t="s">
        <v>41</v>
      </c>
      <c r="J85">
        <v>238.18699649999999</v>
      </c>
      <c r="K85">
        <v>317.60101320000001</v>
      </c>
      <c r="L85" t="s">
        <v>41</v>
      </c>
    </row>
    <row r="86" spans="1:12" x14ac:dyDescent="0.25">
      <c r="A86" t="s">
        <v>64</v>
      </c>
      <c r="B86" t="s">
        <v>65</v>
      </c>
      <c r="C86" t="s">
        <v>90</v>
      </c>
      <c r="D86" t="s">
        <v>91</v>
      </c>
      <c r="E86" t="s">
        <v>49</v>
      </c>
      <c r="F86" t="s">
        <v>41</v>
      </c>
      <c r="G86" t="s">
        <v>41</v>
      </c>
      <c r="H86" t="s">
        <v>41</v>
      </c>
      <c r="I86" t="s">
        <v>41</v>
      </c>
      <c r="J86" t="s">
        <v>41</v>
      </c>
      <c r="K86" t="s">
        <v>41</v>
      </c>
      <c r="L86" t="s">
        <v>41</v>
      </c>
    </row>
    <row r="87" spans="1:12" x14ac:dyDescent="0.25">
      <c r="A87" t="s">
        <v>66</v>
      </c>
      <c r="B87" t="s">
        <v>67</v>
      </c>
      <c r="C87" t="s">
        <v>90</v>
      </c>
      <c r="D87" t="s">
        <v>91</v>
      </c>
      <c r="E87" t="s">
        <v>49</v>
      </c>
      <c r="F87" t="s">
        <v>41</v>
      </c>
      <c r="G87" t="s">
        <v>41</v>
      </c>
      <c r="H87" t="s">
        <v>41</v>
      </c>
      <c r="I87">
        <v>4.5408301350000002</v>
      </c>
      <c r="J87">
        <v>11.748100279999999</v>
      </c>
      <c r="K87" t="s">
        <v>41</v>
      </c>
      <c r="L87" t="s">
        <v>41</v>
      </c>
    </row>
    <row r="88" spans="1:12" x14ac:dyDescent="0.25">
      <c r="A88" t="s">
        <v>68</v>
      </c>
      <c r="B88" t="s">
        <v>69</v>
      </c>
      <c r="C88" t="s">
        <v>90</v>
      </c>
      <c r="D88" t="s">
        <v>91</v>
      </c>
      <c r="E88" t="s">
        <v>49</v>
      </c>
      <c r="F88" t="s">
        <v>41</v>
      </c>
      <c r="G88" t="s">
        <v>41</v>
      </c>
      <c r="H88" t="s">
        <v>41</v>
      </c>
      <c r="I88" t="s">
        <v>41</v>
      </c>
      <c r="J88" t="s">
        <v>41</v>
      </c>
      <c r="K88" t="s">
        <v>41</v>
      </c>
      <c r="L88" t="s">
        <v>41</v>
      </c>
    </row>
    <row r="89" spans="1:12" x14ac:dyDescent="0.25">
      <c r="A89" t="s">
        <v>70</v>
      </c>
      <c r="B89" t="s">
        <v>71</v>
      </c>
      <c r="C89" t="s">
        <v>90</v>
      </c>
      <c r="D89" t="s">
        <v>91</v>
      </c>
      <c r="E89" t="s">
        <v>49</v>
      </c>
      <c r="F89" t="s">
        <v>41</v>
      </c>
      <c r="G89" t="s">
        <v>41</v>
      </c>
      <c r="H89" t="s">
        <v>41</v>
      </c>
      <c r="I89" t="s">
        <v>41</v>
      </c>
      <c r="J89" t="s">
        <v>41</v>
      </c>
      <c r="K89" t="s">
        <v>41</v>
      </c>
      <c r="L89" t="s">
        <v>41</v>
      </c>
    </row>
    <row r="90" spans="1:12" x14ac:dyDescent="0.25">
      <c r="A90" t="s">
        <v>72</v>
      </c>
      <c r="B90" t="s">
        <v>73</v>
      </c>
      <c r="C90" t="s">
        <v>90</v>
      </c>
      <c r="D90" t="s">
        <v>91</v>
      </c>
      <c r="E90" t="s">
        <v>49</v>
      </c>
      <c r="F90">
        <v>75.674201969999999</v>
      </c>
      <c r="G90">
        <v>74.986297609999994</v>
      </c>
      <c r="H90">
        <v>69.803497309999997</v>
      </c>
      <c r="I90">
        <v>118.9029999</v>
      </c>
      <c r="J90">
        <v>113.072998</v>
      </c>
      <c r="K90">
        <v>125.60900119999999</v>
      </c>
      <c r="L90">
        <v>124.8219986</v>
      </c>
    </row>
    <row r="91" spans="1:12" x14ac:dyDescent="0.25">
      <c r="A91" t="s">
        <v>74</v>
      </c>
      <c r="B91" t="s">
        <v>75</v>
      </c>
      <c r="C91" t="s">
        <v>90</v>
      </c>
      <c r="D91" t="s">
        <v>91</v>
      </c>
      <c r="E91" t="s">
        <v>49</v>
      </c>
      <c r="F91">
        <v>579.67901610000001</v>
      </c>
      <c r="G91">
        <v>683.29400629999998</v>
      </c>
      <c r="H91">
        <v>679.23199460000001</v>
      </c>
      <c r="I91">
        <v>783</v>
      </c>
      <c r="J91">
        <v>778.85900879999997</v>
      </c>
      <c r="K91">
        <v>1520.420044</v>
      </c>
      <c r="L91" t="s">
        <v>41</v>
      </c>
    </row>
    <row r="92" spans="1:12" x14ac:dyDescent="0.25">
      <c r="A92" t="s">
        <v>76</v>
      </c>
      <c r="B92" t="s">
        <v>77</v>
      </c>
      <c r="C92" t="s">
        <v>90</v>
      </c>
      <c r="D92" t="s">
        <v>91</v>
      </c>
      <c r="E92" t="s">
        <v>49</v>
      </c>
      <c r="F92">
        <v>11.45610046</v>
      </c>
      <c r="G92">
        <v>14.73630047</v>
      </c>
      <c r="H92">
        <v>18.598899840000001</v>
      </c>
      <c r="I92">
        <v>46.319400790000003</v>
      </c>
      <c r="J92">
        <v>50.277500150000002</v>
      </c>
      <c r="K92" t="s">
        <v>41</v>
      </c>
      <c r="L92" t="s">
        <v>41</v>
      </c>
    </row>
    <row r="93" spans="1:12" x14ac:dyDescent="0.25">
      <c r="A93" t="s">
        <v>78</v>
      </c>
      <c r="B93" t="s">
        <v>79</v>
      </c>
      <c r="C93" t="s">
        <v>90</v>
      </c>
      <c r="D93" t="s">
        <v>91</v>
      </c>
      <c r="E93" t="s">
        <v>49</v>
      </c>
      <c r="F93" t="s">
        <v>41</v>
      </c>
      <c r="G93" t="s">
        <v>41</v>
      </c>
      <c r="H93" t="s">
        <v>41</v>
      </c>
      <c r="I93" t="s">
        <v>41</v>
      </c>
      <c r="J93" t="s">
        <v>41</v>
      </c>
      <c r="K93" t="s">
        <v>41</v>
      </c>
      <c r="L93" t="s">
        <v>41</v>
      </c>
    </row>
    <row r="94" spans="1:12" x14ac:dyDescent="0.25">
      <c r="A94" t="s">
        <v>80</v>
      </c>
      <c r="B94" t="s">
        <v>81</v>
      </c>
      <c r="C94" t="s">
        <v>90</v>
      </c>
      <c r="D94" t="s">
        <v>91</v>
      </c>
      <c r="E94" t="s">
        <v>49</v>
      </c>
      <c r="F94">
        <v>70.933998110000005</v>
      </c>
      <c r="G94">
        <v>67.293998720000005</v>
      </c>
      <c r="H94">
        <v>77.446998600000001</v>
      </c>
      <c r="I94">
        <v>77.932998659999996</v>
      </c>
      <c r="J94">
        <v>93.335998540000006</v>
      </c>
      <c r="K94" t="s">
        <v>41</v>
      </c>
      <c r="L94" t="s">
        <v>41</v>
      </c>
    </row>
    <row r="95" spans="1:12" x14ac:dyDescent="0.25">
      <c r="A95" t="s">
        <v>92</v>
      </c>
      <c r="B95" t="s">
        <v>41</v>
      </c>
      <c r="C95" t="s">
        <v>41</v>
      </c>
      <c r="D95" t="s">
        <v>41</v>
      </c>
      <c r="E95" t="s">
        <v>42</v>
      </c>
      <c r="F95" t="s">
        <v>41</v>
      </c>
      <c r="G95" t="s">
        <v>41</v>
      </c>
      <c r="H95" t="s">
        <v>41</v>
      </c>
      <c r="I95" t="s">
        <v>41</v>
      </c>
      <c r="J95" t="s">
        <v>41</v>
      </c>
      <c r="K95" t="s">
        <v>41</v>
      </c>
      <c r="L95" t="s">
        <v>41</v>
      </c>
    </row>
    <row r="96" spans="1:12" x14ac:dyDescent="0.25">
      <c r="A96" t="s">
        <v>86</v>
      </c>
      <c r="B96" t="s">
        <v>41</v>
      </c>
      <c r="C96" t="s">
        <v>41</v>
      </c>
      <c r="D96" t="s">
        <v>41</v>
      </c>
      <c r="E96" t="s">
        <v>44</v>
      </c>
      <c r="F96">
        <v>325.30700680000001</v>
      </c>
      <c r="G96">
        <v>376.66799930000002</v>
      </c>
      <c r="H96">
        <v>361.96000674999999</v>
      </c>
      <c r="I96">
        <v>409.55099489999998</v>
      </c>
      <c r="J96">
        <v>412.31298829999997</v>
      </c>
      <c r="K96">
        <v>434.61499025000001</v>
      </c>
      <c r="L96">
        <v>327.05850220000002</v>
      </c>
    </row>
    <row r="97" spans="1:12" x14ac:dyDescent="0.25">
      <c r="A97" t="s">
        <v>45</v>
      </c>
      <c r="B97" t="s">
        <v>46</v>
      </c>
      <c r="C97" t="s">
        <v>87</v>
      </c>
      <c r="D97" t="s">
        <v>88</v>
      </c>
      <c r="E97" t="s">
        <v>49</v>
      </c>
      <c r="F97">
        <v>413.30398559999998</v>
      </c>
      <c r="G97">
        <v>436.31600950000001</v>
      </c>
      <c r="H97">
        <v>469.3059998</v>
      </c>
      <c r="I97">
        <v>512.28997800000002</v>
      </c>
      <c r="J97">
        <v>499.04800419999998</v>
      </c>
      <c r="K97">
        <v>489.07998659999998</v>
      </c>
      <c r="L97" t="s">
        <v>41</v>
      </c>
    </row>
    <row r="98" spans="1:12" x14ac:dyDescent="0.25">
      <c r="A98" t="s">
        <v>50</v>
      </c>
      <c r="B98" t="s">
        <v>51</v>
      </c>
      <c r="C98" t="s">
        <v>87</v>
      </c>
      <c r="D98" t="s">
        <v>88</v>
      </c>
      <c r="E98" t="s">
        <v>49</v>
      </c>
      <c r="F98" t="s">
        <v>41</v>
      </c>
      <c r="G98" t="s">
        <v>41</v>
      </c>
      <c r="H98" t="s">
        <v>41</v>
      </c>
      <c r="I98" t="s">
        <v>41</v>
      </c>
      <c r="J98" t="s">
        <v>41</v>
      </c>
      <c r="K98" t="s">
        <v>41</v>
      </c>
      <c r="L98" t="s">
        <v>41</v>
      </c>
    </row>
    <row r="99" spans="1:12" x14ac:dyDescent="0.25">
      <c r="A99" t="s">
        <v>52</v>
      </c>
      <c r="B99" t="s">
        <v>53</v>
      </c>
      <c r="C99" t="s">
        <v>87</v>
      </c>
      <c r="D99" t="s">
        <v>88</v>
      </c>
      <c r="E99" t="s">
        <v>49</v>
      </c>
      <c r="F99">
        <v>611.28002930000002</v>
      </c>
      <c r="G99">
        <v>575.69000240000003</v>
      </c>
      <c r="H99">
        <v>622.42102050000005</v>
      </c>
      <c r="I99">
        <v>763.40197750000004</v>
      </c>
      <c r="J99">
        <v>774.88897710000003</v>
      </c>
      <c r="K99">
        <v>748.26800539999999</v>
      </c>
      <c r="L99">
        <v>702.39801030000001</v>
      </c>
    </row>
    <row r="100" spans="1:12" x14ac:dyDescent="0.25">
      <c r="A100" t="s">
        <v>54</v>
      </c>
      <c r="B100" t="s">
        <v>55</v>
      </c>
      <c r="C100" t="s">
        <v>87</v>
      </c>
      <c r="D100" t="s">
        <v>88</v>
      </c>
      <c r="E100" t="s">
        <v>49</v>
      </c>
      <c r="F100">
        <v>392.51098630000001</v>
      </c>
      <c r="G100">
        <v>376.66799930000002</v>
      </c>
      <c r="H100">
        <v>432.71600339999998</v>
      </c>
      <c r="I100">
        <v>418.43200680000001</v>
      </c>
      <c r="J100">
        <v>412.31298829999997</v>
      </c>
      <c r="K100">
        <v>380.14999390000003</v>
      </c>
      <c r="L100">
        <v>368.06799319999999</v>
      </c>
    </row>
    <row r="101" spans="1:12" x14ac:dyDescent="0.25">
      <c r="A101" t="s">
        <v>56</v>
      </c>
      <c r="B101" t="s">
        <v>57</v>
      </c>
      <c r="C101" t="s">
        <v>87</v>
      </c>
      <c r="D101" t="s">
        <v>88</v>
      </c>
      <c r="E101" t="s">
        <v>49</v>
      </c>
      <c r="F101">
        <v>325.30700680000001</v>
      </c>
      <c r="G101">
        <v>303.99301150000002</v>
      </c>
      <c r="H101" t="s">
        <v>41</v>
      </c>
      <c r="I101" t="s">
        <v>41</v>
      </c>
      <c r="J101" t="s">
        <v>41</v>
      </c>
      <c r="K101" t="s">
        <v>41</v>
      </c>
      <c r="L101" t="s">
        <v>41</v>
      </c>
    </row>
    <row r="102" spans="1:12" x14ac:dyDescent="0.25">
      <c r="A102" t="s">
        <v>58</v>
      </c>
      <c r="B102" t="s">
        <v>59</v>
      </c>
      <c r="C102" t="s">
        <v>87</v>
      </c>
      <c r="D102" t="s">
        <v>88</v>
      </c>
      <c r="E102" t="s">
        <v>49</v>
      </c>
      <c r="F102">
        <v>259.06201170000003</v>
      </c>
      <c r="G102">
        <v>301.01699830000001</v>
      </c>
      <c r="H102">
        <v>300.61401369999999</v>
      </c>
      <c r="I102">
        <v>67.455497739999998</v>
      </c>
      <c r="J102" t="s">
        <v>41</v>
      </c>
      <c r="K102" t="s">
        <v>41</v>
      </c>
      <c r="L102" t="s">
        <v>41</v>
      </c>
    </row>
    <row r="103" spans="1:12" x14ac:dyDescent="0.25">
      <c r="A103" t="s">
        <v>60</v>
      </c>
      <c r="B103" t="s">
        <v>61</v>
      </c>
      <c r="C103" t="s">
        <v>87</v>
      </c>
      <c r="D103" t="s">
        <v>88</v>
      </c>
      <c r="E103" t="s">
        <v>49</v>
      </c>
      <c r="F103" t="s">
        <v>41</v>
      </c>
      <c r="G103" t="s">
        <v>41</v>
      </c>
      <c r="H103" t="s">
        <v>41</v>
      </c>
      <c r="I103" t="s">
        <v>41</v>
      </c>
      <c r="J103" t="s">
        <v>41</v>
      </c>
      <c r="K103" t="s">
        <v>41</v>
      </c>
      <c r="L103" t="s">
        <v>41</v>
      </c>
    </row>
    <row r="104" spans="1:12" x14ac:dyDescent="0.25">
      <c r="A104" t="s">
        <v>62</v>
      </c>
      <c r="B104" t="s">
        <v>63</v>
      </c>
      <c r="C104" t="s">
        <v>87</v>
      </c>
      <c r="D104" t="s">
        <v>88</v>
      </c>
      <c r="E104" t="s">
        <v>49</v>
      </c>
      <c r="F104" t="s">
        <v>41</v>
      </c>
      <c r="G104" t="s">
        <v>41</v>
      </c>
      <c r="H104" t="s">
        <v>41</v>
      </c>
      <c r="I104" t="s">
        <v>41</v>
      </c>
      <c r="J104">
        <v>2184.9099120000001</v>
      </c>
      <c r="K104">
        <v>1867.920044</v>
      </c>
      <c r="L104" t="s">
        <v>41</v>
      </c>
    </row>
    <row r="105" spans="1:12" x14ac:dyDescent="0.25">
      <c r="A105" t="s">
        <v>64</v>
      </c>
      <c r="B105" t="s">
        <v>65</v>
      </c>
      <c r="C105" t="s">
        <v>87</v>
      </c>
      <c r="D105" t="s">
        <v>88</v>
      </c>
      <c r="E105" t="s">
        <v>49</v>
      </c>
      <c r="F105" t="s">
        <v>41</v>
      </c>
      <c r="G105" t="s">
        <v>41</v>
      </c>
      <c r="H105" t="s">
        <v>41</v>
      </c>
      <c r="I105" t="s">
        <v>41</v>
      </c>
      <c r="J105" t="s">
        <v>41</v>
      </c>
      <c r="K105" t="s">
        <v>41</v>
      </c>
      <c r="L105" t="s">
        <v>41</v>
      </c>
    </row>
    <row r="106" spans="1:12" x14ac:dyDescent="0.25">
      <c r="A106" t="s">
        <v>66</v>
      </c>
      <c r="B106" t="s">
        <v>67</v>
      </c>
      <c r="C106" t="s">
        <v>87</v>
      </c>
      <c r="D106" t="s">
        <v>88</v>
      </c>
      <c r="E106" t="s">
        <v>49</v>
      </c>
      <c r="F106">
        <v>90.777801510000003</v>
      </c>
      <c r="G106" t="s">
        <v>41</v>
      </c>
      <c r="H106">
        <v>98.904403689999995</v>
      </c>
      <c r="I106">
        <v>94.292503359999998</v>
      </c>
      <c r="J106">
        <v>102.7360001</v>
      </c>
      <c r="K106" t="s">
        <v>41</v>
      </c>
      <c r="L106" t="s">
        <v>41</v>
      </c>
    </row>
    <row r="107" spans="1:12" x14ac:dyDescent="0.25">
      <c r="A107" t="s">
        <v>68</v>
      </c>
      <c r="B107" t="s">
        <v>69</v>
      </c>
      <c r="C107" t="s">
        <v>87</v>
      </c>
      <c r="D107" t="s">
        <v>88</v>
      </c>
      <c r="E107" t="s">
        <v>49</v>
      </c>
      <c r="F107">
        <v>309.26000979999998</v>
      </c>
      <c r="G107" t="s">
        <v>41</v>
      </c>
      <c r="H107">
        <v>296.51199339999999</v>
      </c>
      <c r="I107" t="s">
        <v>41</v>
      </c>
      <c r="J107" t="s">
        <v>41</v>
      </c>
      <c r="K107" t="s">
        <v>41</v>
      </c>
      <c r="L107" t="s">
        <v>41</v>
      </c>
    </row>
    <row r="108" spans="1:12" x14ac:dyDescent="0.25">
      <c r="A108" t="s">
        <v>70</v>
      </c>
      <c r="B108" t="s">
        <v>71</v>
      </c>
      <c r="C108" t="s">
        <v>87</v>
      </c>
      <c r="D108" t="s">
        <v>88</v>
      </c>
      <c r="E108" t="s">
        <v>49</v>
      </c>
      <c r="F108">
        <v>104.8519974</v>
      </c>
      <c r="G108">
        <v>91.710800169999999</v>
      </c>
      <c r="H108">
        <v>86.152496339999999</v>
      </c>
      <c r="I108">
        <v>77.636703490000002</v>
      </c>
      <c r="J108">
        <v>76.08159637</v>
      </c>
      <c r="K108">
        <v>82.207901000000007</v>
      </c>
      <c r="L108">
        <v>81.64949799</v>
      </c>
    </row>
    <row r="109" spans="1:12" x14ac:dyDescent="0.25">
      <c r="A109" t="s">
        <v>72</v>
      </c>
      <c r="B109" t="s">
        <v>73</v>
      </c>
      <c r="C109" t="s">
        <v>87</v>
      </c>
      <c r="D109" t="s">
        <v>88</v>
      </c>
      <c r="E109" t="s">
        <v>49</v>
      </c>
      <c r="F109">
        <v>284.4100037</v>
      </c>
      <c r="G109">
        <v>257.5759888</v>
      </c>
      <c r="H109">
        <v>265.89300539999999</v>
      </c>
      <c r="I109">
        <v>266.57299799999998</v>
      </c>
      <c r="J109">
        <v>263.48199460000001</v>
      </c>
      <c r="K109">
        <v>278.70400999999998</v>
      </c>
      <c r="L109">
        <v>286.0490112</v>
      </c>
    </row>
    <row r="110" spans="1:12" x14ac:dyDescent="0.25">
      <c r="A110" t="s">
        <v>74</v>
      </c>
      <c r="B110" t="s">
        <v>75</v>
      </c>
      <c r="C110" t="s">
        <v>87</v>
      </c>
      <c r="D110" t="s">
        <v>88</v>
      </c>
      <c r="E110" t="s">
        <v>49</v>
      </c>
      <c r="F110">
        <v>6297.2998049999997</v>
      </c>
      <c r="G110">
        <v>6173.3999020000001</v>
      </c>
      <c r="H110">
        <v>5375.7299800000001</v>
      </c>
      <c r="I110">
        <v>4373.5400390000004</v>
      </c>
      <c r="J110">
        <v>4192.5200199999999</v>
      </c>
      <c r="K110">
        <v>4666.5097660000001</v>
      </c>
      <c r="L110" t="s">
        <v>41</v>
      </c>
    </row>
    <row r="111" spans="1:12" x14ac:dyDescent="0.25">
      <c r="A111" t="s">
        <v>76</v>
      </c>
      <c r="B111" t="s">
        <v>77</v>
      </c>
      <c r="C111" t="s">
        <v>87</v>
      </c>
      <c r="D111" t="s">
        <v>88</v>
      </c>
      <c r="E111" t="s">
        <v>49</v>
      </c>
      <c r="F111">
        <v>610.78698729999996</v>
      </c>
      <c r="G111">
        <v>692.36798099999999</v>
      </c>
      <c r="H111">
        <v>669.37597659999994</v>
      </c>
      <c r="I111">
        <v>638.88897710000003</v>
      </c>
      <c r="J111">
        <v>1206.1099850000001</v>
      </c>
      <c r="K111" t="s">
        <v>41</v>
      </c>
      <c r="L111" t="s">
        <v>41</v>
      </c>
    </row>
    <row r="112" spans="1:12" x14ac:dyDescent="0.25">
      <c r="A112" t="s">
        <v>78</v>
      </c>
      <c r="B112" t="s">
        <v>79</v>
      </c>
      <c r="C112" t="s">
        <v>87</v>
      </c>
      <c r="D112" t="s">
        <v>88</v>
      </c>
      <c r="E112" t="s">
        <v>49</v>
      </c>
      <c r="F112">
        <v>150.91400150000001</v>
      </c>
      <c r="G112">
        <v>167.60699460000001</v>
      </c>
      <c r="H112">
        <v>155.24299619999999</v>
      </c>
      <c r="I112">
        <v>160.4060059</v>
      </c>
      <c r="J112">
        <v>160.72999569999999</v>
      </c>
      <c r="K112" t="s">
        <v>41</v>
      </c>
      <c r="L112" t="s">
        <v>41</v>
      </c>
    </row>
    <row r="113" spans="1:12" x14ac:dyDescent="0.25">
      <c r="A113" t="s">
        <v>80</v>
      </c>
      <c r="B113" t="s">
        <v>81</v>
      </c>
      <c r="C113" t="s">
        <v>87</v>
      </c>
      <c r="D113" t="s">
        <v>88</v>
      </c>
      <c r="E113" t="s">
        <v>49</v>
      </c>
      <c r="F113">
        <v>412.27899170000001</v>
      </c>
      <c r="G113">
        <v>421.48699950000002</v>
      </c>
      <c r="H113">
        <v>423.3059998</v>
      </c>
      <c r="I113">
        <v>409.55099489999998</v>
      </c>
      <c r="J113">
        <v>358.2990112</v>
      </c>
      <c r="K113">
        <v>250.2220001</v>
      </c>
      <c r="L113" t="s">
        <v>41</v>
      </c>
    </row>
    <row r="114" spans="1:12" x14ac:dyDescent="0.25">
      <c r="A114" t="s">
        <v>93</v>
      </c>
      <c r="B114" t="s">
        <v>41</v>
      </c>
      <c r="C114" t="s">
        <v>41</v>
      </c>
      <c r="D114" t="s">
        <v>41</v>
      </c>
      <c r="E114" t="s">
        <v>44</v>
      </c>
      <c r="F114">
        <v>2.3620949390000003</v>
      </c>
      <c r="G114">
        <v>2.8219298720000001</v>
      </c>
      <c r="H114">
        <v>1.66613996</v>
      </c>
      <c r="I114">
        <v>1.70551002</v>
      </c>
      <c r="J114">
        <v>3.0711498854999997</v>
      </c>
      <c r="K114">
        <v>5.1824998855000004</v>
      </c>
      <c r="L114">
        <v>3.6763350964999999</v>
      </c>
    </row>
    <row r="115" spans="1:12" x14ac:dyDescent="0.25">
      <c r="A115" t="s">
        <v>45</v>
      </c>
      <c r="B115" t="s">
        <v>46</v>
      </c>
      <c r="C115" t="s">
        <v>94</v>
      </c>
      <c r="D115" t="s">
        <v>95</v>
      </c>
      <c r="E115" t="s">
        <v>49</v>
      </c>
      <c r="F115" t="s">
        <v>41</v>
      </c>
      <c r="G115" t="s">
        <v>41</v>
      </c>
      <c r="H115" t="s">
        <v>41</v>
      </c>
      <c r="I115">
        <v>0.36000001399999998</v>
      </c>
      <c r="J115">
        <v>0.301999986</v>
      </c>
      <c r="K115">
        <v>0.58300000399999996</v>
      </c>
      <c r="L115" t="s">
        <v>41</v>
      </c>
    </row>
    <row r="116" spans="1:12" x14ac:dyDescent="0.25">
      <c r="A116" t="s">
        <v>50</v>
      </c>
      <c r="B116" t="s">
        <v>51</v>
      </c>
      <c r="C116" t="s">
        <v>94</v>
      </c>
      <c r="D116" t="s">
        <v>95</v>
      </c>
      <c r="E116" t="s">
        <v>49</v>
      </c>
      <c r="F116" t="s">
        <v>41</v>
      </c>
      <c r="G116" t="s">
        <v>41</v>
      </c>
      <c r="H116" t="s">
        <v>41</v>
      </c>
      <c r="I116" t="s">
        <v>41</v>
      </c>
      <c r="J116" t="s">
        <v>41</v>
      </c>
      <c r="K116" t="s">
        <v>41</v>
      </c>
      <c r="L116" t="s">
        <v>41</v>
      </c>
    </row>
    <row r="117" spans="1:12" x14ac:dyDescent="0.25">
      <c r="A117" t="s">
        <v>52</v>
      </c>
      <c r="B117" t="s">
        <v>53</v>
      </c>
      <c r="C117" t="s">
        <v>94</v>
      </c>
      <c r="D117" t="s">
        <v>95</v>
      </c>
      <c r="E117" t="s">
        <v>49</v>
      </c>
      <c r="F117" t="s">
        <v>41</v>
      </c>
      <c r="G117" t="s">
        <v>41</v>
      </c>
      <c r="H117" t="s">
        <v>41</v>
      </c>
      <c r="I117" t="s">
        <v>41</v>
      </c>
      <c r="J117" t="s">
        <v>41</v>
      </c>
      <c r="K117" t="s">
        <v>41</v>
      </c>
      <c r="L117" t="s">
        <v>41</v>
      </c>
    </row>
    <row r="118" spans="1:12" x14ac:dyDescent="0.25">
      <c r="A118" t="s">
        <v>54</v>
      </c>
      <c r="B118" t="s">
        <v>55</v>
      </c>
      <c r="C118" t="s">
        <v>94</v>
      </c>
      <c r="D118" t="s">
        <v>95</v>
      </c>
      <c r="E118" t="s">
        <v>49</v>
      </c>
      <c r="F118">
        <v>3.7179999349999999</v>
      </c>
      <c r="G118">
        <v>4.3319997790000002</v>
      </c>
      <c r="H118">
        <v>5.0929999349999999</v>
      </c>
      <c r="I118">
        <v>4.6009998320000003</v>
      </c>
      <c r="J118">
        <v>4.6799998279999997</v>
      </c>
      <c r="K118">
        <v>4.1599998469999999</v>
      </c>
      <c r="L118">
        <v>5.2010002139999996</v>
      </c>
    </row>
    <row r="119" spans="1:12" x14ac:dyDescent="0.25">
      <c r="A119" t="s">
        <v>56</v>
      </c>
      <c r="B119" t="s">
        <v>57</v>
      </c>
      <c r="C119" t="s">
        <v>94</v>
      </c>
      <c r="D119" t="s">
        <v>95</v>
      </c>
      <c r="E119" t="s">
        <v>49</v>
      </c>
      <c r="F119" t="s">
        <v>41</v>
      </c>
      <c r="G119" t="s">
        <v>41</v>
      </c>
      <c r="H119" t="s">
        <v>41</v>
      </c>
      <c r="I119" t="s">
        <v>41</v>
      </c>
      <c r="J119" t="s">
        <v>41</v>
      </c>
      <c r="K119" t="s">
        <v>41</v>
      </c>
      <c r="L119" t="s">
        <v>41</v>
      </c>
    </row>
    <row r="120" spans="1:12" x14ac:dyDescent="0.25">
      <c r="A120" t="s">
        <v>58</v>
      </c>
      <c r="B120" t="s">
        <v>59</v>
      </c>
      <c r="C120" t="s">
        <v>94</v>
      </c>
      <c r="D120" t="s">
        <v>95</v>
      </c>
      <c r="E120" t="s">
        <v>49</v>
      </c>
      <c r="F120">
        <v>1.019189954</v>
      </c>
      <c r="G120">
        <v>1.311859965</v>
      </c>
      <c r="H120">
        <v>1.66613996</v>
      </c>
      <c r="I120">
        <v>1.70551002</v>
      </c>
      <c r="J120" t="s">
        <v>41</v>
      </c>
      <c r="K120" t="s">
        <v>41</v>
      </c>
      <c r="L120" t="s">
        <v>41</v>
      </c>
    </row>
    <row r="121" spans="1:12" x14ac:dyDescent="0.25">
      <c r="A121" t="s">
        <v>60</v>
      </c>
      <c r="B121" t="s">
        <v>61</v>
      </c>
      <c r="C121" t="s">
        <v>94</v>
      </c>
      <c r="D121" t="s">
        <v>95</v>
      </c>
      <c r="E121" t="s">
        <v>49</v>
      </c>
      <c r="F121" t="s">
        <v>41</v>
      </c>
      <c r="G121" t="s">
        <v>41</v>
      </c>
      <c r="H121" t="s">
        <v>41</v>
      </c>
      <c r="I121" t="s">
        <v>41</v>
      </c>
      <c r="J121" t="s">
        <v>41</v>
      </c>
      <c r="K121" t="s">
        <v>41</v>
      </c>
      <c r="L121" t="s">
        <v>41</v>
      </c>
    </row>
    <row r="122" spans="1:12" x14ac:dyDescent="0.25">
      <c r="A122" t="s">
        <v>62</v>
      </c>
      <c r="B122" t="s">
        <v>63</v>
      </c>
      <c r="C122" t="s">
        <v>94</v>
      </c>
      <c r="D122" t="s">
        <v>95</v>
      </c>
      <c r="E122" t="s">
        <v>49</v>
      </c>
      <c r="F122" t="s">
        <v>41</v>
      </c>
      <c r="G122" t="s">
        <v>41</v>
      </c>
      <c r="H122" t="s">
        <v>41</v>
      </c>
      <c r="I122" t="s">
        <v>41</v>
      </c>
      <c r="J122" t="s">
        <v>41</v>
      </c>
      <c r="K122">
        <v>7920.2299800000001</v>
      </c>
      <c r="L122" t="s">
        <v>41</v>
      </c>
    </row>
    <row r="123" spans="1:12" x14ac:dyDescent="0.25">
      <c r="A123" t="s">
        <v>64</v>
      </c>
      <c r="B123" t="s">
        <v>65</v>
      </c>
      <c r="C123" t="s">
        <v>94</v>
      </c>
      <c r="D123" t="s">
        <v>95</v>
      </c>
      <c r="E123" t="s">
        <v>49</v>
      </c>
      <c r="F123" t="s">
        <v>41</v>
      </c>
      <c r="G123" t="s">
        <v>41</v>
      </c>
      <c r="H123" t="s">
        <v>41</v>
      </c>
      <c r="I123" t="s">
        <v>41</v>
      </c>
      <c r="J123" t="s">
        <v>41</v>
      </c>
      <c r="K123" t="s">
        <v>41</v>
      </c>
      <c r="L123" t="s">
        <v>41</v>
      </c>
    </row>
    <row r="124" spans="1:12" x14ac:dyDescent="0.25">
      <c r="A124" t="s">
        <v>66</v>
      </c>
      <c r="B124" t="s">
        <v>67</v>
      </c>
      <c r="C124" t="s">
        <v>94</v>
      </c>
      <c r="D124" t="s">
        <v>95</v>
      </c>
      <c r="E124" t="s">
        <v>49</v>
      </c>
      <c r="F124" t="s">
        <v>41</v>
      </c>
      <c r="G124" t="s">
        <v>41</v>
      </c>
      <c r="H124">
        <v>0.105435997</v>
      </c>
      <c r="I124">
        <v>1.0821199420000001</v>
      </c>
      <c r="J124">
        <v>1.375069976</v>
      </c>
      <c r="K124" t="s">
        <v>41</v>
      </c>
      <c r="L124" t="s">
        <v>41</v>
      </c>
    </row>
    <row r="125" spans="1:12" x14ac:dyDescent="0.25">
      <c r="A125" t="s">
        <v>68</v>
      </c>
      <c r="B125" t="s">
        <v>69</v>
      </c>
      <c r="C125" t="s">
        <v>94</v>
      </c>
      <c r="D125" t="s">
        <v>95</v>
      </c>
      <c r="E125" t="s">
        <v>49</v>
      </c>
      <c r="F125" t="s">
        <v>41</v>
      </c>
      <c r="G125" t="s">
        <v>41</v>
      </c>
      <c r="H125" t="s">
        <v>41</v>
      </c>
      <c r="I125" t="s">
        <v>41</v>
      </c>
      <c r="J125" t="s">
        <v>41</v>
      </c>
      <c r="K125" t="s">
        <v>41</v>
      </c>
      <c r="L125" t="s">
        <v>41</v>
      </c>
    </row>
    <row r="126" spans="1:12" x14ac:dyDescent="0.25">
      <c r="A126" t="s">
        <v>70</v>
      </c>
      <c r="B126" t="s">
        <v>71</v>
      </c>
      <c r="C126" t="s">
        <v>94</v>
      </c>
      <c r="D126" t="s">
        <v>95</v>
      </c>
      <c r="E126" t="s">
        <v>49</v>
      </c>
      <c r="F126">
        <v>0.80998998899999997</v>
      </c>
      <c r="G126">
        <v>0.65717202399999997</v>
      </c>
      <c r="H126">
        <v>0.94392198299999996</v>
      </c>
      <c r="I126">
        <v>1.1050100329999999</v>
      </c>
      <c r="J126">
        <v>1.4622999430000001</v>
      </c>
      <c r="K126">
        <v>2.3327898980000001</v>
      </c>
      <c r="L126">
        <v>2.1516699789999998</v>
      </c>
    </row>
    <row r="127" spans="1:12" x14ac:dyDescent="0.25">
      <c r="A127" t="s">
        <v>72</v>
      </c>
      <c r="B127" t="s">
        <v>73</v>
      </c>
      <c r="C127" t="s">
        <v>94</v>
      </c>
      <c r="D127" t="s">
        <v>95</v>
      </c>
      <c r="E127" t="s">
        <v>49</v>
      </c>
      <c r="F127" t="s">
        <v>41</v>
      </c>
      <c r="G127" t="s">
        <v>41</v>
      </c>
      <c r="H127" t="s">
        <v>41</v>
      </c>
      <c r="I127" t="s">
        <v>41</v>
      </c>
      <c r="J127" t="s">
        <v>41</v>
      </c>
      <c r="K127" t="s">
        <v>41</v>
      </c>
      <c r="L127" t="s">
        <v>41</v>
      </c>
    </row>
    <row r="128" spans="1:12" x14ac:dyDescent="0.25">
      <c r="A128" t="s">
        <v>74</v>
      </c>
      <c r="B128" t="s">
        <v>75</v>
      </c>
      <c r="C128" t="s">
        <v>94</v>
      </c>
      <c r="D128" t="s">
        <v>95</v>
      </c>
      <c r="E128" t="s">
        <v>49</v>
      </c>
      <c r="F128">
        <v>72.51499939</v>
      </c>
      <c r="G128">
        <v>110.72899630000001</v>
      </c>
      <c r="H128">
        <v>56.229900360000002</v>
      </c>
      <c r="I128">
        <v>45.36000061</v>
      </c>
      <c r="J128">
        <v>38.36000061</v>
      </c>
      <c r="K128">
        <v>35.959999080000003</v>
      </c>
      <c r="L128" t="s">
        <v>41</v>
      </c>
    </row>
    <row r="129" spans="1:12" x14ac:dyDescent="0.25">
      <c r="A129" t="s">
        <v>76</v>
      </c>
      <c r="B129" t="s">
        <v>77</v>
      </c>
      <c r="C129" t="s">
        <v>94</v>
      </c>
      <c r="D129" t="s">
        <v>95</v>
      </c>
      <c r="E129" t="s">
        <v>49</v>
      </c>
      <c r="F129" t="s">
        <v>41</v>
      </c>
      <c r="G129" t="s">
        <v>41</v>
      </c>
      <c r="H129" t="s">
        <v>41</v>
      </c>
      <c r="I129">
        <v>5.3020000459999999</v>
      </c>
      <c r="J129">
        <v>5.9450001720000003</v>
      </c>
      <c r="K129" t="s">
        <v>41</v>
      </c>
      <c r="L129" t="s">
        <v>41</v>
      </c>
    </row>
    <row r="130" spans="1:12" x14ac:dyDescent="0.25">
      <c r="A130" t="s">
        <v>78</v>
      </c>
      <c r="B130" t="s">
        <v>79</v>
      </c>
      <c r="C130" t="s">
        <v>94</v>
      </c>
      <c r="D130" t="s">
        <v>95</v>
      </c>
      <c r="E130" t="s">
        <v>49</v>
      </c>
      <c r="F130">
        <v>0.398999989</v>
      </c>
      <c r="G130">
        <v>0.58300000399999996</v>
      </c>
      <c r="H130">
        <v>0.64200002</v>
      </c>
      <c r="I130">
        <v>0.84637999500000005</v>
      </c>
      <c r="J130">
        <v>0.90806001400000003</v>
      </c>
      <c r="K130" t="s">
        <v>41</v>
      </c>
      <c r="L130" t="s">
        <v>41</v>
      </c>
    </row>
    <row r="131" spans="1:12" x14ac:dyDescent="0.25">
      <c r="A131" t="s">
        <v>80</v>
      </c>
      <c r="B131" t="s">
        <v>81</v>
      </c>
      <c r="C131" t="s">
        <v>94</v>
      </c>
      <c r="D131" t="s">
        <v>95</v>
      </c>
      <c r="E131" t="s">
        <v>49</v>
      </c>
      <c r="F131">
        <v>3.704999924</v>
      </c>
      <c r="G131">
        <v>4.566999912</v>
      </c>
      <c r="H131">
        <v>6.7039999960000003</v>
      </c>
      <c r="I131">
        <v>4.3379998210000004</v>
      </c>
      <c r="J131">
        <v>5.0060000420000001</v>
      </c>
      <c r="K131">
        <v>6.204999924</v>
      </c>
      <c r="L131" t="s">
        <v>41</v>
      </c>
    </row>
    <row r="132" spans="1:12" x14ac:dyDescent="0.25">
      <c r="A132" t="s">
        <v>96</v>
      </c>
      <c r="B132" t="s">
        <v>41</v>
      </c>
      <c r="C132" t="s">
        <v>41</v>
      </c>
      <c r="D132" t="s">
        <v>41</v>
      </c>
      <c r="E132" t="s">
        <v>44</v>
      </c>
      <c r="F132">
        <v>2.1748299599999998</v>
      </c>
      <c r="G132">
        <v>4.2203598019999999</v>
      </c>
      <c r="H132">
        <v>3.7446800469999997</v>
      </c>
      <c r="I132">
        <v>2.2430000305000002</v>
      </c>
      <c r="J132">
        <v>3.9662499430000002</v>
      </c>
      <c r="K132">
        <v>18.017674924000001</v>
      </c>
      <c r="L132">
        <v>1.2029999490000001</v>
      </c>
    </row>
    <row r="133" spans="1:12" x14ac:dyDescent="0.25">
      <c r="A133" t="s">
        <v>45</v>
      </c>
      <c r="B133" t="s">
        <v>46</v>
      </c>
      <c r="C133" t="s">
        <v>97</v>
      </c>
      <c r="D133" t="s">
        <v>98</v>
      </c>
      <c r="E133" t="s">
        <v>49</v>
      </c>
      <c r="F133" t="s">
        <v>41</v>
      </c>
      <c r="G133" t="s">
        <v>41</v>
      </c>
      <c r="H133" t="s">
        <v>41</v>
      </c>
      <c r="I133" t="s">
        <v>41</v>
      </c>
      <c r="J133" t="s">
        <v>41</v>
      </c>
      <c r="K133" t="s">
        <v>41</v>
      </c>
      <c r="L133" t="s">
        <v>41</v>
      </c>
    </row>
    <row r="134" spans="1:12" x14ac:dyDescent="0.25">
      <c r="A134" t="s">
        <v>50</v>
      </c>
      <c r="B134" t="s">
        <v>51</v>
      </c>
      <c r="C134" t="s">
        <v>97</v>
      </c>
      <c r="D134" t="s">
        <v>98</v>
      </c>
      <c r="E134" t="s">
        <v>49</v>
      </c>
      <c r="F134" t="s">
        <v>41</v>
      </c>
      <c r="G134" t="s">
        <v>41</v>
      </c>
      <c r="H134" t="s">
        <v>41</v>
      </c>
      <c r="I134" t="s">
        <v>41</v>
      </c>
      <c r="J134" t="s">
        <v>41</v>
      </c>
      <c r="K134" t="s">
        <v>41</v>
      </c>
      <c r="L134" t="s">
        <v>41</v>
      </c>
    </row>
    <row r="135" spans="1:12" x14ac:dyDescent="0.25">
      <c r="A135" t="s">
        <v>52</v>
      </c>
      <c r="B135" t="s">
        <v>53</v>
      </c>
      <c r="C135" t="s">
        <v>97</v>
      </c>
      <c r="D135" t="s">
        <v>98</v>
      </c>
      <c r="E135" t="s">
        <v>49</v>
      </c>
      <c r="F135" t="s">
        <v>41</v>
      </c>
      <c r="G135" t="s">
        <v>41</v>
      </c>
      <c r="H135" t="s">
        <v>41</v>
      </c>
      <c r="I135" t="s">
        <v>41</v>
      </c>
      <c r="J135" t="s">
        <v>41</v>
      </c>
      <c r="K135" t="s">
        <v>41</v>
      </c>
      <c r="L135" t="s">
        <v>41</v>
      </c>
    </row>
    <row r="136" spans="1:12" x14ac:dyDescent="0.25">
      <c r="A136" t="s">
        <v>54</v>
      </c>
      <c r="B136" t="s">
        <v>55</v>
      </c>
      <c r="C136" t="s">
        <v>97</v>
      </c>
      <c r="D136" t="s">
        <v>98</v>
      </c>
      <c r="E136" t="s">
        <v>49</v>
      </c>
      <c r="F136" t="s">
        <v>41</v>
      </c>
      <c r="G136" t="s">
        <v>41</v>
      </c>
      <c r="H136">
        <v>1.319000006</v>
      </c>
      <c r="I136">
        <v>1.1080000400000001</v>
      </c>
      <c r="J136">
        <v>1.4060000180000001</v>
      </c>
      <c r="K136">
        <v>1.0420000549999999</v>
      </c>
      <c r="L136">
        <v>1.2029999490000001</v>
      </c>
    </row>
    <row r="137" spans="1:12" x14ac:dyDescent="0.25">
      <c r="A137" t="s">
        <v>56</v>
      </c>
      <c r="B137" t="s">
        <v>57</v>
      </c>
      <c r="C137" t="s">
        <v>97</v>
      </c>
      <c r="D137" t="s">
        <v>98</v>
      </c>
      <c r="E137" t="s">
        <v>49</v>
      </c>
      <c r="F137" t="s">
        <v>41</v>
      </c>
      <c r="G137" t="s">
        <v>41</v>
      </c>
      <c r="H137" t="s">
        <v>41</v>
      </c>
      <c r="I137" t="s">
        <v>41</v>
      </c>
      <c r="J137" t="s">
        <v>41</v>
      </c>
      <c r="K137" t="s">
        <v>41</v>
      </c>
      <c r="L137" t="s">
        <v>41</v>
      </c>
    </row>
    <row r="138" spans="1:12" x14ac:dyDescent="0.25">
      <c r="A138" t="s">
        <v>58</v>
      </c>
      <c r="B138" t="s">
        <v>59</v>
      </c>
      <c r="C138" t="s">
        <v>97</v>
      </c>
      <c r="D138" t="s">
        <v>98</v>
      </c>
      <c r="E138" t="s">
        <v>49</v>
      </c>
      <c r="F138">
        <v>0.231821001</v>
      </c>
      <c r="G138">
        <v>0.31093600399999999</v>
      </c>
      <c r="H138">
        <v>0.38127899199999998</v>
      </c>
      <c r="I138">
        <v>0.32625600700000001</v>
      </c>
      <c r="J138" t="s">
        <v>41</v>
      </c>
      <c r="K138" t="s">
        <v>41</v>
      </c>
      <c r="L138" t="s">
        <v>41</v>
      </c>
    </row>
    <row r="139" spans="1:12" x14ac:dyDescent="0.25">
      <c r="A139" t="s">
        <v>60</v>
      </c>
      <c r="B139" t="s">
        <v>61</v>
      </c>
      <c r="C139" t="s">
        <v>97</v>
      </c>
      <c r="D139" t="s">
        <v>98</v>
      </c>
      <c r="E139" t="s">
        <v>49</v>
      </c>
      <c r="F139" t="s">
        <v>41</v>
      </c>
      <c r="G139" t="s">
        <v>41</v>
      </c>
      <c r="H139" t="s">
        <v>41</v>
      </c>
      <c r="I139" t="s">
        <v>41</v>
      </c>
      <c r="J139" t="s">
        <v>41</v>
      </c>
      <c r="K139" t="s">
        <v>41</v>
      </c>
      <c r="L139" t="s">
        <v>41</v>
      </c>
    </row>
    <row r="140" spans="1:12" x14ac:dyDescent="0.25">
      <c r="A140" t="s">
        <v>62</v>
      </c>
      <c r="B140" t="s">
        <v>63</v>
      </c>
      <c r="C140" t="s">
        <v>97</v>
      </c>
      <c r="D140" t="s">
        <v>98</v>
      </c>
      <c r="E140" t="s">
        <v>49</v>
      </c>
      <c r="F140" t="s">
        <v>41</v>
      </c>
      <c r="G140" t="s">
        <v>41</v>
      </c>
      <c r="H140" t="s">
        <v>41</v>
      </c>
      <c r="I140" t="s">
        <v>41</v>
      </c>
      <c r="J140" t="s">
        <v>41</v>
      </c>
      <c r="K140">
        <v>3326.5</v>
      </c>
      <c r="L140" t="s">
        <v>41</v>
      </c>
    </row>
    <row r="141" spans="1:12" x14ac:dyDescent="0.25">
      <c r="A141" t="s">
        <v>64</v>
      </c>
      <c r="B141" t="s">
        <v>65</v>
      </c>
      <c r="C141" t="s">
        <v>97</v>
      </c>
      <c r="D141" t="s">
        <v>98</v>
      </c>
      <c r="E141" t="s">
        <v>49</v>
      </c>
      <c r="F141" t="s">
        <v>41</v>
      </c>
      <c r="G141" t="s">
        <v>41</v>
      </c>
      <c r="H141" t="s">
        <v>41</v>
      </c>
      <c r="I141" t="s">
        <v>41</v>
      </c>
      <c r="J141" t="s">
        <v>41</v>
      </c>
      <c r="K141" t="s">
        <v>41</v>
      </c>
      <c r="L141" t="s">
        <v>41</v>
      </c>
    </row>
    <row r="142" spans="1:12" x14ac:dyDescent="0.25">
      <c r="A142" t="s">
        <v>66</v>
      </c>
      <c r="B142" t="s">
        <v>67</v>
      </c>
      <c r="C142" t="s">
        <v>97</v>
      </c>
      <c r="D142" t="s">
        <v>98</v>
      </c>
      <c r="E142" t="s">
        <v>49</v>
      </c>
      <c r="F142" t="s">
        <v>41</v>
      </c>
      <c r="G142" t="s">
        <v>41</v>
      </c>
      <c r="H142" t="s">
        <v>41</v>
      </c>
      <c r="I142" t="s">
        <v>41</v>
      </c>
      <c r="J142" t="s">
        <v>41</v>
      </c>
      <c r="K142" t="s">
        <v>41</v>
      </c>
      <c r="L142" t="s">
        <v>41</v>
      </c>
    </row>
    <row r="143" spans="1:12" x14ac:dyDescent="0.25">
      <c r="A143" t="s">
        <v>68</v>
      </c>
      <c r="B143" t="s">
        <v>69</v>
      </c>
      <c r="C143" t="s">
        <v>97</v>
      </c>
      <c r="D143" t="s">
        <v>98</v>
      </c>
      <c r="E143" t="s">
        <v>49</v>
      </c>
      <c r="F143" t="s">
        <v>41</v>
      </c>
      <c r="G143" t="s">
        <v>41</v>
      </c>
      <c r="H143" t="s">
        <v>41</v>
      </c>
      <c r="I143" t="s">
        <v>41</v>
      </c>
      <c r="J143" t="s">
        <v>41</v>
      </c>
      <c r="K143" t="s">
        <v>41</v>
      </c>
      <c r="L143" t="s">
        <v>41</v>
      </c>
    </row>
    <row r="144" spans="1:12" x14ac:dyDescent="0.25">
      <c r="A144" t="s">
        <v>70</v>
      </c>
      <c r="B144" t="s">
        <v>71</v>
      </c>
      <c r="C144" t="s">
        <v>97</v>
      </c>
      <c r="D144" t="s">
        <v>98</v>
      </c>
      <c r="E144" t="s">
        <v>49</v>
      </c>
      <c r="F144" t="s">
        <v>41</v>
      </c>
      <c r="G144" t="s">
        <v>41</v>
      </c>
      <c r="H144" t="s">
        <v>41</v>
      </c>
      <c r="I144" t="s">
        <v>41</v>
      </c>
      <c r="J144" t="s">
        <v>41</v>
      </c>
      <c r="K144" t="s">
        <v>41</v>
      </c>
      <c r="L144" t="s">
        <v>41</v>
      </c>
    </row>
    <row r="145" spans="1:12" x14ac:dyDescent="0.25">
      <c r="A145" t="s">
        <v>72</v>
      </c>
      <c r="B145" t="s">
        <v>73</v>
      </c>
      <c r="C145" t="s">
        <v>97</v>
      </c>
      <c r="D145" t="s">
        <v>98</v>
      </c>
      <c r="E145" t="s">
        <v>49</v>
      </c>
      <c r="F145" t="s">
        <v>41</v>
      </c>
      <c r="G145" t="s">
        <v>41</v>
      </c>
      <c r="H145" t="s">
        <v>41</v>
      </c>
      <c r="I145" t="s">
        <v>41</v>
      </c>
      <c r="J145" t="s">
        <v>41</v>
      </c>
      <c r="K145" t="s">
        <v>41</v>
      </c>
      <c r="L145" t="s">
        <v>41</v>
      </c>
    </row>
    <row r="146" spans="1:12" x14ac:dyDescent="0.25">
      <c r="A146" t="s">
        <v>74</v>
      </c>
      <c r="B146" t="s">
        <v>75</v>
      </c>
      <c r="C146" t="s">
        <v>97</v>
      </c>
      <c r="D146" t="s">
        <v>98</v>
      </c>
      <c r="E146" t="s">
        <v>49</v>
      </c>
      <c r="F146">
        <v>53.57419968</v>
      </c>
      <c r="G146">
        <v>83.807701109999996</v>
      </c>
      <c r="H146">
        <v>46.3207016</v>
      </c>
      <c r="I146">
        <v>38</v>
      </c>
      <c r="J146">
        <v>33.043498990000003</v>
      </c>
      <c r="K146">
        <v>31.51189995</v>
      </c>
      <c r="L146" t="s">
        <v>41</v>
      </c>
    </row>
    <row r="147" spans="1:12" x14ac:dyDescent="0.25">
      <c r="A147" t="s">
        <v>76</v>
      </c>
      <c r="B147" t="s">
        <v>77</v>
      </c>
      <c r="C147" t="s">
        <v>97</v>
      </c>
      <c r="D147" t="s">
        <v>98</v>
      </c>
      <c r="E147" t="s">
        <v>49</v>
      </c>
      <c r="F147" t="s">
        <v>41</v>
      </c>
      <c r="G147" t="s">
        <v>41</v>
      </c>
      <c r="H147" t="s">
        <v>41</v>
      </c>
      <c r="I147" t="s">
        <v>41</v>
      </c>
      <c r="J147" t="s">
        <v>41</v>
      </c>
      <c r="K147" t="s">
        <v>41</v>
      </c>
      <c r="L147" t="s">
        <v>41</v>
      </c>
    </row>
    <row r="148" spans="1:12" x14ac:dyDescent="0.25">
      <c r="A148" t="s">
        <v>78</v>
      </c>
      <c r="B148" t="s">
        <v>79</v>
      </c>
      <c r="C148" t="s">
        <v>97</v>
      </c>
      <c r="D148" t="s">
        <v>98</v>
      </c>
      <c r="E148" t="s">
        <v>49</v>
      </c>
      <c r="F148" t="s">
        <v>41</v>
      </c>
      <c r="G148" t="s">
        <v>41</v>
      </c>
      <c r="H148" t="s">
        <v>41</v>
      </c>
      <c r="I148" t="s">
        <v>41</v>
      </c>
      <c r="J148" t="s">
        <v>41</v>
      </c>
      <c r="K148" t="s">
        <v>41</v>
      </c>
      <c r="L148" t="s">
        <v>41</v>
      </c>
    </row>
    <row r="149" spans="1:12" x14ac:dyDescent="0.25">
      <c r="A149" t="s">
        <v>80</v>
      </c>
      <c r="B149" t="s">
        <v>81</v>
      </c>
      <c r="C149" t="s">
        <v>97</v>
      </c>
      <c r="D149" t="s">
        <v>98</v>
      </c>
      <c r="E149" t="s">
        <v>49</v>
      </c>
      <c r="F149">
        <v>2.1748299599999998</v>
      </c>
      <c r="G149">
        <v>4.2203598019999999</v>
      </c>
      <c r="H149">
        <v>6.1703600879999998</v>
      </c>
      <c r="I149">
        <v>3.3780000210000001</v>
      </c>
      <c r="J149">
        <v>3.9662499430000002</v>
      </c>
      <c r="K149">
        <v>4.523449898</v>
      </c>
      <c r="L149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8"/>
  <sheetViews>
    <sheetView workbookViewId="0">
      <selection sqref="A1:XFD1048576"/>
    </sheetView>
  </sheetViews>
  <sheetFormatPr defaultRowHeight="15" x14ac:dyDescent="0.25"/>
  <cols>
    <col min="1" max="1" width="56.28515625" customWidth="1"/>
    <col min="2" max="2" width="15.85546875" customWidth="1"/>
    <col min="3" max="19" width="9.140625" bestFit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 ca="1">ReferenceData!$C$339</f>
        <v>2019</v>
      </c>
      <c r="G2" s="1" t="str">
        <f ca="1">ReferenceData!$D$339</f>
        <v>2018</v>
      </c>
      <c r="H2" s="1" t="str">
        <f ca="1">ReferenceData!$E$339</f>
        <v>2017</v>
      </c>
      <c r="I2" s="1" t="str">
        <f ca="1">ReferenceData!$F$339</f>
        <v>2016</v>
      </c>
      <c r="J2" s="1" t="str">
        <f ca="1">ReferenceData!$G$339</f>
        <v>2015</v>
      </c>
      <c r="K2" s="1" t="str">
        <f ca="1">ReferenceData!$H$339</f>
        <v>2014</v>
      </c>
      <c r="L2" s="1" t="str">
        <f ca="1">ReferenceData!$I$339</f>
        <v>2013</v>
      </c>
      <c r="M2" t="str">
        <f ca="1">$C$339</f>
        <v>2019</v>
      </c>
      <c r="N2" t="str">
        <f ca="1">$D$339</f>
        <v>2018</v>
      </c>
      <c r="O2" t="str">
        <f ca="1">$E$339</f>
        <v>2017</v>
      </c>
      <c r="P2" t="str">
        <f ca="1">$F$339</f>
        <v>2016</v>
      </c>
      <c r="Q2" t="str">
        <f ca="1">$G$339</f>
        <v>2015</v>
      </c>
      <c r="R2" t="str">
        <f ca="1">$H$339</f>
        <v>2014</v>
      </c>
      <c r="S2" t="str">
        <f ca="1">$I$339</f>
        <v>2013</v>
      </c>
    </row>
    <row r="3" spans="1:19" x14ac:dyDescent="0.25">
      <c r="A3" t="str">
        <f>"Labor"</f>
        <v>Labor</v>
      </c>
      <c r="B3" t="str">
        <f>""</f>
        <v/>
      </c>
      <c r="E3" t="str">
        <f>"Heading"</f>
        <v>Heading</v>
      </c>
      <c r="M3" t="str">
        <f>""</f>
        <v/>
      </c>
      <c r="N3" t="str">
        <f>""</f>
        <v/>
      </c>
      <c r="O3" t="str">
        <f>""</f>
        <v/>
      </c>
      <c r="P3" t="str">
        <f>""</f>
        <v/>
      </c>
      <c r="Q3" t="str">
        <f>""</f>
        <v/>
      </c>
      <c r="R3" t="str">
        <f>""</f>
        <v/>
      </c>
      <c r="S3" t="str">
        <f>""</f>
        <v/>
      </c>
    </row>
    <row r="4" spans="1:19" x14ac:dyDescent="0.25">
      <c r="A4" t="str">
        <f>"Number of Employees"</f>
        <v>Number of Employees</v>
      </c>
      <c r="B4" t="str">
        <f>""</f>
        <v/>
      </c>
      <c r="E4" t="str">
        <f>"Median"</f>
        <v>Median</v>
      </c>
      <c r="F4">
        <f ca="1">IF(ISERROR(IF(MEDIAN($F$5:$F$21) = 0, "", MEDIAN($F$5:$F$21))), "", (IF(MEDIAN($F$5:$F$21) = 0, "", MEDIAN($F$5:$F$21))))</f>
        <v>138000</v>
      </c>
      <c r="G4">
        <f ca="1">IF(ISERROR(IF(MEDIAN($G$5:$G$21) = 0, "", MEDIAN($G$5:$G$21))), "", (IF(MEDIAN($G$5:$G$21) = 0, "", MEDIAN($G$5:$G$21))))</f>
        <v>130000</v>
      </c>
      <c r="H4">
        <f ca="1">IF(ISERROR(IF(MEDIAN($H$5:$H$21) = 0, "", MEDIAN($H$5:$H$21))), "", (IF(MEDIAN($H$5:$H$21) = 0, "", MEDIAN($H$5:$H$21))))</f>
        <v>120081</v>
      </c>
      <c r="I4">
        <f ca="1">IF(ISERROR(IF(MEDIAN($I$5:$I$21) = 0, "", MEDIAN($I$5:$I$21))), "", (IF(MEDIAN($I$5:$I$21) = 0, "", MEDIAN($I$5:$I$21))))</f>
        <v>116833</v>
      </c>
      <c r="J4">
        <f ca="1">IF(ISERROR(IF(MEDIAN($J$5:$J$21) = 0, "", MEDIAN($J$5:$J$21))), "", (IF(MEDIAN($J$5:$J$21) = 0, "", MEDIAN($J$5:$J$21))))</f>
        <v>105432</v>
      </c>
      <c r="K4">
        <f ca="1">IF(ISERROR(IF(MEDIAN($K$5:$K$21) = 0, "", MEDIAN($K$5:$K$21))), "", (IF(MEDIAN($K$5:$K$21) = 0, "", MEDIAN($K$5:$K$21))))</f>
        <v>123462</v>
      </c>
      <c r="L4">
        <f ca="1">IF(ISERROR(IF(MEDIAN($L$5:$L$21) = 0, "", MEDIAN($L$5:$L$21))), "", (IF(MEDIAN($L$5:$L$21) = 0, "", MEDIAN($L$5:$L$21))))</f>
        <v>111560.5</v>
      </c>
      <c r="M4">
        <f>138000</f>
        <v>138000</v>
      </c>
      <c r="N4">
        <f>130000</f>
        <v>130000</v>
      </c>
      <c r="O4">
        <f>120081</f>
        <v>120081</v>
      </c>
      <c r="P4">
        <f>116833</f>
        <v>116833</v>
      </c>
      <c r="Q4">
        <f>105432</f>
        <v>105432</v>
      </c>
      <c r="R4">
        <f>123462</f>
        <v>123462</v>
      </c>
      <c r="S4">
        <f>111560.5</f>
        <v>111560.5</v>
      </c>
    </row>
    <row r="5" spans="1:19" x14ac:dyDescent="0.25">
      <c r="A5" t="str">
        <f>"    Accenture PLC"</f>
        <v xml:space="preserve">    Accenture PLC</v>
      </c>
      <c r="B5" t="str">
        <f>"ACN US Equity"</f>
        <v>ACN US Equity</v>
      </c>
      <c r="C5" t="str">
        <f t="shared" ref="C5:C21" si="0">"RR121"</f>
        <v>RR121</v>
      </c>
      <c r="D5" t="str">
        <f t="shared" ref="D5:D21" si="1">"NUM_OF_EMPLOYEES"</f>
        <v>NUM_OF_EMPLOYEES</v>
      </c>
      <c r="E5" t="str">
        <f t="shared" ref="E5:E21" si="2">"Dynamic"</f>
        <v>Dynamic</v>
      </c>
      <c r="F5">
        <f ca="1">IF(AND(ISNUMBER($F$218),$B$165=1),$F$218,HLOOKUP(INDIRECT(ADDRESS(2,COLUMN())),OFFSET($M$2,0,0,ROW()-1,7),ROW()-1,FALSE))</f>
        <v>492000</v>
      </c>
      <c r="G5">
        <f ca="1">IF(AND(ISNUMBER($G$218),$B$165=1),$G$218,HLOOKUP(INDIRECT(ADDRESS(2,COLUMN())),OFFSET($M$2,0,0,ROW()-1,7),ROW()-1,FALSE))</f>
        <v>459000</v>
      </c>
      <c r="H5">
        <f ca="1">IF(AND(ISNUMBER($H$218),$B$165=1),$H$218,HLOOKUP(INDIRECT(ADDRESS(2,COLUMN())),OFFSET($M$2,0,0,ROW()-1,7),ROW()-1,FALSE))</f>
        <v>459000</v>
      </c>
      <c r="I5">
        <f ca="1">IF(AND(ISNUMBER($I$218),$B$165=1),$I$218,HLOOKUP(INDIRECT(ADDRESS(2,COLUMN())),OFFSET($M$2,0,0,ROW()-1,7),ROW()-1,FALSE))</f>
        <v>384000</v>
      </c>
      <c r="J5">
        <f ca="1">IF(AND(ISNUMBER($J$218),$B$165=1),$J$218,HLOOKUP(INDIRECT(ADDRESS(2,COLUMN())),OFFSET($M$2,0,0,ROW()-1,7),ROW()-1,FALSE))</f>
        <v>358498</v>
      </c>
      <c r="K5">
        <f ca="1">IF(AND(ISNUMBER($K$218),$B$165=1),$K$218,HLOOKUP(INDIRECT(ADDRESS(2,COLUMN())),OFFSET($M$2,0,0,ROW()-1,7),ROW()-1,FALSE))</f>
        <v>305000</v>
      </c>
      <c r="L5">
        <f ca="1">IF(AND(ISNUMBER($L$218),$B$165=1),$L$218,HLOOKUP(INDIRECT(ADDRESS(2,COLUMN())),OFFSET($M$2,0,0,ROW()-1,7),ROW()-1,FALSE))</f>
        <v>275000</v>
      </c>
      <c r="M5">
        <f>492000</f>
        <v>492000</v>
      </c>
      <c r="N5">
        <f>459000</f>
        <v>459000</v>
      </c>
      <c r="O5">
        <f>459000</f>
        <v>459000</v>
      </c>
      <c r="P5">
        <f>384000</f>
        <v>384000</v>
      </c>
      <c r="Q5">
        <f>358498</f>
        <v>358498</v>
      </c>
      <c r="R5">
        <f>305000</f>
        <v>305000</v>
      </c>
      <c r="S5">
        <f>275000</f>
        <v>275000</v>
      </c>
    </row>
    <row r="6" spans="1:19" x14ac:dyDescent="0.25">
      <c r="A6" t="str">
        <f>"    Amdocs Ltd"</f>
        <v xml:space="preserve">    Amdocs Ltd</v>
      </c>
      <c r="B6" t="str">
        <f>"DOX US Equity"</f>
        <v>DOX US Equity</v>
      </c>
      <c r="C6" t="str">
        <f t="shared" si="0"/>
        <v>RR121</v>
      </c>
      <c r="D6" t="str">
        <f t="shared" si="1"/>
        <v>NUM_OF_EMPLOYEES</v>
      </c>
      <c r="E6" t="str">
        <f t="shared" si="2"/>
        <v>Dynamic</v>
      </c>
      <c r="F6">
        <f ca="1">IF(AND(ISNUMBER($F$219),$B$165=1),$F$219,HLOOKUP(INDIRECT(ADDRESS(2,COLUMN())),OFFSET($M$2,0,0,ROW()-1,7),ROW()-1,FALSE))</f>
        <v>24516</v>
      </c>
      <c r="G6">
        <f ca="1">IF(AND(ISNUMBER($G$219),$B$165=1),$G$219,HLOOKUP(INDIRECT(ADDRESS(2,COLUMN())),OFFSET($M$2,0,0,ROW()-1,7),ROW()-1,FALSE))</f>
        <v>24381</v>
      </c>
      <c r="H6">
        <f ca="1">IF(AND(ISNUMBER($H$219),$B$165=1),$H$219,HLOOKUP(INDIRECT(ADDRESS(2,COLUMN())),OFFSET($M$2,0,0,ROW()-1,7),ROW()-1,FALSE))</f>
        <v>24670</v>
      </c>
      <c r="I6">
        <f ca="1">IF(AND(ISNUMBER($I$219),$B$165=1),$I$219,HLOOKUP(INDIRECT(ADDRESS(2,COLUMN())),OFFSET($M$2,0,0,ROW()-1,7),ROW()-1,FALSE))</f>
        <v>25561</v>
      </c>
      <c r="J6">
        <f ca="1">IF(AND(ISNUMBER($J$219),$B$165=1),$J$219,HLOOKUP(INDIRECT(ADDRESS(2,COLUMN())),OFFSET($M$2,0,0,ROW()-1,7),ROW()-1,FALSE))</f>
        <v>24950</v>
      </c>
      <c r="K6">
        <f ca="1">IF(AND(ISNUMBER($K$219),$B$165=1),$K$219,HLOOKUP(INDIRECT(ADDRESS(2,COLUMN())),OFFSET($M$2,0,0,ROW()-1,7),ROW()-1,FALSE))</f>
        <v>22546</v>
      </c>
      <c r="L6">
        <f ca="1">IF(AND(ISNUMBER($L$219),$B$165=1),$L$219,HLOOKUP(INDIRECT(ADDRESS(2,COLUMN())),OFFSET($M$2,0,0,ROW()-1,7),ROW()-1,FALSE))</f>
        <v>20774</v>
      </c>
      <c r="M6">
        <f>24516</f>
        <v>24516</v>
      </c>
      <c r="N6">
        <f>24381</f>
        <v>24381</v>
      </c>
      <c r="O6">
        <f>24670</f>
        <v>24670</v>
      </c>
      <c r="P6">
        <f>25561</f>
        <v>25561</v>
      </c>
      <c r="Q6">
        <f>24950</f>
        <v>24950</v>
      </c>
      <c r="R6">
        <f>22546</f>
        <v>22546</v>
      </c>
      <c r="S6">
        <f>20774</f>
        <v>20774</v>
      </c>
    </row>
    <row r="7" spans="1:19" x14ac:dyDescent="0.25">
      <c r="A7" t="str">
        <f>"    Atos SE"</f>
        <v xml:space="preserve">    Atos SE</v>
      </c>
      <c r="B7" t="str">
        <f>"ATO FP Equity"</f>
        <v>ATO FP Equity</v>
      </c>
      <c r="C7" t="str">
        <f t="shared" si="0"/>
        <v>RR121</v>
      </c>
      <c r="D7" t="str">
        <f t="shared" si="1"/>
        <v>NUM_OF_EMPLOYEES</v>
      </c>
      <c r="E7" t="str">
        <f t="shared" si="2"/>
        <v>Dynamic</v>
      </c>
      <c r="F7">
        <f ca="1">IF(AND(ISNUMBER($F$220),$B$165=1),$F$220,HLOOKUP(INDIRECT(ADDRESS(2,COLUMN())),OFFSET($M$2,0,0,ROW()-1,7),ROW()-1,FALSE))</f>
        <v>108317</v>
      </c>
      <c r="G7">
        <f ca="1">IF(AND(ISNUMBER($G$220),$B$165=1),$G$220,HLOOKUP(INDIRECT(ADDRESS(2,COLUMN())),OFFSET($M$2,0,0,ROW()-1,7),ROW()-1,FALSE))</f>
        <v>122110</v>
      </c>
      <c r="H7">
        <f ca="1">IF(AND(ISNUMBER($H$220),$B$165=1),$H$220,HLOOKUP(INDIRECT(ADDRESS(2,COLUMN())),OFFSET($M$2,0,0,ROW()-1,7),ROW()-1,FALSE))</f>
        <v>97267</v>
      </c>
      <c r="I7">
        <f ca="1">IF(AND(ISNUMBER($I$220),$B$165=1),$I$220,HLOOKUP(INDIRECT(ADDRESS(2,COLUMN())),OFFSET($M$2,0,0,ROW()-1,7),ROW()-1,FALSE))</f>
        <v>100096</v>
      </c>
      <c r="J7">
        <f ca="1">IF(AND(ISNUMBER($J$220),$B$165=1),$J$220,HLOOKUP(INDIRECT(ADDRESS(2,COLUMN())),OFFSET($M$2,0,0,ROW()-1,7),ROW()-1,FALSE))</f>
        <v>91322</v>
      </c>
      <c r="K7">
        <f ca="1">IF(AND(ISNUMBER($K$220),$B$165=1),$K$220,HLOOKUP(INDIRECT(ADDRESS(2,COLUMN())),OFFSET($M$2,0,0,ROW()-1,7),ROW()-1,FALSE))</f>
        <v>85865</v>
      </c>
      <c r="L7">
        <f ca="1">IF(AND(ISNUMBER($L$220),$B$165=1),$L$220,HLOOKUP(INDIRECT(ADDRESS(2,COLUMN())),OFFSET($M$2,0,0,ROW()-1,7),ROW()-1,FALSE))</f>
        <v>76320</v>
      </c>
      <c r="M7">
        <f>108317</f>
        <v>108317</v>
      </c>
      <c r="N7">
        <f>122110</f>
        <v>122110</v>
      </c>
      <c r="O7">
        <f>97267</f>
        <v>97267</v>
      </c>
      <c r="P7">
        <f>100096</f>
        <v>100096</v>
      </c>
      <c r="Q7">
        <f>91322</f>
        <v>91322</v>
      </c>
      <c r="R7">
        <f>85865</f>
        <v>85865</v>
      </c>
      <c r="S7">
        <f>76320</f>
        <v>76320</v>
      </c>
    </row>
    <row r="8" spans="1:19" x14ac:dyDescent="0.25">
      <c r="A8" t="str">
        <f>"    Capgemini SE"</f>
        <v xml:space="preserve">    Capgemini SE</v>
      </c>
      <c r="B8" t="str">
        <f>"CAP FP Equity"</f>
        <v>CAP FP Equity</v>
      </c>
      <c r="C8" t="str">
        <f t="shared" si="0"/>
        <v>RR121</v>
      </c>
      <c r="D8" t="str">
        <f t="shared" si="1"/>
        <v>NUM_OF_EMPLOYEES</v>
      </c>
      <c r="E8" t="str">
        <f t="shared" si="2"/>
        <v>Dynamic</v>
      </c>
      <c r="F8">
        <f ca="1">IF(AND(ISNUMBER($F$221),$B$165=1),$F$221,HLOOKUP(INDIRECT(ADDRESS(2,COLUMN())),OFFSET($M$2,0,0,ROW()-1,7),ROW()-1,FALSE))</f>
        <v>219300</v>
      </c>
      <c r="G8">
        <f ca="1">IF(AND(ISNUMBER($G$221),$B$165=1),$G$221,HLOOKUP(INDIRECT(ADDRESS(2,COLUMN())),OFFSET($M$2,0,0,ROW()-1,7),ROW()-1,FALSE))</f>
        <v>211313</v>
      </c>
      <c r="H8">
        <f ca="1">IF(AND(ISNUMBER($H$221),$B$165=1),$H$221,HLOOKUP(INDIRECT(ADDRESS(2,COLUMN())),OFFSET($M$2,0,0,ROW()-1,7),ROW()-1,FALSE))</f>
        <v>199698</v>
      </c>
      <c r="I8">
        <f ca="1">IF(AND(ISNUMBER($I$221),$B$165=1),$I$221,HLOOKUP(INDIRECT(ADDRESS(2,COLUMN())),OFFSET($M$2,0,0,ROW()-1,7),ROW()-1,FALSE))</f>
        <v>193077</v>
      </c>
      <c r="J8">
        <f ca="1">IF(AND(ISNUMBER($J$221),$B$165=1),$J$221,HLOOKUP(INDIRECT(ADDRESS(2,COLUMN())),OFFSET($M$2,0,0,ROW()-1,7),ROW()-1,FALSE))</f>
        <v>180639</v>
      </c>
      <c r="K8">
        <f ca="1">IF(AND(ISNUMBER($K$221),$B$165=1),$K$221,HLOOKUP(INDIRECT(ADDRESS(2,COLUMN())),OFFSET($M$2,0,0,ROW()-1,7),ROW()-1,FALSE))</f>
        <v>143643</v>
      </c>
      <c r="L8">
        <f ca="1">IF(AND(ISNUMBER($L$221),$B$165=1),$L$221,HLOOKUP(INDIRECT(ADDRESS(2,COLUMN())),OFFSET($M$2,0,0,ROW()-1,7),ROW()-1,FALSE))</f>
        <v>131430</v>
      </c>
      <c r="M8">
        <f>219300</f>
        <v>219300</v>
      </c>
      <c r="N8">
        <f>211313</f>
        <v>211313</v>
      </c>
      <c r="O8">
        <f>199698</f>
        <v>199698</v>
      </c>
      <c r="P8">
        <f>193077</f>
        <v>193077</v>
      </c>
      <c r="Q8">
        <f>180639</f>
        <v>180639</v>
      </c>
      <c r="R8">
        <f>143643</f>
        <v>143643</v>
      </c>
      <c r="S8">
        <f>131430</f>
        <v>131430</v>
      </c>
    </row>
    <row r="9" spans="1:19" x14ac:dyDescent="0.25">
      <c r="A9" t="str">
        <f>"    CGI Inc"</f>
        <v xml:space="preserve">    CGI Inc</v>
      </c>
      <c r="B9" t="str">
        <f>"GIB US Equity"</f>
        <v>GIB US Equity</v>
      </c>
      <c r="C9" t="str">
        <f t="shared" si="0"/>
        <v>RR121</v>
      </c>
      <c r="D9" t="str">
        <f t="shared" si="1"/>
        <v>NUM_OF_EMPLOYEES</v>
      </c>
      <c r="E9" t="str">
        <f t="shared" si="2"/>
        <v>Dynamic</v>
      </c>
      <c r="F9">
        <f ca="1">IF(AND(ISNUMBER($F$222),$B$165=1),$F$222,HLOOKUP(INDIRECT(ADDRESS(2,COLUMN())),OFFSET($M$2,0,0,ROW()-1,7),ROW()-1,FALSE))</f>
        <v>77500</v>
      </c>
      <c r="G9">
        <f ca="1">IF(AND(ISNUMBER($G$222),$B$165=1),$G$222,HLOOKUP(INDIRECT(ADDRESS(2,COLUMN())),OFFSET($M$2,0,0,ROW()-1,7),ROW()-1,FALSE))</f>
        <v>74000</v>
      </c>
      <c r="H9">
        <f ca="1">IF(AND(ISNUMBER($H$222),$B$165=1),$H$222,HLOOKUP(INDIRECT(ADDRESS(2,COLUMN())),OFFSET($M$2,0,0,ROW()-1,7),ROW()-1,FALSE))</f>
        <v>71000</v>
      </c>
      <c r="I9">
        <f ca="1">IF(AND(ISNUMBER($I$222),$B$165=1),$I$222,HLOOKUP(INDIRECT(ADDRESS(2,COLUMN())),OFFSET($M$2,0,0,ROW()-1,7),ROW()-1,FALSE))</f>
        <v>68000</v>
      </c>
      <c r="J9">
        <f ca="1">IF(AND(ISNUMBER($J$222),$B$165=1),$J$222,HLOOKUP(INDIRECT(ADDRESS(2,COLUMN())),OFFSET($M$2,0,0,ROW()-1,7),ROW()-1,FALSE))</f>
        <v>65000</v>
      </c>
      <c r="K9">
        <f ca="1">IF(AND(ISNUMBER($K$222),$B$165=1),$K$222,HLOOKUP(INDIRECT(ADDRESS(2,COLUMN())),OFFSET($M$2,0,0,ROW()-1,7),ROW()-1,FALSE))</f>
        <v>68000</v>
      </c>
      <c r="L9">
        <f ca="1">IF(AND(ISNUMBER($L$222),$B$165=1),$L$222,HLOOKUP(INDIRECT(ADDRESS(2,COLUMN())),OFFSET($M$2,0,0,ROW()-1,7),ROW()-1,FALSE))</f>
        <v>68000</v>
      </c>
      <c r="M9">
        <f>77500</f>
        <v>77500</v>
      </c>
      <c r="N9">
        <f>74000</f>
        <v>74000</v>
      </c>
      <c r="O9">
        <f>71000</f>
        <v>71000</v>
      </c>
      <c r="P9">
        <f>68000</f>
        <v>68000</v>
      </c>
      <c r="Q9">
        <f>65000</f>
        <v>65000</v>
      </c>
      <c r="R9">
        <f>68000</f>
        <v>68000</v>
      </c>
      <c r="S9">
        <f>68000</f>
        <v>68000</v>
      </c>
    </row>
    <row r="10" spans="1:19" x14ac:dyDescent="0.25">
      <c r="A10" t="str">
        <f>"    Cognizant Technology Solutions Corp"</f>
        <v xml:space="preserve">    Cognizant Technology Solutions Corp</v>
      </c>
      <c r="B10" t="str">
        <f>"CTSH US Equity"</f>
        <v>CTSH US Equity</v>
      </c>
      <c r="C10" t="str">
        <f t="shared" si="0"/>
        <v>RR121</v>
      </c>
      <c r="D10" t="str">
        <f t="shared" si="1"/>
        <v>NUM_OF_EMPLOYEES</v>
      </c>
      <c r="E10" t="str">
        <f t="shared" si="2"/>
        <v>Dynamic</v>
      </c>
      <c r="F10">
        <f ca="1">IF(AND(ISNUMBER($F$223),$B$165=1),$F$223,HLOOKUP(INDIRECT(ADDRESS(2,COLUMN())),OFFSET($M$2,0,0,ROW()-1,7),ROW()-1,FALSE))</f>
        <v>292500</v>
      </c>
      <c r="G10">
        <f ca="1">IF(AND(ISNUMBER($G$223),$B$165=1),$G$223,HLOOKUP(INDIRECT(ADDRESS(2,COLUMN())),OFFSET($M$2,0,0,ROW()-1,7),ROW()-1,FALSE))</f>
        <v>281600</v>
      </c>
      <c r="H10">
        <f ca="1">IF(AND(ISNUMBER($H$223),$B$165=1),$H$223,HLOOKUP(INDIRECT(ADDRESS(2,COLUMN())),OFFSET($M$2,0,0,ROW()-1,7),ROW()-1,FALSE))</f>
        <v>260000</v>
      </c>
      <c r="I10">
        <f ca="1">IF(AND(ISNUMBER($I$223),$B$165=1),$I$223,HLOOKUP(INDIRECT(ADDRESS(2,COLUMN())),OFFSET($M$2,0,0,ROW()-1,7),ROW()-1,FALSE))</f>
        <v>260200</v>
      </c>
      <c r="J10">
        <f ca="1">IF(AND(ISNUMBER($J$223),$B$165=1),$J$223,HLOOKUP(INDIRECT(ADDRESS(2,COLUMN())),OFFSET($M$2,0,0,ROW()-1,7),ROW()-1,FALSE))</f>
        <v>221700</v>
      </c>
      <c r="K10">
        <f ca="1">IF(AND(ISNUMBER($K$223),$B$165=1),$K$223,HLOOKUP(INDIRECT(ADDRESS(2,COLUMN())),OFFSET($M$2,0,0,ROW()-1,7),ROW()-1,FALSE))</f>
        <v>211500</v>
      </c>
      <c r="L10">
        <f ca="1">IF(AND(ISNUMBER($L$223),$B$165=1),$L$223,HLOOKUP(INDIRECT(ADDRESS(2,COLUMN())),OFFSET($M$2,0,0,ROW()-1,7),ROW()-1,FALSE))</f>
        <v>171400</v>
      </c>
      <c r="M10">
        <f>292500</f>
        <v>292500</v>
      </c>
      <c r="N10">
        <f>281600</f>
        <v>281600</v>
      </c>
      <c r="O10">
        <f>260000</f>
        <v>260000</v>
      </c>
      <c r="P10">
        <f>260200</f>
        <v>260200</v>
      </c>
      <c r="Q10">
        <f>221700</f>
        <v>221700</v>
      </c>
      <c r="R10">
        <f>211500</f>
        <v>211500</v>
      </c>
      <c r="S10">
        <f>171400</f>
        <v>171400</v>
      </c>
    </row>
    <row r="11" spans="1:19" x14ac:dyDescent="0.25">
      <c r="A11" t="str">
        <f>"    Conduent Inc"</f>
        <v xml:space="preserve">    Conduent Inc</v>
      </c>
      <c r="B11" t="str">
        <f>"CNDT US Equity"</f>
        <v>CNDT US Equity</v>
      </c>
      <c r="C11" t="str">
        <f t="shared" si="0"/>
        <v>RR121</v>
      </c>
      <c r="D11" t="str">
        <f t="shared" si="1"/>
        <v>NUM_OF_EMPLOYEES</v>
      </c>
      <c r="E11" t="str">
        <f t="shared" si="2"/>
        <v>Dynamic</v>
      </c>
      <c r="F11">
        <f ca="1">IF(AND(ISNUMBER($F$224),$B$165=1),$F$224,HLOOKUP(INDIRECT(ADDRESS(2,COLUMN())),OFFSET($M$2,0,0,ROW()-1,7),ROW()-1,FALSE))</f>
        <v>67000</v>
      </c>
      <c r="G11">
        <f ca="1">IF(AND(ISNUMBER($G$224),$B$165=1),$G$224,HLOOKUP(INDIRECT(ADDRESS(2,COLUMN())),OFFSET($M$2,0,0,ROW()-1,7),ROW()-1,FALSE))</f>
        <v>82000</v>
      </c>
      <c r="H11">
        <f ca="1">IF(AND(ISNUMBER($H$224),$B$165=1),$H$224,HLOOKUP(INDIRECT(ADDRESS(2,COLUMN())),OFFSET($M$2,0,0,ROW()-1,7),ROW()-1,FALSE))</f>
        <v>90000</v>
      </c>
      <c r="I11">
        <f ca="1">IF(AND(ISNUMBER($I$224),$B$165=1),$I$224,HLOOKUP(INDIRECT(ADDRESS(2,COLUMN())),OFFSET($M$2,0,0,ROW()-1,7),ROW()-1,FALSE))</f>
        <v>96000</v>
      </c>
      <c r="J11" t="str">
        <f ca="1">IF(AND(ISNUMBER($J$224),$B$165=1),$J$224,HLOOKUP(INDIRECT(ADDRESS(2,COLUMN())),OFFSET($M$2,0,0,ROW()-1,7),ROW()-1,FALSE))</f>
        <v/>
      </c>
      <c r="K11" t="str">
        <f ca="1">IF(AND(ISNUMBER($K$224),$B$165=1),$K$224,HLOOKUP(INDIRECT(ADDRESS(2,COLUMN())),OFFSET($M$2,0,0,ROW()-1,7),ROW()-1,FALSE))</f>
        <v/>
      </c>
      <c r="L11" t="str">
        <f ca="1">IF(AND(ISNUMBER($L$224),$B$165=1),$L$224,HLOOKUP(INDIRECT(ADDRESS(2,COLUMN())),OFFSET($M$2,0,0,ROW()-1,7),ROW()-1,FALSE))</f>
        <v/>
      </c>
      <c r="M11">
        <f>67000</f>
        <v>67000</v>
      </c>
      <c r="N11">
        <f>82000</f>
        <v>82000</v>
      </c>
      <c r="O11">
        <f>90000</f>
        <v>90000</v>
      </c>
      <c r="P11">
        <f>96000</f>
        <v>96000</v>
      </c>
      <c r="Q11" t="str">
        <f>""</f>
        <v/>
      </c>
      <c r="R11" t="str">
        <f>""</f>
        <v/>
      </c>
      <c r="S11" t="str">
        <f>""</f>
        <v/>
      </c>
    </row>
    <row r="12" spans="1:19" x14ac:dyDescent="0.25">
      <c r="A12" t="str">
        <f>"    DXC Technology Co"</f>
        <v xml:space="preserve">    DXC Technology Co</v>
      </c>
      <c r="B12" t="str">
        <f>"DXC US Equity"</f>
        <v>DXC US Equity</v>
      </c>
      <c r="C12" t="str">
        <f t="shared" si="0"/>
        <v>RR121</v>
      </c>
      <c r="D12" t="str">
        <f t="shared" si="1"/>
        <v>NUM_OF_EMPLOYEES</v>
      </c>
      <c r="E12" t="str">
        <f t="shared" si="2"/>
        <v>Dynamic</v>
      </c>
      <c r="F12">
        <f ca="1">IF(AND(ISNUMBER($F$225),$B$165=1),$F$225,HLOOKUP(INDIRECT(ADDRESS(2,COLUMN())),OFFSET($M$2,0,0,ROW()-1,7),ROW()-1,FALSE))</f>
        <v>138000</v>
      </c>
      <c r="G12">
        <f ca="1">IF(AND(ISNUMBER($G$225),$B$165=1),$G$225,HLOOKUP(INDIRECT(ADDRESS(2,COLUMN())),OFFSET($M$2,0,0,ROW()-1,7),ROW()-1,FALSE))</f>
        <v>130000</v>
      </c>
      <c r="H12">
        <f ca="1">IF(AND(ISNUMBER($H$225),$B$165=1),$H$225,HLOOKUP(INDIRECT(ADDRESS(2,COLUMN())),OFFSET($M$2,0,0,ROW()-1,7),ROW()-1,FALSE))</f>
        <v>150000</v>
      </c>
      <c r="I12" t="str">
        <f ca="1">IF(AND(ISNUMBER($I$225),$B$165=1),$I$225,HLOOKUP(INDIRECT(ADDRESS(2,COLUMN())),OFFSET($M$2,0,0,ROW()-1,7),ROW()-1,FALSE))</f>
        <v/>
      </c>
      <c r="J12" t="str">
        <f ca="1">IF(AND(ISNUMBER($J$225),$B$165=1),$J$225,HLOOKUP(INDIRECT(ADDRESS(2,COLUMN())),OFFSET($M$2,0,0,ROW()-1,7),ROW()-1,FALSE))</f>
        <v/>
      </c>
      <c r="K12" t="str">
        <f ca="1">IF(AND(ISNUMBER($K$225),$B$165=1),$K$225,HLOOKUP(INDIRECT(ADDRESS(2,COLUMN())),OFFSET($M$2,0,0,ROW()-1,7),ROW()-1,FALSE))</f>
        <v/>
      </c>
      <c r="L12" t="str">
        <f ca="1">IF(AND(ISNUMBER($L$225),$B$165=1),$L$225,HLOOKUP(INDIRECT(ADDRESS(2,COLUMN())),OFFSET($M$2,0,0,ROW()-1,7),ROW()-1,FALSE))</f>
        <v/>
      </c>
      <c r="M12">
        <f>138000</f>
        <v>138000</v>
      </c>
      <c r="N12">
        <f>130000</f>
        <v>130000</v>
      </c>
      <c r="O12">
        <f>150000</f>
        <v>150000</v>
      </c>
      <c r="P12" t="str">
        <f>""</f>
        <v/>
      </c>
      <c r="Q12" t="str">
        <f>""</f>
        <v/>
      </c>
      <c r="R12" t="str">
        <f>""</f>
        <v/>
      </c>
      <c r="S12" t="str">
        <f>""</f>
        <v/>
      </c>
    </row>
    <row r="13" spans="1:19" x14ac:dyDescent="0.25">
      <c r="A13" t="str">
        <f>"    EPAM Systems Inc"</f>
        <v xml:space="preserve">    EPAM Systems Inc</v>
      </c>
      <c r="B13" t="str">
        <f>"EPAM US Equity"</f>
        <v>EPAM US Equity</v>
      </c>
      <c r="C13" t="str">
        <f t="shared" si="0"/>
        <v>RR121</v>
      </c>
      <c r="D13" t="str">
        <f t="shared" si="1"/>
        <v>NUM_OF_EMPLOYEES</v>
      </c>
      <c r="E13" t="str">
        <f t="shared" si="2"/>
        <v>Dynamic</v>
      </c>
      <c r="F13">
        <f ca="1">IF(AND(ISNUMBER($F$226),$B$165=1),$F$226,HLOOKUP(INDIRECT(ADDRESS(2,COLUMN())),OFFSET($M$2,0,0,ROW()-1,7),ROW()-1,FALSE))</f>
        <v>36739</v>
      </c>
      <c r="G13">
        <f ca="1">IF(AND(ISNUMBER($G$226),$B$165=1),$G$226,HLOOKUP(INDIRECT(ADDRESS(2,COLUMN())),OFFSET($M$2,0,0,ROW()-1,7),ROW()-1,FALSE))</f>
        <v>30200</v>
      </c>
      <c r="H13">
        <f ca="1">IF(AND(ISNUMBER($H$226),$B$165=1),$H$226,HLOOKUP(INDIRECT(ADDRESS(2,COLUMN())),OFFSET($M$2,0,0,ROW()-1,7),ROW()-1,FALSE))</f>
        <v>25962</v>
      </c>
      <c r="I13">
        <f ca="1">IF(AND(ISNUMBER($I$226),$B$165=1),$I$226,HLOOKUP(INDIRECT(ADDRESS(2,COLUMN())),OFFSET($M$2,0,0,ROW()-1,7),ROW()-1,FALSE))</f>
        <v>22383</v>
      </c>
      <c r="J13">
        <f ca="1">IF(AND(ISNUMBER($J$226),$B$165=1),$J$226,HLOOKUP(INDIRECT(ADDRESS(2,COLUMN())),OFFSET($M$2,0,0,ROW()-1,7),ROW()-1,FALSE))</f>
        <v>18354</v>
      </c>
      <c r="K13">
        <f ca="1">IF(AND(ISNUMBER($K$226),$B$165=1),$K$226,HLOOKUP(INDIRECT(ADDRESS(2,COLUMN())),OFFSET($M$2,0,0,ROW()-1,7),ROW()-1,FALSE))</f>
        <v>14109</v>
      </c>
      <c r="L13" t="str">
        <f ca="1">IF(AND(ISNUMBER($L$226),$B$165=1),$L$226,HLOOKUP(INDIRECT(ADDRESS(2,COLUMN())),OFFSET($M$2,0,0,ROW()-1,7),ROW()-1,FALSE))</f>
        <v/>
      </c>
      <c r="M13">
        <f>36739</f>
        <v>36739</v>
      </c>
      <c r="N13">
        <f>30200</f>
        <v>30200</v>
      </c>
      <c r="O13">
        <f>25962</f>
        <v>25962</v>
      </c>
      <c r="P13">
        <f>22383</f>
        <v>22383</v>
      </c>
      <c r="Q13">
        <f>18354</f>
        <v>18354</v>
      </c>
      <c r="R13">
        <f>14109</f>
        <v>14109</v>
      </c>
      <c r="S13" t="str">
        <f>""</f>
        <v/>
      </c>
    </row>
    <row r="14" spans="1:19" x14ac:dyDescent="0.25">
      <c r="A14" t="str">
        <f>"    Genpact Ltd"</f>
        <v xml:space="preserve">    Genpact Ltd</v>
      </c>
      <c r="B14" t="str">
        <f>"G US Equity"</f>
        <v>G US Equity</v>
      </c>
      <c r="C14" t="str">
        <f t="shared" si="0"/>
        <v>RR121</v>
      </c>
      <c r="D14" t="str">
        <f t="shared" si="1"/>
        <v>NUM_OF_EMPLOYEES</v>
      </c>
      <c r="E14" t="str">
        <f t="shared" si="2"/>
        <v>Dynamic</v>
      </c>
      <c r="F14">
        <f ca="1">IF(AND(ISNUMBER($F$227),$B$165=1),$F$227,HLOOKUP(INDIRECT(ADDRESS(2,COLUMN())),OFFSET($M$2,0,0,ROW()-1,7),ROW()-1,FALSE))</f>
        <v>96500</v>
      </c>
      <c r="G14">
        <f ca="1">IF(AND(ISNUMBER($G$227),$B$165=1),$G$227,HLOOKUP(INDIRECT(ADDRESS(2,COLUMN())),OFFSET($M$2,0,0,ROW()-1,7),ROW()-1,FALSE))</f>
        <v>87000</v>
      </c>
      <c r="H14">
        <f ca="1">IF(AND(ISNUMBER($H$227),$B$165=1),$H$227,HLOOKUP(INDIRECT(ADDRESS(2,COLUMN())),OFFSET($M$2,0,0,ROW()-1,7),ROW()-1,FALSE))</f>
        <v>78000</v>
      </c>
      <c r="I14">
        <f ca="1">IF(AND(ISNUMBER($I$227),$B$165=1),$I$227,HLOOKUP(INDIRECT(ADDRESS(2,COLUMN())),OFFSET($M$2,0,0,ROW()-1,7),ROW()-1,FALSE))</f>
        <v>75000</v>
      </c>
      <c r="J14">
        <f ca="1">IF(AND(ISNUMBER($J$227),$B$165=1),$J$227,HLOOKUP(INDIRECT(ADDRESS(2,COLUMN())),OFFSET($M$2,0,0,ROW()-1,7),ROW()-1,FALSE))</f>
        <v>72000</v>
      </c>
      <c r="K14">
        <f ca="1">IF(AND(ISNUMBER($K$227),$B$165=1),$K$227,HLOOKUP(INDIRECT(ADDRESS(2,COLUMN())),OFFSET($M$2,0,0,ROW()-1,7),ROW()-1,FALSE))</f>
        <v>67900</v>
      </c>
      <c r="L14">
        <f ca="1">IF(AND(ISNUMBER($L$227),$B$165=1),$L$227,HLOOKUP(INDIRECT(ADDRESS(2,COLUMN())),OFFSET($M$2,0,0,ROW()-1,7),ROW()-1,FALSE))</f>
        <v>63600</v>
      </c>
      <c r="M14">
        <f>96500</f>
        <v>96500</v>
      </c>
      <c r="N14">
        <f>87000</f>
        <v>87000</v>
      </c>
      <c r="O14">
        <f>78000</f>
        <v>78000</v>
      </c>
      <c r="P14">
        <f>75000</f>
        <v>75000</v>
      </c>
      <c r="Q14">
        <f>72000</f>
        <v>72000</v>
      </c>
      <c r="R14">
        <f>67900</f>
        <v>67900</v>
      </c>
      <c r="S14">
        <f>63600</f>
        <v>63600</v>
      </c>
    </row>
    <row r="15" spans="1:19" x14ac:dyDescent="0.25">
      <c r="A15" t="str">
        <f>"    HCL Technologies Ltd"</f>
        <v xml:space="preserve">    HCL Technologies Ltd</v>
      </c>
      <c r="B15" t="str">
        <f>"HCLT IN Equity"</f>
        <v>HCLT IN Equity</v>
      </c>
      <c r="C15" t="str">
        <f t="shared" si="0"/>
        <v>RR121</v>
      </c>
      <c r="D15" t="str">
        <f t="shared" si="1"/>
        <v>NUM_OF_EMPLOYEES</v>
      </c>
      <c r="E15" t="str">
        <f t="shared" si="2"/>
        <v>Dynamic</v>
      </c>
      <c r="F15">
        <f ca="1">IF(AND(ISNUMBER($F$228),$B$165=1),$F$228,HLOOKUP(INDIRECT(ADDRESS(2,COLUMN())),OFFSET($M$2,0,0,ROW()-1,7),ROW()-1,FALSE))</f>
        <v>150423</v>
      </c>
      <c r="G15">
        <f ca="1">IF(AND(ISNUMBER($G$228),$B$165=1),$G$228,HLOOKUP(INDIRECT(ADDRESS(2,COLUMN())),OFFSET($M$2,0,0,ROW()-1,7),ROW()-1,FALSE))</f>
        <v>137965</v>
      </c>
      <c r="H15">
        <f ca="1">IF(AND(ISNUMBER($H$228),$B$165=1),$H$228,HLOOKUP(INDIRECT(ADDRESS(2,COLUMN())),OFFSET($M$2,0,0,ROW()-1,7),ROW()-1,FALSE))</f>
        <v>120081</v>
      </c>
      <c r="I15">
        <f ca="1">IF(AND(ISNUMBER($I$228),$B$165=1),$I$228,HLOOKUP(INDIRECT(ADDRESS(2,COLUMN())),OFFSET($M$2,0,0,ROW()-1,7),ROW()-1,FALSE))</f>
        <v>115973</v>
      </c>
      <c r="J15">
        <f ca="1">IF(AND(ISNUMBER($J$228),$B$165=1),$J$228,HLOOKUP(INDIRECT(ADDRESS(2,COLUMN())),OFFSET($M$2,0,0,ROW()-1,7),ROW()-1,FALSE))</f>
        <v>104896</v>
      </c>
      <c r="K15" t="str">
        <f ca="1">IF(AND(ISNUMBER($K$228),$B$165=1),$K$228,HLOOKUP(INDIRECT(ADDRESS(2,COLUMN())),OFFSET($M$2,0,0,ROW()-1,7),ROW()-1,FALSE))</f>
        <v/>
      </c>
      <c r="L15">
        <f ca="1">IF(AND(ISNUMBER($L$228),$B$165=1),$L$228,HLOOKUP(INDIRECT(ADDRESS(2,COLUMN())),OFFSET($M$2,0,0,ROW()-1,7),ROW()-1,FALSE))</f>
        <v>91691</v>
      </c>
      <c r="M15">
        <f>150423</f>
        <v>150423</v>
      </c>
      <c r="N15">
        <f>137965</f>
        <v>137965</v>
      </c>
      <c r="O15">
        <f>120081</f>
        <v>120081</v>
      </c>
      <c r="P15">
        <f>115973</f>
        <v>115973</v>
      </c>
      <c r="Q15">
        <f>104896</f>
        <v>104896</v>
      </c>
      <c r="R15" t="str">
        <f>""</f>
        <v/>
      </c>
      <c r="S15">
        <f>91691</f>
        <v>91691</v>
      </c>
    </row>
    <row r="16" spans="1:19" x14ac:dyDescent="0.25">
      <c r="A16" t="str">
        <f>"    Indra Sistemas SA"</f>
        <v xml:space="preserve">    Indra Sistemas SA</v>
      </c>
      <c r="B16" t="str">
        <f>"IDR SM Equity"</f>
        <v>IDR SM Equity</v>
      </c>
      <c r="C16" t="str">
        <f t="shared" si="0"/>
        <v>RR121</v>
      </c>
      <c r="D16" t="str">
        <f t="shared" si="1"/>
        <v>NUM_OF_EMPLOYEES</v>
      </c>
      <c r="E16" t="str">
        <f t="shared" si="2"/>
        <v>Dynamic</v>
      </c>
      <c r="F16">
        <f ca="1">IF(AND(ISNUMBER($F$229),$B$165=1),$F$229,HLOOKUP(INDIRECT(ADDRESS(2,COLUMN())),OFFSET($M$2,0,0,ROW()-1,7),ROW()-1,FALSE))</f>
        <v>47409</v>
      </c>
      <c r="G16">
        <f ca="1">IF(AND(ISNUMBER($G$229),$B$165=1),$G$229,HLOOKUP(INDIRECT(ADDRESS(2,COLUMN())),OFFSET($M$2,0,0,ROW()-1,7),ROW()-1,FALSE))</f>
        <v>41572</v>
      </c>
      <c r="H16">
        <f ca="1">IF(AND(ISNUMBER($H$229),$B$165=1),$H$229,HLOOKUP(INDIRECT(ADDRESS(2,COLUMN())),OFFSET($M$2,0,0,ROW()-1,7),ROW()-1,FALSE))</f>
        <v>40020</v>
      </c>
      <c r="I16">
        <f ca="1">IF(AND(ISNUMBER($I$229),$B$165=1),$I$229,HLOOKUP(INDIRECT(ADDRESS(2,COLUMN())),OFFSET($M$2,0,0,ROW()-1,7),ROW()-1,FALSE))</f>
        <v>35660</v>
      </c>
      <c r="J16">
        <f ca="1">IF(AND(ISNUMBER($J$229),$B$165=1),$J$229,HLOOKUP(INDIRECT(ADDRESS(2,COLUMN())),OFFSET($M$2,0,0,ROW()-1,7),ROW()-1,FALSE))</f>
        <v>37073</v>
      </c>
      <c r="K16">
        <f ca="1">IF(AND(ISNUMBER($K$229),$B$165=1),$K$229,HLOOKUP(INDIRECT(ADDRESS(2,COLUMN())),OFFSET($M$2,0,0,ROW()-1,7),ROW()-1,FALSE))</f>
        <v>38552</v>
      </c>
      <c r="L16">
        <f ca="1">IF(AND(ISNUMBER($L$229),$B$165=1),$L$229,HLOOKUP(INDIRECT(ADDRESS(2,COLUMN())),OFFSET($M$2,0,0,ROW()-1,7),ROW()-1,FALSE))</f>
        <v>38548</v>
      </c>
      <c r="M16">
        <f>47409</f>
        <v>47409</v>
      </c>
      <c r="N16">
        <f>41572</f>
        <v>41572</v>
      </c>
      <c r="O16">
        <f>40020</f>
        <v>40020</v>
      </c>
      <c r="P16">
        <f>35660</f>
        <v>35660</v>
      </c>
      <c r="Q16">
        <f>37073</f>
        <v>37073</v>
      </c>
      <c r="R16">
        <f>38552</f>
        <v>38552</v>
      </c>
      <c r="S16">
        <f>38548</f>
        <v>38548</v>
      </c>
    </row>
    <row r="17" spans="1:19" x14ac:dyDescent="0.25">
      <c r="A17" t="str">
        <f>"    Infosys Ltd"</f>
        <v xml:space="preserve">    Infosys Ltd</v>
      </c>
      <c r="B17" t="str">
        <f>"INFY US Equity"</f>
        <v>INFY US Equity</v>
      </c>
      <c r="C17" t="str">
        <f t="shared" si="0"/>
        <v>RR121</v>
      </c>
      <c r="D17" t="str">
        <f t="shared" si="1"/>
        <v>NUM_OF_EMPLOYEES</v>
      </c>
      <c r="E17" t="str">
        <f t="shared" si="2"/>
        <v>Dynamic</v>
      </c>
      <c r="F17">
        <f ca="1">IF(AND(ISNUMBER($F$230),$B$165=1),$F$230,HLOOKUP(INDIRECT(ADDRESS(2,COLUMN())),OFFSET($M$2,0,0,ROW()-1,7),ROW()-1,FALSE))</f>
        <v>242371</v>
      </c>
      <c r="G17">
        <f ca="1">IF(AND(ISNUMBER($G$230),$B$165=1),$G$230,HLOOKUP(INDIRECT(ADDRESS(2,COLUMN())),OFFSET($M$2,0,0,ROW()-1,7),ROW()-1,FALSE))</f>
        <v>228123</v>
      </c>
      <c r="H17">
        <f ca="1">IF(AND(ISNUMBER($H$230),$B$165=1),$H$230,HLOOKUP(INDIRECT(ADDRESS(2,COLUMN())),OFFSET($M$2,0,0,ROW()-1,7),ROW()-1,FALSE))</f>
        <v>204107</v>
      </c>
      <c r="I17">
        <f ca="1">IF(AND(ISNUMBER($I$230),$B$165=1),$I$230,HLOOKUP(INDIRECT(ADDRESS(2,COLUMN())),OFFSET($M$2,0,0,ROW()-1,7),ROW()-1,FALSE))</f>
        <v>200364</v>
      </c>
      <c r="J17">
        <f ca="1">IF(AND(ISNUMBER($J$230),$B$165=1),$J$230,HLOOKUP(INDIRECT(ADDRESS(2,COLUMN())),OFFSET($M$2,0,0,ROW()-1,7),ROW()-1,FALSE))</f>
        <v>194044</v>
      </c>
      <c r="K17">
        <f ca="1">IF(AND(ISNUMBER($K$230),$B$165=1),$K$230,HLOOKUP(INDIRECT(ADDRESS(2,COLUMN())),OFFSET($M$2,0,0,ROW()-1,7),ROW()-1,FALSE))</f>
        <v>176187</v>
      </c>
      <c r="L17">
        <f ca="1">IF(AND(ISNUMBER($L$230),$B$165=1),$L$230,HLOOKUP(INDIRECT(ADDRESS(2,COLUMN())),OFFSET($M$2,0,0,ROW()-1,7),ROW()-1,FALSE))</f>
        <v>160405</v>
      </c>
      <c r="M17">
        <f>242371</f>
        <v>242371</v>
      </c>
      <c r="N17">
        <f>228123</f>
        <v>228123</v>
      </c>
      <c r="O17">
        <f>204107</f>
        <v>204107</v>
      </c>
      <c r="P17">
        <f>200364</f>
        <v>200364</v>
      </c>
      <c r="Q17">
        <f>194044</f>
        <v>194044</v>
      </c>
      <c r="R17">
        <f>176187</f>
        <v>176187</v>
      </c>
      <c r="S17">
        <f>160405</f>
        <v>160405</v>
      </c>
    </row>
    <row r="18" spans="1:19" x14ac:dyDescent="0.25">
      <c r="A18" t="str">
        <f>"    International Business Machines Corp"</f>
        <v xml:space="preserve">    International Business Machines Corp</v>
      </c>
      <c r="B18" t="str">
        <f>"IBM US Equity"</f>
        <v>IBM US Equity</v>
      </c>
      <c r="C18" t="str">
        <f t="shared" si="0"/>
        <v>RR121</v>
      </c>
      <c r="D18" t="str">
        <f t="shared" si="1"/>
        <v>NUM_OF_EMPLOYEES</v>
      </c>
      <c r="E18" t="str">
        <f t="shared" si="2"/>
        <v>Dynamic</v>
      </c>
      <c r="F18">
        <f ca="1">IF(AND(ISNUMBER($F$231),$B$165=1),$F$231,HLOOKUP(INDIRECT(ADDRESS(2,COLUMN())),OFFSET($M$2,0,0,ROW()-1,7),ROW()-1,FALSE))</f>
        <v>350600</v>
      </c>
      <c r="G18">
        <f ca="1">IF(AND(ISNUMBER($G$231),$B$165=1),$G$231,HLOOKUP(INDIRECT(ADDRESS(2,COLUMN())),OFFSET($M$2,0,0,ROW()-1,7),ROW()-1,FALSE))</f>
        <v>350600</v>
      </c>
      <c r="H18">
        <f ca="1">IF(AND(ISNUMBER($H$231),$B$165=1),$H$231,HLOOKUP(INDIRECT(ADDRESS(2,COLUMN())),OFFSET($M$2,0,0,ROW()-1,7),ROW()-1,FALSE))</f>
        <v>366600</v>
      </c>
      <c r="I18">
        <f ca="1">IF(AND(ISNUMBER($I$231),$B$165=1),$I$231,HLOOKUP(INDIRECT(ADDRESS(2,COLUMN())),OFFSET($M$2,0,0,ROW()-1,7),ROW()-1,FALSE))</f>
        <v>380300</v>
      </c>
      <c r="J18">
        <f ca="1">IF(AND(ISNUMBER($J$231),$B$165=1),$J$231,HLOOKUP(INDIRECT(ADDRESS(2,COLUMN())),OFFSET($M$2,0,0,ROW()-1,7),ROW()-1,FALSE))</f>
        <v>377757</v>
      </c>
      <c r="K18">
        <f ca="1">IF(AND(ISNUMBER($K$231),$B$165=1),$K$231,HLOOKUP(INDIRECT(ADDRESS(2,COLUMN())),OFFSET($M$2,0,0,ROW()-1,7),ROW()-1,FALSE))</f>
        <v>379592</v>
      </c>
      <c r="L18">
        <f ca="1">IF(AND(ISNUMBER($L$231),$B$165=1),$L$231,HLOOKUP(INDIRECT(ADDRESS(2,COLUMN())),OFFSET($M$2,0,0,ROW()-1,7),ROW()-1,FALSE))</f>
        <v>431212</v>
      </c>
      <c r="M18">
        <f>350600</f>
        <v>350600</v>
      </c>
      <c r="N18">
        <f>350600</f>
        <v>350600</v>
      </c>
      <c r="O18">
        <f>366600</f>
        <v>366600</v>
      </c>
      <c r="P18">
        <f>380300</f>
        <v>380300</v>
      </c>
      <c r="Q18">
        <f>377757</f>
        <v>377757</v>
      </c>
      <c r="R18">
        <f>379592</f>
        <v>379592</v>
      </c>
      <c r="S18">
        <f>431212</f>
        <v>431212</v>
      </c>
    </row>
    <row r="19" spans="1:19" x14ac:dyDescent="0.25">
      <c r="A19" t="str">
        <f>"    Tata Consultancy Services Ltd"</f>
        <v xml:space="preserve">    Tata Consultancy Services Ltd</v>
      </c>
      <c r="B19" t="str">
        <f>"TCS IN Equity"</f>
        <v>TCS IN Equity</v>
      </c>
      <c r="C19" t="str">
        <f t="shared" si="0"/>
        <v>RR121</v>
      </c>
      <c r="D19" t="str">
        <f t="shared" si="1"/>
        <v>NUM_OF_EMPLOYEES</v>
      </c>
      <c r="E19" t="str">
        <f t="shared" si="2"/>
        <v>Dynamic</v>
      </c>
      <c r="F19">
        <f ca="1">IF(AND(ISNUMBER($F$232),$B$165=1),$F$232,HLOOKUP(INDIRECT(ADDRESS(2,COLUMN())),OFFSET($M$2,0,0,ROW()-1,7),ROW()-1,FALSE))</f>
        <v>448464</v>
      </c>
      <c r="G19">
        <f ca="1">IF(AND(ISNUMBER($G$232),$B$165=1),$G$232,HLOOKUP(INDIRECT(ADDRESS(2,COLUMN())),OFFSET($M$2,0,0,ROW()-1,7),ROW()-1,FALSE))</f>
        <v>424285</v>
      </c>
      <c r="H19">
        <f ca="1">IF(AND(ISNUMBER($H$232),$B$165=1),$H$232,HLOOKUP(INDIRECT(ADDRESS(2,COLUMN())),OFFSET($M$2,0,0,ROW()-1,7),ROW()-1,FALSE))</f>
        <v>394998</v>
      </c>
      <c r="I19">
        <f ca="1">IF(AND(ISNUMBER($I$232),$B$165=1),$I$232,HLOOKUP(INDIRECT(ADDRESS(2,COLUMN())),OFFSET($M$2,0,0,ROW()-1,7),ROW()-1,FALSE))</f>
        <v>387223</v>
      </c>
      <c r="J19">
        <f ca="1">IF(AND(ISNUMBER($J$232),$B$165=1),$J$232,HLOOKUP(INDIRECT(ADDRESS(2,COLUMN())),OFFSET($M$2,0,0,ROW()-1,7),ROW()-1,FALSE))</f>
        <v>353843</v>
      </c>
      <c r="K19">
        <f ca="1">IF(AND(ISNUMBER($K$232),$B$165=1),$K$232,HLOOKUP(INDIRECT(ADDRESS(2,COLUMN())),OFFSET($M$2,0,0,ROW()-1,7),ROW()-1,FALSE))</f>
        <v>319656</v>
      </c>
      <c r="L19">
        <f ca="1">IF(AND(ISNUMBER($L$232),$B$165=1),$L$232,HLOOKUP(INDIRECT(ADDRESS(2,COLUMN())),OFFSET($M$2,0,0,ROW()-1,7),ROW()-1,FALSE))</f>
        <v>300464</v>
      </c>
      <c r="M19">
        <f>448464</f>
        <v>448464</v>
      </c>
      <c r="N19">
        <f>424285</f>
        <v>424285</v>
      </c>
      <c r="O19">
        <f>394998</f>
        <v>394998</v>
      </c>
      <c r="P19">
        <f>387223</f>
        <v>387223</v>
      </c>
      <c r="Q19">
        <f>353843</f>
        <v>353843</v>
      </c>
      <c r="R19">
        <f>319656</f>
        <v>319656</v>
      </c>
      <c r="S19">
        <f>300464</f>
        <v>300464</v>
      </c>
    </row>
    <row r="20" spans="1:19" x14ac:dyDescent="0.25">
      <c r="A20" t="str">
        <f>"    Tech Mahindra Ltd"</f>
        <v xml:space="preserve">    Tech Mahindra Ltd</v>
      </c>
      <c r="B20" t="str">
        <f>"TECHM IN Equity"</f>
        <v>TECHM IN Equity</v>
      </c>
      <c r="C20" t="str">
        <f t="shared" si="0"/>
        <v>RR121</v>
      </c>
      <c r="D20" t="str">
        <f t="shared" si="1"/>
        <v>NUM_OF_EMPLOYEES</v>
      </c>
      <c r="E20" t="str">
        <f t="shared" si="2"/>
        <v>Dynamic</v>
      </c>
      <c r="F20">
        <f ca="1">IF(AND(ISNUMBER($F$233),$B$165=1),$F$233,HLOOKUP(INDIRECT(ADDRESS(2,COLUMN())),OFFSET($M$2,0,0,ROW()-1,7),ROW()-1,FALSE))</f>
        <v>103822</v>
      </c>
      <c r="G20">
        <f ca="1">IF(AND(ISNUMBER($G$233),$B$165=1),$G$233,HLOOKUP(INDIRECT(ADDRESS(2,COLUMN())),OFFSET($M$2,0,0,ROW()-1,7),ROW()-1,FALSE))</f>
        <v>103822</v>
      </c>
      <c r="H20">
        <f ca="1">IF(AND(ISNUMBER($H$233),$B$165=1),$H$233,HLOOKUP(INDIRECT(ADDRESS(2,COLUMN())),OFFSET($M$2,0,0,ROW()-1,7),ROW()-1,FALSE))</f>
        <v>112807</v>
      </c>
      <c r="I20">
        <f ca="1">IF(AND(ISNUMBER($I$233),$B$165=1),$I$233,HLOOKUP(INDIRECT(ADDRESS(2,COLUMN())),OFFSET($M$2,0,0,ROW()-1,7),ROW()-1,FALSE))</f>
        <v>117693</v>
      </c>
      <c r="J20">
        <f ca="1">IF(AND(ISNUMBER($J$233),$B$165=1),$J$233,HLOOKUP(INDIRECT(ADDRESS(2,COLUMN())),OFFSET($M$2,0,0,ROW()-1,7),ROW()-1,FALSE))</f>
        <v>105432</v>
      </c>
      <c r="K20">
        <f ca="1">IF(AND(ISNUMBER($K$233),$B$165=1),$K$233,HLOOKUP(INDIRECT(ADDRESS(2,COLUMN())),OFFSET($M$2,0,0,ROW()-1,7),ROW()-1,FALSE))</f>
        <v>103281</v>
      </c>
      <c r="L20">
        <f ca="1">IF(AND(ISNUMBER($L$233),$B$165=1),$L$233,HLOOKUP(INDIRECT(ADDRESS(2,COLUMN())),OFFSET($M$2,0,0,ROW()-1,7),ROW()-1,FALSE))</f>
        <v>89441</v>
      </c>
      <c r="M20">
        <f>103822</f>
        <v>103822</v>
      </c>
      <c r="N20">
        <f>103822</f>
        <v>103822</v>
      </c>
      <c r="O20">
        <f>112807</f>
        <v>112807</v>
      </c>
      <c r="P20">
        <f>117693</f>
        <v>117693</v>
      </c>
      <c r="Q20">
        <f>105432</f>
        <v>105432</v>
      </c>
      <c r="R20">
        <f>103281</f>
        <v>103281</v>
      </c>
      <c r="S20">
        <f>89441</f>
        <v>89441</v>
      </c>
    </row>
    <row r="21" spans="1:19" x14ac:dyDescent="0.25">
      <c r="A21" t="str">
        <f>"    Wipro Ltd"</f>
        <v xml:space="preserve">    Wipro Ltd</v>
      </c>
      <c r="B21" t="str">
        <f>"WIT US Equity"</f>
        <v>WIT US Equity</v>
      </c>
      <c r="C21" t="str">
        <f t="shared" si="0"/>
        <v>RR121</v>
      </c>
      <c r="D21" t="str">
        <f t="shared" si="1"/>
        <v>NUM_OF_EMPLOYEES</v>
      </c>
      <c r="E21" t="str">
        <f t="shared" si="2"/>
        <v>Dynamic</v>
      </c>
      <c r="F21">
        <f ca="1">IF(AND(ISNUMBER($F$234),$B$165=1),$F$234,HLOOKUP(INDIRECT(ADDRESS(2,COLUMN())),OFFSET($M$2,0,0,ROW()-1,7),ROW()-1,FALSE))</f>
        <v>182886</v>
      </c>
      <c r="G21">
        <f ca="1">IF(AND(ISNUMBER($G$234),$B$165=1),$G$234,HLOOKUP(INDIRECT(ADDRESS(2,COLUMN())),OFFSET($M$2,0,0,ROW()-1,7),ROW()-1,FALSE))</f>
        <v>171425</v>
      </c>
      <c r="H21">
        <f ca="1">IF(AND(ISNUMBER($H$234),$B$165=1),$H$234,HLOOKUP(INDIRECT(ADDRESS(2,COLUMN())),OFFSET($M$2,0,0,ROW()-1,7),ROW()-1,FALSE))</f>
        <v>163827</v>
      </c>
      <c r="I21">
        <f ca="1">IF(AND(ISNUMBER($I$234),$B$165=1),$I$234,HLOOKUP(INDIRECT(ADDRESS(2,COLUMN())),OFFSET($M$2,0,0,ROW()-1,7),ROW()-1,FALSE))</f>
        <v>181482</v>
      </c>
      <c r="J21">
        <f ca="1">IF(AND(ISNUMBER($J$234),$B$165=1),$J$234,HLOOKUP(INDIRECT(ADDRESS(2,COLUMN())),OFFSET($M$2,0,0,ROW()-1,7),ROW()-1,FALSE))</f>
        <v>172912</v>
      </c>
      <c r="K21">
        <f ca="1">IF(AND(ISNUMBER($K$234),$B$165=1),$K$234,HLOOKUP(INDIRECT(ADDRESS(2,COLUMN())),OFFSET($M$2,0,0,ROW()-1,7),ROW()-1,FALSE))</f>
        <v>158217</v>
      </c>
      <c r="L21">
        <f ca="1">IF(AND(ISNUMBER($L$234),$B$165=1),$L$234,HLOOKUP(INDIRECT(ADDRESS(2,COLUMN())),OFFSET($M$2,0,0,ROW()-1,7),ROW()-1,FALSE))</f>
        <v>146053</v>
      </c>
      <c r="M21">
        <f>182886</f>
        <v>182886</v>
      </c>
      <c r="N21">
        <f>171425</f>
        <v>171425</v>
      </c>
      <c r="O21">
        <f>163827</f>
        <v>163827</v>
      </c>
      <c r="P21">
        <f>181482</f>
        <v>181482</v>
      </c>
      <c r="Q21">
        <f>172912</f>
        <v>172912</v>
      </c>
      <c r="R21">
        <f>158217</f>
        <v>158217</v>
      </c>
      <c r="S21">
        <f>146053</f>
        <v>146053</v>
      </c>
    </row>
    <row r="22" spans="1:19" x14ac:dyDescent="0.25">
      <c r="A22" t="str">
        <f>"Number of Women in Workforce"</f>
        <v>Number of Women in Workforce</v>
      </c>
      <c r="B22" t="str">
        <f>""</f>
        <v/>
      </c>
      <c r="E22" t="str">
        <f>"Median"</f>
        <v>Median</v>
      </c>
      <c r="F22" t="str">
        <f ca="1">IF(ISERROR(IF(MEDIAN($F$23:$F$39) = 0, "", MEDIAN($F$23:$F$39))), "", (IF(MEDIAN($F$23:$F$39) = 0, "", MEDIAN($F$23:$F$39))))</f>
        <v/>
      </c>
      <c r="G22">
        <f ca="1">IF(ISERROR(IF(MEDIAN($G$23:$G$39) = 0, "", MEDIAN($G$23:$G$39))), "", (IF(MEDIAN($G$23:$G$39) = 0, "", MEDIAN($G$23:$G$39))))</f>
        <v>51620.800855000001</v>
      </c>
      <c r="H22">
        <f ca="1">IF(ISERROR(IF(MEDIAN($H$23:$H$39) = 0, "", MEDIAN($H$23:$H$39))), "", (IF(MEDIAN($H$23:$H$39) = 0, "", MEDIAN($H$23:$H$39))))</f>
        <v>41766.935949999999</v>
      </c>
      <c r="I22">
        <f ca="1">IF(ISERROR(IF(MEDIAN($I$23:$I$39) = 0, "", MEDIAN($I$23:$I$39))), "", (IF(MEDIAN($I$23:$I$39) = 0, "", MEDIAN($I$23:$I$39))))</f>
        <v>60103.104534999999</v>
      </c>
      <c r="J22">
        <f ca="1">IF(ISERROR(IF(MEDIAN($J$23:$J$39) = 0, "", MEDIAN($J$23:$J$39))), "", (IF(MEDIAN($J$23:$J$39) = 0, "", MEDIAN($J$23:$J$39))))</f>
        <v>54310.172500000001</v>
      </c>
      <c r="K22">
        <f ca="1">IF(ISERROR(IF(MEDIAN($K$23:$K$39) = 0, "", MEDIAN($K$23:$K$39))), "", (IF(MEDIAN($K$23:$K$39) = 0, "", MEDIAN($K$23:$K$39))))</f>
        <v>47781.535580000003</v>
      </c>
      <c r="L22">
        <f ca="1">IF(ISERROR(IF(MEDIAN($L$23:$L$39) = 0, "", MEDIAN($L$23:$L$39))), "", (IF(MEDIAN($L$23:$L$39) = 0, "", MEDIAN($L$23:$L$39))))</f>
        <v>37326.120000000003</v>
      </c>
      <c r="M22" t="str">
        <f>""</f>
        <v/>
      </c>
      <c r="N22">
        <f>51620.80086</f>
        <v>51620.800860000003</v>
      </c>
      <c r="O22">
        <f>41766.93595</f>
        <v>41766.935949999999</v>
      </c>
      <c r="P22">
        <f>60103.10453</f>
        <v>60103.104529999997</v>
      </c>
      <c r="Q22">
        <f>54310.1725</f>
        <v>54310.172500000001</v>
      </c>
      <c r="R22">
        <f>47781.53558</f>
        <v>47781.535580000003</v>
      </c>
      <c r="S22">
        <f>37326.12</f>
        <v>37326.120000000003</v>
      </c>
    </row>
    <row r="23" spans="1:19" x14ac:dyDescent="0.25">
      <c r="A23" t="str">
        <f>"    Accenture PLC"</f>
        <v xml:space="preserve">    Accenture PLC</v>
      </c>
      <c r="B23" t="str">
        <f>"ACN US Equity"</f>
        <v>ACN US Equity</v>
      </c>
      <c r="E23" t="str">
        <f t="shared" ref="E23:E39" si="3">"Expression"</f>
        <v>Expression</v>
      </c>
      <c r="F23" t="e">
        <f ca="1">IF(AND($B$165=1,LEN($F$167) * LEN($F$168)&gt;0),($F$167/100)*$F$168,HLOOKUP(INDIRECT(ADDRESS(2,COLUMN())),OFFSET($M$2,0,0,ROW()-1,7),ROW()-1,FALSE))</f>
        <v>#NAME?</v>
      </c>
      <c r="G23">
        <f ca="1">IF(AND($B$165=1,LEN($G$167) * LEN($G$168)&gt;0),($G$167/100)*$G$168,HLOOKUP(INDIRECT(ADDRESS(2,COLUMN())),OFFSET($M$2,0,0,ROW()-1,7),ROW()-1,FALSE))</f>
        <v>192780</v>
      </c>
      <c r="H23">
        <f ca="1">IF(AND($B$165=1,LEN($H$167) * LEN($H$168)&gt;0),($H$167/100)*$H$168,HLOOKUP(INDIRECT(ADDRESS(2,COLUMN())),OFFSET($M$2,0,0,ROW()-1,7),ROW()-1,FALSE))</f>
        <v>188190</v>
      </c>
      <c r="I23">
        <f ca="1">IF(AND($B$165=1,LEN($I$167) * LEN($I$168)&gt;0),($I$167/100)*$I$168,HLOOKUP(INDIRECT(ADDRESS(2,COLUMN())),OFFSET($M$2,0,0,ROW()-1,7),ROW()-1,FALSE))</f>
        <v>149760</v>
      </c>
      <c r="J23">
        <f ca="1">IF(AND($B$165=1,LEN($J$167) * LEN($J$168)&gt;0),($J$167/100)*$J$168,HLOOKUP(INDIRECT(ADDRESS(2,COLUMN())),OFFSET($M$2,0,0,ROW()-1,7),ROW()-1,FALSE))</f>
        <v>136229.24</v>
      </c>
      <c r="K23">
        <f ca="1">IF(AND($B$165=1,LEN($K$167) * LEN($K$168)&gt;0),($K$167/100)*$K$168,HLOOKUP(INDIRECT(ADDRESS(2,COLUMN())),OFFSET($M$2,0,0,ROW()-1,7),ROW()-1,FALSE))</f>
        <v>109800</v>
      </c>
      <c r="L23">
        <f ca="1">IF(AND($B$165=1,LEN($L$167) * LEN($L$168)&gt;0),($L$167/100)*$L$168,HLOOKUP(INDIRECT(ADDRESS(2,COLUMN())),OFFSET($M$2,0,0,ROW()-1,7),ROW()-1,FALSE))</f>
        <v>99000</v>
      </c>
      <c r="M23" t="str">
        <f>""</f>
        <v/>
      </c>
      <c r="N23">
        <f>192780</f>
        <v>192780</v>
      </c>
      <c r="O23">
        <f>188190</f>
        <v>188190</v>
      </c>
      <c r="P23">
        <f>149760</f>
        <v>149760</v>
      </c>
      <c r="Q23">
        <f>136229.24</f>
        <v>136229.24</v>
      </c>
      <c r="R23">
        <f>109800</f>
        <v>109800</v>
      </c>
      <c r="S23">
        <f>99000</f>
        <v>99000</v>
      </c>
    </row>
    <row r="24" spans="1:19" x14ac:dyDescent="0.25">
      <c r="A24" t="str">
        <f>"    Amdocs Ltd"</f>
        <v xml:space="preserve">    Amdocs Ltd</v>
      </c>
      <c r="B24" t="str">
        <f>"DOX US Equity"</f>
        <v>DOX US Equity</v>
      </c>
      <c r="E24" t="str">
        <f t="shared" si="3"/>
        <v>Expression</v>
      </c>
      <c r="F24" t="e">
        <f ca="1">IF(AND($B$165=1,LEN($F$169) * LEN($F$170)&gt;0),($F$169/100)*$F$170,HLOOKUP(INDIRECT(ADDRESS(2,COLUMN())),OFFSET($M$2,0,0,ROW()-1,7),ROW()-1,FALSE))</f>
        <v>#NAME?</v>
      </c>
      <c r="G24" t="str">
        <f ca="1">IF(AND($B$165=1,LEN($G$169) * LEN($G$170)&gt;0),($G$169/100)*$G$170,HLOOKUP(INDIRECT(ADDRESS(2,COLUMN())),OFFSET($M$2,0,0,ROW()-1,7),ROW()-1,FALSE))</f>
        <v/>
      </c>
      <c r="H24">
        <f ca="1">IF(AND($B$165=1,LEN($H$169) * LEN($H$170)&gt;0),($H$169/100)*$H$170,HLOOKUP(INDIRECT(ADDRESS(2,COLUMN())),OFFSET($M$2,0,0,ROW()-1,7),ROW()-1,FALSE))</f>
        <v>7450.3402470000001</v>
      </c>
      <c r="I24" t="str">
        <f ca="1">IF(AND($B$165=1,LEN($I$169) * LEN($I$170)&gt;0),($I$169/100)*$I$170,HLOOKUP(INDIRECT(ADDRESS(2,COLUMN())),OFFSET($M$2,0,0,ROW()-1,7),ROW()-1,FALSE))</f>
        <v/>
      </c>
      <c r="J24" t="str">
        <f ca="1">IF(AND($B$165=1,LEN($J$169) * LEN($J$170)&gt;0),($J$169/100)*$J$170,HLOOKUP(INDIRECT(ADDRESS(2,COLUMN())),OFFSET($M$2,0,0,ROW()-1,7),ROW()-1,FALSE))</f>
        <v/>
      </c>
      <c r="K24" t="str">
        <f ca="1">IF(AND($B$165=1,LEN($K$169) * LEN($K$170)&gt;0),($K$169/100)*$K$170,HLOOKUP(INDIRECT(ADDRESS(2,COLUMN())),OFFSET($M$2,0,0,ROW()-1,7),ROW()-1,FALSE))</f>
        <v/>
      </c>
      <c r="L24">
        <f ca="1">IF(AND($B$165=1,LEN($L$169) * LEN($L$170)&gt;0),($L$169/100)*$L$170,HLOOKUP(INDIRECT(ADDRESS(2,COLUMN())),OFFSET($M$2,0,0,ROW()-1,7),ROW()-1,FALSE))</f>
        <v>6232.2</v>
      </c>
      <c r="M24">
        <f>7526.412245</f>
        <v>7526.4122450000004</v>
      </c>
      <c r="N24" t="str">
        <f>""</f>
        <v/>
      </c>
      <c r="O24">
        <f>7450.340247</f>
        <v>7450.3402470000001</v>
      </c>
      <c r="P24" t="str">
        <f>""</f>
        <v/>
      </c>
      <c r="Q24" t="str">
        <f>""</f>
        <v/>
      </c>
      <c r="R24" t="str">
        <f>""</f>
        <v/>
      </c>
      <c r="S24">
        <f>6232.2</f>
        <v>6232.2</v>
      </c>
    </row>
    <row r="25" spans="1:19" x14ac:dyDescent="0.25">
      <c r="A25" t="str">
        <f>"    Atos SE"</f>
        <v xml:space="preserve">    Atos SE</v>
      </c>
      <c r="B25" t="str">
        <f>"ATO FP Equity"</f>
        <v>ATO FP Equity</v>
      </c>
      <c r="E25" t="str">
        <f t="shared" si="3"/>
        <v>Expression</v>
      </c>
      <c r="F25" t="e">
        <f ca="1">IF(AND($B$165=1,LEN($F$171) * LEN($F$172)&gt;0),($F$171/100)*$F$172,HLOOKUP(INDIRECT(ADDRESS(2,COLUMN())),OFFSET($M$2,0,0,ROW()-1,7),ROW()-1,FALSE))</f>
        <v>#NAME?</v>
      </c>
      <c r="G25">
        <f ca="1">IF(AND($B$165=1,LEN($G$171) * LEN($G$172)&gt;0),($G$171/100)*$G$172,HLOOKUP(INDIRECT(ADDRESS(2,COLUMN())),OFFSET($M$2,0,0,ROW()-1,7),ROW()-1,FALSE))</f>
        <v>35924.762000000002</v>
      </c>
      <c r="H25">
        <f ca="1">IF(AND($B$165=1,LEN($H$171) * LEN($H$172)&gt;0),($H$171/100)*$H$172,HLOOKUP(INDIRECT(ADDRESS(2,COLUMN())),OFFSET($M$2,0,0,ROW()-1,7),ROW()-1,FALSE))</f>
        <v>28372.783899999999</v>
      </c>
      <c r="I25">
        <f ca="1">IF(AND($B$165=1,LEN($I$171) * LEN($I$172)&gt;0),($I$171/100)*$I$172,HLOOKUP(INDIRECT(ADDRESS(2,COLUMN())),OFFSET($M$2,0,0,ROW()-1,7),ROW()-1,FALSE))</f>
        <v>26735.640599999999</v>
      </c>
      <c r="J25">
        <f ca="1">IF(AND($B$165=1,LEN($J$171) * LEN($J$172)&gt;0),($J$171/100)*$J$172,HLOOKUP(INDIRECT(ADDRESS(2,COLUMN())),OFFSET($M$2,0,0,ROW()-1,7),ROW()-1,FALSE))</f>
        <v>24737.66865</v>
      </c>
      <c r="K25">
        <f ca="1">IF(AND($B$165=1,LEN($K$171) * LEN($K$172)&gt;0),($K$171/100)*$K$172,HLOOKUP(INDIRECT(ADDRESS(2,COLUMN())),OFFSET($M$2,0,0,ROW()-1,7),ROW()-1,FALSE))</f>
        <v>23921.989860000001</v>
      </c>
      <c r="L25">
        <f ca="1">IF(AND($B$165=1,LEN($L$171) * LEN($L$172)&gt;0),($L$171/100)*$L$172,HLOOKUP(INDIRECT(ADDRESS(2,COLUMN())),OFFSET($M$2,0,0,ROW()-1,7),ROW()-1,FALSE))</f>
        <v>20606.400000000001</v>
      </c>
      <c r="M25">
        <f>33491.6164</f>
        <v>33491.616399999999</v>
      </c>
      <c r="N25">
        <f>35924.762</f>
        <v>35924.762000000002</v>
      </c>
      <c r="O25">
        <f>28372.7839</f>
        <v>28372.783899999999</v>
      </c>
      <c r="P25">
        <f>26735.6406</f>
        <v>26735.640599999999</v>
      </c>
      <c r="Q25">
        <f>24737.66865</f>
        <v>24737.66865</v>
      </c>
      <c r="R25">
        <f>23921.98986</f>
        <v>23921.989860000001</v>
      </c>
      <c r="S25">
        <f>20606.4</f>
        <v>20606.400000000001</v>
      </c>
    </row>
    <row r="26" spans="1:19" x14ac:dyDescent="0.25">
      <c r="A26" t="str">
        <f>"    Capgemini SE"</f>
        <v xml:space="preserve">    Capgemini SE</v>
      </c>
      <c r="B26" t="str">
        <f>"CAP FP Equity"</f>
        <v>CAP FP Equity</v>
      </c>
      <c r="E26" t="str">
        <f t="shared" si="3"/>
        <v>Expression</v>
      </c>
      <c r="F26" t="e">
        <f ca="1">IF(AND($B$165=1,LEN($F$173) * LEN($F$174)&gt;0),($F$173/100)*$F$174,HLOOKUP(INDIRECT(ADDRESS(2,COLUMN())),OFFSET($M$2,0,0,ROW()-1,7),ROW()-1,FALSE))</f>
        <v>#NAME?</v>
      </c>
      <c r="G26">
        <f ca="1">IF(AND($B$165=1,LEN($G$173) * LEN($G$174)&gt;0),($G$173/100)*$G$174,HLOOKUP(INDIRECT(ADDRESS(2,COLUMN())),OFFSET($M$2,0,0,ROW()-1,7),ROW()-1,FALSE))</f>
        <v>67408.846999999994</v>
      </c>
      <c r="H26">
        <f ca="1">IF(AND($B$165=1,LEN($H$173) * LEN($H$174)&gt;0),($H$173/100)*$H$174,HLOOKUP(INDIRECT(ADDRESS(2,COLUMN())),OFFSET($M$2,0,0,ROW()-1,7),ROW()-1,FALSE))</f>
        <v>62705.171999999999</v>
      </c>
      <c r="I26">
        <f ca="1">IF(AND($B$165=1,LEN($I$173) * LEN($I$174)&gt;0),($I$173/100)*$I$174,HLOOKUP(INDIRECT(ADDRESS(2,COLUMN())),OFFSET($M$2,0,0,ROW()-1,7),ROW()-1,FALSE))</f>
        <v>58502.32907</v>
      </c>
      <c r="J26">
        <f ca="1">IF(AND($B$165=1,LEN($J$173) * LEN($J$174)&gt;0),($J$173/100)*$J$174,HLOOKUP(INDIRECT(ADDRESS(2,COLUMN())),OFFSET($M$2,0,0,ROW()-1,7),ROW()-1,FALSE))</f>
        <v>53288.504999999997</v>
      </c>
      <c r="K26">
        <f ca="1">IF(AND($B$165=1,LEN($K$173) * LEN($K$174)&gt;0),($K$173/100)*$K$174,HLOOKUP(INDIRECT(ADDRESS(2,COLUMN())),OFFSET($M$2,0,0,ROW()-1,7),ROW()-1,FALSE))</f>
        <v>41369.182560000001</v>
      </c>
      <c r="L26">
        <f ca="1">IF(AND($B$165=1,LEN($L$173) * LEN($L$174)&gt;0),($L$173/100)*$L$174,HLOOKUP(INDIRECT(ADDRESS(2,COLUMN())),OFFSET($M$2,0,0,ROW()-1,7),ROW()-1,FALSE))</f>
        <v>37326.120000000003</v>
      </c>
      <c r="M26">
        <f>72369</f>
        <v>72369</v>
      </c>
      <c r="N26">
        <f>67408.847</f>
        <v>67408.846999999994</v>
      </c>
      <c r="O26">
        <f>62705.172</f>
        <v>62705.171999999999</v>
      </c>
      <c r="P26">
        <f>58502.32907</f>
        <v>58502.32907</v>
      </c>
      <c r="Q26">
        <f>53288.505</f>
        <v>53288.504999999997</v>
      </c>
      <c r="R26">
        <f>41369.18256</f>
        <v>41369.182560000001</v>
      </c>
      <c r="S26">
        <f>37326.12</f>
        <v>37326.120000000003</v>
      </c>
    </row>
    <row r="27" spans="1:19" x14ac:dyDescent="0.25">
      <c r="A27" t="str">
        <f>"    CGI Inc"</f>
        <v xml:space="preserve">    CGI Inc</v>
      </c>
      <c r="B27" t="str">
        <f>"GIB US Equity"</f>
        <v>GIB US Equity</v>
      </c>
      <c r="E27" t="str">
        <f t="shared" si="3"/>
        <v>Expression</v>
      </c>
      <c r="F27" t="e">
        <f ca="1">IF(AND($B$165=1,LEN($F$175) * LEN($F$176)&gt;0),($F$175/100)*$F$176,HLOOKUP(INDIRECT(ADDRESS(2,COLUMN())),OFFSET($M$2,0,0,ROW()-1,7),ROW()-1,FALSE))</f>
        <v>#NAME?</v>
      </c>
      <c r="G27" t="str">
        <f ca="1">IF(AND($B$165=1,LEN($G$175) * LEN($G$176)&gt;0),($G$175/100)*$G$176,HLOOKUP(INDIRECT(ADDRESS(2,COLUMN())),OFFSET($M$2,0,0,ROW()-1,7),ROW()-1,FALSE))</f>
        <v/>
      </c>
      <c r="H27" t="str">
        <f ca="1">IF(AND($B$165=1,LEN($H$175) * LEN($H$176)&gt;0),($H$175/100)*$H$176,HLOOKUP(INDIRECT(ADDRESS(2,COLUMN())),OFFSET($M$2,0,0,ROW()-1,7),ROW()-1,FALSE))</f>
        <v/>
      </c>
      <c r="I27" t="str">
        <f ca="1">IF(AND($B$165=1,LEN($I$175) * LEN($I$176)&gt;0),($I$175/100)*$I$176,HLOOKUP(INDIRECT(ADDRESS(2,COLUMN())),OFFSET($M$2,0,0,ROW()-1,7),ROW()-1,FALSE))</f>
        <v/>
      </c>
      <c r="J27" t="str">
        <f ca="1">IF(AND($B$165=1,LEN($J$175) * LEN($J$176)&gt;0),($J$175/100)*$J$176,HLOOKUP(INDIRECT(ADDRESS(2,COLUMN())),OFFSET($M$2,0,0,ROW()-1,7),ROW()-1,FALSE))</f>
        <v/>
      </c>
      <c r="K27">
        <f ca="1">IF(AND($B$165=1,LEN($K$175) * LEN($K$176)&gt;0),($K$175/100)*$K$176,HLOOKUP(INDIRECT(ADDRESS(2,COLUMN())),OFFSET($M$2,0,0,ROW()-1,7),ROW()-1,FALSE))</f>
        <v>21080</v>
      </c>
      <c r="L27">
        <f ca="1">IF(AND($B$165=1,LEN($L$175) * LEN($L$176)&gt;0),($L$175/100)*$L$176,HLOOKUP(INDIRECT(ADDRESS(2,COLUMN())),OFFSET($M$2,0,0,ROW()-1,7),ROW()-1,FALSE))</f>
        <v>20400</v>
      </c>
      <c r="M27" t="str">
        <f>""</f>
        <v/>
      </c>
      <c r="N27" t="str">
        <f>""</f>
        <v/>
      </c>
      <c r="O27" t="str">
        <f>""</f>
        <v/>
      </c>
      <c r="P27" t="str">
        <f>""</f>
        <v/>
      </c>
      <c r="Q27" t="str">
        <f>""</f>
        <v/>
      </c>
      <c r="R27">
        <f>21080</f>
        <v>21080</v>
      </c>
      <c r="S27">
        <f>20400</f>
        <v>20400</v>
      </c>
    </row>
    <row r="28" spans="1:19" x14ac:dyDescent="0.25">
      <c r="A28" t="str">
        <f>"    Cognizant Technology Solutions Corp"</f>
        <v xml:space="preserve">    Cognizant Technology Solutions Corp</v>
      </c>
      <c r="B28" t="str">
        <f>"CTSH US Equity"</f>
        <v>CTSH US Equity</v>
      </c>
      <c r="E28" t="str">
        <f t="shared" si="3"/>
        <v>Expression</v>
      </c>
      <c r="F28" t="e">
        <f ca="1">IF(AND($B$165=1,LEN($F$177) * LEN($F$178)&gt;0),($F$177/100)*$F$178,HLOOKUP(INDIRECT(ADDRESS(2,COLUMN())),OFFSET($M$2,0,0,ROW()-1,7),ROW()-1,FALSE))</f>
        <v>#NAME?</v>
      </c>
      <c r="G28" t="str">
        <f ca="1">IF(AND($B$165=1,LEN($G$177) * LEN($G$178)&gt;0),($G$177/100)*$G$178,HLOOKUP(INDIRECT(ADDRESS(2,COLUMN())),OFFSET($M$2,0,0,ROW()-1,7),ROW()-1,FALSE))</f>
        <v/>
      </c>
      <c r="H28" t="str">
        <f ca="1">IF(AND($B$165=1,LEN($H$177) * LEN($H$178)&gt;0),($H$177/100)*$H$178,HLOOKUP(INDIRECT(ADDRESS(2,COLUMN())),OFFSET($M$2,0,0,ROW()-1,7),ROW()-1,FALSE))</f>
        <v/>
      </c>
      <c r="I28">
        <f ca="1">IF(AND($B$165=1,LEN($I$177) * LEN($I$178)&gt;0),($I$177/100)*$I$178,HLOOKUP(INDIRECT(ADDRESS(2,COLUMN())),OFFSET($M$2,0,0,ROW()-1,7),ROW()-1,FALSE))</f>
        <v>86646.597399999999</v>
      </c>
      <c r="J28">
        <f ca="1">IF(AND($B$165=1,LEN($J$177) * LEN($J$178)&gt;0),($J$177/100)*$J$178,HLOOKUP(INDIRECT(ADDRESS(2,COLUMN())),OFFSET($M$2,0,0,ROW()-1,7),ROW()-1,FALSE))</f>
        <v>73161</v>
      </c>
      <c r="K28">
        <f ca="1">IF(AND($B$165=1,LEN($K$177) * LEN($K$178)&gt;0),($K$177/100)*$K$178,HLOOKUP(INDIRECT(ADDRESS(2,COLUMN())),OFFSET($M$2,0,0,ROW()-1,7),ROW()-1,FALSE))</f>
        <v>67680</v>
      </c>
      <c r="L28">
        <f ca="1">IF(AND($B$165=1,LEN($L$177) * LEN($L$178)&gt;0),($L$177/100)*$L$178,HLOOKUP(INDIRECT(ADDRESS(2,COLUMN())),OFFSET($M$2,0,0,ROW()-1,7),ROW()-1,FALSE))</f>
        <v>54848</v>
      </c>
      <c r="M28" t="str">
        <f>""</f>
        <v/>
      </c>
      <c r="N28" t="str">
        <f>""</f>
        <v/>
      </c>
      <c r="O28" t="str">
        <f>""</f>
        <v/>
      </c>
      <c r="P28">
        <f>86646.5974</f>
        <v>86646.597399999999</v>
      </c>
      <c r="Q28">
        <f>73161</f>
        <v>73161</v>
      </c>
      <c r="R28">
        <f>67680</f>
        <v>67680</v>
      </c>
      <c r="S28">
        <f>54848</f>
        <v>54848</v>
      </c>
    </row>
    <row r="29" spans="1:19" x14ac:dyDescent="0.25">
      <c r="A29" t="str">
        <f>"    Conduent Inc"</f>
        <v xml:space="preserve">    Conduent Inc</v>
      </c>
      <c r="B29" t="str">
        <f>"CNDT US Equity"</f>
        <v>CNDT US Equity</v>
      </c>
      <c r="E29" t="str">
        <f t="shared" si="3"/>
        <v>Expression</v>
      </c>
      <c r="F29" t="e">
        <f ca="1">IF(AND($B$165=1,LEN($F$179) * LEN($F$180)&gt;0),($F$179/100)*$F$180,HLOOKUP(INDIRECT(ADDRESS(2,COLUMN())),OFFSET($M$2,0,0,ROW()-1,7),ROW()-1,FALSE))</f>
        <v>#NAME?</v>
      </c>
      <c r="G29" t="str">
        <f ca="1">IF(AND($B$165=1,LEN($G$179) * LEN($G$180)&gt;0),($G$179/100)*$G$180,HLOOKUP(INDIRECT(ADDRESS(2,COLUMN())),OFFSET($M$2,0,0,ROW()-1,7),ROW()-1,FALSE))</f>
        <v/>
      </c>
      <c r="H29" t="str">
        <f ca="1">IF(AND($B$165=1,LEN($H$179) * LEN($H$180)&gt;0),($H$179/100)*$H$180,HLOOKUP(INDIRECT(ADDRESS(2,COLUMN())),OFFSET($M$2,0,0,ROW()-1,7),ROW()-1,FALSE))</f>
        <v/>
      </c>
      <c r="I29" t="str">
        <f ca="1">IF(AND($B$165=1,LEN($I$179) * LEN($I$180)&gt;0),($I$179/100)*$I$180,HLOOKUP(INDIRECT(ADDRESS(2,COLUMN())),OFFSET($M$2,0,0,ROW()-1,7),ROW()-1,FALSE))</f>
        <v/>
      </c>
      <c r="J29" t="str">
        <f ca="1">IF(AND($B$165=1,LEN($J$179) * LEN($J$180)&gt;0),($J$179/100)*$J$180,HLOOKUP(INDIRECT(ADDRESS(2,COLUMN())),OFFSET($M$2,0,0,ROW()-1,7),ROW()-1,FALSE))</f>
        <v/>
      </c>
      <c r="K29" t="str">
        <f ca="1">IF(AND($B$165=1,LEN($K$179) * LEN($K$180)&gt;0),($K$179/100)*$K$180,HLOOKUP(INDIRECT(ADDRESS(2,COLUMN())),OFFSET($M$2,0,0,ROW()-1,7),ROW()-1,FALSE))</f>
        <v/>
      </c>
      <c r="L29" t="str">
        <f ca="1">IF(AND($B$165=1,LEN($L$179) * LEN($L$180)&gt;0),($L$179/100)*$L$180,HLOOKUP(INDIRECT(ADDRESS(2,COLUMN())),OFFSET($M$2,0,0,ROW()-1,7),ROW()-1,FALSE))</f>
        <v/>
      </c>
      <c r="M29" t="str">
        <f>""</f>
        <v/>
      </c>
      <c r="N29" t="str">
        <f>""</f>
        <v/>
      </c>
      <c r="O29" t="str">
        <f>""</f>
        <v/>
      </c>
      <c r="P29" t="str">
        <f>""</f>
        <v/>
      </c>
      <c r="Q29" t="str">
        <f>""</f>
        <v/>
      </c>
      <c r="R29" t="str">
        <f>""</f>
        <v/>
      </c>
      <c r="S29" t="str">
        <f>""</f>
        <v/>
      </c>
    </row>
    <row r="30" spans="1:19" x14ac:dyDescent="0.25">
      <c r="A30" t="str">
        <f>"    DXC Technology Co"</f>
        <v xml:space="preserve">    DXC Technology Co</v>
      </c>
      <c r="B30" t="str">
        <f>"DXC US Equity"</f>
        <v>DXC US Equity</v>
      </c>
      <c r="E30" t="str">
        <f t="shared" si="3"/>
        <v>Expression</v>
      </c>
      <c r="F30" t="e">
        <f ca="1">IF(AND($B$165=1,LEN($F$181) * LEN($F$182)&gt;0),($F$181/100)*$F$182,HLOOKUP(INDIRECT(ADDRESS(2,COLUMN())),OFFSET($M$2,0,0,ROW()-1,7),ROW()-1,FALSE))</f>
        <v>#NAME?</v>
      </c>
      <c r="G30">
        <f ca="1">IF(AND($B$165=1,LEN($G$181) * LEN($G$182)&gt;0),($G$181/100)*$G$182,HLOOKUP(INDIRECT(ADDRESS(2,COLUMN())),OFFSET($M$2,0,0,ROW()-1,7),ROW()-1,FALSE))</f>
        <v>42900</v>
      </c>
      <c r="H30">
        <f ca="1">IF(AND($B$165=1,LEN($H$181) * LEN($H$182)&gt;0),($H$181/100)*$H$182,HLOOKUP(INDIRECT(ADDRESS(2,COLUMN())),OFFSET($M$2,0,0,ROW()-1,7),ROW()-1,FALSE))</f>
        <v>49500</v>
      </c>
      <c r="I30" t="str">
        <f ca="1">IF(AND($B$165=1,LEN($I$181) * LEN($I$182)&gt;0),($I$181/100)*$I$182,HLOOKUP(INDIRECT(ADDRESS(2,COLUMN())),OFFSET($M$2,0,0,ROW()-1,7),ROW()-1,FALSE))</f>
        <v/>
      </c>
      <c r="J30" t="str">
        <f ca="1">IF(AND($B$165=1,LEN($J$181) * LEN($J$182)&gt;0),($J$181/100)*$J$182,HLOOKUP(INDIRECT(ADDRESS(2,COLUMN())),OFFSET($M$2,0,0,ROW()-1,7),ROW()-1,FALSE))</f>
        <v/>
      </c>
      <c r="K30" t="str">
        <f ca="1">IF(AND($B$165=1,LEN($K$181) * LEN($K$182)&gt;0),($K$181/100)*$K$182,HLOOKUP(INDIRECT(ADDRESS(2,COLUMN())),OFFSET($M$2,0,0,ROW()-1,7),ROW()-1,FALSE))</f>
        <v/>
      </c>
      <c r="L30" t="str">
        <f ca="1">IF(AND($B$165=1,LEN($L$181) * LEN($L$182)&gt;0),($L$181/100)*$L$182,HLOOKUP(INDIRECT(ADDRESS(2,COLUMN())),OFFSET($M$2,0,0,ROW()-1,7),ROW()-1,FALSE))</f>
        <v/>
      </c>
      <c r="M30" t="str">
        <f>""</f>
        <v/>
      </c>
      <c r="N30">
        <f>42900</f>
        <v>42900</v>
      </c>
      <c r="O30">
        <f>49500</f>
        <v>49500</v>
      </c>
      <c r="P30" t="str">
        <f>""</f>
        <v/>
      </c>
      <c r="Q30" t="str">
        <f>""</f>
        <v/>
      </c>
      <c r="R30" t="str">
        <f>""</f>
        <v/>
      </c>
      <c r="S30" t="str">
        <f>""</f>
        <v/>
      </c>
    </row>
    <row r="31" spans="1:19" x14ac:dyDescent="0.25">
      <c r="A31" t="str">
        <f>"    EPAM Systems Inc"</f>
        <v xml:space="preserve">    EPAM Systems Inc</v>
      </c>
      <c r="B31" t="str">
        <f>"EPAM US Equity"</f>
        <v>EPAM US Equity</v>
      </c>
      <c r="E31" t="str">
        <f t="shared" si="3"/>
        <v>Expression</v>
      </c>
      <c r="F31" t="e">
        <f ca="1">IF(AND($B$165=1,LEN($F$183) * LEN($F$184)&gt;0),($F$183/100)*$F$184,HLOOKUP(INDIRECT(ADDRESS(2,COLUMN())),OFFSET($M$2,0,0,ROW()-1,7),ROW()-1,FALSE))</f>
        <v>#NAME?</v>
      </c>
      <c r="G31" t="str">
        <f ca="1">IF(AND($B$165=1,LEN($G$183) * LEN($G$184)&gt;0),($G$183/100)*$G$184,HLOOKUP(INDIRECT(ADDRESS(2,COLUMN())),OFFSET($M$2,0,0,ROW()-1,7),ROW()-1,FALSE))</f>
        <v/>
      </c>
      <c r="H31" t="str">
        <f ca="1">IF(AND($B$165=1,LEN($H$183) * LEN($H$184)&gt;0),($H$183/100)*$H$184,HLOOKUP(INDIRECT(ADDRESS(2,COLUMN())),OFFSET($M$2,0,0,ROW()-1,7),ROW()-1,FALSE))</f>
        <v/>
      </c>
      <c r="I31" t="str">
        <f ca="1">IF(AND($B$165=1,LEN($I$183) * LEN($I$184)&gt;0),($I$183/100)*$I$184,HLOOKUP(INDIRECT(ADDRESS(2,COLUMN())),OFFSET($M$2,0,0,ROW()-1,7),ROW()-1,FALSE))</f>
        <v/>
      </c>
      <c r="J31" t="str">
        <f ca="1">IF(AND($B$165=1,LEN($J$183) * LEN($J$184)&gt;0),($J$183/100)*$J$184,HLOOKUP(INDIRECT(ADDRESS(2,COLUMN())),OFFSET($M$2,0,0,ROW()-1,7),ROW()-1,FALSE))</f>
        <v/>
      </c>
      <c r="K31" t="str">
        <f ca="1">IF(AND($B$165=1,LEN($K$183) * LEN($K$184)&gt;0),($K$183/100)*$K$184,HLOOKUP(INDIRECT(ADDRESS(2,COLUMN())),OFFSET($M$2,0,0,ROW()-1,7),ROW()-1,FALSE))</f>
        <v/>
      </c>
      <c r="L31" t="str">
        <f ca="1">IF(AND($B$165=1,LEN($L$183) * LEN($L$184)&gt;0),($L$183/100)*$L$184,HLOOKUP(INDIRECT(ADDRESS(2,COLUMN())),OFFSET($M$2,0,0,ROW()-1,7),ROW()-1,FALSE))</f>
        <v/>
      </c>
      <c r="M31" t="str">
        <f>""</f>
        <v/>
      </c>
      <c r="N31" t="str">
        <f>""</f>
        <v/>
      </c>
      <c r="O31" t="str">
        <f>""</f>
        <v/>
      </c>
      <c r="P31" t="str">
        <f>""</f>
        <v/>
      </c>
      <c r="Q31" t="str">
        <f>""</f>
        <v/>
      </c>
      <c r="R31" t="str">
        <f>""</f>
        <v/>
      </c>
      <c r="S31" t="str">
        <f>""</f>
        <v/>
      </c>
    </row>
    <row r="32" spans="1:19" x14ac:dyDescent="0.25">
      <c r="A32" t="str">
        <f>"    Genpact Ltd"</f>
        <v xml:space="preserve">    Genpact Ltd</v>
      </c>
      <c r="B32" t="str">
        <f>"G US Equity"</f>
        <v>G US Equity</v>
      </c>
      <c r="E32" t="str">
        <f t="shared" si="3"/>
        <v>Expression</v>
      </c>
      <c r="F32" t="e">
        <f ca="1">IF(AND($B$165=1,LEN($F$185) * LEN($F$186)&gt;0),($F$185/100)*$F$186,HLOOKUP(INDIRECT(ADDRESS(2,COLUMN())),OFFSET($M$2,0,0,ROW()-1,7),ROW()-1,FALSE))</f>
        <v>#NAME?</v>
      </c>
      <c r="G32" t="str">
        <f ca="1">IF(AND($B$165=1,LEN($G$185) * LEN($G$186)&gt;0),($G$185/100)*$G$186,HLOOKUP(INDIRECT(ADDRESS(2,COLUMN())),OFFSET($M$2,0,0,ROW()-1,7),ROW()-1,FALSE))</f>
        <v/>
      </c>
      <c r="H32">
        <f ca="1">IF(AND($B$165=1,LEN($H$185) * LEN($H$186)&gt;0),($H$185/100)*$H$186,HLOOKUP(INDIRECT(ADDRESS(2,COLUMN())),OFFSET($M$2,0,0,ROW()-1,7),ROW()-1,FALSE))</f>
        <v>30524.441999999999</v>
      </c>
      <c r="I32">
        <f ca="1">IF(AND($B$165=1,LEN($I$185) * LEN($I$186)&gt;0),($I$185/100)*$I$186,HLOOKUP(INDIRECT(ADDRESS(2,COLUMN())),OFFSET($M$2,0,0,ROW()-1,7),ROW()-1,FALSE))</f>
        <v>29161.050749999999</v>
      </c>
      <c r="J32">
        <f ca="1">IF(AND($B$165=1,LEN($J$185) * LEN($J$186)&gt;0),($J$185/100)*$J$186,HLOOKUP(INDIRECT(ADDRESS(2,COLUMN())),OFFSET($M$2,0,0,ROW()-1,7),ROW()-1,FALSE))</f>
        <v>27527.327280000001</v>
      </c>
      <c r="K32" t="str">
        <f ca="1">IF(AND($B$165=1,LEN($K$185) * LEN($K$186)&gt;0),($K$185/100)*$K$186,HLOOKUP(INDIRECT(ADDRESS(2,COLUMN())),OFFSET($M$2,0,0,ROW()-1,7),ROW()-1,FALSE))</f>
        <v/>
      </c>
      <c r="L32">
        <f ca="1">IF(AND($B$165=1,LEN($L$185) * LEN($L$186)&gt;0),($L$185/100)*$L$186,HLOOKUP(INDIRECT(ADDRESS(2,COLUMN())),OFFSET($M$2,0,0,ROW()-1,7),ROW()-1,FALSE))</f>
        <v>23786.401269999998</v>
      </c>
      <c r="M32" t="str">
        <f>""</f>
        <v/>
      </c>
      <c r="N32" t="str">
        <f>""</f>
        <v/>
      </c>
      <c r="O32">
        <f>30524.442</f>
        <v>30524.441999999999</v>
      </c>
      <c r="P32">
        <f>29161.05075</f>
        <v>29161.050749999999</v>
      </c>
      <c r="Q32">
        <f>27527.32728</f>
        <v>27527.327280000001</v>
      </c>
      <c r="R32" t="str">
        <f>""</f>
        <v/>
      </c>
      <c r="S32">
        <f>23786.40127</f>
        <v>23786.401269999998</v>
      </c>
    </row>
    <row r="33" spans="1:19" x14ac:dyDescent="0.25">
      <c r="A33" t="str">
        <f>"    HCL Technologies Ltd"</f>
        <v xml:space="preserve">    HCL Technologies Ltd</v>
      </c>
      <c r="B33" t="str">
        <f>"HCLT IN Equity"</f>
        <v>HCLT IN Equity</v>
      </c>
      <c r="E33" t="str">
        <f t="shared" si="3"/>
        <v>Expression</v>
      </c>
      <c r="F33" t="e">
        <f ca="1">IF(AND($B$165=1,LEN($F$187) * LEN($F$188)&gt;0),($F$187/100)*$F$188,HLOOKUP(INDIRECT(ADDRESS(2,COLUMN())),OFFSET($M$2,0,0,ROW()-1,7),ROW()-1,FALSE))</f>
        <v>#NAME?</v>
      </c>
      <c r="G33">
        <f ca="1">IF(AND($B$165=1,LEN($G$187) * LEN($G$188)&gt;0),($G$187/100)*$G$188,HLOOKUP(INDIRECT(ADDRESS(2,COLUMN())),OFFSET($M$2,0,0,ROW()-1,7),ROW()-1,FALSE))</f>
        <v>34353.285000000003</v>
      </c>
      <c r="H33">
        <f ca="1">IF(AND($B$165=1,LEN($H$187) * LEN($H$188)&gt;0),($H$187/100)*$H$188,HLOOKUP(INDIRECT(ADDRESS(2,COLUMN())),OFFSET($M$2,0,0,ROW()-1,7),ROW()-1,FALSE))</f>
        <v>28819.439999999999</v>
      </c>
      <c r="I33">
        <f ca="1">IF(AND($B$165=1,LEN($I$187) * LEN($I$188)&gt;0),($I$187/100)*$I$188,HLOOKUP(INDIRECT(ADDRESS(2,COLUMN())),OFFSET($M$2,0,0,ROW()-1,7),ROW()-1,FALSE))</f>
        <v>27833.52</v>
      </c>
      <c r="J33">
        <f ca="1">IF(AND($B$165=1,LEN($J$187) * LEN($J$188)&gt;0),($J$187/100)*$J$188,HLOOKUP(INDIRECT(ADDRESS(2,COLUMN())),OFFSET($M$2,0,0,ROW()-1,7),ROW()-1,FALSE))</f>
        <v>24126.080000000002</v>
      </c>
      <c r="K33" t="str">
        <f ca="1">IF(AND($B$165=1,LEN($K$187) * LEN($K$188)&gt;0),($K$187/100)*$K$188,HLOOKUP(INDIRECT(ADDRESS(2,COLUMN())),OFFSET($M$2,0,0,ROW()-1,7),ROW()-1,FALSE))</f>
        <v/>
      </c>
      <c r="L33">
        <f ca="1">IF(AND($B$165=1,LEN($L$187) * LEN($L$188)&gt;0),($L$187/100)*$L$188,HLOOKUP(INDIRECT(ADDRESS(2,COLUMN())),OFFSET($M$2,0,0,ROW()-1,7),ROW()-1,FALSE))</f>
        <v>22005.84</v>
      </c>
      <c r="M33" t="str">
        <f>""</f>
        <v/>
      </c>
      <c r="N33">
        <f>34353.285</f>
        <v>34353.285000000003</v>
      </c>
      <c r="O33">
        <f>28819.44</f>
        <v>28819.439999999999</v>
      </c>
      <c r="P33">
        <f>27833.52</f>
        <v>27833.52</v>
      </c>
      <c r="Q33">
        <f>24126.08</f>
        <v>24126.080000000002</v>
      </c>
      <c r="R33" t="str">
        <f>""</f>
        <v/>
      </c>
      <c r="S33">
        <f>22005.84</f>
        <v>22005.84</v>
      </c>
    </row>
    <row r="34" spans="1:19" x14ac:dyDescent="0.25">
      <c r="A34" t="str">
        <f>"    Indra Sistemas SA"</f>
        <v xml:space="preserve">    Indra Sistemas SA</v>
      </c>
      <c r="B34" t="str">
        <f>"IDR SM Equity"</f>
        <v>IDR SM Equity</v>
      </c>
      <c r="E34" t="str">
        <f t="shared" si="3"/>
        <v>Expression</v>
      </c>
      <c r="F34" t="e">
        <f ca="1">IF(AND($B$165=1,LEN($F$189) * LEN($F$190)&gt;0),($F$189/100)*$F$190,HLOOKUP(INDIRECT(ADDRESS(2,COLUMN())),OFFSET($M$2,0,0,ROW()-1,7),ROW()-1,FALSE))</f>
        <v>#NAME?</v>
      </c>
      <c r="G34">
        <f ca="1">IF(AND($B$165=1,LEN($G$189) * LEN($G$190)&gt;0),($G$189/100)*$G$190,HLOOKUP(INDIRECT(ADDRESS(2,COLUMN())),OFFSET($M$2,0,0,ROW()-1,7),ROW()-1,FALSE))</f>
        <v>13710.445599999999</v>
      </c>
      <c r="H34">
        <f ca="1">IF(AND($B$165=1,LEN($H$189) * LEN($H$190)&gt;0),($H$189/100)*$H$190,HLOOKUP(INDIRECT(ADDRESS(2,COLUMN())),OFFSET($M$2,0,0,ROW()-1,7),ROW()-1,FALSE))</f>
        <v>13606.8</v>
      </c>
      <c r="I34">
        <f ca="1">IF(AND($B$165=1,LEN($I$189) * LEN($I$190)&gt;0),($I$189/100)*$I$190,HLOOKUP(INDIRECT(ADDRESS(2,COLUMN())),OFFSET($M$2,0,0,ROW()-1,7),ROW()-1,FALSE))</f>
        <v>13194.2</v>
      </c>
      <c r="J34">
        <f ca="1">IF(AND($B$165=1,LEN($J$189) * LEN($J$190)&gt;0),($J$189/100)*$J$190,HLOOKUP(INDIRECT(ADDRESS(2,COLUMN())),OFFSET($M$2,0,0,ROW()-1,7),ROW()-1,FALSE))</f>
        <v>13717.01</v>
      </c>
      <c r="K34">
        <f ca="1">IF(AND($B$165=1,LEN($K$189) * LEN($K$190)&gt;0),($K$189/100)*$K$190,HLOOKUP(INDIRECT(ADDRESS(2,COLUMN())),OFFSET($M$2,0,0,ROW()-1,7),ROW()-1,FALSE))</f>
        <v>13840.16877</v>
      </c>
      <c r="L34">
        <f ca="1">IF(AND($B$165=1,LEN($L$189) * LEN($L$190)&gt;0),($L$189/100)*$L$190,HLOOKUP(INDIRECT(ADDRESS(2,COLUMN())),OFFSET($M$2,0,0,ROW()-1,7),ROW()-1,FALSE))</f>
        <v>13931.246810000001</v>
      </c>
      <c r="M34">
        <f>16593.15</f>
        <v>16593.150000000001</v>
      </c>
      <c r="N34">
        <f>13710.4456</f>
        <v>13710.445599999999</v>
      </c>
      <c r="O34">
        <f>13606.8</f>
        <v>13606.8</v>
      </c>
      <c r="P34">
        <f>13194.2</f>
        <v>13194.2</v>
      </c>
      <c r="Q34">
        <f>13717.01</f>
        <v>13717.01</v>
      </c>
      <c r="R34">
        <f>13840.16877</f>
        <v>13840.16877</v>
      </c>
      <c r="S34">
        <f>13931.24681</f>
        <v>13931.246810000001</v>
      </c>
    </row>
    <row r="35" spans="1:19" x14ac:dyDescent="0.25">
      <c r="A35" t="str">
        <f>"    Infosys Ltd"</f>
        <v xml:space="preserve">    Infosys Ltd</v>
      </c>
      <c r="B35" t="str">
        <f>"INFY US Equity"</f>
        <v>INFY US Equity</v>
      </c>
      <c r="E35" t="str">
        <f t="shared" si="3"/>
        <v>Expression</v>
      </c>
      <c r="F35" t="e">
        <f ca="1">IF(AND($B$165=1,LEN($F$191) * LEN($F$192)&gt;0),($F$191/100)*$F$192,HLOOKUP(INDIRECT(ADDRESS(2,COLUMN())),OFFSET($M$2,0,0,ROW()-1,7),ROW()-1,FALSE))</f>
        <v>#NAME?</v>
      </c>
      <c r="G35">
        <f ca="1">IF(AND($B$165=1,LEN($G$191) * LEN($G$192)&gt;0),($G$191/100)*$G$192,HLOOKUP(INDIRECT(ADDRESS(2,COLUMN())),OFFSET($M$2,0,0,ROW()-1,7),ROW()-1,FALSE))</f>
        <v>83652.699540000001</v>
      </c>
      <c r="H35">
        <f ca="1">IF(AND($B$165=1,LEN($H$191) * LEN($H$192)&gt;0),($H$191/100)*$H$192,HLOOKUP(INDIRECT(ADDRESS(2,COLUMN())),OFFSET($M$2,0,0,ROW()-1,7),ROW()-1,FALSE))</f>
        <v>73703.039739999993</v>
      </c>
      <c r="I35">
        <f ca="1">IF(AND($B$165=1,LEN($I$191) * LEN($I$192)&gt;0),($I$191/100)*$I$192,HLOOKUP(INDIRECT(ADDRESS(2,COLUMN())),OFFSET($M$2,0,0,ROW()-1,7),ROW()-1,FALSE))</f>
        <v>72231.22</v>
      </c>
      <c r="J35">
        <f ca="1">IF(AND($B$165=1,LEN($J$191) * LEN($J$192)&gt;0),($J$191/100)*$J$192,HLOOKUP(INDIRECT(ADDRESS(2,COLUMN())),OFFSET($M$2,0,0,ROW()-1,7),ROW()-1,FALSE))</f>
        <v>69079.66012</v>
      </c>
      <c r="K35">
        <f ca="1">IF(AND($B$165=1,LEN($K$191) * LEN($K$192)&gt;0),($K$191/100)*$K$192,HLOOKUP(INDIRECT(ADDRESS(2,COLUMN())),OFFSET($M$2,0,0,ROW()-1,7),ROW()-1,FALSE))</f>
        <v>61822.25819</v>
      </c>
      <c r="L35">
        <f ca="1">IF(AND($B$165=1,LEN($L$191) * LEN($L$192)&gt;0),($L$191/100)*$L$192,HLOOKUP(INDIRECT(ADDRESS(2,COLUMN())),OFFSET($M$2,0,0,ROW()-1,7),ROW()-1,FALSE))</f>
        <v>55163.277900000001</v>
      </c>
      <c r="M35">
        <f>91679.01451</f>
        <v>91679.014509999994</v>
      </c>
      <c r="N35">
        <f>83652.69954</f>
        <v>83652.699540000001</v>
      </c>
      <c r="O35">
        <f>73703.03974</f>
        <v>73703.039739999993</v>
      </c>
      <c r="P35">
        <f>72231.22</f>
        <v>72231.22</v>
      </c>
      <c r="Q35">
        <f>69079.66012</f>
        <v>69079.66012</v>
      </c>
      <c r="R35">
        <f>61822.25819</f>
        <v>61822.25819</v>
      </c>
      <c r="S35">
        <f>55163.2779</f>
        <v>55163.277900000001</v>
      </c>
    </row>
    <row r="36" spans="1:19" x14ac:dyDescent="0.25">
      <c r="A36" t="str">
        <f>"    International Business Machines Corp"</f>
        <v xml:space="preserve">    International Business Machines Corp</v>
      </c>
      <c r="B36" t="str">
        <f>"IBM US Equity"</f>
        <v>IBM US Equity</v>
      </c>
      <c r="E36" t="str">
        <f t="shared" si="3"/>
        <v>Expression</v>
      </c>
      <c r="F36" t="e">
        <f ca="1">IF(AND($B$165=1,LEN($F$193) * LEN($F$194)&gt;0),($F$193/100)*$F$194,HLOOKUP(INDIRECT(ADDRESS(2,COLUMN())),OFFSET($M$2,0,0,ROW()-1,7),ROW()-1,FALSE))</f>
        <v>#NAME?</v>
      </c>
      <c r="G36" t="str">
        <f ca="1">IF(AND($B$165=1,LEN($G$193) * LEN($G$194)&gt;0),($G$193/100)*$G$194,HLOOKUP(INDIRECT(ADDRESS(2,COLUMN())),OFFSET($M$2,0,0,ROW()-1,7),ROW()-1,FALSE))</f>
        <v/>
      </c>
      <c r="H36" t="str">
        <f ca="1">IF(AND($B$165=1,LEN($H$193) * LEN($H$194)&gt;0),($H$193/100)*$H$194,HLOOKUP(INDIRECT(ADDRESS(2,COLUMN())),OFFSET($M$2,0,0,ROW()-1,7),ROW()-1,FALSE))</f>
        <v/>
      </c>
      <c r="I36">
        <f ca="1">IF(AND($B$165=1,LEN($I$193) * LEN($I$194)&gt;0),($I$193/100)*$I$194,HLOOKUP(INDIRECT(ADDRESS(2,COLUMN())),OFFSET($M$2,0,0,ROW()-1,7),ROW()-1,FALSE))</f>
        <v>120935.3962</v>
      </c>
      <c r="J36">
        <f ca="1">IF(AND($B$165=1,LEN($J$193) * LEN($J$194)&gt;0),($J$193/100)*$J$194,HLOOKUP(INDIRECT(ADDRESS(2,COLUMN())),OFFSET($M$2,0,0,ROW()-1,7),ROW()-1,FALSE))</f>
        <v>118615.698</v>
      </c>
      <c r="K36">
        <f ca="1">IF(AND($B$165=1,LEN($K$193) * LEN($K$194)&gt;0),($K$193/100)*$K$194,HLOOKUP(INDIRECT(ADDRESS(2,COLUMN())),OFFSET($M$2,0,0,ROW()-1,7),ROW()-1,FALSE))</f>
        <v>118053.11199999999</v>
      </c>
      <c r="L36">
        <f ca="1">IF(AND($B$165=1,LEN($L$193) * LEN($L$194)&gt;0),($L$193/100)*$L$194,HLOOKUP(INDIRECT(ADDRESS(2,COLUMN())),OFFSET($M$2,0,0,ROW()-1,7),ROW()-1,FALSE))</f>
        <v>129794.81200000001</v>
      </c>
      <c r="M36" t="str">
        <f>""</f>
        <v/>
      </c>
      <c r="N36" t="str">
        <f>""</f>
        <v/>
      </c>
      <c r="O36" t="str">
        <f>""</f>
        <v/>
      </c>
      <c r="P36">
        <f>120935.3962</f>
        <v>120935.3962</v>
      </c>
      <c r="Q36">
        <f>118615.698</f>
        <v>118615.698</v>
      </c>
      <c r="R36">
        <f>118053.112</f>
        <v>118053.11199999999</v>
      </c>
      <c r="S36">
        <f>129794.812</f>
        <v>129794.81200000001</v>
      </c>
    </row>
    <row r="37" spans="1:19" x14ac:dyDescent="0.25">
      <c r="A37" t="str">
        <f>"    Tata Consultancy Services Ltd"</f>
        <v xml:space="preserve">    Tata Consultancy Services Ltd</v>
      </c>
      <c r="B37" t="str">
        <f>"TCS IN Equity"</f>
        <v>TCS IN Equity</v>
      </c>
      <c r="E37" t="str">
        <f t="shared" si="3"/>
        <v>Expression</v>
      </c>
      <c r="F37" t="e">
        <f ca="1">IF(AND($B$165=1,LEN($F$195) * LEN($F$196)&gt;0),($F$195/100)*$F$196,HLOOKUP(INDIRECT(ADDRESS(2,COLUMN())),OFFSET($M$2,0,0,ROW()-1,7),ROW()-1,FALSE))</f>
        <v>#NAME?</v>
      </c>
      <c r="G37">
        <f ca="1">IF(AND($B$165=1,LEN($G$195) * LEN($G$196)&gt;0),($G$195/100)*$G$196,HLOOKUP(INDIRECT(ADDRESS(2,COLUMN())),OFFSET($M$2,0,0,ROW()-1,7),ROW()-1,FALSE))</f>
        <v>152318.3235</v>
      </c>
      <c r="H37">
        <f ca="1">IF(AND($B$165=1,LEN($H$195) * LEN($H$196)&gt;0),($H$195/100)*$H$196,HLOOKUP(INDIRECT(ADDRESS(2,COLUMN())),OFFSET($M$2,0,0,ROW()-1,7),ROW()-1,FALSE))</f>
        <v>139473.7977</v>
      </c>
      <c r="I37">
        <f ca="1">IF(AND($B$165=1,LEN($I$195) * LEN($I$196)&gt;0),($I$195/100)*$I$196,HLOOKUP(INDIRECT(ADDRESS(2,COLUMN())),OFFSET($M$2,0,0,ROW()-1,7),ROW()-1,FALSE))</f>
        <v>134366.3849</v>
      </c>
      <c r="J37">
        <f ca="1">IF(AND($B$165=1,LEN($J$195) * LEN($J$196)&gt;0),($J$195/100)*$J$196,HLOOKUP(INDIRECT(ADDRESS(2,COLUMN())),OFFSET($M$2,0,0,ROW()-1,7),ROW()-1,FALSE))</f>
        <v>119598.9305</v>
      </c>
      <c r="K37">
        <f ca="1">IF(AND($B$165=1,LEN($K$195) * LEN($K$196)&gt;0),($K$195/100)*$K$196,HLOOKUP(INDIRECT(ADDRESS(2,COLUMN())),OFFSET($M$2,0,0,ROW()-1,7),ROW()-1,FALSE))</f>
        <v>105486.48</v>
      </c>
      <c r="L37">
        <f ca="1">IF(AND($B$165=1,LEN($L$195) * LEN($L$196)&gt;0),($L$195/100)*$L$196,HLOOKUP(INDIRECT(ADDRESS(2,COLUMN())),OFFSET($M$2,0,0,ROW()-1,7),ROW()-1,FALSE))</f>
        <v>98251.731</v>
      </c>
      <c r="M37" t="str">
        <f>""</f>
        <v/>
      </c>
      <c r="N37">
        <f>152318.3235</f>
        <v>152318.3235</v>
      </c>
      <c r="O37">
        <f>139473.7977</f>
        <v>139473.7977</v>
      </c>
      <c r="P37">
        <f>134366.3849</f>
        <v>134366.3849</v>
      </c>
      <c r="Q37">
        <f>119598.9305</f>
        <v>119598.9305</v>
      </c>
      <c r="R37">
        <f>105486.48</f>
        <v>105486.48</v>
      </c>
      <c r="S37">
        <f>98251.731</f>
        <v>98251.731</v>
      </c>
    </row>
    <row r="38" spans="1:19" x14ac:dyDescent="0.25">
      <c r="A38" t="str">
        <f>"    Tech Mahindra Ltd"</f>
        <v xml:space="preserve">    Tech Mahindra Ltd</v>
      </c>
      <c r="B38" t="str">
        <f>"TECHM IN Equity"</f>
        <v>TECHM IN Equity</v>
      </c>
      <c r="E38" t="str">
        <f t="shared" si="3"/>
        <v>Expression</v>
      </c>
      <c r="F38" t="e">
        <f ca="1">IF(AND($B$165=1,LEN($F$197) * LEN($F$198)&gt;0),($F$197/100)*$F$198,HLOOKUP(INDIRECT(ADDRESS(2,COLUMN())),OFFSET($M$2,0,0,ROW()-1,7),ROW()-1,FALSE))</f>
        <v>#NAME?</v>
      </c>
      <c r="G38">
        <f ca="1">IF(AND($B$165=1,LEN($G$197) * LEN($G$198)&gt;0),($G$197/100)*$G$198,HLOOKUP(INDIRECT(ADDRESS(2,COLUMN())),OFFSET($M$2,0,0,ROW()-1,7),ROW()-1,FALSE))</f>
        <v>31894.11736</v>
      </c>
      <c r="H38">
        <f ca="1">IF(AND($B$165=1,LEN($H$197) * LEN($H$198)&gt;0),($H$197/100)*$H$198,HLOOKUP(INDIRECT(ADDRESS(2,COLUMN())),OFFSET($M$2,0,0,ROW()-1,7),ROW()-1,FALSE))</f>
        <v>34033.871899999998</v>
      </c>
      <c r="I38">
        <f ca="1">IF(AND($B$165=1,LEN($I$197) * LEN($I$198)&gt;0),($I$197/100)*$I$198,HLOOKUP(INDIRECT(ADDRESS(2,COLUMN())),OFFSET($M$2,0,0,ROW()-1,7),ROW()-1,FALSE))</f>
        <v>36308.290500000003</v>
      </c>
      <c r="J38">
        <f ca="1">IF(AND($B$165=1,LEN($J$197) * LEN($J$198)&gt;0),($J$197/100)*$J$198,HLOOKUP(INDIRECT(ADDRESS(2,COLUMN())),OFFSET($M$2,0,0,ROW()-1,7),ROW()-1,FALSE))</f>
        <v>31629.599999999999</v>
      </c>
      <c r="K38">
        <f ca="1">IF(AND($B$165=1,LEN($K$197) * LEN($K$198)&gt;0),($K$197/100)*$K$198,HLOOKUP(INDIRECT(ADDRESS(2,COLUMN())),OFFSET($M$2,0,0,ROW()-1,7),ROW()-1,FALSE))</f>
        <v>31159.877700000001</v>
      </c>
      <c r="L38" t="str">
        <f ca="1">IF(AND($B$165=1,LEN($L$197) * LEN($L$198)&gt;0),($L$197/100)*$L$198,HLOOKUP(INDIRECT(ADDRESS(2,COLUMN())),OFFSET($M$2,0,0,ROW()-1,7),ROW()-1,FALSE))</f>
        <v/>
      </c>
      <c r="M38" t="str">
        <f>""</f>
        <v/>
      </c>
      <c r="N38">
        <f>31894.11736</f>
        <v>31894.11736</v>
      </c>
      <c r="O38">
        <f>34033.8719</f>
        <v>34033.871899999998</v>
      </c>
      <c r="P38">
        <f>36308.2905</f>
        <v>36308.290500000003</v>
      </c>
      <c r="Q38">
        <f>31629.6</f>
        <v>31629.599999999999</v>
      </c>
      <c r="R38">
        <f>31159.8777</f>
        <v>31159.877700000001</v>
      </c>
      <c r="S38" t="str">
        <f>""</f>
        <v/>
      </c>
    </row>
    <row r="39" spans="1:19" x14ac:dyDescent="0.25">
      <c r="A39" t="str">
        <f>"    Wipro Ltd"</f>
        <v xml:space="preserve">    Wipro Ltd</v>
      </c>
      <c r="B39" t="str">
        <f>"WIT US Equity"</f>
        <v>WIT US Equity</v>
      </c>
      <c r="E39" t="str">
        <f t="shared" si="3"/>
        <v>Expression</v>
      </c>
      <c r="F39" t="e">
        <f ca="1">IF(AND($B$165=1,LEN($F$199) * LEN($F$200)&gt;0),($F$199/100)*$F$200,HLOOKUP(INDIRECT(ADDRESS(2,COLUMN())),OFFSET($M$2,0,0,ROW()-1,7),ROW()-1,FALSE))</f>
        <v>#NAME?</v>
      </c>
      <c r="G39">
        <f ca="1">IF(AND($B$165=1,LEN($G$199) * LEN($G$200)&gt;0),($G$199/100)*$G$200,HLOOKUP(INDIRECT(ADDRESS(2,COLUMN())),OFFSET($M$2,0,0,ROW()-1,7),ROW()-1,FALSE))</f>
        <v>60341.601710000003</v>
      </c>
      <c r="H39">
        <f ca="1">IF(AND($B$165=1,LEN($H$199) * LEN($H$200)&gt;0),($H$199/100)*$H$200,HLOOKUP(INDIRECT(ADDRESS(2,COLUMN())),OFFSET($M$2,0,0,ROW()-1,7),ROW()-1,FALSE))</f>
        <v>57339.45</v>
      </c>
      <c r="I39">
        <f ca="1">IF(AND($B$165=1,LEN($I$199) * LEN($I$200)&gt;0),($I$199/100)*$I$200,HLOOKUP(INDIRECT(ADDRESS(2,COLUMN())),OFFSET($M$2,0,0,ROW()-1,7),ROW()-1,FALSE))</f>
        <v>61703.88</v>
      </c>
      <c r="J39">
        <f ca="1">IF(AND($B$165=1,LEN($J$199) * LEN($J$200)&gt;0),($J$199/100)*$J$200,HLOOKUP(INDIRECT(ADDRESS(2,COLUMN())),OFFSET($M$2,0,0,ROW()-1,7),ROW()-1,FALSE))</f>
        <v>55331.839999999997</v>
      </c>
      <c r="K39">
        <f ca="1">IF(AND($B$165=1,LEN($K$199) * LEN($K$200)&gt;0),($K$199/100)*$K$200,HLOOKUP(INDIRECT(ADDRESS(2,COLUMN())),OFFSET($M$2,0,0,ROW()-1,7),ROW()-1,FALSE))</f>
        <v>47781.535580000003</v>
      </c>
      <c r="L39">
        <f ca="1">IF(AND($B$165=1,LEN($L$199) * LEN($L$200)&gt;0),($L$199/100)*$L$200,HLOOKUP(INDIRECT(ADDRESS(2,COLUMN())),OFFSET($M$2,0,0,ROW()-1,7),ROW()-1,FALSE))</f>
        <v>45276.43</v>
      </c>
      <c r="M39" t="str">
        <f>""</f>
        <v/>
      </c>
      <c r="N39">
        <f>60341.60171</f>
        <v>60341.601710000003</v>
      </c>
      <c r="O39">
        <f>57339.45</f>
        <v>57339.45</v>
      </c>
      <c r="P39">
        <f>61703.88</f>
        <v>61703.88</v>
      </c>
      <c r="Q39">
        <f>55331.84</f>
        <v>55331.839999999997</v>
      </c>
      <c r="R39">
        <f>47781.53558</f>
        <v>47781.535580000003</v>
      </c>
      <c r="S39">
        <f>45276.43</f>
        <v>45276.43</v>
      </c>
    </row>
    <row r="40" spans="1:19" x14ac:dyDescent="0.25">
      <c r="A40" t="str">
        <f>"Climate Change"</f>
        <v>Climate Change</v>
      </c>
      <c r="B40" t="str">
        <f>""</f>
        <v/>
      </c>
      <c r="E40" t="str">
        <f>"Heading"</f>
        <v>Heading</v>
      </c>
      <c r="M40" t="str">
        <f>""</f>
        <v/>
      </c>
      <c r="N40" t="str">
        <f>""</f>
        <v/>
      </c>
      <c r="O40" t="str">
        <f>""</f>
        <v/>
      </c>
      <c r="P40" t="str">
        <f>""</f>
        <v/>
      </c>
      <c r="Q40" t="str">
        <f>""</f>
        <v/>
      </c>
      <c r="R40" t="str">
        <f>""</f>
        <v/>
      </c>
      <c r="S40" t="str">
        <f>""</f>
        <v/>
      </c>
    </row>
    <row r="41" spans="1:19" x14ac:dyDescent="0.25">
      <c r="A41" t="str">
        <f>"Total Greenhouse Gas Emissions (000s Metric Tons)"</f>
        <v>Total Greenhouse Gas Emissions (000s Metric Tons)</v>
      </c>
      <c r="B41" t="str">
        <f>""</f>
        <v/>
      </c>
      <c r="E41" t="str">
        <f>"Median"</f>
        <v>Median</v>
      </c>
      <c r="F41" t="str">
        <f ca="1">IF(ISERROR(IF(MEDIAN($F$42:$F$58) = 0, "", MEDIAN($F$42:$F$58))), "", (IF(MEDIAN($F$42:$F$58) = 0, "", MEDIAN($F$42:$F$58))))</f>
        <v/>
      </c>
      <c r="G41">
        <f ca="1">IF(ISERROR(IF(MEDIAN($G$42:$G$58) = 0, "", MEDIAN($G$42:$G$58))), "", (IF(MEDIAN($G$42:$G$58) = 0, "", MEDIAN($G$42:$G$58))))</f>
        <v>162.80799999999999</v>
      </c>
      <c r="H41">
        <f ca="1">IF(ISERROR(IF(MEDIAN($H$42:$H$58) = 0, "", MEDIAN($H$42:$H$58))), "", (IF(MEDIAN($H$42:$H$58) = 0, "", MEDIAN($H$42:$H$58))))</f>
        <v>155.46899999999999</v>
      </c>
      <c r="I41">
        <f ca="1">IF(ISERROR(IF(MEDIAN($I$42:$I$58) = 0, "", MEDIAN($I$42:$I$58))), "", (IF(MEDIAN($I$42:$I$58) = 0, "", MEDIAN($I$42:$I$58))))</f>
        <v>163.4265</v>
      </c>
      <c r="J41">
        <f ca="1">IF(ISERROR(IF(MEDIAN($J$42:$J$58) = 0, "", MEDIAN($J$42:$J$58))), "", (IF(MEDIAN($J$42:$J$58) = 0, "", MEDIAN($J$42:$J$58))))</f>
        <v>165.9</v>
      </c>
      <c r="K41">
        <f ca="1">IF(ISERROR(IF(MEDIAN($K$42:$K$58) = 0, "", MEDIAN($K$42:$K$58))), "", (IF(MEDIAN($K$42:$K$58) = 0, "", MEDIAN($K$42:$K$58))))</f>
        <v>163.89400000000001</v>
      </c>
      <c r="L41">
        <f ca="1">IF(ISERROR(IF(MEDIAN($L$42:$L$58) = 0, "", MEDIAN($L$42:$L$58))), "", (IF(MEDIAN($L$42:$L$58) = 0, "", MEDIAN($L$42:$L$58))))</f>
        <v>161.654</v>
      </c>
      <c r="M41" t="str">
        <f>""</f>
        <v/>
      </c>
      <c r="N41">
        <f>162.808</f>
        <v>162.80799999999999</v>
      </c>
      <c r="O41">
        <f>155.469</f>
        <v>155.46899999999999</v>
      </c>
      <c r="P41">
        <f>163.4265</f>
        <v>163.4265</v>
      </c>
      <c r="Q41">
        <f>165.9</f>
        <v>165.9</v>
      </c>
      <c r="R41">
        <f>163.894</f>
        <v>163.89400000000001</v>
      </c>
      <c r="S41">
        <f>161.654</f>
        <v>161.654</v>
      </c>
    </row>
    <row r="42" spans="1:19" x14ac:dyDescent="0.25">
      <c r="A42" t="str">
        <f>"    Accenture PLC"</f>
        <v xml:space="preserve">    Accenture PLC</v>
      </c>
      <c r="B42" t="str">
        <f>"ACN US Equity"</f>
        <v>ACN US Equity</v>
      </c>
      <c r="E42" t="str">
        <f t="shared" ref="E42:E58" si="4">"Expression"</f>
        <v>Expression</v>
      </c>
      <c r="F42" t="e">
        <f ca="1">IF(AND($B$165=1,LEN($F$201)&gt;0),$F$201*1000,HLOOKUP(INDIRECT(ADDRESS(2,COLUMN())),OFFSET($M$2,0,0,ROW()-1,7),ROW()-1,FALSE))</f>
        <v>#NAME?</v>
      </c>
      <c r="G42">
        <f ca="1">IF(AND($B$165=1,LEN($G$201)&gt;0),$G$201*1000,HLOOKUP(INDIRECT(ADDRESS(2,COLUMN())),OFFSET($M$2,0,0,ROW()-1,7),ROW()-1,FALSE))</f>
        <v>304.209</v>
      </c>
      <c r="H42">
        <f ca="1">IF(AND($B$165=1,LEN($H$201)&gt;0),$H$201*1000,HLOOKUP(INDIRECT(ADDRESS(2,COLUMN())),OFFSET($M$2,0,0,ROW()-1,7),ROW()-1,FALSE))</f>
        <v>328.09300000000002</v>
      </c>
      <c r="I42">
        <f ca="1">IF(AND($B$165=1,LEN($I$201)&gt;0),$I$201*1000,HLOOKUP(INDIRECT(ADDRESS(2,COLUMN())),OFFSET($M$2,0,0,ROW()-1,7),ROW()-1,FALSE))</f>
        <v>290.25299999999999</v>
      </c>
      <c r="J42">
        <f ca="1">IF(AND($B$165=1,LEN($J$201)&gt;0),$J$201*1000,HLOOKUP(INDIRECT(ADDRESS(2,COLUMN())),OFFSET($M$2,0,0,ROW()-1,7),ROW()-1,FALSE))</f>
        <v>263.529</v>
      </c>
      <c r="K42">
        <f ca="1">IF(AND($B$165=1,LEN($K$201)&gt;0),$K$201*1000,HLOOKUP(INDIRECT(ADDRESS(2,COLUMN())),OFFSET($M$2,0,0,ROW()-1,7),ROW()-1,FALSE))</f>
        <v>257.79700000000003</v>
      </c>
      <c r="L42">
        <f ca="1">IF(AND($B$165=1,LEN($L$201)&gt;0),$L$201*1000,HLOOKUP(INDIRECT(ADDRESS(2,COLUMN())),OFFSET($M$2,0,0,ROW()-1,7),ROW()-1,FALSE))</f>
        <v>265.14299999999997</v>
      </c>
      <c r="M42" t="str">
        <f>""</f>
        <v/>
      </c>
      <c r="N42">
        <f>304.209</f>
        <v>304.209</v>
      </c>
      <c r="O42">
        <f>328.093</f>
        <v>328.09300000000002</v>
      </c>
      <c r="P42">
        <f>290.253</f>
        <v>290.25299999999999</v>
      </c>
      <c r="Q42">
        <f>263.529</f>
        <v>263.529</v>
      </c>
      <c r="R42">
        <f>257.797</f>
        <v>257.79700000000003</v>
      </c>
      <c r="S42">
        <f>265.143</f>
        <v>265.14299999999997</v>
      </c>
    </row>
    <row r="43" spans="1:19" x14ac:dyDescent="0.25">
      <c r="A43" t="str">
        <f>"    Amdocs Ltd"</f>
        <v xml:space="preserve">    Amdocs Ltd</v>
      </c>
      <c r="B43" t="str">
        <f>"DOX US Equity"</f>
        <v>DOX US Equity</v>
      </c>
      <c r="E43" t="str">
        <f t="shared" si="4"/>
        <v>Expression</v>
      </c>
      <c r="F43" t="e">
        <f ca="1">IF(AND($B$165=1,LEN($F$202)&gt;0),$F$202*1000,HLOOKUP(INDIRECT(ADDRESS(2,COLUMN())),OFFSET($M$2,0,0,ROW()-1,7),ROW()-1,FALSE))</f>
        <v>#NAME?</v>
      </c>
      <c r="G43" t="str">
        <f ca="1">IF(AND($B$165=1,LEN($G$202)&gt;0),$G$202*1000,HLOOKUP(INDIRECT(ADDRESS(2,COLUMN())),OFFSET($M$2,0,0,ROW()-1,7),ROW()-1,FALSE))</f>
        <v/>
      </c>
      <c r="H43">
        <f ca="1">IF(AND($B$165=1,LEN($H$202)&gt;0),$H$202*1000,HLOOKUP(INDIRECT(ADDRESS(2,COLUMN())),OFFSET($M$2,0,0,ROW()-1,7),ROW()-1,FALSE))</f>
        <v>67.694000000000003</v>
      </c>
      <c r="I43">
        <f ca="1">IF(AND($B$165=1,LEN($I$202)&gt;0),$I$202*1000,HLOOKUP(INDIRECT(ADDRESS(2,COLUMN())),OFFSET($M$2,0,0,ROW()-1,7),ROW()-1,FALSE))</f>
        <v>65.266000000000005</v>
      </c>
      <c r="J43" t="str">
        <f ca="1">IF(AND($B$165=1,LEN($J$202)&gt;0),$J$202*1000,HLOOKUP(INDIRECT(ADDRESS(2,COLUMN())),OFFSET($M$2,0,0,ROW()-1,7),ROW()-1,FALSE))</f>
        <v/>
      </c>
      <c r="K43" t="str">
        <f ca="1">IF(AND($B$165=1,LEN($K$202)&gt;0),$K$202*1000,HLOOKUP(INDIRECT(ADDRESS(2,COLUMN())),OFFSET($M$2,0,0,ROW()-1,7),ROW()-1,FALSE))</f>
        <v/>
      </c>
      <c r="L43">
        <f ca="1">IF(AND($B$165=1,LEN($L$202)&gt;0),$L$202*1000,HLOOKUP(INDIRECT(ADDRESS(2,COLUMN())),OFFSET($M$2,0,0,ROW()-1,7),ROW()-1,FALSE))</f>
        <v>97.051000000000002</v>
      </c>
      <c r="M43" t="str">
        <f>""</f>
        <v/>
      </c>
      <c r="N43" t="str">
        <f>""</f>
        <v/>
      </c>
      <c r="O43">
        <f>67.694</f>
        <v>67.694000000000003</v>
      </c>
      <c r="P43">
        <f>65.266</f>
        <v>65.266000000000005</v>
      </c>
      <c r="Q43" t="str">
        <f>""</f>
        <v/>
      </c>
      <c r="R43" t="str">
        <f>""</f>
        <v/>
      </c>
      <c r="S43">
        <f>97.051</f>
        <v>97.051000000000002</v>
      </c>
    </row>
    <row r="44" spans="1:19" x14ac:dyDescent="0.25">
      <c r="A44" t="str">
        <f>"    Atos SE"</f>
        <v xml:space="preserve">    Atos SE</v>
      </c>
      <c r="B44" t="str">
        <f>"ATO FP Equity"</f>
        <v>ATO FP Equity</v>
      </c>
      <c r="E44" t="str">
        <f t="shared" si="4"/>
        <v>Expression</v>
      </c>
      <c r="F44" t="e">
        <f ca="1">IF(AND($B$165=1,LEN($F$203)&gt;0),$F$203*1000,HLOOKUP(INDIRECT(ADDRESS(2,COLUMN())),OFFSET($M$2,0,0,ROW()-1,7),ROW()-1,FALSE))</f>
        <v>#NAME?</v>
      </c>
      <c r="G44">
        <f ca="1">IF(AND($B$165=1,LEN($G$203)&gt;0),$G$203*1000,HLOOKUP(INDIRECT(ADDRESS(2,COLUMN())),OFFSET($M$2,0,0,ROW()-1,7),ROW()-1,FALSE))</f>
        <v>94.058000000000007</v>
      </c>
      <c r="H44">
        <f ca="1">IF(AND($B$165=1,LEN($H$203)&gt;0),$H$203*1000,HLOOKUP(INDIRECT(ADDRESS(2,COLUMN())),OFFSET($M$2,0,0,ROW()-1,7),ROW()-1,FALSE))</f>
        <v>118.789</v>
      </c>
      <c r="I44">
        <f ca="1">IF(AND($B$165=1,LEN($I$203)&gt;0),$I$203*1000,HLOOKUP(INDIRECT(ADDRESS(2,COLUMN())),OFFSET($M$2,0,0,ROW()-1,7),ROW()-1,FALSE))</f>
        <v>130.42400000000001</v>
      </c>
      <c r="J44">
        <f ca="1">IF(AND($B$165=1,LEN($J$203)&gt;0),$J$203*1000,HLOOKUP(INDIRECT(ADDRESS(2,COLUMN())),OFFSET($M$2,0,0,ROW()-1,7),ROW()-1,FALSE))</f>
        <v>74.995000000000005</v>
      </c>
      <c r="K44">
        <f ca="1">IF(AND($B$165=1,LEN($K$203)&gt;0),$K$203*1000,HLOOKUP(INDIRECT(ADDRESS(2,COLUMN())),OFFSET($M$2,0,0,ROW()-1,7),ROW()-1,FALSE))</f>
        <v>67.31</v>
      </c>
      <c r="L44" t="str">
        <f ca="1">IF(AND($B$165=1,LEN($L$203)&gt;0),$L$203*1000,HLOOKUP(INDIRECT(ADDRESS(2,COLUMN())),OFFSET($M$2,0,0,ROW()-1,7),ROW()-1,FALSE))</f>
        <v/>
      </c>
      <c r="M44">
        <f>102.75</f>
        <v>102.75</v>
      </c>
      <c r="N44">
        <f>94.058</f>
        <v>94.058000000000007</v>
      </c>
      <c r="O44">
        <f>118.789</f>
        <v>118.789</v>
      </c>
      <c r="P44">
        <f>130.424</f>
        <v>130.42400000000001</v>
      </c>
      <c r="Q44">
        <f>74.995</f>
        <v>74.995000000000005</v>
      </c>
      <c r="R44">
        <f>67.31</f>
        <v>67.31</v>
      </c>
      <c r="S44" t="str">
        <f>""</f>
        <v/>
      </c>
    </row>
    <row r="45" spans="1:19" x14ac:dyDescent="0.25">
      <c r="A45" t="str">
        <f>"    Capgemini SE"</f>
        <v xml:space="preserve">    Capgemini SE</v>
      </c>
      <c r="B45" t="str">
        <f>"CAP FP Equity"</f>
        <v>CAP FP Equity</v>
      </c>
      <c r="E45" t="str">
        <f t="shared" si="4"/>
        <v>Expression</v>
      </c>
      <c r="F45" t="e">
        <f ca="1">IF(AND($B$165=1,LEN($F$204)&gt;0),$F$204*1000,HLOOKUP(INDIRECT(ADDRESS(2,COLUMN())),OFFSET($M$2,0,0,ROW()-1,7),ROW()-1,FALSE))</f>
        <v>#NAME?</v>
      </c>
      <c r="G45">
        <f ca="1">IF(AND($B$165=1,LEN($G$204)&gt;0),$G$204*1000,HLOOKUP(INDIRECT(ADDRESS(2,COLUMN())),OFFSET($M$2,0,0,ROW()-1,7),ROW()-1,FALSE))</f>
        <v>162.80799999999999</v>
      </c>
      <c r="H45">
        <f ca="1">IF(AND($B$165=1,LEN($H$204)&gt;0),$H$204*1000,HLOOKUP(INDIRECT(ADDRESS(2,COLUMN())),OFFSET($M$2,0,0,ROW()-1,7),ROW()-1,FALSE))</f>
        <v>184.886</v>
      </c>
      <c r="I45">
        <f ca="1">IF(AND($B$165=1,LEN($I$204)&gt;0),$I$204*1000,HLOOKUP(INDIRECT(ADDRESS(2,COLUMN())),OFFSET($M$2,0,0,ROW()-1,7),ROW()-1,FALSE))</f>
        <v>193.047</v>
      </c>
      <c r="J45">
        <f ca="1">IF(AND($B$165=1,LEN($J$204)&gt;0),$J$204*1000,HLOOKUP(INDIRECT(ADDRESS(2,COLUMN())),OFFSET($M$2,0,0,ROW()-1,7),ROW()-1,FALSE))</f>
        <v>145.929</v>
      </c>
      <c r="K45">
        <f ca="1">IF(AND($B$165=1,LEN($K$204)&gt;0),$K$204*1000,HLOOKUP(INDIRECT(ADDRESS(2,COLUMN())),OFFSET($M$2,0,0,ROW()-1,7),ROW()-1,FALSE))</f>
        <v>151.15700000000001</v>
      </c>
      <c r="L45">
        <f ca="1">IF(AND($B$165=1,LEN($L$204)&gt;0),$L$204*1000,HLOOKUP(INDIRECT(ADDRESS(2,COLUMN())),OFFSET($M$2,0,0,ROW()-1,7),ROW()-1,FALSE))</f>
        <v>156.279</v>
      </c>
      <c r="M45">
        <f>155</f>
        <v>155</v>
      </c>
      <c r="N45">
        <f>162.808</f>
        <v>162.80799999999999</v>
      </c>
      <c r="O45">
        <f>184.886</f>
        <v>184.886</v>
      </c>
      <c r="P45">
        <f>193.047</f>
        <v>193.047</v>
      </c>
      <c r="Q45">
        <f>145.929</f>
        <v>145.929</v>
      </c>
      <c r="R45">
        <f>151.157</f>
        <v>151.15700000000001</v>
      </c>
      <c r="S45">
        <f>156.279</f>
        <v>156.279</v>
      </c>
    </row>
    <row r="46" spans="1:19" x14ac:dyDescent="0.25">
      <c r="A46" t="str">
        <f>"    CGI Inc"</f>
        <v xml:space="preserve">    CGI Inc</v>
      </c>
      <c r="B46" t="str">
        <f>"GIB US Equity"</f>
        <v>GIB US Equity</v>
      </c>
      <c r="E46" t="str">
        <f t="shared" si="4"/>
        <v>Expression</v>
      </c>
      <c r="F46" t="e">
        <f ca="1">IF(AND($B$165=1,LEN($F$205)&gt;0),$F$205*1000,HLOOKUP(INDIRECT(ADDRESS(2,COLUMN())),OFFSET($M$2,0,0,ROW()-1,7),ROW()-1,FALSE))</f>
        <v>#NAME?</v>
      </c>
      <c r="G46" t="str">
        <f ca="1">IF(AND($B$165=1,LEN($G$205)&gt;0),$G$205*1000,HLOOKUP(INDIRECT(ADDRESS(2,COLUMN())),OFFSET($M$2,0,0,ROW()-1,7),ROW()-1,FALSE))</f>
        <v/>
      </c>
      <c r="H46" t="str">
        <f ca="1">IF(AND($B$165=1,LEN($H$205)&gt;0),$H$205*1000,HLOOKUP(INDIRECT(ADDRESS(2,COLUMN())),OFFSET($M$2,0,0,ROW()-1,7),ROW()-1,FALSE))</f>
        <v/>
      </c>
      <c r="I46" t="str">
        <f ca="1">IF(AND($B$165=1,LEN($I$205)&gt;0),$I$205*1000,HLOOKUP(INDIRECT(ADDRESS(2,COLUMN())),OFFSET($M$2,0,0,ROW()-1,7),ROW()-1,FALSE))</f>
        <v/>
      </c>
      <c r="J46" t="str">
        <f ca="1">IF(AND($B$165=1,LEN($J$205)&gt;0),$J$205*1000,HLOOKUP(INDIRECT(ADDRESS(2,COLUMN())),OFFSET($M$2,0,0,ROW()-1,7),ROW()-1,FALSE))</f>
        <v/>
      </c>
      <c r="K46">
        <f ca="1">IF(AND($B$165=1,LEN($K$205)&gt;0),$K$205*1000,HLOOKUP(INDIRECT(ADDRESS(2,COLUMN())),OFFSET($M$2,0,0,ROW()-1,7),ROW()-1,FALSE))</f>
        <v>84.24</v>
      </c>
      <c r="L46">
        <f ca="1">IF(AND($B$165=1,LEN($L$205)&gt;0),$L$205*1000,HLOOKUP(INDIRECT(ADDRESS(2,COLUMN())),OFFSET($M$2,0,0,ROW()-1,7),ROW()-1,FALSE))</f>
        <v>96.066000000000003</v>
      </c>
      <c r="M46" t="str">
        <f>""</f>
        <v/>
      </c>
      <c r="N46" t="str">
        <f>""</f>
        <v/>
      </c>
      <c r="O46" t="str">
        <f>""</f>
        <v/>
      </c>
      <c r="P46" t="str">
        <f>""</f>
        <v/>
      </c>
      <c r="Q46" t="str">
        <f>""</f>
        <v/>
      </c>
      <c r="R46">
        <f>84.24</f>
        <v>84.24</v>
      </c>
      <c r="S46">
        <f>96.066</f>
        <v>96.066000000000003</v>
      </c>
    </row>
    <row r="47" spans="1:19" x14ac:dyDescent="0.25">
      <c r="A47" t="str">
        <f>"    Cognizant Technology Solutions Corp"</f>
        <v xml:space="preserve">    Cognizant Technology Solutions Corp</v>
      </c>
      <c r="B47" t="str">
        <f>"CTSH US Equity"</f>
        <v>CTSH US Equity</v>
      </c>
      <c r="E47" t="str">
        <f t="shared" si="4"/>
        <v>Expression</v>
      </c>
      <c r="F47" t="e">
        <f ca="1">IF(AND($B$165=1,LEN($F$206)&gt;0),$F$206*1000,HLOOKUP(INDIRECT(ADDRESS(2,COLUMN())),OFFSET($M$2,0,0,ROW()-1,7),ROW()-1,FALSE))</f>
        <v>#NAME?</v>
      </c>
      <c r="G47" t="str">
        <f ca="1">IF(AND($B$165=1,LEN($G$206)&gt;0),$G$206*1000,HLOOKUP(INDIRECT(ADDRESS(2,COLUMN())),OFFSET($M$2,0,0,ROW()-1,7),ROW()-1,FALSE))</f>
        <v/>
      </c>
      <c r="H47" t="str">
        <f ca="1">IF(AND($B$165=1,LEN($H$206)&gt;0),$H$206*1000,HLOOKUP(INDIRECT(ADDRESS(2,COLUMN())),OFFSET($M$2,0,0,ROW()-1,7),ROW()-1,FALSE))</f>
        <v/>
      </c>
      <c r="I47">
        <f ca="1">IF(AND($B$165=1,LEN($I$206)&gt;0),$I$206*1000,HLOOKUP(INDIRECT(ADDRESS(2,COLUMN())),OFFSET($M$2,0,0,ROW()-1,7),ROW()-1,FALSE))</f>
        <v>254.977</v>
      </c>
      <c r="J47">
        <f ca="1">IF(AND($B$165=1,LEN($J$206)&gt;0),$J$206*1000,HLOOKUP(INDIRECT(ADDRESS(2,COLUMN())),OFFSET($M$2,0,0,ROW()-1,7),ROW()-1,FALSE))</f>
        <v>257.625</v>
      </c>
      <c r="K47">
        <f ca="1">IF(AND($B$165=1,LEN($K$206)&gt;0),$K$206*1000,HLOOKUP(INDIRECT(ADDRESS(2,COLUMN())),OFFSET($M$2,0,0,ROW()-1,7),ROW()-1,FALSE))</f>
        <v>203.899</v>
      </c>
      <c r="L47">
        <f ca="1">IF(AND($B$165=1,LEN($L$206)&gt;0),$L$206*1000,HLOOKUP(INDIRECT(ADDRESS(2,COLUMN())),OFFSET($M$2,0,0,ROW()-1,7),ROW()-1,FALSE))</f>
        <v>193.06700000000001</v>
      </c>
      <c r="M47" t="str">
        <f>""</f>
        <v/>
      </c>
      <c r="N47" t="str">
        <f>""</f>
        <v/>
      </c>
      <c r="O47" t="str">
        <f>""</f>
        <v/>
      </c>
      <c r="P47">
        <f>254.977</f>
        <v>254.977</v>
      </c>
      <c r="Q47">
        <f>257.625</f>
        <v>257.625</v>
      </c>
      <c r="R47">
        <f>203.899</f>
        <v>203.899</v>
      </c>
      <c r="S47">
        <f>193.067</f>
        <v>193.06700000000001</v>
      </c>
    </row>
    <row r="48" spans="1:19" x14ac:dyDescent="0.25">
      <c r="A48" t="str">
        <f>"    Conduent Inc"</f>
        <v xml:space="preserve">    Conduent Inc</v>
      </c>
      <c r="B48" t="str">
        <f>"CNDT US Equity"</f>
        <v>CNDT US Equity</v>
      </c>
      <c r="E48" t="str">
        <f t="shared" si="4"/>
        <v>Expression</v>
      </c>
      <c r="F48" t="e">
        <f ca="1">IF(AND($B$165=1,LEN($F$207)&gt;0),$F$207*1000,HLOOKUP(INDIRECT(ADDRESS(2,COLUMN())),OFFSET($M$2,0,0,ROW()-1,7),ROW()-1,FALSE))</f>
        <v>#NAME?</v>
      </c>
      <c r="G48" t="str">
        <f ca="1">IF(AND($B$165=1,LEN($G$207)&gt;0),$G$207*1000,HLOOKUP(INDIRECT(ADDRESS(2,COLUMN())),OFFSET($M$2,0,0,ROW()-1,7),ROW()-1,FALSE))</f>
        <v/>
      </c>
      <c r="H48" t="str">
        <f ca="1">IF(AND($B$165=1,LEN($H$207)&gt;0),$H$207*1000,HLOOKUP(INDIRECT(ADDRESS(2,COLUMN())),OFFSET($M$2,0,0,ROW()-1,7),ROW()-1,FALSE))</f>
        <v/>
      </c>
      <c r="I48" t="str">
        <f ca="1">IF(AND($B$165=1,LEN($I$207)&gt;0),$I$207*1000,HLOOKUP(INDIRECT(ADDRESS(2,COLUMN())),OFFSET($M$2,0,0,ROW()-1,7),ROW()-1,FALSE))</f>
        <v/>
      </c>
      <c r="J48" t="str">
        <f ca="1">IF(AND($B$165=1,LEN($J$207)&gt;0),$J$207*1000,HLOOKUP(INDIRECT(ADDRESS(2,COLUMN())),OFFSET($M$2,0,0,ROW()-1,7),ROW()-1,FALSE))</f>
        <v/>
      </c>
      <c r="K48" t="str">
        <f ca="1">IF(AND($B$165=1,LEN($K$207)&gt;0),$K$207*1000,HLOOKUP(INDIRECT(ADDRESS(2,COLUMN())),OFFSET($M$2,0,0,ROW()-1,7),ROW()-1,FALSE))</f>
        <v/>
      </c>
      <c r="L48" t="str">
        <f ca="1">IF(AND($B$165=1,LEN($L$207)&gt;0),$L$207*1000,HLOOKUP(INDIRECT(ADDRESS(2,COLUMN())),OFFSET($M$2,0,0,ROW()-1,7),ROW()-1,FALSE))</f>
        <v/>
      </c>
      <c r="M48" t="str">
        <f>""</f>
        <v/>
      </c>
      <c r="N48" t="str">
        <f>""</f>
        <v/>
      </c>
      <c r="O48" t="str">
        <f>""</f>
        <v/>
      </c>
      <c r="P48" t="str">
        <f>""</f>
        <v/>
      </c>
      <c r="Q48" t="str">
        <f>""</f>
        <v/>
      </c>
      <c r="R48" t="str">
        <f>""</f>
        <v/>
      </c>
      <c r="S48" t="str">
        <f>""</f>
        <v/>
      </c>
    </row>
    <row r="49" spans="1:19" x14ac:dyDescent="0.25">
      <c r="A49" t="str">
        <f>"    DXC Technology Co"</f>
        <v xml:space="preserve">    DXC Technology Co</v>
      </c>
      <c r="B49" t="str">
        <f>"DXC US Equity"</f>
        <v>DXC US Equity</v>
      </c>
      <c r="E49" t="str">
        <f t="shared" si="4"/>
        <v>Expression</v>
      </c>
      <c r="F49" t="e">
        <f ca="1">IF(AND($B$165=1,LEN($F$208)&gt;0),$F$208*1000,HLOOKUP(INDIRECT(ADDRESS(2,COLUMN())),OFFSET($M$2,0,0,ROW()-1,7),ROW()-1,FALSE))</f>
        <v>#NAME?</v>
      </c>
      <c r="G49">
        <f ca="1">IF(AND($B$165=1,LEN($G$208)&gt;0),$G$208*1000,HLOOKUP(INDIRECT(ADDRESS(2,COLUMN())),OFFSET($M$2,0,0,ROW()-1,7),ROW()-1,FALSE))</f>
        <v>795.63900000000001</v>
      </c>
      <c r="H49">
        <f ca="1">IF(AND($B$165=1,LEN($H$208)&gt;0),$H$208*1000,HLOOKUP(INDIRECT(ADDRESS(2,COLUMN())),OFFSET($M$2,0,0,ROW()-1,7),ROW()-1,FALSE))</f>
        <v>868.32299999999998</v>
      </c>
      <c r="I49" t="str">
        <f ca="1">IF(AND($B$165=1,LEN($I$208)&gt;0),$I$208*1000,HLOOKUP(INDIRECT(ADDRESS(2,COLUMN())),OFFSET($M$2,0,0,ROW()-1,7),ROW()-1,FALSE))</f>
        <v/>
      </c>
      <c r="J49" t="str">
        <f ca="1">IF(AND($B$165=1,LEN($J$208)&gt;0),$J$208*1000,HLOOKUP(INDIRECT(ADDRESS(2,COLUMN())),OFFSET($M$2,0,0,ROW()-1,7),ROW()-1,FALSE))</f>
        <v/>
      </c>
      <c r="K49" t="str">
        <f ca="1">IF(AND($B$165=1,LEN($K$208)&gt;0),$K$208*1000,HLOOKUP(INDIRECT(ADDRESS(2,COLUMN())),OFFSET($M$2,0,0,ROW()-1,7),ROW()-1,FALSE))</f>
        <v/>
      </c>
      <c r="L49" t="str">
        <f ca="1">IF(AND($B$165=1,LEN($L$208)&gt;0),$L$208*1000,HLOOKUP(INDIRECT(ADDRESS(2,COLUMN())),OFFSET($M$2,0,0,ROW()-1,7),ROW()-1,FALSE))</f>
        <v/>
      </c>
      <c r="M49" t="str">
        <f>""</f>
        <v/>
      </c>
      <c r="N49">
        <f>795.639</f>
        <v>795.63900000000001</v>
      </c>
      <c r="O49">
        <f>868.323</f>
        <v>868.32299999999998</v>
      </c>
      <c r="P49" t="str">
        <f>""</f>
        <v/>
      </c>
      <c r="Q49" t="str">
        <f>""</f>
        <v/>
      </c>
      <c r="R49" t="str">
        <f>""</f>
        <v/>
      </c>
      <c r="S49" t="str">
        <f>""</f>
        <v/>
      </c>
    </row>
    <row r="50" spans="1:19" x14ac:dyDescent="0.25">
      <c r="A50" t="str">
        <f>"    EPAM Systems Inc"</f>
        <v xml:space="preserve">    EPAM Systems Inc</v>
      </c>
      <c r="B50" t="str">
        <f>"EPAM US Equity"</f>
        <v>EPAM US Equity</v>
      </c>
      <c r="E50" t="str">
        <f t="shared" si="4"/>
        <v>Expression</v>
      </c>
      <c r="F50" t="e">
        <f ca="1">IF(AND($B$165=1,LEN($F$209)&gt;0),$F$209*1000,HLOOKUP(INDIRECT(ADDRESS(2,COLUMN())),OFFSET($M$2,0,0,ROW()-1,7),ROW()-1,FALSE))</f>
        <v>#NAME?</v>
      </c>
      <c r="G50" t="str">
        <f ca="1">IF(AND($B$165=1,LEN($G$209)&gt;0),$G$209*1000,HLOOKUP(INDIRECT(ADDRESS(2,COLUMN())),OFFSET($M$2,0,0,ROW()-1,7),ROW()-1,FALSE))</f>
        <v/>
      </c>
      <c r="H50" t="str">
        <f ca="1">IF(AND($B$165=1,LEN($H$209)&gt;0),$H$209*1000,HLOOKUP(INDIRECT(ADDRESS(2,COLUMN())),OFFSET($M$2,0,0,ROW()-1,7),ROW()-1,FALSE))</f>
        <v/>
      </c>
      <c r="I50" t="str">
        <f ca="1">IF(AND($B$165=1,LEN($I$209)&gt;0),$I$209*1000,HLOOKUP(INDIRECT(ADDRESS(2,COLUMN())),OFFSET($M$2,0,0,ROW()-1,7),ROW()-1,FALSE))</f>
        <v/>
      </c>
      <c r="J50" t="str">
        <f ca="1">IF(AND($B$165=1,LEN($J$209)&gt;0),$J$209*1000,HLOOKUP(INDIRECT(ADDRESS(2,COLUMN())),OFFSET($M$2,0,0,ROW()-1,7),ROW()-1,FALSE))</f>
        <v/>
      </c>
      <c r="K50" t="str">
        <f ca="1">IF(AND($B$165=1,LEN($K$209)&gt;0),$K$209*1000,HLOOKUP(INDIRECT(ADDRESS(2,COLUMN())),OFFSET($M$2,0,0,ROW()-1,7),ROW()-1,FALSE))</f>
        <v/>
      </c>
      <c r="L50" t="str">
        <f ca="1">IF(AND($B$165=1,LEN($L$209)&gt;0),$L$209*1000,HLOOKUP(INDIRECT(ADDRESS(2,COLUMN())),OFFSET($M$2,0,0,ROW()-1,7),ROW()-1,FALSE))</f>
        <v/>
      </c>
      <c r="M50" t="str">
        <f>""</f>
        <v/>
      </c>
      <c r="N50" t="str">
        <f>""</f>
        <v/>
      </c>
      <c r="O50" t="str">
        <f>""</f>
        <v/>
      </c>
      <c r="P50" t="str">
        <f>""</f>
        <v/>
      </c>
      <c r="Q50" t="str">
        <f>""</f>
        <v/>
      </c>
      <c r="R50" t="str">
        <f>""</f>
        <v/>
      </c>
      <c r="S50" t="str">
        <f>""</f>
        <v/>
      </c>
    </row>
    <row r="51" spans="1:19" x14ac:dyDescent="0.25">
      <c r="A51" t="str">
        <f>"    Genpact Ltd"</f>
        <v xml:space="preserve">    Genpact Ltd</v>
      </c>
      <c r="B51" t="str">
        <f>"G US Equity"</f>
        <v>G US Equity</v>
      </c>
      <c r="E51" t="str">
        <f t="shared" si="4"/>
        <v>Expression</v>
      </c>
      <c r="F51" t="e">
        <f ca="1">IF(AND($B$165=1,LEN($F$210)&gt;0),$F$210*1000,HLOOKUP(INDIRECT(ADDRESS(2,COLUMN())),OFFSET($M$2,0,0,ROW()-1,7),ROW()-1,FALSE))</f>
        <v>#NAME?</v>
      </c>
      <c r="G51" t="str">
        <f ca="1">IF(AND($B$165=1,LEN($G$210)&gt;0),$G$210*1000,HLOOKUP(INDIRECT(ADDRESS(2,COLUMN())),OFFSET($M$2,0,0,ROW()-1,7),ROW()-1,FALSE))</f>
        <v/>
      </c>
      <c r="H51">
        <f ca="1">IF(AND($B$165=1,LEN($H$210)&gt;0),$H$210*1000,HLOOKUP(INDIRECT(ADDRESS(2,COLUMN())),OFFSET($M$2,0,0,ROW()-1,7),ROW()-1,FALSE))</f>
        <v>73.61</v>
      </c>
      <c r="I51">
        <f ca="1">IF(AND($B$165=1,LEN($I$210)&gt;0),$I$210*1000,HLOOKUP(INDIRECT(ADDRESS(2,COLUMN())),OFFSET($M$2,0,0,ROW()-1,7),ROW()-1,FALSE))</f>
        <v>72.391999999999996</v>
      </c>
      <c r="J51">
        <f ca="1">IF(AND($B$165=1,LEN($J$210)&gt;0),$J$210*1000,HLOOKUP(INDIRECT(ADDRESS(2,COLUMN())),OFFSET($M$2,0,0,ROW()-1,7),ROW()-1,FALSE))</f>
        <v>64.495999999999995</v>
      </c>
      <c r="K51" t="str">
        <f ca="1">IF(AND($B$165=1,LEN($K$210)&gt;0),$K$210*1000,HLOOKUP(INDIRECT(ADDRESS(2,COLUMN())),OFFSET($M$2,0,0,ROW()-1,7),ROW()-1,FALSE))</f>
        <v/>
      </c>
      <c r="L51">
        <f ca="1">IF(AND($B$165=1,LEN($L$210)&gt;0),$L$210*1000,HLOOKUP(INDIRECT(ADDRESS(2,COLUMN())),OFFSET($M$2,0,0,ROW()-1,7),ROW()-1,FALSE))</f>
        <v>64.415000000000006</v>
      </c>
      <c r="M51" t="str">
        <f>""</f>
        <v/>
      </c>
      <c r="N51" t="str">
        <f>""</f>
        <v/>
      </c>
      <c r="O51">
        <f>73.61</f>
        <v>73.61</v>
      </c>
      <c r="P51">
        <f>72.392</f>
        <v>72.391999999999996</v>
      </c>
      <c r="Q51">
        <f>64.496</f>
        <v>64.495999999999995</v>
      </c>
      <c r="R51" t="str">
        <f>""</f>
        <v/>
      </c>
      <c r="S51">
        <f>64.415</f>
        <v>64.415000000000006</v>
      </c>
    </row>
    <row r="52" spans="1:19" x14ac:dyDescent="0.25">
      <c r="A52" t="str">
        <f>"    HCL Technologies Ltd"</f>
        <v xml:space="preserve">    HCL Technologies Ltd</v>
      </c>
      <c r="B52" t="str">
        <f>"HCLT IN Equity"</f>
        <v>HCLT IN Equity</v>
      </c>
      <c r="E52" t="str">
        <f t="shared" si="4"/>
        <v>Expression</v>
      </c>
      <c r="F52" t="e">
        <f ca="1">IF(AND($B$165=1,LEN($F$211)&gt;0),$F$211*1000,HLOOKUP(INDIRECT(ADDRESS(2,COLUMN())),OFFSET($M$2,0,0,ROW()-1,7),ROW()-1,FALSE))</f>
        <v>#NAME?</v>
      </c>
      <c r="G52" t="str">
        <f ca="1">IF(AND($B$165=1,LEN($G$211)&gt;0),$G$211*1000,HLOOKUP(INDIRECT(ADDRESS(2,COLUMN())),OFFSET($M$2,0,0,ROW()-1,7),ROW()-1,FALSE))</f>
        <v/>
      </c>
      <c r="H52" t="str">
        <f ca="1">IF(AND($B$165=1,LEN($H$211)&gt;0),$H$211*1000,HLOOKUP(INDIRECT(ADDRESS(2,COLUMN())),OFFSET($M$2,0,0,ROW()-1,7),ROW()-1,FALSE))</f>
        <v/>
      </c>
      <c r="I52" t="str">
        <f ca="1">IF(AND($B$165=1,LEN($I$211)&gt;0),$I$211*1000,HLOOKUP(INDIRECT(ADDRESS(2,COLUMN())),OFFSET($M$2,0,0,ROW()-1,7),ROW()-1,FALSE))</f>
        <v/>
      </c>
      <c r="J52">
        <f ca="1">IF(AND($B$165=1,LEN($J$211)&gt;0),$J$211*1000,HLOOKUP(INDIRECT(ADDRESS(2,COLUMN())),OFFSET($M$2,0,0,ROW()-1,7),ROW()-1,FALSE))</f>
        <v>160.55000000000001</v>
      </c>
      <c r="K52" t="str">
        <f ca="1">IF(AND($B$165=1,LEN($K$211)&gt;0),$K$211*1000,HLOOKUP(INDIRECT(ADDRESS(2,COLUMN())),OFFSET($M$2,0,0,ROW()-1,7),ROW()-1,FALSE))</f>
        <v/>
      </c>
      <c r="L52">
        <f ca="1">IF(AND($B$165=1,LEN($L$211)&gt;0),$L$211*1000,HLOOKUP(INDIRECT(ADDRESS(2,COLUMN())),OFFSET($M$2,0,0,ROW()-1,7),ROW()-1,FALSE))</f>
        <v>168.40100000000001</v>
      </c>
      <c r="M52" t="str">
        <f>""</f>
        <v/>
      </c>
      <c r="N52" t="str">
        <f>""</f>
        <v/>
      </c>
      <c r="O52" t="str">
        <f>""</f>
        <v/>
      </c>
      <c r="P52" t="str">
        <f>""</f>
        <v/>
      </c>
      <c r="Q52">
        <f>160.55</f>
        <v>160.55000000000001</v>
      </c>
      <c r="R52" t="str">
        <f>""</f>
        <v/>
      </c>
      <c r="S52">
        <f>168.401</f>
        <v>168.40100000000001</v>
      </c>
    </row>
    <row r="53" spans="1:19" x14ac:dyDescent="0.25">
      <c r="A53" t="str">
        <f>"    Indra Sistemas SA"</f>
        <v xml:space="preserve">    Indra Sistemas SA</v>
      </c>
      <c r="B53" t="str">
        <f>"IDR SM Equity"</f>
        <v>IDR SM Equity</v>
      </c>
      <c r="E53" t="str">
        <f t="shared" si="4"/>
        <v>Expression</v>
      </c>
      <c r="F53" t="e">
        <f ca="1">IF(AND($B$165=1,LEN($F$212)&gt;0),$F$212*1000,HLOOKUP(INDIRECT(ADDRESS(2,COLUMN())),OFFSET($M$2,0,0,ROW()-1,7),ROW()-1,FALSE))</f>
        <v>#NAME?</v>
      </c>
      <c r="G53">
        <f ca="1">IF(AND($B$165=1,LEN($G$212)&gt;0),$G$212*1000,HLOOKUP(INDIRECT(ADDRESS(2,COLUMN())),OFFSET($M$2,0,0,ROW()-1,7),ROW()-1,FALSE))</f>
        <v>10.504</v>
      </c>
      <c r="H53">
        <f ca="1">IF(AND($B$165=1,LEN($H$212)&gt;0),$H$212*1000,HLOOKUP(INDIRECT(ADDRESS(2,COLUMN())),OFFSET($M$2,0,0,ROW()-1,7),ROW()-1,FALSE))</f>
        <v>12.117000000000001</v>
      </c>
      <c r="I53">
        <f ca="1">IF(AND($B$165=1,LEN($I$212)&gt;0),$I$212*1000,HLOOKUP(INDIRECT(ADDRESS(2,COLUMN())),OFFSET($M$2,0,0,ROW()-1,7),ROW()-1,FALSE))</f>
        <v>22.49</v>
      </c>
      <c r="J53">
        <f ca="1">IF(AND($B$165=1,LEN($J$212)&gt;0),$J$212*1000,HLOOKUP(INDIRECT(ADDRESS(2,COLUMN())),OFFSET($M$2,0,0,ROW()-1,7),ROW()-1,FALSE))</f>
        <v>24.545000000000002</v>
      </c>
      <c r="K53">
        <f ca="1">IF(AND($B$165=1,LEN($K$212)&gt;0),$K$212*1000,HLOOKUP(INDIRECT(ADDRESS(2,COLUMN())),OFFSET($M$2,0,0,ROW()-1,7),ROW()-1,FALSE))</f>
        <v>29.49</v>
      </c>
      <c r="L53">
        <f ca="1">IF(AND($B$165=1,LEN($L$212)&gt;0),$L$212*1000,HLOOKUP(INDIRECT(ADDRESS(2,COLUMN())),OFFSET($M$2,0,0,ROW()-1,7),ROW()-1,FALSE))</f>
        <v>32.317999999999998</v>
      </c>
      <c r="M53">
        <f>9.997</f>
        <v>9.9969999999999999</v>
      </c>
      <c r="N53">
        <f>10.504</f>
        <v>10.504</v>
      </c>
      <c r="O53">
        <f>12.117</f>
        <v>12.117000000000001</v>
      </c>
      <c r="P53">
        <f>22.49</f>
        <v>22.49</v>
      </c>
      <c r="Q53">
        <f>24.545</f>
        <v>24.545000000000002</v>
      </c>
      <c r="R53">
        <f>29.49</f>
        <v>29.49</v>
      </c>
      <c r="S53">
        <f>32.318</f>
        <v>32.317999999999998</v>
      </c>
    </row>
    <row r="54" spans="1:19" x14ac:dyDescent="0.25">
      <c r="A54" t="str">
        <f>"    Infosys Ltd"</f>
        <v xml:space="preserve">    Infosys Ltd</v>
      </c>
      <c r="B54" t="str">
        <f>"INFY US Equity"</f>
        <v>INFY US Equity</v>
      </c>
      <c r="E54" t="str">
        <f t="shared" si="4"/>
        <v>Expression</v>
      </c>
      <c r="F54" t="e">
        <f ca="1">IF(AND($B$165=1,LEN($F$213)&gt;0),$F$213*1000,HLOOKUP(INDIRECT(ADDRESS(2,COLUMN())),OFFSET($M$2,0,0,ROW()-1,7),ROW()-1,FALSE))</f>
        <v>#NAME?</v>
      </c>
      <c r="G54">
        <f ca="1">IF(AND($B$165=1,LEN($G$213)&gt;0),$G$213*1000,HLOOKUP(INDIRECT(ADDRESS(2,COLUMN())),OFFSET($M$2,0,0,ROW()-1,7),ROW()-1,FALSE))</f>
        <v>124.77</v>
      </c>
      <c r="H54">
        <f ca="1">IF(AND($B$165=1,LEN($H$213)&gt;0),$H$213*1000,HLOOKUP(INDIRECT(ADDRESS(2,COLUMN())),OFFSET($M$2,0,0,ROW()-1,7),ROW()-1,FALSE))</f>
        <v>126.05200000000001</v>
      </c>
      <c r="I54">
        <f ca="1">IF(AND($B$165=1,LEN($I$213)&gt;0),$I$213*1000,HLOOKUP(INDIRECT(ADDRESS(2,COLUMN())),OFFSET($M$2,0,0,ROW()-1,7),ROW()-1,FALSE))</f>
        <v>133.80600000000001</v>
      </c>
      <c r="J54">
        <f ca="1">IF(AND($B$165=1,LEN($J$213)&gt;0),$J$213*1000,HLOOKUP(INDIRECT(ADDRESS(2,COLUMN())),OFFSET($M$2,0,0,ROW()-1,7),ROW()-1,FALSE))</f>
        <v>171.25</v>
      </c>
      <c r="K54">
        <f ca="1">IF(AND($B$165=1,LEN($K$213)&gt;0),$K$213*1000,HLOOKUP(INDIRECT(ADDRESS(2,COLUMN())),OFFSET($M$2,0,0,ROW()-1,7),ROW()-1,FALSE))</f>
        <v>163.89400000000001</v>
      </c>
      <c r="L54">
        <f ca="1">IF(AND($B$165=1,LEN($L$213)&gt;0),$L$213*1000,HLOOKUP(INDIRECT(ADDRESS(2,COLUMN())),OFFSET($M$2,0,0,ROW()-1,7),ROW()-1,FALSE))</f>
        <v>161.654</v>
      </c>
      <c r="M54">
        <f>139.407</f>
        <v>139.40700000000001</v>
      </c>
      <c r="N54">
        <f>124.77</f>
        <v>124.77</v>
      </c>
      <c r="O54">
        <f>126.052</f>
        <v>126.05200000000001</v>
      </c>
      <c r="P54">
        <f>133.806</f>
        <v>133.80600000000001</v>
      </c>
      <c r="Q54">
        <f>171.25</f>
        <v>171.25</v>
      </c>
      <c r="R54">
        <f>163.894</f>
        <v>163.89400000000001</v>
      </c>
      <c r="S54">
        <f>161.654</f>
        <v>161.654</v>
      </c>
    </row>
    <row r="55" spans="1:19" x14ac:dyDescent="0.25">
      <c r="A55" t="str">
        <f>"    International Business Machines Corp"</f>
        <v xml:space="preserve">    International Business Machines Corp</v>
      </c>
      <c r="B55" t="str">
        <f>"IBM US Equity"</f>
        <v>IBM US Equity</v>
      </c>
      <c r="E55" t="str">
        <f t="shared" si="4"/>
        <v>Expression</v>
      </c>
      <c r="F55" t="e">
        <f ca="1">IF(AND($B$165=1,LEN($F$214)&gt;0),$F$214*1000,HLOOKUP(INDIRECT(ADDRESS(2,COLUMN())),OFFSET($M$2,0,0,ROW()-1,7),ROW()-1,FALSE))</f>
        <v>#NAME?</v>
      </c>
      <c r="G55">
        <f ca="1">IF(AND($B$165=1,LEN($G$214)&gt;0),$G$214*1000,HLOOKUP(INDIRECT(ADDRESS(2,COLUMN())),OFFSET($M$2,0,0,ROW()-1,7),ROW()-1,FALSE))</f>
        <v>1257.6600000000001</v>
      </c>
      <c r="H55">
        <f ca="1">IF(AND($B$165=1,LEN($H$214)&gt;0),$H$214*1000,HLOOKUP(INDIRECT(ADDRESS(2,COLUMN())),OFFSET($M$2,0,0,ROW()-1,7),ROW()-1,FALSE))</f>
        <v>1496.52</v>
      </c>
      <c r="I55">
        <f ca="1">IF(AND($B$165=1,LEN($I$214)&gt;0),$I$214*1000,HLOOKUP(INDIRECT(ADDRESS(2,COLUMN())),OFFSET($M$2,0,0,ROW()-1,7),ROW()-1,FALSE))</f>
        <v>1619.07</v>
      </c>
      <c r="J55">
        <f ca="1">IF(AND($B$165=1,LEN($J$214)&gt;0),$J$214*1000,HLOOKUP(INDIRECT(ADDRESS(2,COLUMN())),OFFSET($M$2,0,0,ROW()-1,7),ROW()-1,FALSE))</f>
        <v>1787.5</v>
      </c>
      <c r="K55">
        <f ca="1">IF(AND($B$165=1,LEN($K$214)&gt;0),$K$214*1000,HLOOKUP(INDIRECT(ADDRESS(2,COLUMN())),OFFSET($M$2,0,0,ROW()-1,7),ROW()-1,FALSE))</f>
        <v>2438.66</v>
      </c>
      <c r="L55">
        <f ca="1">IF(AND($B$165=1,LEN($L$214)&gt;0),$L$214*1000,HLOOKUP(INDIRECT(ADDRESS(2,COLUMN())),OFFSET($M$2,0,0,ROW()-1,7),ROW()-1,FALSE))</f>
        <v>2493.06</v>
      </c>
      <c r="M55" t="str">
        <f>""</f>
        <v/>
      </c>
      <c r="N55">
        <f>1257.66</f>
        <v>1257.6600000000001</v>
      </c>
      <c r="O55">
        <f>1496.52</f>
        <v>1496.52</v>
      </c>
      <c r="P55">
        <f>1619.07</f>
        <v>1619.07</v>
      </c>
      <c r="Q55">
        <f>1787.5</f>
        <v>1787.5</v>
      </c>
      <c r="R55">
        <f>2438.66</f>
        <v>2438.66</v>
      </c>
      <c r="S55">
        <f>2493.06</f>
        <v>2493.06</v>
      </c>
    </row>
    <row r="56" spans="1:19" x14ac:dyDescent="0.25">
      <c r="A56" t="str">
        <f>"    Tata Consultancy Services Ltd"</f>
        <v xml:space="preserve">    Tata Consultancy Services Ltd</v>
      </c>
      <c r="B56" t="str">
        <f>"TCS IN Equity"</f>
        <v>TCS IN Equity</v>
      </c>
      <c r="E56" t="str">
        <f t="shared" si="4"/>
        <v>Expression</v>
      </c>
      <c r="F56" t="e">
        <f ca="1">IF(AND($B$165=1,LEN($F$215)&gt;0),$F$215*1000,HLOOKUP(INDIRECT(ADDRESS(2,COLUMN())),OFFSET($M$2,0,0,ROW()-1,7),ROW()-1,FALSE))</f>
        <v>#NAME?</v>
      </c>
      <c r="G56" t="str">
        <f ca="1">IF(AND($B$165=1,LEN($G$215)&gt;0),$G$215*1000,HLOOKUP(INDIRECT(ADDRESS(2,COLUMN())),OFFSET($M$2,0,0,ROW()-1,7),ROW()-1,FALSE))</f>
        <v/>
      </c>
      <c r="H56">
        <f ca="1">IF(AND($B$165=1,LEN($H$215)&gt;0),$H$215*1000,HLOOKUP(INDIRECT(ADDRESS(2,COLUMN())),OFFSET($M$2,0,0,ROW()-1,7),ROW()-1,FALSE))</f>
        <v>455.32900000000001</v>
      </c>
      <c r="I56">
        <f ca="1">IF(AND($B$165=1,LEN($I$215)&gt;0),$I$215*1000,HLOOKUP(INDIRECT(ADDRESS(2,COLUMN())),OFFSET($M$2,0,0,ROW()-1,7),ROW()-1,FALSE))</f>
        <v>470.52</v>
      </c>
      <c r="J56">
        <f ca="1">IF(AND($B$165=1,LEN($J$215)&gt;0),$J$215*1000,HLOOKUP(INDIRECT(ADDRESS(2,COLUMN())),OFFSET($M$2,0,0,ROW()-1,7),ROW()-1,FALSE))</f>
        <v>471.32400000000001</v>
      </c>
      <c r="K56">
        <f ca="1">IF(AND($B$165=1,LEN($K$215)&gt;0),$K$215*1000,HLOOKUP(INDIRECT(ADDRESS(2,COLUMN())),OFFSET($M$2,0,0,ROW()-1,7),ROW()-1,FALSE))</f>
        <v>458.04</v>
      </c>
      <c r="L56">
        <f ca="1">IF(AND($B$165=1,LEN($L$215)&gt;0),$L$215*1000,HLOOKUP(INDIRECT(ADDRESS(2,COLUMN())),OFFSET($M$2,0,0,ROW()-1,7),ROW()-1,FALSE))</f>
        <v>422.589</v>
      </c>
      <c r="M56" t="str">
        <f>""</f>
        <v/>
      </c>
      <c r="N56" t="str">
        <f>""</f>
        <v/>
      </c>
      <c r="O56">
        <f>455.329</f>
        <v>455.32900000000001</v>
      </c>
      <c r="P56">
        <f>470.52</f>
        <v>470.52</v>
      </c>
      <c r="Q56">
        <f>471.324</f>
        <v>471.32400000000001</v>
      </c>
      <c r="R56">
        <f>458.04</f>
        <v>458.04</v>
      </c>
      <c r="S56">
        <f>422.589</f>
        <v>422.589</v>
      </c>
    </row>
    <row r="57" spans="1:19" x14ac:dyDescent="0.25">
      <c r="A57" t="str">
        <f>"    Tech Mahindra Ltd"</f>
        <v xml:space="preserve">    Tech Mahindra Ltd</v>
      </c>
      <c r="B57" t="str">
        <f>"TECHM IN Equity"</f>
        <v>TECHM IN Equity</v>
      </c>
      <c r="E57" t="str">
        <f t="shared" si="4"/>
        <v>Expression</v>
      </c>
      <c r="F57" t="e">
        <f ca="1">IF(AND($B$165=1,LEN($F$216)&gt;0),$F$216*1000,HLOOKUP(INDIRECT(ADDRESS(2,COLUMN())),OFFSET($M$2,0,0,ROW()-1,7),ROW()-1,FALSE))</f>
        <v>#NAME?</v>
      </c>
      <c r="G57" t="str">
        <f ca="1">IF(AND($B$165=1,LEN($G$216)&gt;0),$G$216*1000,HLOOKUP(INDIRECT(ADDRESS(2,COLUMN())),OFFSET($M$2,0,0,ROW()-1,7),ROW()-1,FALSE))</f>
        <v/>
      </c>
      <c r="H57">
        <f ca="1">IF(AND($B$165=1,LEN($H$216)&gt;0),$H$216*1000,HLOOKUP(INDIRECT(ADDRESS(2,COLUMN())),OFFSET($M$2,0,0,ROW()-1,7),ROW()-1,FALSE))</f>
        <v>125.48699999999999</v>
      </c>
      <c r="I57">
        <f ca="1">IF(AND($B$165=1,LEN($I$216)&gt;0),$I$216*1000,HLOOKUP(INDIRECT(ADDRESS(2,COLUMN())),OFFSET($M$2,0,0,ROW()-1,7),ROW()-1,FALSE))</f>
        <v>122.697</v>
      </c>
      <c r="J57">
        <f ca="1">IF(AND($B$165=1,LEN($J$216)&gt;0),$J$216*1000,HLOOKUP(INDIRECT(ADDRESS(2,COLUMN())),OFFSET($M$2,0,0,ROW()-1,7),ROW()-1,FALSE))</f>
        <v>114.309</v>
      </c>
      <c r="K57">
        <f ca="1">IF(AND($B$165=1,LEN($K$216)&gt;0),$K$216*1000,HLOOKUP(INDIRECT(ADDRESS(2,COLUMN())),OFFSET($M$2,0,0,ROW()-1,7),ROW()-1,FALSE))</f>
        <v>114.94199999999999</v>
      </c>
      <c r="L57">
        <f ca="1">IF(AND($B$165=1,LEN($L$216)&gt;0),$L$216*1000,HLOOKUP(INDIRECT(ADDRESS(2,COLUMN())),OFFSET($M$2,0,0,ROW()-1,7),ROW()-1,FALSE))</f>
        <v>100.599</v>
      </c>
      <c r="M57" t="str">
        <f>""</f>
        <v/>
      </c>
      <c r="N57" t="str">
        <f>""</f>
        <v/>
      </c>
      <c r="O57">
        <f>125.487</f>
        <v>125.48699999999999</v>
      </c>
      <c r="P57">
        <f>122.697</f>
        <v>122.697</v>
      </c>
      <c r="Q57">
        <f>114.309</f>
        <v>114.309</v>
      </c>
      <c r="R57">
        <f>114.942</f>
        <v>114.94199999999999</v>
      </c>
      <c r="S57">
        <f>100.599</f>
        <v>100.599</v>
      </c>
    </row>
    <row r="58" spans="1:19" x14ac:dyDescent="0.25">
      <c r="A58" t="str">
        <f>"    Wipro Ltd"</f>
        <v xml:space="preserve">    Wipro Ltd</v>
      </c>
      <c r="B58" t="str">
        <f>"WIT US Equity"</f>
        <v>WIT US Equity</v>
      </c>
      <c r="E58" t="str">
        <f t="shared" si="4"/>
        <v>Expression</v>
      </c>
      <c r="F58" t="e">
        <f ca="1">IF(AND($B$165=1,LEN($F$217)&gt;0),$F$217*1000,HLOOKUP(INDIRECT(ADDRESS(2,COLUMN())),OFFSET($M$2,0,0,ROW()-1,7),ROW()-1,FALSE))</f>
        <v>#NAME?</v>
      </c>
      <c r="G58" t="str">
        <f ca="1">IF(AND($B$165=1,LEN($G$217)&gt;0),$G$217*1000,HLOOKUP(INDIRECT(ADDRESS(2,COLUMN())),OFFSET($M$2,0,0,ROW()-1,7),ROW()-1,FALSE))</f>
        <v/>
      </c>
      <c r="H58">
        <f ca="1">IF(AND($B$165=1,LEN($H$217)&gt;0),$H$217*1000,HLOOKUP(INDIRECT(ADDRESS(2,COLUMN())),OFFSET($M$2,0,0,ROW()-1,7),ROW()-1,FALSE))</f>
        <v>281.11500000000001</v>
      </c>
      <c r="I58">
        <f ca="1">IF(AND($B$165=1,LEN($I$217)&gt;0),$I$217*1000,HLOOKUP(INDIRECT(ADDRESS(2,COLUMN())),OFFSET($M$2,0,0,ROW()-1,7),ROW()-1,FALSE))</f>
        <v>317.46499999999997</v>
      </c>
      <c r="J58">
        <f ca="1">IF(AND($B$165=1,LEN($J$217)&gt;0),$J$217*1000,HLOOKUP(INDIRECT(ADDRESS(2,COLUMN())),OFFSET($M$2,0,0,ROW()-1,7),ROW()-1,FALSE))</f>
        <v>456.16300000000001</v>
      </c>
      <c r="K58">
        <f ca="1">IF(AND($B$165=1,LEN($K$217)&gt;0),$K$217*1000,HLOOKUP(INDIRECT(ADDRESS(2,COLUMN())),OFFSET($M$2,0,0,ROW()-1,7),ROW()-1,FALSE))</f>
        <v>478.858</v>
      </c>
      <c r="L58">
        <f ca="1">IF(AND($B$165=1,LEN($L$217)&gt;0),$L$217*1000,HLOOKUP(INDIRECT(ADDRESS(2,COLUMN())),OFFSET($M$2,0,0,ROW()-1,7),ROW()-1,FALSE))</f>
        <v>254.07300000000001</v>
      </c>
      <c r="M58" t="str">
        <f>""</f>
        <v/>
      </c>
      <c r="N58" t="str">
        <f>""</f>
        <v/>
      </c>
      <c r="O58">
        <f>281.115</f>
        <v>281.11500000000001</v>
      </c>
      <c r="P58">
        <f>317.465</f>
        <v>317.46499999999997</v>
      </c>
      <c r="Q58">
        <f>456.163</f>
        <v>456.16300000000001</v>
      </c>
      <c r="R58">
        <f>478.858</f>
        <v>478.858</v>
      </c>
      <c r="S58">
        <f>254.073</f>
        <v>254.07300000000001</v>
      </c>
    </row>
    <row r="59" spans="1:19" x14ac:dyDescent="0.25">
      <c r="A59" t="str">
        <f>"Total Energy Consumption (000s MWh)"</f>
        <v>Total Energy Consumption (000s MWh)</v>
      </c>
      <c r="B59" t="str">
        <f>""</f>
        <v/>
      </c>
      <c r="E59" t="str">
        <f>"Median"</f>
        <v>Median</v>
      </c>
      <c r="F59">
        <f ca="1">IF(ISERROR(IF(MEDIAN($F$60:$F$76) = 0, "", MEDIAN($F$60:$F$76))), "", (IF(MEDIAN($F$60:$F$76) = 0, "", MEDIAN($F$60:$F$76))))</f>
        <v>327.05850220000002</v>
      </c>
      <c r="G59">
        <f ca="1">IF(ISERROR(IF(MEDIAN($G$60:$G$76) = 0, "", MEDIAN($G$60:$G$76))), "", (IF(MEDIAN($G$60:$G$76) = 0, "", MEDIAN($G$60:$G$76))))</f>
        <v>434.61499025000001</v>
      </c>
      <c r="H59">
        <f ca="1">IF(ISERROR(IF(MEDIAN($H$60:$H$76) = 0, "", MEDIAN($H$60:$H$76))), "", (IF(MEDIAN($H$60:$H$76) = 0, "", MEDIAN($H$60:$H$76))))</f>
        <v>412.31298829999997</v>
      </c>
      <c r="I59">
        <f ca="1">IF(ISERROR(IF(MEDIAN($I$60:$I$76) = 0, "", MEDIAN($I$60:$I$76))), "", (IF(MEDIAN($I$60:$I$76) = 0, "", MEDIAN($I$60:$I$76))))</f>
        <v>409.55099489999998</v>
      </c>
      <c r="J59">
        <f ca="1">IF(ISERROR(IF(MEDIAN($J$60:$J$76) = 0, "", MEDIAN($J$60:$J$76))), "", (IF(MEDIAN($J$60:$J$76) = 0, "", MEDIAN($J$60:$J$76))))</f>
        <v>361.96000674999999</v>
      </c>
      <c r="K59">
        <f ca="1">IF(ISERROR(IF(MEDIAN($K$60:$K$76) = 0, "", MEDIAN($K$60:$K$76))), "", (IF(MEDIAN($K$60:$K$76) = 0, "", MEDIAN($K$60:$K$76))))</f>
        <v>376.66799930000002</v>
      </c>
      <c r="L59">
        <f ca="1">IF(ISERROR(IF(MEDIAN($L$60:$L$76) = 0, "", MEDIAN($L$60:$L$76))), "", (IF(MEDIAN($L$60:$L$76) = 0, "", MEDIAN($L$60:$L$76))))</f>
        <v>325.30700680000001</v>
      </c>
      <c r="M59" t="str">
        <f>""</f>
        <v/>
      </c>
      <c r="N59">
        <f>434.6149902</f>
        <v>434.61499020000002</v>
      </c>
      <c r="O59">
        <f>412.3129883</f>
        <v>412.31298829999997</v>
      </c>
      <c r="P59">
        <f>409.5509949</f>
        <v>409.55099489999998</v>
      </c>
      <c r="Q59">
        <f>361.9600067</f>
        <v>361.96000670000001</v>
      </c>
      <c r="R59">
        <f>376.6679993</f>
        <v>376.66799930000002</v>
      </c>
      <c r="S59">
        <f>325.3070068</f>
        <v>325.30700680000001</v>
      </c>
    </row>
    <row r="60" spans="1:19" x14ac:dyDescent="0.25">
      <c r="A60" t="str">
        <f>"    Accenture PLC"</f>
        <v xml:space="preserve">    Accenture PLC</v>
      </c>
      <c r="B60" t="str">
        <f>"ACN US Equity"</f>
        <v>ACN US Equity</v>
      </c>
      <c r="C60" t="str">
        <f t="shared" ref="C60:C76" si="5">"ES014"</f>
        <v>ES014</v>
      </c>
      <c r="D60" t="str">
        <f t="shared" ref="D60:D76" si="6">"ENERGY_CONSUMPTION"</f>
        <v>ENERGY_CONSUMPTION</v>
      </c>
      <c r="E60" t="str">
        <f t="shared" ref="E60:E76" si="7">"Dynamic"</f>
        <v>Dynamic</v>
      </c>
      <c r="F60" t="str">
        <f ca="1">IF(AND(ISNUMBER($F$235),$B$165=1),$F$235,HLOOKUP(INDIRECT(ADDRESS(2,COLUMN())),OFFSET($M$2,0,0,ROW()-1,7),ROW()-1,FALSE))</f>
        <v/>
      </c>
      <c r="G60">
        <f ca="1">IF(AND(ISNUMBER($G$235),$B$165=1),$G$235,HLOOKUP(INDIRECT(ADDRESS(2,COLUMN())),OFFSET($M$2,0,0,ROW()-1,7),ROW()-1,FALSE))</f>
        <v>489.07998659999998</v>
      </c>
      <c r="H60">
        <f ca="1">IF(AND(ISNUMBER($H$235),$B$165=1),$H$235,HLOOKUP(INDIRECT(ADDRESS(2,COLUMN())),OFFSET($M$2,0,0,ROW()-1,7),ROW()-1,FALSE))</f>
        <v>499.04800419999998</v>
      </c>
      <c r="I60">
        <f ca="1">IF(AND(ISNUMBER($I$235),$B$165=1),$I$235,HLOOKUP(INDIRECT(ADDRESS(2,COLUMN())),OFFSET($M$2,0,0,ROW()-1,7),ROW()-1,FALSE))</f>
        <v>512.28997800000002</v>
      </c>
      <c r="J60">
        <f ca="1">IF(AND(ISNUMBER($J$235),$B$165=1),$J$235,HLOOKUP(INDIRECT(ADDRESS(2,COLUMN())),OFFSET($M$2,0,0,ROW()-1,7),ROW()-1,FALSE))</f>
        <v>469.3059998</v>
      </c>
      <c r="K60">
        <f ca="1">IF(AND(ISNUMBER($K$235),$B$165=1),$K$235,HLOOKUP(INDIRECT(ADDRESS(2,COLUMN())),OFFSET($M$2,0,0,ROW()-1,7),ROW()-1,FALSE))</f>
        <v>436.31600950000001</v>
      </c>
      <c r="L60">
        <f ca="1">IF(AND(ISNUMBER($L$235),$B$165=1),$L$235,HLOOKUP(INDIRECT(ADDRESS(2,COLUMN())),OFFSET($M$2,0,0,ROW()-1,7),ROW()-1,FALSE))</f>
        <v>413.30398559999998</v>
      </c>
      <c r="M60" t="str">
        <f>""</f>
        <v/>
      </c>
      <c r="N60">
        <f>489.0799866</f>
        <v>489.07998659999998</v>
      </c>
      <c r="O60">
        <f>499.0480042</f>
        <v>499.04800419999998</v>
      </c>
      <c r="P60">
        <f>512.289978</f>
        <v>512.28997800000002</v>
      </c>
      <c r="Q60">
        <f>469.3059998</f>
        <v>469.3059998</v>
      </c>
      <c r="R60">
        <f>436.3160095</f>
        <v>436.31600950000001</v>
      </c>
      <c r="S60">
        <f>413.3039856</f>
        <v>413.30398559999998</v>
      </c>
    </row>
    <row r="61" spans="1:19" x14ac:dyDescent="0.25">
      <c r="A61" t="str">
        <f>"    Amdocs Ltd"</f>
        <v xml:space="preserve">    Amdocs Ltd</v>
      </c>
      <c r="B61" t="str">
        <f>"DOX US Equity"</f>
        <v>DOX US Equity</v>
      </c>
      <c r="C61" t="str">
        <f t="shared" si="5"/>
        <v>ES014</v>
      </c>
      <c r="D61" t="str">
        <f t="shared" si="6"/>
        <v>ENERGY_CONSUMPTION</v>
      </c>
      <c r="E61" t="str">
        <f t="shared" si="7"/>
        <v>Dynamic</v>
      </c>
      <c r="F61" t="str">
        <f ca="1">IF(AND(ISNUMBER($F$236),$B$165=1),$F$236,HLOOKUP(INDIRECT(ADDRESS(2,COLUMN())),OFFSET($M$2,0,0,ROW()-1,7),ROW()-1,FALSE))</f>
        <v/>
      </c>
      <c r="G61" t="str">
        <f ca="1">IF(AND(ISNUMBER($G$236),$B$165=1),$G$236,HLOOKUP(INDIRECT(ADDRESS(2,COLUMN())),OFFSET($M$2,0,0,ROW()-1,7),ROW()-1,FALSE))</f>
        <v/>
      </c>
      <c r="H61" t="str">
        <f ca="1">IF(AND(ISNUMBER($H$236),$B$165=1),$H$236,HLOOKUP(INDIRECT(ADDRESS(2,COLUMN())),OFFSET($M$2,0,0,ROW()-1,7),ROW()-1,FALSE))</f>
        <v/>
      </c>
      <c r="I61" t="str">
        <f ca="1">IF(AND(ISNUMBER($I$236),$B$165=1),$I$236,HLOOKUP(INDIRECT(ADDRESS(2,COLUMN())),OFFSET($M$2,0,0,ROW()-1,7),ROW()-1,FALSE))</f>
        <v/>
      </c>
      <c r="J61" t="str">
        <f ca="1">IF(AND(ISNUMBER($J$236),$B$165=1),$J$236,HLOOKUP(INDIRECT(ADDRESS(2,COLUMN())),OFFSET($M$2,0,0,ROW()-1,7),ROW()-1,FALSE))</f>
        <v/>
      </c>
      <c r="K61" t="str">
        <f ca="1">IF(AND(ISNUMBER($K$236),$B$165=1),$K$236,HLOOKUP(INDIRECT(ADDRESS(2,COLUMN())),OFFSET($M$2,0,0,ROW()-1,7),ROW()-1,FALSE))</f>
        <v/>
      </c>
      <c r="L61" t="str">
        <f ca="1">IF(AND(ISNUMBER($L$236),$B$165=1),$L$236,HLOOKUP(INDIRECT(ADDRESS(2,COLUMN())),OFFSET($M$2,0,0,ROW()-1,7),ROW()-1,FALSE))</f>
        <v/>
      </c>
      <c r="M61" t="str">
        <f>""</f>
        <v/>
      </c>
      <c r="N61" t="str">
        <f>""</f>
        <v/>
      </c>
      <c r="O61" t="str">
        <f>""</f>
        <v/>
      </c>
      <c r="P61" t="str">
        <f>""</f>
        <v/>
      </c>
      <c r="Q61" t="str">
        <f>""</f>
        <v/>
      </c>
      <c r="R61" t="str">
        <f>""</f>
        <v/>
      </c>
      <c r="S61" t="str">
        <f>""</f>
        <v/>
      </c>
    </row>
    <row r="62" spans="1:19" x14ac:dyDescent="0.25">
      <c r="A62" t="str">
        <f>"    Atos SE"</f>
        <v xml:space="preserve">    Atos SE</v>
      </c>
      <c r="B62" t="str">
        <f>"ATO FP Equity"</f>
        <v>ATO FP Equity</v>
      </c>
      <c r="C62" t="str">
        <f t="shared" si="5"/>
        <v>ES014</v>
      </c>
      <c r="D62" t="str">
        <f t="shared" si="6"/>
        <v>ENERGY_CONSUMPTION</v>
      </c>
      <c r="E62" t="str">
        <f t="shared" si="7"/>
        <v>Dynamic</v>
      </c>
      <c r="F62">
        <f ca="1">IF(AND(ISNUMBER($F$237),$B$165=1),$F$237,HLOOKUP(INDIRECT(ADDRESS(2,COLUMN())),OFFSET($M$2,0,0,ROW()-1,7),ROW()-1,FALSE))</f>
        <v>702.39801030000001</v>
      </c>
      <c r="G62">
        <f ca="1">IF(AND(ISNUMBER($G$237),$B$165=1),$G$237,HLOOKUP(INDIRECT(ADDRESS(2,COLUMN())),OFFSET($M$2,0,0,ROW()-1,7),ROW()-1,FALSE))</f>
        <v>748.26800539999999</v>
      </c>
      <c r="H62">
        <f ca="1">IF(AND(ISNUMBER($H$237),$B$165=1),$H$237,HLOOKUP(INDIRECT(ADDRESS(2,COLUMN())),OFFSET($M$2,0,0,ROW()-1,7),ROW()-1,FALSE))</f>
        <v>774.88897710000003</v>
      </c>
      <c r="I62">
        <f ca="1">IF(AND(ISNUMBER($I$237),$B$165=1),$I$237,HLOOKUP(INDIRECT(ADDRESS(2,COLUMN())),OFFSET($M$2,0,0,ROW()-1,7),ROW()-1,FALSE))</f>
        <v>763.40197750000004</v>
      </c>
      <c r="J62">
        <f ca="1">IF(AND(ISNUMBER($J$237),$B$165=1),$J$237,HLOOKUP(INDIRECT(ADDRESS(2,COLUMN())),OFFSET($M$2,0,0,ROW()-1,7),ROW()-1,FALSE))</f>
        <v>622.42102050000005</v>
      </c>
      <c r="K62">
        <f ca="1">IF(AND(ISNUMBER($K$237),$B$165=1),$K$237,HLOOKUP(INDIRECT(ADDRESS(2,COLUMN())),OFFSET($M$2,0,0,ROW()-1,7),ROW()-1,FALSE))</f>
        <v>575.69000240000003</v>
      </c>
      <c r="L62">
        <f ca="1">IF(AND(ISNUMBER($L$237),$B$165=1),$L$237,HLOOKUP(INDIRECT(ADDRESS(2,COLUMN())),OFFSET($M$2,0,0,ROW()-1,7),ROW()-1,FALSE))</f>
        <v>611.28002930000002</v>
      </c>
      <c r="M62">
        <f>702.3980103</f>
        <v>702.39801030000001</v>
      </c>
      <c r="N62">
        <f>748.2680054</f>
        <v>748.26800539999999</v>
      </c>
      <c r="O62">
        <f>774.8889771</f>
        <v>774.88897710000003</v>
      </c>
      <c r="P62">
        <f>763.4019775</f>
        <v>763.40197750000004</v>
      </c>
      <c r="Q62">
        <f>622.4210205</f>
        <v>622.42102050000005</v>
      </c>
      <c r="R62">
        <f>575.6900024</f>
        <v>575.69000240000003</v>
      </c>
      <c r="S62">
        <f>611.2800293</f>
        <v>611.28002930000002</v>
      </c>
    </row>
    <row r="63" spans="1:19" x14ac:dyDescent="0.25">
      <c r="A63" t="str">
        <f>"    Capgemini SE"</f>
        <v xml:space="preserve">    Capgemini SE</v>
      </c>
      <c r="B63" t="str">
        <f>"CAP FP Equity"</f>
        <v>CAP FP Equity</v>
      </c>
      <c r="C63" t="str">
        <f t="shared" si="5"/>
        <v>ES014</v>
      </c>
      <c r="D63" t="str">
        <f t="shared" si="6"/>
        <v>ENERGY_CONSUMPTION</v>
      </c>
      <c r="E63" t="str">
        <f t="shared" si="7"/>
        <v>Dynamic</v>
      </c>
      <c r="F63">
        <f ca="1">IF(AND(ISNUMBER($F$238),$B$165=1),$F$238,HLOOKUP(INDIRECT(ADDRESS(2,COLUMN())),OFFSET($M$2,0,0,ROW()-1,7),ROW()-1,FALSE))</f>
        <v>368.06799319999999</v>
      </c>
      <c r="G63">
        <f ca="1">IF(AND(ISNUMBER($G$238),$B$165=1),$G$238,HLOOKUP(INDIRECT(ADDRESS(2,COLUMN())),OFFSET($M$2,0,0,ROW()-1,7),ROW()-1,FALSE))</f>
        <v>380.14999390000003</v>
      </c>
      <c r="H63">
        <f ca="1">IF(AND(ISNUMBER($H$238),$B$165=1),$H$238,HLOOKUP(INDIRECT(ADDRESS(2,COLUMN())),OFFSET($M$2,0,0,ROW()-1,7),ROW()-1,FALSE))</f>
        <v>412.31298829999997</v>
      </c>
      <c r="I63">
        <f ca="1">IF(AND(ISNUMBER($I$238),$B$165=1),$I$238,HLOOKUP(INDIRECT(ADDRESS(2,COLUMN())),OFFSET($M$2,0,0,ROW()-1,7),ROW()-1,FALSE))</f>
        <v>418.43200680000001</v>
      </c>
      <c r="J63">
        <f ca="1">IF(AND(ISNUMBER($J$238),$B$165=1),$J$238,HLOOKUP(INDIRECT(ADDRESS(2,COLUMN())),OFFSET($M$2,0,0,ROW()-1,7),ROW()-1,FALSE))</f>
        <v>432.71600339999998</v>
      </c>
      <c r="K63">
        <f ca="1">IF(AND(ISNUMBER($K$238),$B$165=1),$K$238,HLOOKUP(INDIRECT(ADDRESS(2,COLUMN())),OFFSET($M$2,0,0,ROW()-1,7),ROW()-1,FALSE))</f>
        <v>376.66799930000002</v>
      </c>
      <c r="L63">
        <f ca="1">IF(AND(ISNUMBER($L$238),$B$165=1),$L$238,HLOOKUP(INDIRECT(ADDRESS(2,COLUMN())),OFFSET($M$2,0,0,ROW()-1,7),ROW()-1,FALSE))</f>
        <v>392.51098630000001</v>
      </c>
      <c r="M63">
        <f>368.0679932</f>
        <v>368.06799319999999</v>
      </c>
      <c r="N63">
        <f>380.1499939</f>
        <v>380.14999390000003</v>
      </c>
      <c r="O63">
        <f>412.3129883</f>
        <v>412.31298829999997</v>
      </c>
      <c r="P63">
        <f>418.4320068</f>
        <v>418.43200680000001</v>
      </c>
      <c r="Q63">
        <f>432.7160034</f>
        <v>432.71600339999998</v>
      </c>
      <c r="R63">
        <f>376.6679993</f>
        <v>376.66799930000002</v>
      </c>
      <c r="S63">
        <f>392.5109863</f>
        <v>392.51098630000001</v>
      </c>
    </row>
    <row r="64" spans="1:19" x14ac:dyDescent="0.25">
      <c r="A64" t="str">
        <f>"    CGI Inc"</f>
        <v xml:space="preserve">    CGI Inc</v>
      </c>
      <c r="B64" t="str">
        <f>"GIB US Equity"</f>
        <v>GIB US Equity</v>
      </c>
      <c r="C64" t="str">
        <f t="shared" si="5"/>
        <v>ES014</v>
      </c>
      <c r="D64" t="str">
        <f t="shared" si="6"/>
        <v>ENERGY_CONSUMPTION</v>
      </c>
      <c r="E64" t="str">
        <f t="shared" si="7"/>
        <v>Dynamic</v>
      </c>
      <c r="F64" t="str">
        <f ca="1">IF(AND(ISNUMBER($F$239),$B$165=1),$F$239,HLOOKUP(INDIRECT(ADDRESS(2,COLUMN())),OFFSET($M$2,0,0,ROW()-1,7),ROW()-1,FALSE))</f>
        <v/>
      </c>
      <c r="G64" t="str">
        <f ca="1">IF(AND(ISNUMBER($G$239),$B$165=1),$G$239,HLOOKUP(INDIRECT(ADDRESS(2,COLUMN())),OFFSET($M$2,0,0,ROW()-1,7),ROW()-1,FALSE))</f>
        <v/>
      </c>
      <c r="H64" t="str">
        <f ca="1">IF(AND(ISNUMBER($H$239),$B$165=1),$H$239,HLOOKUP(INDIRECT(ADDRESS(2,COLUMN())),OFFSET($M$2,0,0,ROW()-1,7),ROW()-1,FALSE))</f>
        <v/>
      </c>
      <c r="I64" t="str">
        <f ca="1">IF(AND(ISNUMBER($I$239),$B$165=1),$I$239,HLOOKUP(INDIRECT(ADDRESS(2,COLUMN())),OFFSET($M$2,0,0,ROW()-1,7),ROW()-1,FALSE))</f>
        <v/>
      </c>
      <c r="J64" t="str">
        <f ca="1">IF(AND(ISNUMBER($J$239),$B$165=1),$J$239,HLOOKUP(INDIRECT(ADDRESS(2,COLUMN())),OFFSET($M$2,0,0,ROW()-1,7),ROW()-1,FALSE))</f>
        <v/>
      </c>
      <c r="K64">
        <f ca="1">IF(AND(ISNUMBER($K$239),$B$165=1),$K$239,HLOOKUP(INDIRECT(ADDRESS(2,COLUMN())),OFFSET($M$2,0,0,ROW()-1,7),ROW()-1,FALSE))</f>
        <v>303.99301150000002</v>
      </c>
      <c r="L64">
        <f ca="1">IF(AND(ISNUMBER($L$239),$B$165=1),$L$239,HLOOKUP(INDIRECT(ADDRESS(2,COLUMN())),OFFSET($M$2,0,0,ROW()-1,7),ROW()-1,FALSE))</f>
        <v>325.30700680000001</v>
      </c>
      <c r="M64" t="str">
        <f>""</f>
        <v/>
      </c>
      <c r="N64" t="str">
        <f>""</f>
        <v/>
      </c>
      <c r="O64" t="str">
        <f>""</f>
        <v/>
      </c>
      <c r="P64" t="str">
        <f>""</f>
        <v/>
      </c>
      <c r="Q64" t="str">
        <f>""</f>
        <v/>
      </c>
      <c r="R64">
        <f>303.9930115</f>
        <v>303.99301150000002</v>
      </c>
      <c r="S64">
        <f>325.3070068</f>
        <v>325.30700680000001</v>
      </c>
    </row>
    <row r="65" spans="1:19" x14ac:dyDescent="0.25">
      <c r="A65" t="str">
        <f>"    Cognizant Technology Solutions Corp"</f>
        <v xml:space="preserve">    Cognizant Technology Solutions Corp</v>
      </c>
      <c r="B65" t="str">
        <f>"CTSH US Equity"</f>
        <v>CTSH US Equity</v>
      </c>
      <c r="C65" t="str">
        <f t="shared" si="5"/>
        <v>ES014</v>
      </c>
      <c r="D65" t="str">
        <f t="shared" si="6"/>
        <v>ENERGY_CONSUMPTION</v>
      </c>
      <c r="E65" t="str">
        <f t="shared" si="7"/>
        <v>Dynamic</v>
      </c>
      <c r="F65" t="str">
        <f ca="1">IF(AND(ISNUMBER($F$240),$B$165=1),$F$240,HLOOKUP(INDIRECT(ADDRESS(2,COLUMN())),OFFSET($M$2,0,0,ROW()-1,7),ROW()-1,FALSE))</f>
        <v/>
      </c>
      <c r="G65" t="str">
        <f ca="1">IF(AND(ISNUMBER($G$240),$B$165=1),$G$240,HLOOKUP(INDIRECT(ADDRESS(2,COLUMN())),OFFSET($M$2,0,0,ROW()-1,7),ROW()-1,FALSE))</f>
        <v/>
      </c>
      <c r="H65" t="str">
        <f ca="1">IF(AND(ISNUMBER($H$240),$B$165=1),$H$240,HLOOKUP(INDIRECT(ADDRESS(2,COLUMN())),OFFSET($M$2,0,0,ROW()-1,7),ROW()-1,FALSE))</f>
        <v/>
      </c>
      <c r="I65">
        <f ca="1">IF(AND(ISNUMBER($I$240),$B$165=1),$I$240,HLOOKUP(INDIRECT(ADDRESS(2,COLUMN())),OFFSET($M$2,0,0,ROW()-1,7),ROW()-1,FALSE))</f>
        <v>67.455497739999998</v>
      </c>
      <c r="J65">
        <f ca="1">IF(AND(ISNUMBER($J$240),$B$165=1),$J$240,HLOOKUP(INDIRECT(ADDRESS(2,COLUMN())),OFFSET($M$2,0,0,ROW()-1,7),ROW()-1,FALSE))</f>
        <v>300.61401369999999</v>
      </c>
      <c r="K65">
        <f ca="1">IF(AND(ISNUMBER($K$240),$B$165=1),$K$240,HLOOKUP(INDIRECT(ADDRESS(2,COLUMN())),OFFSET($M$2,0,0,ROW()-1,7),ROW()-1,FALSE))</f>
        <v>301.01699830000001</v>
      </c>
      <c r="L65">
        <f ca="1">IF(AND(ISNUMBER($L$240),$B$165=1),$L$240,HLOOKUP(INDIRECT(ADDRESS(2,COLUMN())),OFFSET($M$2,0,0,ROW()-1,7),ROW()-1,FALSE))</f>
        <v>259.06201170000003</v>
      </c>
      <c r="M65" t="str">
        <f>""</f>
        <v/>
      </c>
      <c r="N65" t="str">
        <f>""</f>
        <v/>
      </c>
      <c r="O65" t="str">
        <f>""</f>
        <v/>
      </c>
      <c r="P65">
        <f>67.45549774</f>
        <v>67.455497739999998</v>
      </c>
      <c r="Q65">
        <f>300.6140137</f>
        <v>300.61401369999999</v>
      </c>
      <c r="R65">
        <f>301.0169983</f>
        <v>301.01699830000001</v>
      </c>
      <c r="S65">
        <f>259.0620117</f>
        <v>259.06201170000003</v>
      </c>
    </row>
    <row r="66" spans="1:19" x14ac:dyDescent="0.25">
      <c r="A66" t="str">
        <f>"    Conduent Inc"</f>
        <v xml:space="preserve">    Conduent Inc</v>
      </c>
      <c r="B66" t="str">
        <f>"CNDT US Equity"</f>
        <v>CNDT US Equity</v>
      </c>
      <c r="C66" t="str">
        <f t="shared" si="5"/>
        <v>ES014</v>
      </c>
      <c r="D66" t="str">
        <f t="shared" si="6"/>
        <v>ENERGY_CONSUMPTION</v>
      </c>
      <c r="E66" t="str">
        <f t="shared" si="7"/>
        <v>Dynamic</v>
      </c>
      <c r="F66" t="str">
        <f ca="1">IF(AND(ISNUMBER($F$241),$B$165=1),$F$241,HLOOKUP(INDIRECT(ADDRESS(2,COLUMN())),OFFSET($M$2,0,0,ROW()-1,7),ROW()-1,FALSE))</f>
        <v/>
      </c>
      <c r="G66" t="str">
        <f ca="1">IF(AND(ISNUMBER($G$241),$B$165=1),$G$241,HLOOKUP(INDIRECT(ADDRESS(2,COLUMN())),OFFSET($M$2,0,0,ROW()-1,7),ROW()-1,FALSE))</f>
        <v/>
      </c>
      <c r="H66" t="str">
        <f ca="1">IF(AND(ISNUMBER($H$241),$B$165=1),$H$241,HLOOKUP(INDIRECT(ADDRESS(2,COLUMN())),OFFSET($M$2,0,0,ROW()-1,7),ROW()-1,FALSE))</f>
        <v/>
      </c>
      <c r="I66" t="str">
        <f ca="1">IF(AND(ISNUMBER($I$241),$B$165=1),$I$241,HLOOKUP(INDIRECT(ADDRESS(2,COLUMN())),OFFSET($M$2,0,0,ROW()-1,7),ROW()-1,FALSE))</f>
        <v/>
      </c>
      <c r="J66" t="str">
        <f ca="1">IF(AND(ISNUMBER($J$241),$B$165=1),$J$241,HLOOKUP(INDIRECT(ADDRESS(2,COLUMN())),OFFSET($M$2,0,0,ROW()-1,7),ROW()-1,FALSE))</f>
        <v/>
      </c>
      <c r="K66" t="str">
        <f ca="1">IF(AND(ISNUMBER($K$241),$B$165=1),$K$241,HLOOKUP(INDIRECT(ADDRESS(2,COLUMN())),OFFSET($M$2,0,0,ROW()-1,7),ROW()-1,FALSE))</f>
        <v/>
      </c>
      <c r="L66" t="str">
        <f ca="1">IF(AND(ISNUMBER($L$241),$B$165=1),$L$241,HLOOKUP(INDIRECT(ADDRESS(2,COLUMN())),OFFSET($M$2,0,0,ROW()-1,7),ROW()-1,FALSE))</f>
        <v/>
      </c>
      <c r="M66" t="str">
        <f>""</f>
        <v/>
      </c>
      <c r="N66" t="str">
        <f>""</f>
        <v/>
      </c>
      <c r="O66" t="str">
        <f>""</f>
        <v/>
      </c>
      <c r="P66" t="str">
        <f>""</f>
        <v/>
      </c>
      <c r="Q66" t="str">
        <f>""</f>
        <v/>
      </c>
      <c r="R66" t="str">
        <f>""</f>
        <v/>
      </c>
      <c r="S66" t="str">
        <f>""</f>
        <v/>
      </c>
    </row>
    <row r="67" spans="1:19" x14ac:dyDescent="0.25">
      <c r="A67" t="str">
        <f>"    DXC Technology Co"</f>
        <v xml:space="preserve">    DXC Technology Co</v>
      </c>
      <c r="B67" t="str">
        <f>"DXC US Equity"</f>
        <v>DXC US Equity</v>
      </c>
      <c r="C67" t="str">
        <f t="shared" si="5"/>
        <v>ES014</v>
      </c>
      <c r="D67" t="str">
        <f t="shared" si="6"/>
        <v>ENERGY_CONSUMPTION</v>
      </c>
      <c r="E67" t="str">
        <f t="shared" si="7"/>
        <v>Dynamic</v>
      </c>
      <c r="F67" t="str">
        <f ca="1">IF(AND(ISNUMBER($F$242),$B$165=1),$F$242,HLOOKUP(INDIRECT(ADDRESS(2,COLUMN())),OFFSET($M$2,0,0,ROW()-1,7),ROW()-1,FALSE))</f>
        <v/>
      </c>
      <c r="G67">
        <f ca="1">IF(AND(ISNUMBER($G$242),$B$165=1),$G$242,HLOOKUP(INDIRECT(ADDRESS(2,COLUMN())),OFFSET($M$2,0,0,ROW()-1,7),ROW()-1,FALSE))</f>
        <v>1867.920044</v>
      </c>
      <c r="H67">
        <f ca="1">IF(AND(ISNUMBER($H$242),$B$165=1),$H$242,HLOOKUP(INDIRECT(ADDRESS(2,COLUMN())),OFFSET($M$2,0,0,ROW()-1,7),ROW()-1,FALSE))</f>
        <v>2184.9099120000001</v>
      </c>
      <c r="I67" t="str">
        <f ca="1">IF(AND(ISNUMBER($I$242),$B$165=1),$I$242,HLOOKUP(INDIRECT(ADDRESS(2,COLUMN())),OFFSET($M$2,0,0,ROW()-1,7),ROW()-1,FALSE))</f>
        <v/>
      </c>
      <c r="J67" t="str">
        <f ca="1">IF(AND(ISNUMBER($J$242),$B$165=1),$J$242,HLOOKUP(INDIRECT(ADDRESS(2,COLUMN())),OFFSET($M$2,0,0,ROW()-1,7),ROW()-1,FALSE))</f>
        <v/>
      </c>
      <c r="K67" t="str">
        <f ca="1">IF(AND(ISNUMBER($K$242),$B$165=1),$K$242,HLOOKUP(INDIRECT(ADDRESS(2,COLUMN())),OFFSET($M$2,0,0,ROW()-1,7),ROW()-1,FALSE))</f>
        <v/>
      </c>
      <c r="L67" t="str">
        <f ca="1">IF(AND(ISNUMBER($L$242),$B$165=1),$L$242,HLOOKUP(INDIRECT(ADDRESS(2,COLUMN())),OFFSET($M$2,0,0,ROW()-1,7),ROW()-1,FALSE))</f>
        <v/>
      </c>
      <c r="M67" t="str">
        <f>""</f>
        <v/>
      </c>
      <c r="N67">
        <f>1867.920044</f>
        <v>1867.920044</v>
      </c>
      <c r="O67">
        <f>2184.909912</f>
        <v>2184.9099120000001</v>
      </c>
      <c r="P67" t="str">
        <f>""</f>
        <v/>
      </c>
      <c r="Q67" t="str">
        <f>""</f>
        <v/>
      </c>
      <c r="R67" t="str">
        <f>""</f>
        <v/>
      </c>
      <c r="S67" t="str">
        <f>""</f>
        <v/>
      </c>
    </row>
    <row r="68" spans="1:19" x14ac:dyDescent="0.25">
      <c r="A68" t="str">
        <f>"    EPAM Systems Inc"</f>
        <v xml:space="preserve">    EPAM Systems Inc</v>
      </c>
      <c r="B68" t="str">
        <f>"EPAM US Equity"</f>
        <v>EPAM US Equity</v>
      </c>
      <c r="C68" t="str">
        <f t="shared" si="5"/>
        <v>ES014</v>
      </c>
      <c r="D68" t="str">
        <f t="shared" si="6"/>
        <v>ENERGY_CONSUMPTION</v>
      </c>
      <c r="E68" t="str">
        <f t="shared" si="7"/>
        <v>Dynamic</v>
      </c>
      <c r="F68" t="str">
        <f ca="1">IF(AND(ISNUMBER($F$243),$B$165=1),$F$243,HLOOKUP(INDIRECT(ADDRESS(2,COLUMN())),OFFSET($M$2,0,0,ROW()-1,7),ROW()-1,FALSE))</f>
        <v/>
      </c>
      <c r="G68" t="str">
        <f ca="1">IF(AND(ISNUMBER($G$243),$B$165=1),$G$243,HLOOKUP(INDIRECT(ADDRESS(2,COLUMN())),OFFSET($M$2,0,0,ROW()-1,7),ROW()-1,FALSE))</f>
        <v/>
      </c>
      <c r="H68" t="str">
        <f ca="1">IF(AND(ISNUMBER($H$243),$B$165=1),$H$243,HLOOKUP(INDIRECT(ADDRESS(2,COLUMN())),OFFSET($M$2,0,0,ROW()-1,7),ROW()-1,FALSE))</f>
        <v/>
      </c>
      <c r="I68" t="str">
        <f ca="1">IF(AND(ISNUMBER($I$243),$B$165=1),$I$243,HLOOKUP(INDIRECT(ADDRESS(2,COLUMN())),OFFSET($M$2,0,0,ROW()-1,7),ROW()-1,FALSE))</f>
        <v/>
      </c>
      <c r="J68" t="str">
        <f ca="1">IF(AND(ISNUMBER($J$243),$B$165=1),$J$243,HLOOKUP(INDIRECT(ADDRESS(2,COLUMN())),OFFSET($M$2,0,0,ROW()-1,7),ROW()-1,FALSE))</f>
        <v/>
      </c>
      <c r="K68" t="str">
        <f ca="1">IF(AND(ISNUMBER($K$243),$B$165=1),$K$243,HLOOKUP(INDIRECT(ADDRESS(2,COLUMN())),OFFSET($M$2,0,0,ROW()-1,7),ROW()-1,FALSE))</f>
        <v/>
      </c>
      <c r="L68" t="str">
        <f ca="1">IF(AND(ISNUMBER($L$243),$B$165=1),$L$243,HLOOKUP(INDIRECT(ADDRESS(2,COLUMN())),OFFSET($M$2,0,0,ROW()-1,7),ROW()-1,FALSE))</f>
        <v/>
      </c>
      <c r="M68" t="str">
        <f>""</f>
        <v/>
      </c>
      <c r="N68" t="str">
        <f>""</f>
        <v/>
      </c>
      <c r="O68" t="str">
        <f>""</f>
        <v/>
      </c>
      <c r="P68" t="str">
        <f>""</f>
        <v/>
      </c>
      <c r="Q68" t="str">
        <f>""</f>
        <v/>
      </c>
      <c r="R68" t="str">
        <f>""</f>
        <v/>
      </c>
      <c r="S68" t="str">
        <f>""</f>
        <v/>
      </c>
    </row>
    <row r="69" spans="1:19" x14ac:dyDescent="0.25">
      <c r="A69" t="str">
        <f>"    Genpact Ltd"</f>
        <v xml:space="preserve">    Genpact Ltd</v>
      </c>
      <c r="B69" t="str">
        <f>"G US Equity"</f>
        <v>G US Equity</v>
      </c>
      <c r="C69" t="str">
        <f t="shared" si="5"/>
        <v>ES014</v>
      </c>
      <c r="D69" t="str">
        <f t="shared" si="6"/>
        <v>ENERGY_CONSUMPTION</v>
      </c>
      <c r="E69" t="str">
        <f t="shared" si="7"/>
        <v>Dynamic</v>
      </c>
      <c r="F69" t="str">
        <f ca="1">IF(AND(ISNUMBER($F$244),$B$165=1),$F$244,HLOOKUP(INDIRECT(ADDRESS(2,COLUMN())),OFFSET($M$2,0,0,ROW()-1,7),ROW()-1,FALSE))</f>
        <v/>
      </c>
      <c r="G69" t="str">
        <f ca="1">IF(AND(ISNUMBER($G$244),$B$165=1),$G$244,HLOOKUP(INDIRECT(ADDRESS(2,COLUMN())),OFFSET($M$2,0,0,ROW()-1,7),ROW()-1,FALSE))</f>
        <v/>
      </c>
      <c r="H69">
        <f ca="1">IF(AND(ISNUMBER($H$244),$B$165=1),$H$244,HLOOKUP(INDIRECT(ADDRESS(2,COLUMN())),OFFSET($M$2,0,0,ROW()-1,7),ROW()-1,FALSE))</f>
        <v>102.7360001</v>
      </c>
      <c r="I69">
        <f ca="1">IF(AND(ISNUMBER($I$244),$B$165=1),$I$244,HLOOKUP(INDIRECT(ADDRESS(2,COLUMN())),OFFSET($M$2,0,0,ROW()-1,7),ROW()-1,FALSE))</f>
        <v>94.292503359999998</v>
      </c>
      <c r="J69">
        <f ca="1">IF(AND(ISNUMBER($J$244),$B$165=1),$J$244,HLOOKUP(INDIRECT(ADDRESS(2,COLUMN())),OFFSET($M$2,0,0,ROW()-1,7),ROW()-1,FALSE))</f>
        <v>98.904403689999995</v>
      </c>
      <c r="K69" t="str">
        <f ca="1">IF(AND(ISNUMBER($K$244),$B$165=1),$K$244,HLOOKUP(INDIRECT(ADDRESS(2,COLUMN())),OFFSET($M$2,0,0,ROW()-1,7),ROW()-1,FALSE))</f>
        <v/>
      </c>
      <c r="L69">
        <f ca="1">IF(AND(ISNUMBER($L$244),$B$165=1),$L$244,HLOOKUP(INDIRECT(ADDRESS(2,COLUMN())),OFFSET($M$2,0,0,ROW()-1,7),ROW()-1,FALSE))</f>
        <v>90.777801510000003</v>
      </c>
      <c r="M69" t="str">
        <f>""</f>
        <v/>
      </c>
      <c r="N69" t="str">
        <f>""</f>
        <v/>
      </c>
      <c r="O69">
        <f>102.7360001</f>
        <v>102.7360001</v>
      </c>
      <c r="P69">
        <f>94.29250336</f>
        <v>94.292503359999998</v>
      </c>
      <c r="Q69">
        <f>98.90440369</f>
        <v>98.904403689999995</v>
      </c>
      <c r="R69" t="str">
        <f>""</f>
        <v/>
      </c>
      <c r="S69">
        <f>90.77780151</f>
        <v>90.777801510000003</v>
      </c>
    </row>
    <row r="70" spans="1:19" x14ac:dyDescent="0.25">
      <c r="A70" t="str">
        <f>"    HCL Technologies Ltd"</f>
        <v xml:space="preserve">    HCL Technologies Ltd</v>
      </c>
      <c r="B70" t="str">
        <f>"HCLT IN Equity"</f>
        <v>HCLT IN Equity</v>
      </c>
      <c r="C70" t="str">
        <f t="shared" si="5"/>
        <v>ES014</v>
      </c>
      <c r="D70" t="str">
        <f t="shared" si="6"/>
        <v>ENERGY_CONSUMPTION</v>
      </c>
      <c r="E70" t="str">
        <f t="shared" si="7"/>
        <v>Dynamic</v>
      </c>
      <c r="F70" t="str">
        <f ca="1">IF(AND(ISNUMBER($F$245),$B$165=1),$F$245,HLOOKUP(INDIRECT(ADDRESS(2,COLUMN())),OFFSET($M$2,0,0,ROW()-1,7),ROW()-1,FALSE))</f>
        <v/>
      </c>
      <c r="G70" t="str">
        <f ca="1">IF(AND(ISNUMBER($G$245),$B$165=1),$G$245,HLOOKUP(INDIRECT(ADDRESS(2,COLUMN())),OFFSET($M$2,0,0,ROW()-1,7),ROW()-1,FALSE))</f>
        <v/>
      </c>
      <c r="H70" t="str">
        <f ca="1">IF(AND(ISNUMBER($H$245),$B$165=1),$H$245,HLOOKUP(INDIRECT(ADDRESS(2,COLUMN())),OFFSET($M$2,0,0,ROW()-1,7),ROW()-1,FALSE))</f>
        <v/>
      </c>
      <c r="I70" t="str">
        <f ca="1">IF(AND(ISNUMBER($I$245),$B$165=1),$I$245,HLOOKUP(INDIRECT(ADDRESS(2,COLUMN())),OFFSET($M$2,0,0,ROW()-1,7),ROW()-1,FALSE))</f>
        <v/>
      </c>
      <c r="J70">
        <f ca="1">IF(AND(ISNUMBER($J$245),$B$165=1),$J$245,HLOOKUP(INDIRECT(ADDRESS(2,COLUMN())),OFFSET($M$2,0,0,ROW()-1,7),ROW()-1,FALSE))</f>
        <v>296.51199339999999</v>
      </c>
      <c r="K70" t="str">
        <f ca="1">IF(AND(ISNUMBER($K$245),$B$165=1),$K$245,HLOOKUP(INDIRECT(ADDRESS(2,COLUMN())),OFFSET($M$2,0,0,ROW()-1,7),ROW()-1,FALSE))</f>
        <v/>
      </c>
      <c r="L70">
        <f ca="1">IF(AND(ISNUMBER($L$245),$B$165=1),$L$245,HLOOKUP(INDIRECT(ADDRESS(2,COLUMN())),OFFSET($M$2,0,0,ROW()-1,7),ROW()-1,FALSE))</f>
        <v>309.26000979999998</v>
      </c>
      <c r="M70" t="str">
        <f>""</f>
        <v/>
      </c>
      <c r="N70" t="str">
        <f>""</f>
        <v/>
      </c>
      <c r="O70" t="str">
        <f>""</f>
        <v/>
      </c>
      <c r="P70" t="str">
        <f>""</f>
        <v/>
      </c>
      <c r="Q70">
        <f>296.5119934</f>
        <v>296.51199339999999</v>
      </c>
      <c r="R70" t="str">
        <f>""</f>
        <v/>
      </c>
      <c r="S70">
        <f>309.2600098</f>
        <v>309.26000979999998</v>
      </c>
    </row>
    <row r="71" spans="1:19" x14ac:dyDescent="0.25">
      <c r="A71" t="str">
        <f>"    Indra Sistemas SA"</f>
        <v xml:space="preserve">    Indra Sistemas SA</v>
      </c>
      <c r="B71" t="str">
        <f>"IDR SM Equity"</f>
        <v>IDR SM Equity</v>
      </c>
      <c r="C71" t="str">
        <f t="shared" si="5"/>
        <v>ES014</v>
      </c>
      <c r="D71" t="str">
        <f t="shared" si="6"/>
        <v>ENERGY_CONSUMPTION</v>
      </c>
      <c r="E71" t="str">
        <f t="shared" si="7"/>
        <v>Dynamic</v>
      </c>
      <c r="F71">
        <f ca="1">IF(AND(ISNUMBER($F$246),$B$165=1),$F$246,HLOOKUP(INDIRECT(ADDRESS(2,COLUMN())),OFFSET($M$2,0,0,ROW()-1,7),ROW()-1,FALSE))</f>
        <v>81.64949799</v>
      </c>
      <c r="G71">
        <f ca="1">IF(AND(ISNUMBER($G$246),$B$165=1),$G$246,HLOOKUP(INDIRECT(ADDRESS(2,COLUMN())),OFFSET($M$2,0,0,ROW()-1,7),ROW()-1,FALSE))</f>
        <v>82.207901000000007</v>
      </c>
      <c r="H71">
        <f ca="1">IF(AND(ISNUMBER($H$246),$B$165=1),$H$246,HLOOKUP(INDIRECT(ADDRESS(2,COLUMN())),OFFSET($M$2,0,0,ROW()-1,7),ROW()-1,FALSE))</f>
        <v>76.08159637</v>
      </c>
      <c r="I71">
        <f ca="1">IF(AND(ISNUMBER($I$246),$B$165=1),$I$246,HLOOKUP(INDIRECT(ADDRESS(2,COLUMN())),OFFSET($M$2,0,0,ROW()-1,7),ROW()-1,FALSE))</f>
        <v>77.636703490000002</v>
      </c>
      <c r="J71">
        <f ca="1">IF(AND(ISNUMBER($J$246),$B$165=1),$J$246,HLOOKUP(INDIRECT(ADDRESS(2,COLUMN())),OFFSET($M$2,0,0,ROW()-1,7),ROW()-1,FALSE))</f>
        <v>86.152496339999999</v>
      </c>
      <c r="K71">
        <f ca="1">IF(AND(ISNUMBER($K$246),$B$165=1),$K$246,HLOOKUP(INDIRECT(ADDRESS(2,COLUMN())),OFFSET($M$2,0,0,ROW()-1,7),ROW()-1,FALSE))</f>
        <v>91.710800169999999</v>
      </c>
      <c r="L71">
        <f ca="1">IF(AND(ISNUMBER($L$246),$B$165=1),$L$246,HLOOKUP(INDIRECT(ADDRESS(2,COLUMN())),OFFSET($M$2,0,0,ROW()-1,7),ROW()-1,FALSE))</f>
        <v>104.8519974</v>
      </c>
      <c r="M71">
        <f>81.64949799</f>
        <v>81.64949799</v>
      </c>
      <c r="N71">
        <f>82.207901</f>
        <v>82.207901000000007</v>
      </c>
      <c r="O71">
        <f>76.08159637</f>
        <v>76.08159637</v>
      </c>
      <c r="P71">
        <f>77.63670349</f>
        <v>77.636703490000002</v>
      </c>
      <c r="Q71">
        <f>86.15249634</f>
        <v>86.152496339999999</v>
      </c>
      <c r="R71">
        <f>91.71080017</f>
        <v>91.710800169999999</v>
      </c>
      <c r="S71">
        <f>104.8519974</f>
        <v>104.8519974</v>
      </c>
    </row>
    <row r="72" spans="1:19" x14ac:dyDescent="0.25">
      <c r="A72" t="str">
        <f>"    Infosys Ltd"</f>
        <v xml:space="preserve">    Infosys Ltd</v>
      </c>
      <c r="B72" t="str">
        <f>"INFY US Equity"</f>
        <v>INFY US Equity</v>
      </c>
      <c r="C72" t="str">
        <f t="shared" si="5"/>
        <v>ES014</v>
      </c>
      <c r="D72" t="str">
        <f t="shared" si="6"/>
        <v>ENERGY_CONSUMPTION</v>
      </c>
      <c r="E72" t="str">
        <f t="shared" si="7"/>
        <v>Dynamic</v>
      </c>
      <c r="F72">
        <f ca="1">IF(AND(ISNUMBER($F$247),$B$165=1),$F$247,HLOOKUP(INDIRECT(ADDRESS(2,COLUMN())),OFFSET($M$2,0,0,ROW()-1,7),ROW()-1,FALSE))</f>
        <v>286.0490112</v>
      </c>
      <c r="G72">
        <f ca="1">IF(AND(ISNUMBER($G$247),$B$165=1),$G$247,HLOOKUP(INDIRECT(ADDRESS(2,COLUMN())),OFFSET($M$2,0,0,ROW()-1,7),ROW()-1,FALSE))</f>
        <v>278.70400999999998</v>
      </c>
      <c r="H72">
        <f ca="1">IF(AND(ISNUMBER($H$247),$B$165=1),$H$247,HLOOKUP(INDIRECT(ADDRESS(2,COLUMN())),OFFSET($M$2,0,0,ROW()-1,7),ROW()-1,FALSE))</f>
        <v>263.48199460000001</v>
      </c>
      <c r="I72">
        <f ca="1">IF(AND(ISNUMBER($I$247),$B$165=1),$I$247,HLOOKUP(INDIRECT(ADDRESS(2,COLUMN())),OFFSET($M$2,0,0,ROW()-1,7),ROW()-1,FALSE))</f>
        <v>266.57299799999998</v>
      </c>
      <c r="J72">
        <f ca="1">IF(AND(ISNUMBER($J$247),$B$165=1),$J$247,HLOOKUP(INDIRECT(ADDRESS(2,COLUMN())),OFFSET($M$2,0,0,ROW()-1,7),ROW()-1,FALSE))</f>
        <v>265.89300539999999</v>
      </c>
      <c r="K72">
        <f ca="1">IF(AND(ISNUMBER($K$247),$B$165=1),$K$247,HLOOKUP(INDIRECT(ADDRESS(2,COLUMN())),OFFSET($M$2,0,0,ROW()-1,7),ROW()-1,FALSE))</f>
        <v>257.5759888</v>
      </c>
      <c r="L72">
        <f ca="1">IF(AND(ISNUMBER($L$247),$B$165=1),$L$247,HLOOKUP(INDIRECT(ADDRESS(2,COLUMN())),OFFSET($M$2,0,0,ROW()-1,7),ROW()-1,FALSE))</f>
        <v>284.4100037</v>
      </c>
      <c r="M72">
        <f>286.0490112</f>
        <v>286.0490112</v>
      </c>
      <c r="N72">
        <f>278.70401</f>
        <v>278.70400999999998</v>
      </c>
      <c r="O72">
        <f>263.4819946</f>
        <v>263.48199460000001</v>
      </c>
      <c r="P72">
        <f>266.572998</f>
        <v>266.57299799999998</v>
      </c>
      <c r="Q72">
        <f>265.8930054</f>
        <v>265.89300539999999</v>
      </c>
      <c r="R72">
        <f>257.5759888</f>
        <v>257.5759888</v>
      </c>
      <c r="S72">
        <f>284.4100037</f>
        <v>284.4100037</v>
      </c>
    </row>
    <row r="73" spans="1:19" x14ac:dyDescent="0.25">
      <c r="A73" t="str">
        <f>"    International Business Machines Corp"</f>
        <v xml:space="preserve">    International Business Machines Corp</v>
      </c>
      <c r="B73" t="str">
        <f>"IBM US Equity"</f>
        <v>IBM US Equity</v>
      </c>
      <c r="C73" t="str">
        <f t="shared" si="5"/>
        <v>ES014</v>
      </c>
      <c r="D73" t="str">
        <f t="shared" si="6"/>
        <v>ENERGY_CONSUMPTION</v>
      </c>
      <c r="E73" t="str">
        <f t="shared" si="7"/>
        <v>Dynamic</v>
      </c>
      <c r="F73" t="str">
        <f ca="1">IF(AND(ISNUMBER($F$248),$B$165=1),$F$248,HLOOKUP(INDIRECT(ADDRESS(2,COLUMN())),OFFSET($M$2,0,0,ROW()-1,7),ROW()-1,FALSE))</f>
        <v/>
      </c>
      <c r="G73">
        <f ca="1">IF(AND(ISNUMBER($G$248),$B$165=1),$G$248,HLOOKUP(INDIRECT(ADDRESS(2,COLUMN())),OFFSET($M$2,0,0,ROW()-1,7),ROW()-1,FALSE))</f>
        <v>4666.5097660000001</v>
      </c>
      <c r="H73">
        <f ca="1">IF(AND(ISNUMBER($H$248),$B$165=1),$H$248,HLOOKUP(INDIRECT(ADDRESS(2,COLUMN())),OFFSET($M$2,0,0,ROW()-1,7),ROW()-1,FALSE))</f>
        <v>4192.5200199999999</v>
      </c>
      <c r="I73">
        <f ca="1">IF(AND(ISNUMBER($I$248),$B$165=1),$I$248,HLOOKUP(INDIRECT(ADDRESS(2,COLUMN())),OFFSET($M$2,0,0,ROW()-1,7),ROW()-1,FALSE))</f>
        <v>4373.5400390000004</v>
      </c>
      <c r="J73">
        <f ca="1">IF(AND(ISNUMBER($J$248),$B$165=1),$J$248,HLOOKUP(INDIRECT(ADDRESS(2,COLUMN())),OFFSET($M$2,0,0,ROW()-1,7),ROW()-1,FALSE))</f>
        <v>5375.7299800000001</v>
      </c>
      <c r="K73">
        <f ca="1">IF(AND(ISNUMBER($K$248),$B$165=1),$K$248,HLOOKUP(INDIRECT(ADDRESS(2,COLUMN())),OFFSET($M$2,0,0,ROW()-1,7),ROW()-1,FALSE))</f>
        <v>6173.3999020000001</v>
      </c>
      <c r="L73">
        <f ca="1">IF(AND(ISNUMBER($L$248),$B$165=1),$L$248,HLOOKUP(INDIRECT(ADDRESS(2,COLUMN())),OFFSET($M$2,0,0,ROW()-1,7),ROW()-1,FALSE))</f>
        <v>6297.2998049999997</v>
      </c>
      <c r="M73" t="str">
        <f>""</f>
        <v/>
      </c>
      <c r="N73">
        <f>4666.509766</f>
        <v>4666.5097660000001</v>
      </c>
      <c r="O73">
        <f>4192.52002</f>
        <v>4192.5200199999999</v>
      </c>
      <c r="P73">
        <f>4373.540039</f>
        <v>4373.5400390000004</v>
      </c>
      <c r="Q73">
        <f>5375.72998</f>
        <v>5375.7299800000001</v>
      </c>
      <c r="R73">
        <f>6173.399902</f>
        <v>6173.3999020000001</v>
      </c>
      <c r="S73">
        <f>6297.299805</f>
        <v>6297.2998049999997</v>
      </c>
    </row>
    <row r="74" spans="1:19" x14ac:dyDescent="0.25">
      <c r="A74" t="str">
        <f>"    Tata Consultancy Services Ltd"</f>
        <v xml:space="preserve">    Tata Consultancy Services Ltd</v>
      </c>
      <c r="B74" t="str">
        <f>"TCS IN Equity"</f>
        <v>TCS IN Equity</v>
      </c>
      <c r="C74" t="str">
        <f t="shared" si="5"/>
        <v>ES014</v>
      </c>
      <c r="D74" t="str">
        <f t="shared" si="6"/>
        <v>ENERGY_CONSUMPTION</v>
      </c>
      <c r="E74" t="str">
        <f t="shared" si="7"/>
        <v>Dynamic</v>
      </c>
      <c r="F74" t="str">
        <f ca="1">IF(AND(ISNUMBER($F$249),$B$165=1),$F$249,HLOOKUP(INDIRECT(ADDRESS(2,COLUMN())),OFFSET($M$2,0,0,ROW()-1,7),ROW()-1,FALSE))</f>
        <v/>
      </c>
      <c r="G74" t="str">
        <f ca="1">IF(AND(ISNUMBER($G$249),$B$165=1),$G$249,HLOOKUP(INDIRECT(ADDRESS(2,COLUMN())),OFFSET($M$2,0,0,ROW()-1,7),ROW()-1,FALSE))</f>
        <v/>
      </c>
      <c r="H74">
        <f ca="1">IF(AND(ISNUMBER($H$249),$B$165=1),$H$249,HLOOKUP(INDIRECT(ADDRESS(2,COLUMN())),OFFSET($M$2,0,0,ROW()-1,7),ROW()-1,FALSE))</f>
        <v>1206.1099850000001</v>
      </c>
      <c r="I74">
        <f ca="1">IF(AND(ISNUMBER($I$249),$B$165=1),$I$249,HLOOKUP(INDIRECT(ADDRESS(2,COLUMN())),OFFSET($M$2,0,0,ROW()-1,7),ROW()-1,FALSE))</f>
        <v>638.88897710000003</v>
      </c>
      <c r="J74">
        <f ca="1">IF(AND(ISNUMBER($J$249),$B$165=1),$J$249,HLOOKUP(INDIRECT(ADDRESS(2,COLUMN())),OFFSET($M$2,0,0,ROW()-1,7),ROW()-1,FALSE))</f>
        <v>669.37597659999994</v>
      </c>
      <c r="K74">
        <f ca="1">IF(AND(ISNUMBER($K$249),$B$165=1),$K$249,HLOOKUP(INDIRECT(ADDRESS(2,COLUMN())),OFFSET($M$2,0,0,ROW()-1,7),ROW()-1,FALSE))</f>
        <v>692.36798099999999</v>
      </c>
      <c r="L74">
        <f ca="1">IF(AND(ISNUMBER($L$249),$B$165=1),$L$249,HLOOKUP(INDIRECT(ADDRESS(2,COLUMN())),OFFSET($M$2,0,0,ROW()-1,7),ROW()-1,FALSE))</f>
        <v>610.78698729999996</v>
      </c>
      <c r="M74" t="str">
        <f>""</f>
        <v/>
      </c>
      <c r="N74" t="str">
        <f>""</f>
        <v/>
      </c>
      <c r="O74">
        <f>1206.109985</f>
        <v>1206.1099850000001</v>
      </c>
      <c r="P74">
        <f>638.8889771</f>
        <v>638.88897710000003</v>
      </c>
      <c r="Q74">
        <f>669.3759766</f>
        <v>669.37597659999994</v>
      </c>
      <c r="R74">
        <f>692.367981</f>
        <v>692.36798099999999</v>
      </c>
      <c r="S74">
        <f>610.7869873</f>
        <v>610.78698729999996</v>
      </c>
    </row>
    <row r="75" spans="1:19" x14ac:dyDescent="0.25">
      <c r="A75" t="str">
        <f>"    Tech Mahindra Ltd"</f>
        <v xml:space="preserve">    Tech Mahindra Ltd</v>
      </c>
      <c r="B75" t="str">
        <f>"TECHM IN Equity"</f>
        <v>TECHM IN Equity</v>
      </c>
      <c r="C75" t="str">
        <f t="shared" si="5"/>
        <v>ES014</v>
      </c>
      <c r="D75" t="str">
        <f t="shared" si="6"/>
        <v>ENERGY_CONSUMPTION</v>
      </c>
      <c r="E75" t="str">
        <f t="shared" si="7"/>
        <v>Dynamic</v>
      </c>
      <c r="F75" t="str">
        <f ca="1">IF(AND(ISNUMBER($F$250),$B$165=1),$F$250,HLOOKUP(INDIRECT(ADDRESS(2,COLUMN())),OFFSET($M$2,0,0,ROW()-1,7),ROW()-1,FALSE))</f>
        <v/>
      </c>
      <c r="G75" t="str">
        <f ca="1">IF(AND(ISNUMBER($G$250),$B$165=1),$G$250,HLOOKUP(INDIRECT(ADDRESS(2,COLUMN())),OFFSET($M$2,0,0,ROW()-1,7),ROW()-1,FALSE))</f>
        <v/>
      </c>
      <c r="H75">
        <f ca="1">IF(AND(ISNUMBER($H$250),$B$165=1),$H$250,HLOOKUP(INDIRECT(ADDRESS(2,COLUMN())),OFFSET($M$2,0,0,ROW()-1,7),ROW()-1,FALSE))</f>
        <v>160.72999569999999</v>
      </c>
      <c r="I75">
        <f ca="1">IF(AND(ISNUMBER($I$250),$B$165=1),$I$250,HLOOKUP(INDIRECT(ADDRESS(2,COLUMN())),OFFSET($M$2,0,0,ROW()-1,7),ROW()-1,FALSE))</f>
        <v>160.4060059</v>
      </c>
      <c r="J75">
        <f ca="1">IF(AND(ISNUMBER($J$250),$B$165=1),$J$250,HLOOKUP(INDIRECT(ADDRESS(2,COLUMN())),OFFSET($M$2,0,0,ROW()-1,7),ROW()-1,FALSE))</f>
        <v>155.24299619999999</v>
      </c>
      <c r="K75">
        <f ca="1">IF(AND(ISNUMBER($K$250),$B$165=1),$K$250,HLOOKUP(INDIRECT(ADDRESS(2,COLUMN())),OFFSET($M$2,0,0,ROW()-1,7),ROW()-1,FALSE))</f>
        <v>167.60699460000001</v>
      </c>
      <c r="L75">
        <f ca="1">IF(AND(ISNUMBER($L$250),$B$165=1),$L$250,HLOOKUP(INDIRECT(ADDRESS(2,COLUMN())),OFFSET($M$2,0,0,ROW()-1,7),ROW()-1,FALSE))</f>
        <v>150.91400150000001</v>
      </c>
      <c r="M75" t="str">
        <f>""</f>
        <v/>
      </c>
      <c r="N75" t="str">
        <f>""</f>
        <v/>
      </c>
      <c r="O75">
        <f>160.7299957</f>
        <v>160.72999569999999</v>
      </c>
      <c r="P75">
        <f>160.4060059</f>
        <v>160.4060059</v>
      </c>
      <c r="Q75">
        <f>155.2429962</f>
        <v>155.24299619999999</v>
      </c>
      <c r="R75">
        <f>167.6069946</f>
        <v>167.60699460000001</v>
      </c>
      <c r="S75">
        <f>150.9140015</f>
        <v>150.91400150000001</v>
      </c>
    </row>
    <row r="76" spans="1:19" x14ac:dyDescent="0.25">
      <c r="A76" t="str">
        <f>"    Wipro Ltd"</f>
        <v xml:space="preserve">    Wipro Ltd</v>
      </c>
      <c r="B76" t="str">
        <f>"WIT US Equity"</f>
        <v>WIT US Equity</v>
      </c>
      <c r="C76" t="str">
        <f t="shared" si="5"/>
        <v>ES014</v>
      </c>
      <c r="D76" t="str">
        <f t="shared" si="6"/>
        <v>ENERGY_CONSUMPTION</v>
      </c>
      <c r="E76" t="str">
        <f t="shared" si="7"/>
        <v>Dynamic</v>
      </c>
      <c r="F76" t="str">
        <f ca="1">IF(AND(ISNUMBER($F$251),$B$165=1),$F$251,HLOOKUP(INDIRECT(ADDRESS(2,COLUMN())),OFFSET($M$2,0,0,ROW()-1,7),ROW()-1,FALSE))</f>
        <v/>
      </c>
      <c r="G76">
        <f ca="1">IF(AND(ISNUMBER($G$251),$B$165=1),$G$251,HLOOKUP(INDIRECT(ADDRESS(2,COLUMN())),OFFSET($M$2,0,0,ROW()-1,7),ROW()-1,FALSE))</f>
        <v>250.2220001</v>
      </c>
      <c r="H76">
        <f ca="1">IF(AND(ISNUMBER($H$251),$B$165=1),$H$251,HLOOKUP(INDIRECT(ADDRESS(2,COLUMN())),OFFSET($M$2,0,0,ROW()-1,7),ROW()-1,FALSE))</f>
        <v>358.2990112</v>
      </c>
      <c r="I76">
        <f ca="1">IF(AND(ISNUMBER($I$251),$B$165=1),$I$251,HLOOKUP(INDIRECT(ADDRESS(2,COLUMN())),OFFSET($M$2,0,0,ROW()-1,7),ROW()-1,FALSE))</f>
        <v>409.55099489999998</v>
      </c>
      <c r="J76">
        <f ca="1">IF(AND(ISNUMBER($J$251),$B$165=1),$J$251,HLOOKUP(INDIRECT(ADDRESS(2,COLUMN())),OFFSET($M$2,0,0,ROW()-1,7),ROW()-1,FALSE))</f>
        <v>423.3059998</v>
      </c>
      <c r="K76">
        <f ca="1">IF(AND(ISNUMBER($K$251),$B$165=1),$K$251,HLOOKUP(INDIRECT(ADDRESS(2,COLUMN())),OFFSET($M$2,0,0,ROW()-1,7),ROW()-1,FALSE))</f>
        <v>421.48699950000002</v>
      </c>
      <c r="L76">
        <f ca="1">IF(AND(ISNUMBER($L$251),$B$165=1),$L$251,HLOOKUP(INDIRECT(ADDRESS(2,COLUMN())),OFFSET($M$2,0,0,ROW()-1,7),ROW()-1,FALSE))</f>
        <v>412.27899170000001</v>
      </c>
      <c r="M76" t="str">
        <f>""</f>
        <v/>
      </c>
      <c r="N76">
        <f>250.2220001</f>
        <v>250.2220001</v>
      </c>
      <c r="O76">
        <f>358.2990112</f>
        <v>358.2990112</v>
      </c>
      <c r="P76">
        <f>409.5509949</f>
        <v>409.55099489999998</v>
      </c>
      <c r="Q76">
        <f>423.3059998</f>
        <v>423.3059998</v>
      </c>
      <c r="R76">
        <f>421.4869995</f>
        <v>421.48699950000002</v>
      </c>
      <c r="S76">
        <f>412.2789917</f>
        <v>412.27899170000001</v>
      </c>
    </row>
    <row r="77" spans="1:19" x14ac:dyDescent="0.25">
      <c r="A77" t="str">
        <f>"Renewable Energy Consumption (000s MWh)"</f>
        <v>Renewable Energy Consumption (000s MWh)</v>
      </c>
      <c r="B77" t="str">
        <f>""</f>
        <v/>
      </c>
      <c r="E77" t="str">
        <f>"Median"</f>
        <v>Median</v>
      </c>
      <c r="F77">
        <f ca="1">IF(ISERROR(IF(MEDIAN($F$78:$F$94) = 0, "", MEDIAN($F$78:$F$94))), "", (IF(MEDIAN($F$78:$F$94) = 0, "", MEDIAN($F$78:$F$94))))</f>
        <v>156.5249939</v>
      </c>
      <c r="G77">
        <f ca="1">IF(ISERROR(IF(MEDIAN($G$78:$G$94) = 0, "", MEDIAN($G$78:$G$94))), "", (IF(MEDIAN($G$78:$G$94) = 0, "", MEDIAN($G$78:$G$94))))</f>
        <v>184.67450335000001</v>
      </c>
      <c r="H77">
        <f ca="1">IF(ISERROR(IF(MEDIAN($H$78:$H$94) = 0, "", MEDIAN($H$78:$H$94))), "", (IF(MEDIAN($H$78:$H$94) = 0, "", MEDIAN($H$78:$H$94))))</f>
        <v>101.8980026</v>
      </c>
      <c r="I77">
        <f ca="1">IF(ISERROR(IF(MEDIAN($I$78:$I$94) = 0, "", MEDIAN($I$78:$I$94))), "", (IF(MEDIAN($I$78:$I$94) = 0, "", MEDIAN($I$78:$I$94))))</f>
        <v>82.898498534999987</v>
      </c>
      <c r="J77">
        <f ca="1">IF(ISERROR(IF(MEDIAN($J$78:$J$94) = 0, "", MEDIAN($J$78:$J$94))), "", (IF(MEDIAN($J$78:$J$94) = 0, "", MEDIAN($J$78:$J$94))))</f>
        <v>73.625247954999992</v>
      </c>
      <c r="K77">
        <f ca="1">IF(ISERROR(IF(MEDIAN($K$78:$K$94) = 0, "", MEDIAN($K$78:$K$94))), "", (IF(MEDIAN($K$78:$K$94) = 0, "", MEDIAN($K$78:$K$94))))</f>
        <v>46.445949554999999</v>
      </c>
      <c r="L77">
        <f ca="1">IF(ISERROR(IF(MEDIAN($L$78:$L$94) = 0, "", MEDIAN($L$78:$L$94))), "", (IF(MEDIAN($L$78:$L$94) = 0, "", MEDIAN($L$78:$L$94))))</f>
        <v>70.933998110000005</v>
      </c>
      <c r="M77" t="str">
        <f>""</f>
        <v/>
      </c>
      <c r="N77">
        <f>184.6745033</f>
        <v>184.6745033</v>
      </c>
      <c r="O77">
        <f>101.8980026</f>
        <v>101.8980026</v>
      </c>
      <c r="P77">
        <f>82.89849854</f>
        <v>82.898498540000006</v>
      </c>
      <c r="Q77">
        <f>73.62524796</f>
        <v>73.625247959999996</v>
      </c>
      <c r="R77">
        <f>46.44594955</f>
        <v>46.445949550000002</v>
      </c>
      <c r="S77">
        <f>70.93399811</f>
        <v>70.933998110000005</v>
      </c>
    </row>
    <row r="78" spans="1:19" x14ac:dyDescent="0.25">
      <c r="A78" t="str">
        <f>"    Accenture PLC"</f>
        <v xml:space="preserve">    Accenture PLC</v>
      </c>
      <c r="B78" t="str">
        <f>"ACN US Equity"</f>
        <v>ACN US Equity</v>
      </c>
      <c r="C78" t="str">
        <f t="shared" ref="C78:C94" si="8">"ES015"</f>
        <v>ES015</v>
      </c>
      <c r="D78" t="str">
        <f t="shared" ref="D78:D94" si="9">"RENEW_ENERGY_USE"</f>
        <v>RENEW_ENERGY_USE</v>
      </c>
      <c r="E78" t="str">
        <f t="shared" ref="E78:E94" si="10">"Dynamic"</f>
        <v>Dynamic</v>
      </c>
      <c r="F78" t="str">
        <f ca="1">IF(AND(ISNUMBER($F$252),$B$165=1),$F$252,HLOOKUP(INDIRECT(ADDRESS(2,COLUMN())),OFFSET($M$2,0,0,ROW()-1,7),ROW()-1,FALSE))</f>
        <v/>
      </c>
      <c r="G78">
        <f ca="1">IF(AND(ISNUMBER($G$252),$B$165=1),$G$252,HLOOKUP(INDIRECT(ADDRESS(2,COLUMN())),OFFSET($M$2,0,0,ROW()-1,7),ROW()-1,FALSE))</f>
        <v>111.5739975</v>
      </c>
      <c r="H78">
        <f ca="1">IF(AND(ISNUMBER($H$252),$B$165=1),$H$252,HLOOKUP(INDIRECT(ADDRESS(2,COLUMN())),OFFSET($M$2,0,0,ROW()-1,7),ROW()-1,FALSE))</f>
        <v>101.8980026</v>
      </c>
      <c r="I78" t="str">
        <f ca="1">IF(AND(ISNUMBER($I$252),$B$165=1),$I$252,HLOOKUP(INDIRECT(ADDRESS(2,COLUMN())),OFFSET($M$2,0,0,ROW()-1,7),ROW()-1,FALSE))</f>
        <v/>
      </c>
      <c r="J78" t="str">
        <f ca="1">IF(AND(ISNUMBER($J$252),$B$165=1),$J$252,HLOOKUP(INDIRECT(ADDRESS(2,COLUMN())),OFFSET($M$2,0,0,ROW()-1,7),ROW()-1,FALSE))</f>
        <v/>
      </c>
      <c r="K78" t="str">
        <f ca="1">IF(AND(ISNUMBER($K$252),$B$165=1),$K$252,HLOOKUP(INDIRECT(ADDRESS(2,COLUMN())),OFFSET($M$2,0,0,ROW()-1,7),ROW()-1,FALSE))</f>
        <v/>
      </c>
      <c r="L78" t="str">
        <f ca="1">IF(AND(ISNUMBER($L$252),$B$165=1),$L$252,HLOOKUP(INDIRECT(ADDRESS(2,COLUMN())),OFFSET($M$2,0,0,ROW()-1,7),ROW()-1,FALSE))</f>
        <v/>
      </c>
      <c r="M78" t="str">
        <f>""</f>
        <v/>
      </c>
      <c r="N78">
        <f>111.5739975</f>
        <v>111.5739975</v>
      </c>
      <c r="O78">
        <f>101.8980026</f>
        <v>101.8980026</v>
      </c>
      <c r="P78" t="str">
        <f>""</f>
        <v/>
      </c>
      <c r="Q78" t="str">
        <f>""</f>
        <v/>
      </c>
      <c r="R78" t="str">
        <f>""</f>
        <v/>
      </c>
      <c r="S78" t="str">
        <f>""</f>
        <v/>
      </c>
    </row>
    <row r="79" spans="1:19" x14ac:dyDescent="0.25">
      <c r="A79" t="str">
        <f>"    Amdocs Ltd"</f>
        <v xml:space="preserve">    Amdocs Ltd</v>
      </c>
      <c r="B79" t="str">
        <f>"DOX US Equity"</f>
        <v>DOX US Equity</v>
      </c>
      <c r="C79" t="str">
        <f t="shared" si="8"/>
        <v>ES015</v>
      </c>
      <c r="D79" t="str">
        <f t="shared" si="9"/>
        <v>RENEW_ENERGY_USE</v>
      </c>
      <c r="E79" t="str">
        <f t="shared" si="10"/>
        <v>Dynamic</v>
      </c>
      <c r="F79" t="str">
        <f ca="1">IF(AND(ISNUMBER($F$253),$B$165=1),$F$253,HLOOKUP(INDIRECT(ADDRESS(2,COLUMN())),OFFSET($M$2,0,0,ROW()-1,7),ROW()-1,FALSE))</f>
        <v/>
      </c>
      <c r="G79" t="str">
        <f ca="1">IF(AND(ISNUMBER($G$253),$B$165=1),$G$253,HLOOKUP(INDIRECT(ADDRESS(2,COLUMN())),OFFSET($M$2,0,0,ROW()-1,7),ROW()-1,FALSE))</f>
        <v/>
      </c>
      <c r="H79" t="str">
        <f ca="1">IF(AND(ISNUMBER($H$253),$B$165=1),$H$253,HLOOKUP(INDIRECT(ADDRESS(2,COLUMN())),OFFSET($M$2,0,0,ROW()-1,7),ROW()-1,FALSE))</f>
        <v/>
      </c>
      <c r="I79" t="str">
        <f ca="1">IF(AND(ISNUMBER($I$253),$B$165=1),$I$253,HLOOKUP(INDIRECT(ADDRESS(2,COLUMN())),OFFSET($M$2,0,0,ROW()-1,7),ROW()-1,FALSE))</f>
        <v/>
      </c>
      <c r="J79" t="str">
        <f ca="1">IF(AND(ISNUMBER($J$253),$B$165=1),$J$253,HLOOKUP(INDIRECT(ADDRESS(2,COLUMN())),OFFSET($M$2,0,0,ROW()-1,7),ROW()-1,FALSE))</f>
        <v/>
      </c>
      <c r="K79" t="str">
        <f ca="1">IF(AND(ISNUMBER($K$253),$B$165=1),$K$253,HLOOKUP(INDIRECT(ADDRESS(2,COLUMN())),OFFSET($M$2,0,0,ROW()-1,7),ROW()-1,FALSE))</f>
        <v/>
      </c>
      <c r="L79" t="str">
        <f ca="1">IF(AND(ISNUMBER($L$253),$B$165=1),$L$253,HLOOKUP(INDIRECT(ADDRESS(2,COLUMN())),OFFSET($M$2,0,0,ROW()-1,7),ROW()-1,FALSE))</f>
        <v/>
      </c>
      <c r="M79" t="str">
        <f>""</f>
        <v/>
      </c>
      <c r="N79" t="str">
        <f>""</f>
        <v/>
      </c>
      <c r="O79" t="str">
        <f>""</f>
        <v/>
      </c>
      <c r="P79" t="str">
        <f>""</f>
        <v/>
      </c>
      <c r="Q79" t="str">
        <f>""</f>
        <v/>
      </c>
      <c r="R79" t="str">
        <f>""</f>
        <v/>
      </c>
      <c r="S79" t="str">
        <f>""</f>
        <v/>
      </c>
    </row>
    <row r="80" spans="1:19" x14ac:dyDescent="0.25">
      <c r="A80" t="str">
        <f>"    Atos SE"</f>
        <v xml:space="preserve">    Atos SE</v>
      </c>
      <c r="B80" t="str">
        <f>"ATO FP Equity"</f>
        <v>ATO FP Equity</v>
      </c>
      <c r="C80" t="str">
        <f t="shared" si="8"/>
        <v>ES015</v>
      </c>
      <c r="D80" t="str">
        <f t="shared" si="9"/>
        <v>RENEW_ENERGY_USE</v>
      </c>
      <c r="E80" t="str">
        <f t="shared" si="10"/>
        <v>Dynamic</v>
      </c>
      <c r="F80">
        <f ca="1">IF(AND(ISNUMBER($F$254),$B$165=1),$F$254,HLOOKUP(INDIRECT(ADDRESS(2,COLUMN())),OFFSET($M$2,0,0,ROW()-1,7),ROW()-1,FALSE))</f>
        <v>210.4160004</v>
      </c>
      <c r="G80">
        <f ca="1">IF(AND(ISNUMBER($G$254),$B$165=1),$G$254,HLOOKUP(INDIRECT(ADDRESS(2,COLUMN())),OFFSET($M$2,0,0,ROW()-1,7),ROW()-1,FALSE))</f>
        <v>243.7400055</v>
      </c>
      <c r="H80">
        <f ca="1">IF(AND(ISNUMBER($H$254),$B$165=1),$H$254,HLOOKUP(INDIRECT(ADDRESS(2,COLUMN())),OFFSET($M$2,0,0,ROW()-1,7),ROW()-1,FALSE))</f>
        <v>130.38900760000001</v>
      </c>
      <c r="I80">
        <f ca="1">IF(AND(ISNUMBER($I$254),$B$165=1),$I$254,HLOOKUP(INDIRECT(ADDRESS(2,COLUMN())),OFFSET($M$2,0,0,ROW()-1,7),ROW()-1,FALSE))</f>
        <v>102.4309998</v>
      </c>
      <c r="J80">
        <f ca="1">IF(AND(ISNUMBER($J$254),$B$165=1),$J$254,HLOOKUP(INDIRECT(ADDRESS(2,COLUMN())),OFFSET($M$2,0,0,ROW()-1,7),ROW()-1,FALSE))</f>
        <v>193.92399599999999</v>
      </c>
      <c r="K80">
        <f ca="1">IF(AND(ISNUMBER($K$254),$B$165=1),$K$254,HLOOKUP(INDIRECT(ADDRESS(2,COLUMN())),OFFSET($M$2,0,0,ROW()-1,7),ROW()-1,FALSE))</f>
        <v>0</v>
      </c>
      <c r="L80" t="str">
        <f ca="1">IF(AND(ISNUMBER($L$254),$B$165=1),$L$254,HLOOKUP(INDIRECT(ADDRESS(2,COLUMN())),OFFSET($M$2,0,0,ROW()-1,7),ROW()-1,FALSE))</f>
        <v/>
      </c>
      <c r="M80">
        <f>210.4160004</f>
        <v>210.4160004</v>
      </c>
      <c r="N80">
        <f>243.7400055</f>
        <v>243.7400055</v>
      </c>
      <c r="O80">
        <f>130.3890076</f>
        <v>130.38900760000001</v>
      </c>
      <c r="P80">
        <f>102.4309998</f>
        <v>102.4309998</v>
      </c>
      <c r="Q80">
        <f>193.923996</f>
        <v>193.92399599999999</v>
      </c>
      <c r="R80">
        <f>0</f>
        <v>0</v>
      </c>
      <c r="S80" t="str">
        <f>""</f>
        <v/>
      </c>
    </row>
    <row r="81" spans="1:19" x14ac:dyDescent="0.25">
      <c r="A81" t="str">
        <f>"    Capgemini SE"</f>
        <v xml:space="preserve">    Capgemini SE</v>
      </c>
      <c r="B81" t="str">
        <f>"CAP FP Equity"</f>
        <v>CAP FP Equity</v>
      </c>
      <c r="C81" t="str">
        <f t="shared" si="8"/>
        <v>ES015</v>
      </c>
      <c r="D81" t="str">
        <f t="shared" si="9"/>
        <v>RENEW_ENERGY_USE</v>
      </c>
      <c r="E81" t="str">
        <f t="shared" si="10"/>
        <v>Dynamic</v>
      </c>
      <c r="F81">
        <f ca="1">IF(AND(ISNUMBER($F$255),$B$165=1),$F$255,HLOOKUP(INDIRECT(ADDRESS(2,COLUMN())),OFFSET($M$2,0,0,ROW()-1,7),ROW()-1,FALSE))</f>
        <v>156.5249939</v>
      </c>
      <c r="G81">
        <f ca="1">IF(AND(ISNUMBER($G$255),$B$165=1),$G$255,HLOOKUP(INDIRECT(ADDRESS(2,COLUMN())),OFFSET($M$2,0,0,ROW()-1,7),ROW()-1,FALSE))</f>
        <v>82.078002929999997</v>
      </c>
      <c r="H81">
        <f ca="1">IF(AND(ISNUMBER($H$255),$B$165=1),$H$255,HLOOKUP(INDIRECT(ADDRESS(2,COLUMN())),OFFSET($M$2,0,0,ROW()-1,7),ROW()-1,FALSE))</f>
        <v>70.157997129999998</v>
      </c>
      <c r="I81">
        <f ca="1">IF(AND(ISNUMBER($I$255),$B$165=1),$I$255,HLOOKUP(INDIRECT(ADDRESS(2,COLUMN())),OFFSET($M$2,0,0,ROW()-1,7),ROW()-1,FALSE))</f>
        <v>87.863998409999994</v>
      </c>
      <c r="J81" t="str">
        <f ca="1">IF(AND(ISNUMBER($J$255),$B$165=1),$J$255,HLOOKUP(INDIRECT(ADDRESS(2,COLUMN())),OFFSET($M$2,0,0,ROW()-1,7),ROW()-1,FALSE))</f>
        <v/>
      </c>
      <c r="K81" t="str">
        <f ca="1">IF(AND(ISNUMBER($K$255),$B$165=1),$K$255,HLOOKUP(INDIRECT(ADDRESS(2,COLUMN())),OFFSET($M$2,0,0,ROW()-1,7),ROW()-1,FALSE))</f>
        <v/>
      </c>
      <c r="L81" t="str">
        <f ca="1">IF(AND(ISNUMBER($L$255),$B$165=1),$L$255,HLOOKUP(INDIRECT(ADDRESS(2,COLUMN())),OFFSET($M$2,0,0,ROW()-1,7),ROW()-1,FALSE))</f>
        <v/>
      </c>
      <c r="M81">
        <f>156.5249939</f>
        <v>156.5249939</v>
      </c>
      <c r="N81">
        <f>82.07800293</f>
        <v>82.078002929999997</v>
      </c>
      <c r="O81">
        <f>70.15799713</f>
        <v>70.157997129999998</v>
      </c>
      <c r="P81">
        <f>87.86399841</f>
        <v>87.863998409999994</v>
      </c>
      <c r="Q81" t="str">
        <f>""</f>
        <v/>
      </c>
      <c r="R81" t="str">
        <f>""</f>
        <v/>
      </c>
      <c r="S81" t="str">
        <f>""</f>
        <v/>
      </c>
    </row>
    <row r="82" spans="1:19" x14ac:dyDescent="0.25">
      <c r="A82" t="str">
        <f>"    CGI Inc"</f>
        <v xml:space="preserve">    CGI Inc</v>
      </c>
      <c r="B82" t="str">
        <f>"GIB US Equity"</f>
        <v>GIB US Equity</v>
      </c>
      <c r="C82" t="str">
        <f t="shared" si="8"/>
        <v>ES015</v>
      </c>
      <c r="D82" t="str">
        <f t="shared" si="9"/>
        <v>RENEW_ENERGY_USE</v>
      </c>
      <c r="E82" t="str">
        <f t="shared" si="10"/>
        <v>Dynamic</v>
      </c>
      <c r="F82" t="str">
        <f ca="1">IF(AND(ISNUMBER($F$256),$B$165=1),$F$256,HLOOKUP(INDIRECT(ADDRESS(2,COLUMN())),OFFSET($M$2,0,0,ROW()-1,7),ROW()-1,FALSE))</f>
        <v/>
      </c>
      <c r="G82" t="str">
        <f ca="1">IF(AND(ISNUMBER($G$256),$B$165=1),$G$256,HLOOKUP(INDIRECT(ADDRESS(2,COLUMN())),OFFSET($M$2,0,0,ROW()-1,7),ROW()-1,FALSE))</f>
        <v/>
      </c>
      <c r="H82" t="str">
        <f ca="1">IF(AND(ISNUMBER($H$256),$B$165=1),$H$256,HLOOKUP(INDIRECT(ADDRESS(2,COLUMN())),OFFSET($M$2,0,0,ROW()-1,7),ROW()-1,FALSE))</f>
        <v/>
      </c>
      <c r="I82" t="str">
        <f ca="1">IF(AND(ISNUMBER($I$256),$B$165=1),$I$256,HLOOKUP(INDIRECT(ADDRESS(2,COLUMN())),OFFSET($M$2,0,0,ROW()-1,7),ROW()-1,FALSE))</f>
        <v/>
      </c>
      <c r="J82" t="str">
        <f ca="1">IF(AND(ISNUMBER($J$256),$B$165=1),$J$256,HLOOKUP(INDIRECT(ADDRESS(2,COLUMN())),OFFSET($M$2,0,0,ROW()-1,7),ROW()-1,FALSE))</f>
        <v/>
      </c>
      <c r="K82" t="str">
        <f ca="1">IF(AND(ISNUMBER($K$256),$B$165=1),$K$256,HLOOKUP(INDIRECT(ADDRESS(2,COLUMN())),OFFSET($M$2,0,0,ROW()-1,7),ROW()-1,FALSE))</f>
        <v/>
      </c>
      <c r="L82" t="str">
        <f ca="1">IF(AND(ISNUMBER($L$256),$B$165=1),$L$256,HLOOKUP(INDIRECT(ADDRESS(2,COLUMN())),OFFSET($M$2,0,0,ROW()-1,7),ROW()-1,FALSE))</f>
        <v/>
      </c>
      <c r="M82" t="str">
        <f>""</f>
        <v/>
      </c>
      <c r="N82" t="str">
        <f>""</f>
        <v/>
      </c>
      <c r="O82" t="str">
        <f>""</f>
        <v/>
      </c>
      <c r="P82" t="str">
        <f>""</f>
        <v/>
      </c>
      <c r="Q82" t="str">
        <f>""</f>
        <v/>
      </c>
      <c r="R82" t="str">
        <f>""</f>
        <v/>
      </c>
      <c r="S82" t="str">
        <f>""</f>
        <v/>
      </c>
    </row>
    <row r="83" spans="1:19" x14ac:dyDescent="0.25">
      <c r="A83" t="str">
        <f>"    Cognizant Technology Solutions Corp"</f>
        <v xml:space="preserve">    Cognizant Technology Solutions Corp</v>
      </c>
      <c r="B83" t="str">
        <f>"CTSH US Equity"</f>
        <v>CTSH US Equity</v>
      </c>
      <c r="C83" t="str">
        <f t="shared" si="8"/>
        <v>ES015</v>
      </c>
      <c r="D83" t="str">
        <f t="shared" si="9"/>
        <v>RENEW_ENERGY_USE</v>
      </c>
      <c r="E83" t="str">
        <f t="shared" si="10"/>
        <v>Dynamic</v>
      </c>
      <c r="F83" t="str">
        <f ca="1">IF(AND(ISNUMBER($F$257),$B$165=1),$F$257,HLOOKUP(INDIRECT(ADDRESS(2,COLUMN())),OFFSET($M$2,0,0,ROW()-1,7),ROW()-1,FALSE))</f>
        <v/>
      </c>
      <c r="G83" t="str">
        <f ca="1">IF(AND(ISNUMBER($G$257),$B$165=1),$G$257,HLOOKUP(INDIRECT(ADDRESS(2,COLUMN())),OFFSET($M$2,0,0,ROW()-1,7),ROW()-1,FALSE))</f>
        <v/>
      </c>
      <c r="H83" t="str">
        <f ca="1">IF(AND(ISNUMBER($H$257),$B$165=1),$H$257,HLOOKUP(INDIRECT(ADDRESS(2,COLUMN())),OFFSET($M$2,0,0,ROW()-1,7),ROW()-1,FALSE))</f>
        <v/>
      </c>
      <c r="I83">
        <f ca="1">IF(AND(ISNUMBER($I$257),$B$165=1),$I$257,HLOOKUP(INDIRECT(ADDRESS(2,COLUMN())),OFFSET($M$2,0,0,ROW()-1,7),ROW()-1,FALSE))</f>
        <v>33.610298159999999</v>
      </c>
      <c r="J83">
        <f ca="1">IF(AND(ISNUMBER($J$257),$B$165=1),$J$257,HLOOKUP(INDIRECT(ADDRESS(2,COLUMN())),OFFSET($M$2,0,0,ROW()-1,7),ROW()-1,FALSE))</f>
        <v>21.468599319999999</v>
      </c>
      <c r="K83">
        <f ca="1">IF(AND(ISNUMBER($K$257),$B$165=1),$K$257,HLOOKUP(INDIRECT(ADDRESS(2,COLUMN())),OFFSET($M$2,0,0,ROW()-1,7),ROW()-1,FALSE))</f>
        <v>25.59790039</v>
      </c>
      <c r="L83">
        <f ca="1">IF(AND(ISNUMBER($L$257),$B$165=1),$L$257,HLOOKUP(INDIRECT(ADDRESS(2,COLUMN())),OFFSET($M$2,0,0,ROW()-1,7),ROW()-1,FALSE))</f>
        <v>23.639099120000001</v>
      </c>
      <c r="M83" t="str">
        <f>""</f>
        <v/>
      </c>
      <c r="N83" t="str">
        <f>""</f>
        <v/>
      </c>
      <c r="O83" t="str">
        <f>""</f>
        <v/>
      </c>
      <c r="P83">
        <f>33.61029816</f>
        <v>33.610298159999999</v>
      </c>
      <c r="Q83">
        <f>21.46859932</f>
        <v>21.468599319999999</v>
      </c>
      <c r="R83">
        <f>25.59790039</f>
        <v>25.59790039</v>
      </c>
      <c r="S83">
        <f>23.63909912</f>
        <v>23.639099120000001</v>
      </c>
    </row>
    <row r="84" spans="1:19" x14ac:dyDescent="0.25">
      <c r="A84" t="str">
        <f>"    Conduent Inc"</f>
        <v xml:space="preserve">    Conduent Inc</v>
      </c>
      <c r="B84" t="str">
        <f>"CNDT US Equity"</f>
        <v>CNDT US Equity</v>
      </c>
      <c r="C84" t="str">
        <f t="shared" si="8"/>
        <v>ES015</v>
      </c>
      <c r="D84" t="str">
        <f t="shared" si="9"/>
        <v>RENEW_ENERGY_USE</v>
      </c>
      <c r="E84" t="str">
        <f t="shared" si="10"/>
        <v>Dynamic</v>
      </c>
      <c r="F84" t="str">
        <f ca="1">IF(AND(ISNUMBER($F$258),$B$165=1),$F$258,HLOOKUP(INDIRECT(ADDRESS(2,COLUMN())),OFFSET($M$2,0,0,ROW()-1,7),ROW()-1,FALSE))</f>
        <v/>
      </c>
      <c r="G84" t="str">
        <f ca="1">IF(AND(ISNUMBER($G$258),$B$165=1),$G$258,HLOOKUP(INDIRECT(ADDRESS(2,COLUMN())),OFFSET($M$2,0,0,ROW()-1,7),ROW()-1,FALSE))</f>
        <v/>
      </c>
      <c r="H84" t="str">
        <f ca="1">IF(AND(ISNUMBER($H$258),$B$165=1),$H$258,HLOOKUP(INDIRECT(ADDRESS(2,COLUMN())),OFFSET($M$2,0,0,ROW()-1,7),ROW()-1,FALSE))</f>
        <v/>
      </c>
      <c r="I84" t="str">
        <f ca="1">IF(AND(ISNUMBER($I$258),$B$165=1),$I$258,HLOOKUP(INDIRECT(ADDRESS(2,COLUMN())),OFFSET($M$2,0,0,ROW()-1,7),ROW()-1,FALSE))</f>
        <v/>
      </c>
      <c r="J84" t="str">
        <f ca="1">IF(AND(ISNUMBER($J$258),$B$165=1),$J$258,HLOOKUP(INDIRECT(ADDRESS(2,COLUMN())),OFFSET($M$2,0,0,ROW()-1,7),ROW()-1,FALSE))</f>
        <v/>
      </c>
      <c r="K84" t="str">
        <f ca="1">IF(AND(ISNUMBER($K$258),$B$165=1),$K$258,HLOOKUP(INDIRECT(ADDRESS(2,COLUMN())),OFFSET($M$2,0,0,ROW()-1,7),ROW()-1,FALSE))</f>
        <v/>
      </c>
      <c r="L84" t="str">
        <f ca="1">IF(AND(ISNUMBER($L$258),$B$165=1),$L$258,HLOOKUP(INDIRECT(ADDRESS(2,COLUMN())),OFFSET($M$2,0,0,ROW()-1,7),ROW()-1,FALSE))</f>
        <v/>
      </c>
      <c r="M84" t="str">
        <f>""</f>
        <v/>
      </c>
      <c r="N84" t="str">
        <f>""</f>
        <v/>
      </c>
      <c r="O84" t="str">
        <f>""</f>
        <v/>
      </c>
      <c r="P84" t="str">
        <f>""</f>
        <v/>
      </c>
      <c r="Q84" t="str">
        <f>""</f>
        <v/>
      </c>
      <c r="R84" t="str">
        <f>""</f>
        <v/>
      </c>
      <c r="S84" t="str">
        <f>""</f>
        <v/>
      </c>
    </row>
    <row r="85" spans="1:19" x14ac:dyDescent="0.25">
      <c r="A85" t="str">
        <f>"    DXC Technology Co"</f>
        <v xml:space="preserve">    DXC Technology Co</v>
      </c>
      <c r="B85" t="str">
        <f>"DXC US Equity"</f>
        <v>DXC US Equity</v>
      </c>
      <c r="C85" t="str">
        <f t="shared" si="8"/>
        <v>ES015</v>
      </c>
      <c r="D85" t="str">
        <f t="shared" si="9"/>
        <v>RENEW_ENERGY_USE</v>
      </c>
      <c r="E85" t="str">
        <f t="shared" si="10"/>
        <v>Dynamic</v>
      </c>
      <c r="F85" t="str">
        <f ca="1">IF(AND(ISNUMBER($F$259),$B$165=1),$F$259,HLOOKUP(INDIRECT(ADDRESS(2,COLUMN())),OFFSET($M$2,0,0,ROW()-1,7),ROW()-1,FALSE))</f>
        <v/>
      </c>
      <c r="G85">
        <f ca="1">IF(AND(ISNUMBER($G$259),$B$165=1),$G$259,HLOOKUP(INDIRECT(ADDRESS(2,COLUMN())),OFFSET($M$2,0,0,ROW()-1,7),ROW()-1,FALSE))</f>
        <v>317.60101320000001</v>
      </c>
      <c r="H85">
        <f ca="1">IF(AND(ISNUMBER($H$259),$B$165=1),$H$259,HLOOKUP(INDIRECT(ADDRESS(2,COLUMN())),OFFSET($M$2,0,0,ROW()-1,7),ROW()-1,FALSE))</f>
        <v>238.18699649999999</v>
      </c>
      <c r="I85" t="str">
        <f ca="1">IF(AND(ISNUMBER($I$259),$B$165=1),$I$259,HLOOKUP(INDIRECT(ADDRESS(2,COLUMN())),OFFSET($M$2,0,0,ROW()-1,7),ROW()-1,FALSE))</f>
        <v/>
      </c>
      <c r="J85" t="str">
        <f ca="1">IF(AND(ISNUMBER($J$259),$B$165=1),$J$259,HLOOKUP(INDIRECT(ADDRESS(2,COLUMN())),OFFSET($M$2,0,0,ROW()-1,7),ROW()-1,FALSE))</f>
        <v/>
      </c>
      <c r="K85" t="str">
        <f ca="1">IF(AND(ISNUMBER($K$259),$B$165=1),$K$259,HLOOKUP(INDIRECT(ADDRESS(2,COLUMN())),OFFSET($M$2,0,0,ROW()-1,7),ROW()-1,FALSE))</f>
        <v/>
      </c>
      <c r="L85" t="str">
        <f ca="1">IF(AND(ISNUMBER($L$259),$B$165=1),$L$259,HLOOKUP(INDIRECT(ADDRESS(2,COLUMN())),OFFSET($M$2,0,0,ROW()-1,7),ROW()-1,FALSE))</f>
        <v/>
      </c>
      <c r="M85" t="str">
        <f>""</f>
        <v/>
      </c>
      <c r="N85">
        <f>317.6010132</f>
        <v>317.60101320000001</v>
      </c>
      <c r="O85">
        <f>238.1869965</f>
        <v>238.18699649999999</v>
      </c>
      <c r="P85" t="str">
        <f>""</f>
        <v/>
      </c>
      <c r="Q85" t="str">
        <f>""</f>
        <v/>
      </c>
      <c r="R85" t="str">
        <f>""</f>
        <v/>
      </c>
      <c r="S85" t="str">
        <f>""</f>
        <v/>
      </c>
    </row>
    <row r="86" spans="1:19" x14ac:dyDescent="0.25">
      <c r="A86" t="str">
        <f>"    EPAM Systems Inc"</f>
        <v xml:space="preserve">    EPAM Systems Inc</v>
      </c>
      <c r="B86" t="str">
        <f>"EPAM US Equity"</f>
        <v>EPAM US Equity</v>
      </c>
      <c r="C86" t="str">
        <f t="shared" si="8"/>
        <v>ES015</v>
      </c>
      <c r="D86" t="str">
        <f t="shared" si="9"/>
        <v>RENEW_ENERGY_USE</v>
      </c>
      <c r="E86" t="str">
        <f t="shared" si="10"/>
        <v>Dynamic</v>
      </c>
      <c r="F86" t="str">
        <f ca="1">IF(AND(ISNUMBER($F$260),$B$165=1),$F$260,HLOOKUP(INDIRECT(ADDRESS(2,COLUMN())),OFFSET($M$2,0,0,ROW()-1,7),ROW()-1,FALSE))</f>
        <v/>
      </c>
      <c r="G86" t="str">
        <f ca="1">IF(AND(ISNUMBER($G$260),$B$165=1),$G$260,HLOOKUP(INDIRECT(ADDRESS(2,COLUMN())),OFFSET($M$2,0,0,ROW()-1,7),ROW()-1,FALSE))</f>
        <v/>
      </c>
      <c r="H86" t="str">
        <f ca="1">IF(AND(ISNUMBER($H$260),$B$165=1),$H$260,HLOOKUP(INDIRECT(ADDRESS(2,COLUMN())),OFFSET($M$2,0,0,ROW()-1,7),ROW()-1,FALSE))</f>
        <v/>
      </c>
      <c r="I86" t="str">
        <f ca="1">IF(AND(ISNUMBER($I$260),$B$165=1),$I$260,HLOOKUP(INDIRECT(ADDRESS(2,COLUMN())),OFFSET($M$2,0,0,ROW()-1,7),ROW()-1,FALSE))</f>
        <v/>
      </c>
      <c r="J86" t="str">
        <f ca="1">IF(AND(ISNUMBER($J$260),$B$165=1),$J$260,HLOOKUP(INDIRECT(ADDRESS(2,COLUMN())),OFFSET($M$2,0,0,ROW()-1,7),ROW()-1,FALSE))</f>
        <v/>
      </c>
      <c r="K86" t="str">
        <f ca="1">IF(AND(ISNUMBER($K$260),$B$165=1),$K$260,HLOOKUP(INDIRECT(ADDRESS(2,COLUMN())),OFFSET($M$2,0,0,ROW()-1,7),ROW()-1,FALSE))</f>
        <v/>
      </c>
      <c r="L86" t="str">
        <f ca="1">IF(AND(ISNUMBER($L$260),$B$165=1),$L$260,HLOOKUP(INDIRECT(ADDRESS(2,COLUMN())),OFFSET($M$2,0,0,ROW()-1,7),ROW()-1,FALSE))</f>
        <v/>
      </c>
      <c r="M86" t="str">
        <f>""</f>
        <v/>
      </c>
      <c r="N86" t="str">
        <f>""</f>
        <v/>
      </c>
      <c r="O86" t="str">
        <f>""</f>
        <v/>
      </c>
      <c r="P86" t="str">
        <f>""</f>
        <v/>
      </c>
      <c r="Q86" t="str">
        <f>""</f>
        <v/>
      </c>
      <c r="R86" t="str">
        <f>""</f>
        <v/>
      </c>
      <c r="S86" t="str">
        <f>""</f>
        <v/>
      </c>
    </row>
    <row r="87" spans="1:19" x14ac:dyDescent="0.25">
      <c r="A87" t="str">
        <f>"    Genpact Ltd"</f>
        <v xml:space="preserve">    Genpact Ltd</v>
      </c>
      <c r="B87" t="str">
        <f>"G US Equity"</f>
        <v>G US Equity</v>
      </c>
      <c r="C87" t="str">
        <f t="shared" si="8"/>
        <v>ES015</v>
      </c>
      <c r="D87" t="str">
        <f t="shared" si="9"/>
        <v>RENEW_ENERGY_USE</v>
      </c>
      <c r="E87" t="str">
        <f t="shared" si="10"/>
        <v>Dynamic</v>
      </c>
      <c r="F87" t="str">
        <f ca="1">IF(AND(ISNUMBER($F$261),$B$165=1),$F$261,HLOOKUP(INDIRECT(ADDRESS(2,COLUMN())),OFFSET($M$2,0,0,ROW()-1,7),ROW()-1,FALSE))</f>
        <v/>
      </c>
      <c r="G87" t="str">
        <f ca="1">IF(AND(ISNUMBER($G$261),$B$165=1),$G$261,HLOOKUP(INDIRECT(ADDRESS(2,COLUMN())),OFFSET($M$2,0,0,ROW()-1,7),ROW()-1,FALSE))</f>
        <v/>
      </c>
      <c r="H87">
        <f ca="1">IF(AND(ISNUMBER($H$261),$B$165=1),$H$261,HLOOKUP(INDIRECT(ADDRESS(2,COLUMN())),OFFSET($M$2,0,0,ROW()-1,7),ROW()-1,FALSE))</f>
        <v>11.748100279999999</v>
      </c>
      <c r="I87">
        <f ca="1">IF(AND(ISNUMBER($I$261),$B$165=1),$I$261,HLOOKUP(INDIRECT(ADDRESS(2,COLUMN())),OFFSET($M$2,0,0,ROW()-1,7),ROW()-1,FALSE))</f>
        <v>4.5408301350000002</v>
      </c>
      <c r="J87" t="str">
        <f ca="1">IF(AND(ISNUMBER($J$261),$B$165=1),$J$261,HLOOKUP(INDIRECT(ADDRESS(2,COLUMN())),OFFSET($M$2,0,0,ROW()-1,7),ROW()-1,FALSE))</f>
        <v/>
      </c>
      <c r="K87" t="str">
        <f ca="1">IF(AND(ISNUMBER($K$261),$B$165=1),$K$261,HLOOKUP(INDIRECT(ADDRESS(2,COLUMN())),OFFSET($M$2,0,0,ROW()-1,7),ROW()-1,FALSE))</f>
        <v/>
      </c>
      <c r="L87" t="str">
        <f ca="1">IF(AND(ISNUMBER($L$261),$B$165=1),$L$261,HLOOKUP(INDIRECT(ADDRESS(2,COLUMN())),OFFSET($M$2,0,0,ROW()-1,7),ROW()-1,FALSE))</f>
        <v/>
      </c>
      <c r="M87" t="str">
        <f>""</f>
        <v/>
      </c>
      <c r="N87" t="str">
        <f>""</f>
        <v/>
      </c>
      <c r="O87">
        <f>11.74810028</f>
        <v>11.748100279999999</v>
      </c>
      <c r="P87">
        <f>4.540830135</f>
        <v>4.5408301350000002</v>
      </c>
      <c r="Q87" t="str">
        <f>""</f>
        <v/>
      </c>
      <c r="R87" t="str">
        <f>""</f>
        <v/>
      </c>
      <c r="S87" t="str">
        <f>""</f>
        <v/>
      </c>
    </row>
    <row r="88" spans="1:19" x14ac:dyDescent="0.25">
      <c r="A88" t="str">
        <f>"    HCL Technologies Ltd"</f>
        <v xml:space="preserve">    HCL Technologies Ltd</v>
      </c>
      <c r="B88" t="str">
        <f>"HCLT IN Equity"</f>
        <v>HCLT IN Equity</v>
      </c>
      <c r="C88" t="str">
        <f t="shared" si="8"/>
        <v>ES015</v>
      </c>
      <c r="D88" t="str">
        <f t="shared" si="9"/>
        <v>RENEW_ENERGY_USE</v>
      </c>
      <c r="E88" t="str">
        <f t="shared" si="10"/>
        <v>Dynamic</v>
      </c>
      <c r="F88" t="str">
        <f ca="1">IF(AND(ISNUMBER($F$262),$B$165=1),$F$262,HLOOKUP(INDIRECT(ADDRESS(2,COLUMN())),OFFSET($M$2,0,0,ROW()-1,7),ROW()-1,FALSE))</f>
        <v/>
      </c>
      <c r="G88" t="str">
        <f ca="1">IF(AND(ISNUMBER($G$262),$B$165=1),$G$262,HLOOKUP(INDIRECT(ADDRESS(2,COLUMN())),OFFSET($M$2,0,0,ROW()-1,7),ROW()-1,FALSE))</f>
        <v/>
      </c>
      <c r="H88" t="str">
        <f ca="1">IF(AND(ISNUMBER($H$262),$B$165=1),$H$262,HLOOKUP(INDIRECT(ADDRESS(2,COLUMN())),OFFSET($M$2,0,0,ROW()-1,7),ROW()-1,FALSE))</f>
        <v/>
      </c>
      <c r="I88" t="str">
        <f ca="1">IF(AND(ISNUMBER($I$262),$B$165=1),$I$262,HLOOKUP(INDIRECT(ADDRESS(2,COLUMN())),OFFSET($M$2,0,0,ROW()-1,7),ROW()-1,FALSE))</f>
        <v/>
      </c>
      <c r="J88" t="str">
        <f ca="1">IF(AND(ISNUMBER($J$262),$B$165=1),$J$262,HLOOKUP(INDIRECT(ADDRESS(2,COLUMN())),OFFSET($M$2,0,0,ROW()-1,7),ROW()-1,FALSE))</f>
        <v/>
      </c>
      <c r="K88" t="str">
        <f ca="1">IF(AND(ISNUMBER($K$262),$B$165=1),$K$262,HLOOKUP(INDIRECT(ADDRESS(2,COLUMN())),OFFSET($M$2,0,0,ROW()-1,7),ROW()-1,FALSE))</f>
        <v/>
      </c>
      <c r="L88" t="str">
        <f ca="1">IF(AND(ISNUMBER($L$262),$B$165=1),$L$262,HLOOKUP(INDIRECT(ADDRESS(2,COLUMN())),OFFSET($M$2,0,0,ROW()-1,7),ROW()-1,FALSE))</f>
        <v/>
      </c>
      <c r="M88" t="str">
        <f>""</f>
        <v/>
      </c>
      <c r="N88" t="str">
        <f>""</f>
        <v/>
      </c>
      <c r="O88" t="str">
        <f>""</f>
        <v/>
      </c>
      <c r="P88" t="str">
        <f>""</f>
        <v/>
      </c>
      <c r="Q88" t="str">
        <f>""</f>
        <v/>
      </c>
      <c r="R88" t="str">
        <f>""</f>
        <v/>
      </c>
      <c r="S88" t="str">
        <f>""</f>
        <v/>
      </c>
    </row>
    <row r="89" spans="1:19" x14ac:dyDescent="0.25">
      <c r="A89" t="str">
        <f>"    Indra Sistemas SA"</f>
        <v xml:space="preserve">    Indra Sistemas SA</v>
      </c>
      <c r="B89" t="str">
        <f>"IDR SM Equity"</f>
        <v>IDR SM Equity</v>
      </c>
      <c r="C89" t="str">
        <f t="shared" si="8"/>
        <v>ES015</v>
      </c>
      <c r="D89" t="str">
        <f t="shared" si="9"/>
        <v>RENEW_ENERGY_USE</v>
      </c>
      <c r="E89" t="str">
        <f t="shared" si="10"/>
        <v>Dynamic</v>
      </c>
      <c r="F89" t="str">
        <f ca="1">IF(AND(ISNUMBER($F$263),$B$165=1),$F$263,HLOOKUP(INDIRECT(ADDRESS(2,COLUMN())),OFFSET($M$2,0,0,ROW()-1,7),ROW()-1,FALSE))</f>
        <v/>
      </c>
      <c r="G89" t="str">
        <f ca="1">IF(AND(ISNUMBER($G$263),$B$165=1),$G$263,HLOOKUP(INDIRECT(ADDRESS(2,COLUMN())),OFFSET($M$2,0,0,ROW()-1,7),ROW()-1,FALSE))</f>
        <v/>
      </c>
      <c r="H89" t="str">
        <f ca="1">IF(AND(ISNUMBER($H$263),$B$165=1),$H$263,HLOOKUP(INDIRECT(ADDRESS(2,COLUMN())),OFFSET($M$2,0,0,ROW()-1,7),ROW()-1,FALSE))</f>
        <v/>
      </c>
      <c r="I89" t="str">
        <f ca="1">IF(AND(ISNUMBER($I$263),$B$165=1),$I$263,HLOOKUP(INDIRECT(ADDRESS(2,COLUMN())),OFFSET($M$2,0,0,ROW()-1,7),ROW()-1,FALSE))</f>
        <v/>
      </c>
      <c r="J89" t="str">
        <f ca="1">IF(AND(ISNUMBER($J$263),$B$165=1),$J$263,HLOOKUP(INDIRECT(ADDRESS(2,COLUMN())),OFFSET($M$2,0,0,ROW()-1,7),ROW()-1,FALSE))</f>
        <v/>
      </c>
      <c r="K89" t="str">
        <f ca="1">IF(AND(ISNUMBER($K$263),$B$165=1),$K$263,HLOOKUP(INDIRECT(ADDRESS(2,COLUMN())),OFFSET($M$2,0,0,ROW()-1,7),ROW()-1,FALSE))</f>
        <v/>
      </c>
      <c r="L89" t="str">
        <f ca="1">IF(AND(ISNUMBER($L$263),$B$165=1),$L$263,HLOOKUP(INDIRECT(ADDRESS(2,COLUMN())),OFFSET($M$2,0,0,ROW()-1,7),ROW()-1,FALSE))</f>
        <v/>
      </c>
      <c r="M89" t="str">
        <f>""</f>
        <v/>
      </c>
      <c r="N89" t="str">
        <f>""</f>
        <v/>
      </c>
      <c r="O89" t="str">
        <f>""</f>
        <v/>
      </c>
      <c r="P89" t="str">
        <f>""</f>
        <v/>
      </c>
      <c r="Q89" t="str">
        <f>""</f>
        <v/>
      </c>
      <c r="R89" t="str">
        <f>""</f>
        <v/>
      </c>
      <c r="S89" t="str">
        <f>""</f>
        <v/>
      </c>
    </row>
    <row r="90" spans="1:19" x14ac:dyDescent="0.25">
      <c r="A90" t="str">
        <f>"    Infosys Ltd"</f>
        <v xml:space="preserve">    Infosys Ltd</v>
      </c>
      <c r="B90" t="str">
        <f>"INFY US Equity"</f>
        <v>INFY US Equity</v>
      </c>
      <c r="C90" t="str">
        <f t="shared" si="8"/>
        <v>ES015</v>
      </c>
      <c r="D90" t="str">
        <f t="shared" si="9"/>
        <v>RENEW_ENERGY_USE</v>
      </c>
      <c r="E90" t="str">
        <f t="shared" si="10"/>
        <v>Dynamic</v>
      </c>
      <c r="F90">
        <f ca="1">IF(AND(ISNUMBER($F$264),$B$165=1),$F$264,HLOOKUP(INDIRECT(ADDRESS(2,COLUMN())),OFFSET($M$2,0,0,ROW()-1,7),ROW()-1,FALSE))</f>
        <v>124.8219986</v>
      </c>
      <c r="G90">
        <f ca="1">IF(AND(ISNUMBER($G$264),$B$165=1),$G$264,HLOOKUP(INDIRECT(ADDRESS(2,COLUMN())),OFFSET($M$2,0,0,ROW()-1,7),ROW()-1,FALSE))</f>
        <v>125.60900119999999</v>
      </c>
      <c r="H90">
        <f ca="1">IF(AND(ISNUMBER($H$264),$B$165=1),$H$264,HLOOKUP(INDIRECT(ADDRESS(2,COLUMN())),OFFSET($M$2,0,0,ROW()-1,7),ROW()-1,FALSE))</f>
        <v>113.072998</v>
      </c>
      <c r="I90">
        <f ca="1">IF(AND(ISNUMBER($I$264),$B$165=1),$I$264,HLOOKUP(INDIRECT(ADDRESS(2,COLUMN())),OFFSET($M$2,0,0,ROW()-1,7),ROW()-1,FALSE))</f>
        <v>118.9029999</v>
      </c>
      <c r="J90">
        <f ca="1">IF(AND(ISNUMBER($J$264),$B$165=1),$J$264,HLOOKUP(INDIRECT(ADDRESS(2,COLUMN())),OFFSET($M$2,0,0,ROW()-1,7),ROW()-1,FALSE))</f>
        <v>69.803497309999997</v>
      </c>
      <c r="K90">
        <f ca="1">IF(AND(ISNUMBER($K$264),$B$165=1),$K$264,HLOOKUP(INDIRECT(ADDRESS(2,COLUMN())),OFFSET($M$2,0,0,ROW()-1,7),ROW()-1,FALSE))</f>
        <v>74.986297609999994</v>
      </c>
      <c r="L90">
        <f ca="1">IF(AND(ISNUMBER($L$264),$B$165=1),$L$264,HLOOKUP(INDIRECT(ADDRESS(2,COLUMN())),OFFSET($M$2,0,0,ROW()-1,7),ROW()-1,FALSE))</f>
        <v>75.674201969999999</v>
      </c>
      <c r="M90">
        <f>124.8219986</f>
        <v>124.8219986</v>
      </c>
      <c r="N90">
        <f>125.6090012</f>
        <v>125.60900119999999</v>
      </c>
      <c r="O90">
        <f>113.072998</f>
        <v>113.072998</v>
      </c>
      <c r="P90">
        <f>118.9029999</f>
        <v>118.9029999</v>
      </c>
      <c r="Q90">
        <f>69.80349731</f>
        <v>69.803497309999997</v>
      </c>
      <c r="R90">
        <f>74.98629761</f>
        <v>74.986297609999994</v>
      </c>
      <c r="S90">
        <f>75.67420197</f>
        <v>75.674201969999999</v>
      </c>
    </row>
    <row r="91" spans="1:19" x14ac:dyDescent="0.25">
      <c r="A91" t="str">
        <f>"    International Business Machines Corp"</f>
        <v xml:space="preserve">    International Business Machines Corp</v>
      </c>
      <c r="B91" t="str">
        <f>"IBM US Equity"</f>
        <v>IBM US Equity</v>
      </c>
      <c r="C91" t="str">
        <f t="shared" si="8"/>
        <v>ES015</v>
      </c>
      <c r="D91" t="str">
        <f t="shared" si="9"/>
        <v>RENEW_ENERGY_USE</v>
      </c>
      <c r="E91" t="str">
        <f t="shared" si="10"/>
        <v>Dynamic</v>
      </c>
      <c r="F91" t="str">
        <f ca="1">IF(AND(ISNUMBER($F$265),$B$165=1),$F$265,HLOOKUP(INDIRECT(ADDRESS(2,COLUMN())),OFFSET($M$2,0,0,ROW()-1,7),ROW()-1,FALSE))</f>
        <v/>
      </c>
      <c r="G91">
        <f ca="1">IF(AND(ISNUMBER($G$265),$B$165=1),$G$265,HLOOKUP(INDIRECT(ADDRESS(2,COLUMN())),OFFSET($M$2,0,0,ROW()-1,7),ROW()-1,FALSE))</f>
        <v>1520.420044</v>
      </c>
      <c r="H91">
        <f ca="1">IF(AND(ISNUMBER($H$265),$B$165=1),$H$265,HLOOKUP(INDIRECT(ADDRESS(2,COLUMN())),OFFSET($M$2,0,0,ROW()-1,7),ROW()-1,FALSE))</f>
        <v>778.85900879999997</v>
      </c>
      <c r="I91">
        <f ca="1">IF(AND(ISNUMBER($I$265),$B$165=1),$I$265,HLOOKUP(INDIRECT(ADDRESS(2,COLUMN())),OFFSET($M$2,0,0,ROW()-1,7),ROW()-1,FALSE))</f>
        <v>783</v>
      </c>
      <c r="J91">
        <f ca="1">IF(AND(ISNUMBER($J$265),$B$165=1),$J$265,HLOOKUP(INDIRECT(ADDRESS(2,COLUMN())),OFFSET($M$2,0,0,ROW()-1,7),ROW()-1,FALSE))</f>
        <v>679.23199460000001</v>
      </c>
      <c r="K91">
        <f ca="1">IF(AND(ISNUMBER($K$265),$B$165=1),$K$265,HLOOKUP(INDIRECT(ADDRESS(2,COLUMN())),OFFSET($M$2,0,0,ROW()-1,7),ROW()-1,FALSE))</f>
        <v>683.29400629999998</v>
      </c>
      <c r="L91">
        <f ca="1">IF(AND(ISNUMBER($L$265),$B$165=1),$L$265,HLOOKUP(INDIRECT(ADDRESS(2,COLUMN())),OFFSET($M$2,0,0,ROW()-1,7),ROW()-1,FALSE))</f>
        <v>579.67901610000001</v>
      </c>
      <c r="M91" t="str">
        <f>""</f>
        <v/>
      </c>
      <c r="N91">
        <f>1520.420044</f>
        <v>1520.420044</v>
      </c>
      <c r="O91">
        <f>778.8590088</f>
        <v>778.85900879999997</v>
      </c>
      <c r="P91">
        <f>783</f>
        <v>783</v>
      </c>
      <c r="Q91">
        <f>679.2319946</f>
        <v>679.23199460000001</v>
      </c>
      <c r="R91">
        <f>683.2940063</f>
        <v>683.29400629999998</v>
      </c>
      <c r="S91">
        <f>579.6790161</f>
        <v>579.67901610000001</v>
      </c>
    </row>
    <row r="92" spans="1:19" x14ac:dyDescent="0.25">
      <c r="A92" t="str">
        <f>"    Tata Consultancy Services Ltd"</f>
        <v xml:space="preserve">    Tata Consultancy Services Ltd</v>
      </c>
      <c r="B92" t="str">
        <f>"TCS IN Equity"</f>
        <v>TCS IN Equity</v>
      </c>
      <c r="C92" t="str">
        <f t="shared" si="8"/>
        <v>ES015</v>
      </c>
      <c r="D92" t="str">
        <f t="shared" si="9"/>
        <v>RENEW_ENERGY_USE</v>
      </c>
      <c r="E92" t="str">
        <f t="shared" si="10"/>
        <v>Dynamic</v>
      </c>
      <c r="F92" t="str">
        <f ca="1">IF(AND(ISNUMBER($F$266),$B$165=1),$F$266,HLOOKUP(INDIRECT(ADDRESS(2,COLUMN())),OFFSET($M$2,0,0,ROW()-1,7),ROW()-1,FALSE))</f>
        <v/>
      </c>
      <c r="G92" t="str">
        <f ca="1">IF(AND(ISNUMBER($G$266),$B$165=1),$G$266,HLOOKUP(INDIRECT(ADDRESS(2,COLUMN())),OFFSET($M$2,0,0,ROW()-1,7),ROW()-1,FALSE))</f>
        <v/>
      </c>
      <c r="H92">
        <f ca="1">IF(AND(ISNUMBER($H$266),$B$165=1),$H$266,HLOOKUP(INDIRECT(ADDRESS(2,COLUMN())),OFFSET($M$2,0,0,ROW()-1,7),ROW()-1,FALSE))</f>
        <v>50.277500150000002</v>
      </c>
      <c r="I92">
        <f ca="1">IF(AND(ISNUMBER($I$266),$B$165=1),$I$266,HLOOKUP(INDIRECT(ADDRESS(2,COLUMN())),OFFSET($M$2,0,0,ROW()-1,7),ROW()-1,FALSE))</f>
        <v>46.319400790000003</v>
      </c>
      <c r="J92">
        <f ca="1">IF(AND(ISNUMBER($J$266),$B$165=1),$J$266,HLOOKUP(INDIRECT(ADDRESS(2,COLUMN())),OFFSET($M$2,0,0,ROW()-1,7),ROW()-1,FALSE))</f>
        <v>18.598899840000001</v>
      </c>
      <c r="K92">
        <f ca="1">IF(AND(ISNUMBER($K$266),$B$165=1),$K$266,HLOOKUP(INDIRECT(ADDRESS(2,COLUMN())),OFFSET($M$2,0,0,ROW()-1,7),ROW()-1,FALSE))</f>
        <v>14.73630047</v>
      </c>
      <c r="L92">
        <f ca="1">IF(AND(ISNUMBER($L$266),$B$165=1),$L$266,HLOOKUP(INDIRECT(ADDRESS(2,COLUMN())),OFFSET($M$2,0,0,ROW()-1,7),ROW()-1,FALSE))</f>
        <v>11.45610046</v>
      </c>
      <c r="M92" t="str">
        <f>""</f>
        <v/>
      </c>
      <c r="N92" t="str">
        <f>""</f>
        <v/>
      </c>
      <c r="O92">
        <f>50.27750015</f>
        <v>50.277500150000002</v>
      </c>
      <c r="P92">
        <f>46.31940079</f>
        <v>46.319400790000003</v>
      </c>
      <c r="Q92">
        <f>18.59889984</f>
        <v>18.598899840000001</v>
      </c>
      <c r="R92">
        <f>14.73630047</f>
        <v>14.73630047</v>
      </c>
      <c r="S92">
        <f>11.45610046</f>
        <v>11.45610046</v>
      </c>
    </row>
    <row r="93" spans="1:19" x14ac:dyDescent="0.25">
      <c r="A93" t="str">
        <f>"    Tech Mahindra Ltd"</f>
        <v xml:space="preserve">    Tech Mahindra Ltd</v>
      </c>
      <c r="B93" t="str">
        <f>"TECHM IN Equity"</f>
        <v>TECHM IN Equity</v>
      </c>
      <c r="C93" t="str">
        <f t="shared" si="8"/>
        <v>ES015</v>
      </c>
      <c r="D93" t="str">
        <f t="shared" si="9"/>
        <v>RENEW_ENERGY_USE</v>
      </c>
      <c r="E93" t="str">
        <f t="shared" si="10"/>
        <v>Dynamic</v>
      </c>
      <c r="F93" t="str">
        <f ca="1">IF(AND(ISNUMBER($F$267),$B$165=1),$F$267,HLOOKUP(INDIRECT(ADDRESS(2,COLUMN())),OFFSET($M$2,0,0,ROW()-1,7),ROW()-1,FALSE))</f>
        <v/>
      </c>
      <c r="G93" t="str">
        <f ca="1">IF(AND(ISNUMBER($G$267),$B$165=1),$G$267,HLOOKUP(INDIRECT(ADDRESS(2,COLUMN())),OFFSET($M$2,0,0,ROW()-1,7),ROW()-1,FALSE))</f>
        <v/>
      </c>
      <c r="H93" t="str">
        <f ca="1">IF(AND(ISNUMBER($H$267),$B$165=1),$H$267,HLOOKUP(INDIRECT(ADDRESS(2,COLUMN())),OFFSET($M$2,0,0,ROW()-1,7),ROW()-1,FALSE))</f>
        <v/>
      </c>
      <c r="I93" t="str">
        <f ca="1">IF(AND(ISNUMBER($I$267),$B$165=1),$I$267,HLOOKUP(INDIRECT(ADDRESS(2,COLUMN())),OFFSET($M$2,0,0,ROW()-1,7),ROW()-1,FALSE))</f>
        <v/>
      </c>
      <c r="J93" t="str">
        <f ca="1">IF(AND(ISNUMBER($J$267),$B$165=1),$J$267,HLOOKUP(INDIRECT(ADDRESS(2,COLUMN())),OFFSET($M$2,0,0,ROW()-1,7),ROW()-1,FALSE))</f>
        <v/>
      </c>
      <c r="K93" t="str">
        <f ca="1">IF(AND(ISNUMBER($K$267),$B$165=1),$K$267,HLOOKUP(INDIRECT(ADDRESS(2,COLUMN())),OFFSET($M$2,0,0,ROW()-1,7),ROW()-1,FALSE))</f>
        <v/>
      </c>
      <c r="L93" t="str">
        <f ca="1">IF(AND(ISNUMBER($L$267),$B$165=1),$L$267,HLOOKUP(INDIRECT(ADDRESS(2,COLUMN())),OFFSET($M$2,0,0,ROW()-1,7),ROW()-1,FALSE))</f>
        <v/>
      </c>
      <c r="M93" t="str">
        <f>""</f>
        <v/>
      </c>
      <c r="N93" t="str">
        <f>""</f>
        <v/>
      </c>
      <c r="O93" t="str">
        <f>""</f>
        <v/>
      </c>
      <c r="P93" t="str">
        <f>""</f>
        <v/>
      </c>
      <c r="Q93" t="str">
        <f>""</f>
        <v/>
      </c>
      <c r="R93" t="str">
        <f>""</f>
        <v/>
      </c>
      <c r="S93" t="str">
        <f>""</f>
        <v/>
      </c>
    </row>
    <row r="94" spans="1:19" x14ac:dyDescent="0.25">
      <c r="A94" t="str">
        <f>"    Wipro Ltd"</f>
        <v xml:space="preserve">    Wipro Ltd</v>
      </c>
      <c r="B94" t="str">
        <f>"WIT US Equity"</f>
        <v>WIT US Equity</v>
      </c>
      <c r="C94" t="str">
        <f t="shared" si="8"/>
        <v>ES015</v>
      </c>
      <c r="D94" t="str">
        <f t="shared" si="9"/>
        <v>RENEW_ENERGY_USE</v>
      </c>
      <c r="E94" t="str">
        <f t="shared" si="10"/>
        <v>Dynamic</v>
      </c>
      <c r="F94" t="str">
        <f ca="1">IF(AND(ISNUMBER($F$268),$B$165=1),$F$268,HLOOKUP(INDIRECT(ADDRESS(2,COLUMN())),OFFSET($M$2,0,0,ROW()-1,7),ROW()-1,FALSE))</f>
        <v/>
      </c>
      <c r="G94" t="str">
        <f ca="1">IF(AND(ISNUMBER($G$268),$B$165=1),$G$268,HLOOKUP(INDIRECT(ADDRESS(2,COLUMN())),OFFSET($M$2,0,0,ROW()-1,7),ROW()-1,FALSE))</f>
        <v/>
      </c>
      <c r="H94">
        <f ca="1">IF(AND(ISNUMBER($H$268),$B$165=1),$H$268,HLOOKUP(INDIRECT(ADDRESS(2,COLUMN())),OFFSET($M$2,0,0,ROW()-1,7),ROW()-1,FALSE))</f>
        <v>93.335998540000006</v>
      </c>
      <c r="I94">
        <f ca="1">IF(AND(ISNUMBER($I$268),$B$165=1),$I$268,HLOOKUP(INDIRECT(ADDRESS(2,COLUMN())),OFFSET($M$2,0,0,ROW()-1,7),ROW()-1,FALSE))</f>
        <v>77.932998659999996</v>
      </c>
      <c r="J94">
        <f ca="1">IF(AND(ISNUMBER($J$268),$B$165=1),$J$268,HLOOKUP(INDIRECT(ADDRESS(2,COLUMN())),OFFSET($M$2,0,0,ROW()-1,7),ROW()-1,FALSE))</f>
        <v>77.446998600000001</v>
      </c>
      <c r="K94">
        <f ca="1">IF(AND(ISNUMBER($K$268),$B$165=1),$K$268,HLOOKUP(INDIRECT(ADDRESS(2,COLUMN())),OFFSET($M$2,0,0,ROW()-1,7),ROW()-1,FALSE))</f>
        <v>67.293998720000005</v>
      </c>
      <c r="L94">
        <f ca="1">IF(AND(ISNUMBER($L$268),$B$165=1),$L$268,HLOOKUP(INDIRECT(ADDRESS(2,COLUMN())),OFFSET($M$2,0,0,ROW()-1,7),ROW()-1,FALSE))</f>
        <v>70.933998110000005</v>
      </c>
      <c r="M94" t="str">
        <f>""</f>
        <v/>
      </c>
      <c r="N94" t="str">
        <f>""</f>
        <v/>
      </c>
      <c r="O94">
        <f>93.33599854</f>
        <v>93.335998540000006</v>
      </c>
      <c r="P94">
        <f>77.93299866</f>
        <v>77.932998659999996</v>
      </c>
      <c r="Q94">
        <f>77.4469986</f>
        <v>77.446998600000001</v>
      </c>
      <c r="R94">
        <f>67.29399872</f>
        <v>67.293998720000005</v>
      </c>
      <c r="S94">
        <f>70.93399811</f>
        <v>70.933998110000005</v>
      </c>
    </row>
    <row r="95" spans="1:19" x14ac:dyDescent="0.25">
      <c r="A95" t="str">
        <f>"Resource Efficiency"</f>
        <v>Resource Efficiency</v>
      </c>
      <c r="B95" t="str">
        <f>""</f>
        <v/>
      </c>
      <c r="E95" t="str">
        <f>"Heading"</f>
        <v>Heading</v>
      </c>
      <c r="M95" t="str">
        <f>""</f>
        <v/>
      </c>
      <c r="N95" t="str">
        <f>""</f>
        <v/>
      </c>
      <c r="O95" t="str">
        <f>""</f>
        <v/>
      </c>
      <c r="P95" t="str">
        <f>""</f>
        <v/>
      </c>
      <c r="Q95" t="str">
        <f>""</f>
        <v/>
      </c>
      <c r="R95" t="str">
        <f>""</f>
        <v/>
      </c>
      <c r="S95" t="str">
        <f>""</f>
        <v/>
      </c>
    </row>
    <row r="96" spans="1:19" x14ac:dyDescent="0.25">
      <c r="A96" t="str">
        <f>"Total Energy Consumption (000s MWh)"</f>
        <v>Total Energy Consumption (000s MWh)</v>
      </c>
      <c r="B96" t="str">
        <f>""</f>
        <v/>
      </c>
      <c r="E96" t="str">
        <f>"Median"</f>
        <v>Median</v>
      </c>
      <c r="F96">
        <f ca="1">IF(ISERROR(IF(MEDIAN($F$97:$F$113) = 0, "", MEDIAN($F$97:$F$113))), "", (IF(MEDIAN($F$97:$F$113) = 0, "", MEDIAN($F$97:$F$113))))</f>
        <v>327.05850220000002</v>
      </c>
      <c r="G96">
        <f ca="1">IF(ISERROR(IF(MEDIAN($G$97:$G$113) = 0, "", MEDIAN($G$97:$G$113))), "", (IF(MEDIAN($G$97:$G$113) = 0, "", MEDIAN($G$97:$G$113))))</f>
        <v>434.61499025000001</v>
      </c>
      <c r="H96">
        <f ca="1">IF(ISERROR(IF(MEDIAN($H$97:$H$113) = 0, "", MEDIAN($H$97:$H$113))), "", (IF(MEDIAN($H$97:$H$113) = 0, "", MEDIAN($H$97:$H$113))))</f>
        <v>412.31298829999997</v>
      </c>
      <c r="I96">
        <f ca="1">IF(ISERROR(IF(MEDIAN($I$97:$I$113) = 0, "", MEDIAN($I$97:$I$113))), "", (IF(MEDIAN($I$97:$I$113) = 0, "", MEDIAN($I$97:$I$113))))</f>
        <v>409.55099489999998</v>
      </c>
      <c r="J96">
        <f ca="1">IF(ISERROR(IF(MEDIAN($J$97:$J$113) = 0, "", MEDIAN($J$97:$J$113))), "", (IF(MEDIAN($J$97:$J$113) = 0, "", MEDIAN($J$97:$J$113))))</f>
        <v>361.96000674999999</v>
      </c>
      <c r="K96">
        <f ca="1">IF(ISERROR(IF(MEDIAN($K$97:$K$113) = 0, "", MEDIAN($K$97:$K$113))), "", (IF(MEDIAN($K$97:$K$113) = 0, "", MEDIAN($K$97:$K$113))))</f>
        <v>376.66799930000002</v>
      </c>
      <c r="L96">
        <f ca="1">IF(ISERROR(IF(MEDIAN($L$97:$L$113) = 0, "", MEDIAN($L$97:$L$113))), "", (IF(MEDIAN($L$97:$L$113) = 0, "", MEDIAN($L$97:$L$113))))</f>
        <v>325.30700680000001</v>
      </c>
      <c r="M96" t="str">
        <f>""</f>
        <v/>
      </c>
      <c r="N96">
        <f>434.6149902</f>
        <v>434.61499020000002</v>
      </c>
      <c r="O96">
        <f>412.3129883</f>
        <v>412.31298829999997</v>
      </c>
      <c r="P96">
        <f>409.5509949</f>
        <v>409.55099489999998</v>
      </c>
      <c r="Q96">
        <f>361.9600067</f>
        <v>361.96000670000001</v>
      </c>
      <c r="R96">
        <f>376.6679993</f>
        <v>376.66799930000002</v>
      </c>
      <c r="S96">
        <f>325.3070068</f>
        <v>325.30700680000001</v>
      </c>
    </row>
    <row r="97" spans="1:19" x14ac:dyDescent="0.25">
      <c r="A97" t="str">
        <f>"    Accenture PLC"</f>
        <v xml:space="preserve">    Accenture PLC</v>
      </c>
      <c r="B97" t="str">
        <f>"ACN US Equity"</f>
        <v>ACN US Equity</v>
      </c>
      <c r="C97" t="str">
        <f t="shared" ref="C97:C113" si="11">"ES014"</f>
        <v>ES014</v>
      </c>
      <c r="D97" t="str">
        <f t="shared" ref="D97:D113" si="12">"ENERGY_CONSUMPTION"</f>
        <v>ENERGY_CONSUMPTION</v>
      </c>
      <c r="E97" t="str">
        <f t="shared" ref="E97:E113" si="13">"Dynamic"</f>
        <v>Dynamic</v>
      </c>
      <c r="F97" t="str">
        <f ca="1">IF(AND(ISNUMBER($F$269),$B$165=1),$F$269,HLOOKUP(INDIRECT(ADDRESS(2,COLUMN())),OFFSET($M$2,0,0,ROW()-1,7),ROW()-1,FALSE))</f>
        <v/>
      </c>
      <c r="G97">
        <f ca="1">IF(AND(ISNUMBER($G$269),$B$165=1),$G$269,HLOOKUP(INDIRECT(ADDRESS(2,COLUMN())),OFFSET($M$2,0,0,ROW()-1,7),ROW()-1,FALSE))</f>
        <v>489.07998659999998</v>
      </c>
      <c r="H97">
        <f ca="1">IF(AND(ISNUMBER($H$269),$B$165=1),$H$269,HLOOKUP(INDIRECT(ADDRESS(2,COLUMN())),OFFSET($M$2,0,0,ROW()-1,7),ROW()-1,FALSE))</f>
        <v>499.04800419999998</v>
      </c>
      <c r="I97">
        <f ca="1">IF(AND(ISNUMBER($I$269),$B$165=1),$I$269,HLOOKUP(INDIRECT(ADDRESS(2,COLUMN())),OFFSET($M$2,0,0,ROW()-1,7),ROW()-1,FALSE))</f>
        <v>512.28997800000002</v>
      </c>
      <c r="J97">
        <f ca="1">IF(AND(ISNUMBER($J$269),$B$165=1),$J$269,HLOOKUP(INDIRECT(ADDRESS(2,COLUMN())),OFFSET($M$2,0,0,ROW()-1,7),ROW()-1,FALSE))</f>
        <v>469.3059998</v>
      </c>
      <c r="K97">
        <f ca="1">IF(AND(ISNUMBER($K$269),$B$165=1),$K$269,HLOOKUP(INDIRECT(ADDRESS(2,COLUMN())),OFFSET($M$2,0,0,ROW()-1,7),ROW()-1,FALSE))</f>
        <v>436.31600950000001</v>
      </c>
      <c r="L97">
        <f ca="1">IF(AND(ISNUMBER($L$269),$B$165=1),$L$269,HLOOKUP(INDIRECT(ADDRESS(2,COLUMN())),OFFSET($M$2,0,0,ROW()-1,7),ROW()-1,FALSE))</f>
        <v>413.30398559999998</v>
      </c>
      <c r="M97" t="str">
        <f>""</f>
        <v/>
      </c>
      <c r="N97">
        <f>489.0799866</f>
        <v>489.07998659999998</v>
      </c>
      <c r="O97">
        <f>499.0480042</f>
        <v>499.04800419999998</v>
      </c>
      <c r="P97">
        <f>512.289978</f>
        <v>512.28997800000002</v>
      </c>
      <c r="Q97">
        <f>469.3059998</f>
        <v>469.3059998</v>
      </c>
      <c r="R97">
        <f>436.3160095</f>
        <v>436.31600950000001</v>
      </c>
      <c r="S97">
        <f>413.3039856</f>
        <v>413.30398559999998</v>
      </c>
    </row>
    <row r="98" spans="1:19" x14ac:dyDescent="0.25">
      <c r="A98" t="str">
        <f>"    Amdocs Ltd"</f>
        <v xml:space="preserve">    Amdocs Ltd</v>
      </c>
      <c r="B98" t="str">
        <f>"DOX US Equity"</f>
        <v>DOX US Equity</v>
      </c>
      <c r="C98" t="str">
        <f t="shared" si="11"/>
        <v>ES014</v>
      </c>
      <c r="D98" t="str">
        <f t="shared" si="12"/>
        <v>ENERGY_CONSUMPTION</v>
      </c>
      <c r="E98" t="str">
        <f t="shared" si="13"/>
        <v>Dynamic</v>
      </c>
      <c r="F98" t="str">
        <f ca="1">IF(AND(ISNUMBER($F$270),$B$165=1),$F$270,HLOOKUP(INDIRECT(ADDRESS(2,COLUMN())),OFFSET($M$2,0,0,ROW()-1,7),ROW()-1,FALSE))</f>
        <v/>
      </c>
      <c r="G98" t="str">
        <f ca="1">IF(AND(ISNUMBER($G$270),$B$165=1),$G$270,HLOOKUP(INDIRECT(ADDRESS(2,COLUMN())),OFFSET($M$2,0,0,ROW()-1,7),ROW()-1,FALSE))</f>
        <v/>
      </c>
      <c r="H98" t="str">
        <f ca="1">IF(AND(ISNUMBER($H$270),$B$165=1),$H$270,HLOOKUP(INDIRECT(ADDRESS(2,COLUMN())),OFFSET($M$2,0,0,ROW()-1,7),ROW()-1,FALSE))</f>
        <v/>
      </c>
      <c r="I98" t="str">
        <f ca="1">IF(AND(ISNUMBER($I$270),$B$165=1),$I$270,HLOOKUP(INDIRECT(ADDRESS(2,COLUMN())),OFFSET($M$2,0,0,ROW()-1,7),ROW()-1,FALSE))</f>
        <v/>
      </c>
      <c r="J98" t="str">
        <f ca="1">IF(AND(ISNUMBER($J$270),$B$165=1),$J$270,HLOOKUP(INDIRECT(ADDRESS(2,COLUMN())),OFFSET($M$2,0,0,ROW()-1,7),ROW()-1,FALSE))</f>
        <v/>
      </c>
      <c r="K98" t="str">
        <f ca="1">IF(AND(ISNUMBER($K$270),$B$165=1),$K$270,HLOOKUP(INDIRECT(ADDRESS(2,COLUMN())),OFFSET($M$2,0,0,ROW()-1,7),ROW()-1,FALSE))</f>
        <v/>
      </c>
      <c r="L98" t="str">
        <f ca="1">IF(AND(ISNUMBER($L$270),$B$165=1),$L$270,HLOOKUP(INDIRECT(ADDRESS(2,COLUMN())),OFFSET($M$2,0,0,ROW()-1,7),ROW()-1,FALSE))</f>
        <v/>
      </c>
      <c r="M98" t="str">
        <f>""</f>
        <v/>
      </c>
      <c r="N98" t="str">
        <f>""</f>
        <v/>
      </c>
      <c r="O98" t="str">
        <f>""</f>
        <v/>
      </c>
      <c r="P98" t="str">
        <f>""</f>
        <v/>
      </c>
      <c r="Q98" t="str">
        <f>""</f>
        <v/>
      </c>
      <c r="R98" t="str">
        <f>""</f>
        <v/>
      </c>
      <c r="S98" t="str">
        <f>""</f>
        <v/>
      </c>
    </row>
    <row r="99" spans="1:19" x14ac:dyDescent="0.25">
      <c r="A99" t="str">
        <f>"    Atos SE"</f>
        <v xml:space="preserve">    Atos SE</v>
      </c>
      <c r="B99" t="str">
        <f>"ATO FP Equity"</f>
        <v>ATO FP Equity</v>
      </c>
      <c r="C99" t="str">
        <f t="shared" si="11"/>
        <v>ES014</v>
      </c>
      <c r="D99" t="str">
        <f t="shared" si="12"/>
        <v>ENERGY_CONSUMPTION</v>
      </c>
      <c r="E99" t="str">
        <f t="shared" si="13"/>
        <v>Dynamic</v>
      </c>
      <c r="F99">
        <f ca="1">IF(AND(ISNUMBER($F$271),$B$165=1),$F$271,HLOOKUP(INDIRECT(ADDRESS(2,COLUMN())),OFFSET($M$2,0,0,ROW()-1,7),ROW()-1,FALSE))</f>
        <v>702.39801030000001</v>
      </c>
      <c r="G99">
        <f ca="1">IF(AND(ISNUMBER($G$271),$B$165=1),$G$271,HLOOKUP(INDIRECT(ADDRESS(2,COLUMN())),OFFSET($M$2,0,0,ROW()-1,7),ROW()-1,FALSE))</f>
        <v>748.26800539999999</v>
      </c>
      <c r="H99">
        <f ca="1">IF(AND(ISNUMBER($H$271),$B$165=1),$H$271,HLOOKUP(INDIRECT(ADDRESS(2,COLUMN())),OFFSET($M$2,0,0,ROW()-1,7),ROW()-1,FALSE))</f>
        <v>774.88897710000003</v>
      </c>
      <c r="I99">
        <f ca="1">IF(AND(ISNUMBER($I$271),$B$165=1),$I$271,HLOOKUP(INDIRECT(ADDRESS(2,COLUMN())),OFFSET($M$2,0,0,ROW()-1,7),ROW()-1,FALSE))</f>
        <v>763.40197750000004</v>
      </c>
      <c r="J99">
        <f ca="1">IF(AND(ISNUMBER($J$271),$B$165=1),$J$271,HLOOKUP(INDIRECT(ADDRESS(2,COLUMN())),OFFSET($M$2,0,0,ROW()-1,7),ROW()-1,FALSE))</f>
        <v>622.42102050000005</v>
      </c>
      <c r="K99">
        <f ca="1">IF(AND(ISNUMBER($K$271),$B$165=1),$K$271,HLOOKUP(INDIRECT(ADDRESS(2,COLUMN())),OFFSET($M$2,0,0,ROW()-1,7),ROW()-1,FALSE))</f>
        <v>575.69000240000003</v>
      </c>
      <c r="L99">
        <f ca="1">IF(AND(ISNUMBER($L$271),$B$165=1),$L$271,HLOOKUP(INDIRECT(ADDRESS(2,COLUMN())),OFFSET($M$2,0,0,ROW()-1,7),ROW()-1,FALSE))</f>
        <v>611.28002930000002</v>
      </c>
      <c r="M99">
        <f>702.3980103</f>
        <v>702.39801030000001</v>
      </c>
      <c r="N99">
        <f>748.2680054</f>
        <v>748.26800539999999</v>
      </c>
      <c r="O99">
        <f>774.8889771</f>
        <v>774.88897710000003</v>
      </c>
      <c r="P99">
        <f>763.4019775</f>
        <v>763.40197750000004</v>
      </c>
      <c r="Q99">
        <f>622.4210205</f>
        <v>622.42102050000005</v>
      </c>
      <c r="R99">
        <f>575.6900024</f>
        <v>575.69000240000003</v>
      </c>
      <c r="S99">
        <f>611.2800293</f>
        <v>611.28002930000002</v>
      </c>
    </row>
    <row r="100" spans="1:19" x14ac:dyDescent="0.25">
      <c r="A100" t="str">
        <f>"    Capgemini SE"</f>
        <v xml:space="preserve">    Capgemini SE</v>
      </c>
      <c r="B100" t="str">
        <f>"CAP FP Equity"</f>
        <v>CAP FP Equity</v>
      </c>
      <c r="C100" t="str">
        <f t="shared" si="11"/>
        <v>ES014</v>
      </c>
      <c r="D100" t="str">
        <f t="shared" si="12"/>
        <v>ENERGY_CONSUMPTION</v>
      </c>
      <c r="E100" t="str">
        <f t="shared" si="13"/>
        <v>Dynamic</v>
      </c>
      <c r="F100">
        <f ca="1">IF(AND(ISNUMBER($F$272),$B$165=1),$F$272,HLOOKUP(INDIRECT(ADDRESS(2,COLUMN())),OFFSET($M$2,0,0,ROW()-1,7),ROW()-1,FALSE))</f>
        <v>368.06799319999999</v>
      </c>
      <c r="G100">
        <f ca="1">IF(AND(ISNUMBER($G$272),$B$165=1),$G$272,HLOOKUP(INDIRECT(ADDRESS(2,COLUMN())),OFFSET($M$2,0,0,ROW()-1,7),ROW()-1,FALSE))</f>
        <v>380.14999390000003</v>
      </c>
      <c r="H100">
        <f ca="1">IF(AND(ISNUMBER($H$272),$B$165=1),$H$272,HLOOKUP(INDIRECT(ADDRESS(2,COLUMN())),OFFSET($M$2,0,0,ROW()-1,7),ROW()-1,FALSE))</f>
        <v>412.31298829999997</v>
      </c>
      <c r="I100">
        <f ca="1">IF(AND(ISNUMBER($I$272),$B$165=1),$I$272,HLOOKUP(INDIRECT(ADDRESS(2,COLUMN())),OFFSET($M$2,0,0,ROW()-1,7),ROW()-1,FALSE))</f>
        <v>418.43200680000001</v>
      </c>
      <c r="J100">
        <f ca="1">IF(AND(ISNUMBER($J$272),$B$165=1),$J$272,HLOOKUP(INDIRECT(ADDRESS(2,COLUMN())),OFFSET($M$2,0,0,ROW()-1,7),ROW()-1,FALSE))</f>
        <v>432.71600339999998</v>
      </c>
      <c r="K100">
        <f ca="1">IF(AND(ISNUMBER($K$272),$B$165=1),$K$272,HLOOKUP(INDIRECT(ADDRESS(2,COLUMN())),OFFSET($M$2,0,0,ROW()-1,7),ROW()-1,FALSE))</f>
        <v>376.66799930000002</v>
      </c>
      <c r="L100">
        <f ca="1">IF(AND(ISNUMBER($L$272),$B$165=1),$L$272,HLOOKUP(INDIRECT(ADDRESS(2,COLUMN())),OFFSET($M$2,0,0,ROW()-1,7),ROW()-1,FALSE))</f>
        <v>392.51098630000001</v>
      </c>
      <c r="M100">
        <f>368.0679932</f>
        <v>368.06799319999999</v>
      </c>
      <c r="N100">
        <f>380.1499939</f>
        <v>380.14999390000003</v>
      </c>
      <c r="O100">
        <f>412.3129883</f>
        <v>412.31298829999997</v>
      </c>
      <c r="P100">
        <f>418.4320068</f>
        <v>418.43200680000001</v>
      </c>
      <c r="Q100">
        <f>432.7160034</f>
        <v>432.71600339999998</v>
      </c>
      <c r="R100">
        <f>376.6679993</f>
        <v>376.66799930000002</v>
      </c>
      <c r="S100">
        <f>392.5109863</f>
        <v>392.51098630000001</v>
      </c>
    </row>
    <row r="101" spans="1:19" x14ac:dyDescent="0.25">
      <c r="A101" t="str">
        <f>"    CGI Inc"</f>
        <v xml:space="preserve">    CGI Inc</v>
      </c>
      <c r="B101" t="str">
        <f>"GIB US Equity"</f>
        <v>GIB US Equity</v>
      </c>
      <c r="C101" t="str">
        <f t="shared" si="11"/>
        <v>ES014</v>
      </c>
      <c r="D101" t="str">
        <f t="shared" si="12"/>
        <v>ENERGY_CONSUMPTION</v>
      </c>
      <c r="E101" t="str">
        <f t="shared" si="13"/>
        <v>Dynamic</v>
      </c>
      <c r="F101" t="str">
        <f ca="1">IF(AND(ISNUMBER($F$273),$B$165=1),$F$273,HLOOKUP(INDIRECT(ADDRESS(2,COLUMN())),OFFSET($M$2,0,0,ROW()-1,7),ROW()-1,FALSE))</f>
        <v/>
      </c>
      <c r="G101" t="str">
        <f ca="1">IF(AND(ISNUMBER($G$273),$B$165=1),$G$273,HLOOKUP(INDIRECT(ADDRESS(2,COLUMN())),OFFSET($M$2,0,0,ROW()-1,7),ROW()-1,FALSE))</f>
        <v/>
      </c>
      <c r="H101" t="str">
        <f ca="1">IF(AND(ISNUMBER($H$273),$B$165=1),$H$273,HLOOKUP(INDIRECT(ADDRESS(2,COLUMN())),OFFSET($M$2,0,0,ROW()-1,7),ROW()-1,FALSE))</f>
        <v/>
      </c>
      <c r="I101" t="str">
        <f ca="1">IF(AND(ISNUMBER($I$273),$B$165=1),$I$273,HLOOKUP(INDIRECT(ADDRESS(2,COLUMN())),OFFSET($M$2,0,0,ROW()-1,7),ROW()-1,FALSE))</f>
        <v/>
      </c>
      <c r="J101" t="str">
        <f ca="1">IF(AND(ISNUMBER($J$273),$B$165=1),$J$273,HLOOKUP(INDIRECT(ADDRESS(2,COLUMN())),OFFSET($M$2,0,0,ROW()-1,7),ROW()-1,FALSE))</f>
        <v/>
      </c>
      <c r="K101">
        <f ca="1">IF(AND(ISNUMBER($K$273),$B$165=1),$K$273,HLOOKUP(INDIRECT(ADDRESS(2,COLUMN())),OFFSET($M$2,0,0,ROW()-1,7),ROW()-1,FALSE))</f>
        <v>303.99301150000002</v>
      </c>
      <c r="L101">
        <f ca="1">IF(AND(ISNUMBER($L$273),$B$165=1),$L$273,HLOOKUP(INDIRECT(ADDRESS(2,COLUMN())),OFFSET($M$2,0,0,ROW()-1,7),ROW()-1,FALSE))</f>
        <v>325.30700680000001</v>
      </c>
      <c r="M101" t="str">
        <f>""</f>
        <v/>
      </c>
      <c r="N101" t="str">
        <f>""</f>
        <v/>
      </c>
      <c r="O101" t="str">
        <f>""</f>
        <v/>
      </c>
      <c r="P101" t="str">
        <f>""</f>
        <v/>
      </c>
      <c r="Q101" t="str">
        <f>""</f>
        <v/>
      </c>
      <c r="R101">
        <f>303.9930115</f>
        <v>303.99301150000002</v>
      </c>
      <c r="S101">
        <f>325.3070068</f>
        <v>325.30700680000001</v>
      </c>
    </row>
    <row r="102" spans="1:19" x14ac:dyDescent="0.25">
      <c r="A102" t="str">
        <f>"    Cognizant Technology Solutions Corp"</f>
        <v xml:space="preserve">    Cognizant Technology Solutions Corp</v>
      </c>
      <c r="B102" t="str">
        <f>"CTSH US Equity"</f>
        <v>CTSH US Equity</v>
      </c>
      <c r="C102" t="str">
        <f t="shared" si="11"/>
        <v>ES014</v>
      </c>
      <c r="D102" t="str">
        <f t="shared" si="12"/>
        <v>ENERGY_CONSUMPTION</v>
      </c>
      <c r="E102" t="str">
        <f t="shared" si="13"/>
        <v>Dynamic</v>
      </c>
      <c r="F102" t="str">
        <f ca="1">IF(AND(ISNUMBER($F$274),$B$165=1),$F$274,HLOOKUP(INDIRECT(ADDRESS(2,COLUMN())),OFFSET($M$2,0,0,ROW()-1,7),ROW()-1,FALSE))</f>
        <v/>
      </c>
      <c r="G102" t="str">
        <f ca="1">IF(AND(ISNUMBER($G$274),$B$165=1),$G$274,HLOOKUP(INDIRECT(ADDRESS(2,COLUMN())),OFFSET($M$2,0,0,ROW()-1,7),ROW()-1,FALSE))</f>
        <v/>
      </c>
      <c r="H102" t="str">
        <f ca="1">IF(AND(ISNUMBER($H$274),$B$165=1),$H$274,HLOOKUP(INDIRECT(ADDRESS(2,COLUMN())),OFFSET($M$2,0,0,ROW()-1,7),ROW()-1,FALSE))</f>
        <v/>
      </c>
      <c r="I102">
        <f ca="1">IF(AND(ISNUMBER($I$274),$B$165=1),$I$274,HLOOKUP(INDIRECT(ADDRESS(2,COLUMN())),OFFSET($M$2,0,0,ROW()-1,7),ROW()-1,FALSE))</f>
        <v>67.455497739999998</v>
      </c>
      <c r="J102">
        <f ca="1">IF(AND(ISNUMBER($J$274),$B$165=1),$J$274,HLOOKUP(INDIRECT(ADDRESS(2,COLUMN())),OFFSET($M$2,0,0,ROW()-1,7),ROW()-1,FALSE))</f>
        <v>300.61401369999999</v>
      </c>
      <c r="K102">
        <f ca="1">IF(AND(ISNUMBER($K$274),$B$165=1),$K$274,HLOOKUP(INDIRECT(ADDRESS(2,COLUMN())),OFFSET($M$2,0,0,ROW()-1,7),ROW()-1,FALSE))</f>
        <v>301.01699830000001</v>
      </c>
      <c r="L102">
        <f ca="1">IF(AND(ISNUMBER($L$274),$B$165=1),$L$274,HLOOKUP(INDIRECT(ADDRESS(2,COLUMN())),OFFSET($M$2,0,0,ROW()-1,7),ROW()-1,FALSE))</f>
        <v>259.06201170000003</v>
      </c>
      <c r="M102" t="str">
        <f>""</f>
        <v/>
      </c>
      <c r="N102" t="str">
        <f>""</f>
        <v/>
      </c>
      <c r="O102" t="str">
        <f>""</f>
        <v/>
      </c>
      <c r="P102">
        <f>67.45549774</f>
        <v>67.455497739999998</v>
      </c>
      <c r="Q102">
        <f>300.6140137</f>
        <v>300.61401369999999</v>
      </c>
      <c r="R102">
        <f>301.0169983</f>
        <v>301.01699830000001</v>
      </c>
      <c r="S102">
        <f>259.0620117</f>
        <v>259.06201170000003</v>
      </c>
    </row>
    <row r="103" spans="1:19" x14ac:dyDescent="0.25">
      <c r="A103" t="str">
        <f>"    Conduent Inc"</f>
        <v xml:space="preserve">    Conduent Inc</v>
      </c>
      <c r="B103" t="str">
        <f>"CNDT US Equity"</f>
        <v>CNDT US Equity</v>
      </c>
      <c r="C103" t="str">
        <f t="shared" si="11"/>
        <v>ES014</v>
      </c>
      <c r="D103" t="str">
        <f t="shared" si="12"/>
        <v>ENERGY_CONSUMPTION</v>
      </c>
      <c r="E103" t="str">
        <f t="shared" si="13"/>
        <v>Dynamic</v>
      </c>
      <c r="F103" t="str">
        <f ca="1">IF(AND(ISNUMBER($F$275),$B$165=1),$F$275,HLOOKUP(INDIRECT(ADDRESS(2,COLUMN())),OFFSET($M$2,0,0,ROW()-1,7),ROW()-1,FALSE))</f>
        <v/>
      </c>
      <c r="G103" t="str">
        <f ca="1">IF(AND(ISNUMBER($G$275),$B$165=1),$G$275,HLOOKUP(INDIRECT(ADDRESS(2,COLUMN())),OFFSET($M$2,0,0,ROW()-1,7),ROW()-1,FALSE))</f>
        <v/>
      </c>
      <c r="H103" t="str">
        <f ca="1">IF(AND(ISNUMBER($H$275),$B$165=1),$H$275,HLOOKUP(INDIRECT(ADDRESS(2,COLUMN())),OFFSET($M$2,0,0,ROW()-1,7),ROW()-1,FALSE))</f>
        <v/>
      </c>
      <c r="I103" t="str">
        <f ca="1">IF(AND(ISNUMBER($I$275),$B$165=1),$I$275,HLOOKUP(INDIRECT(ADDRESS(2,COLUMN())),OFFSET($M$2,0,0,ROW()-1,7),ROW()-1,FALSE))</f>
        <v/>
      </c>
      <c r="J103" t="str">
        <f ca="1">IF(AND(ISNUMBER($J$275),$B$165=1),$J$275,HLOOKUP(INDIRECT(ADDRESS(2,COLUMN())),OFFSET($M$2,0,0,ROW()-1,7),ROW()-1,FALSE))</f>
        <v/>
      </c>
      <c r="K103" t="str">
        <f ca="1">IF(AND(ISNUMBER($K$275),$B$165=1),$K$275,HLOOKUP(INDIRECT(ADDRESS(2,COLUMN())),OFFSET($M$2,0,0,ROW()-1,7),ROW()-1,FALSE))</f>
        <v/>
      </c>
      <c r="L103" t="str">
        <f ca="1">IF(AND(ISNUMBER($L$275),$B$165=1),$L$275,HLOOKUP(INDIRECT(ADDRESS(2,COLUMN())),OFFSET($M$2,0,0,ROW()-1,7),ROW()-1,FALSE))</f>
        <v/>
      </c>
      <c r="M103" t="str">
        <f>""</f>
        <v/>
      </c>
      <c r="N103" t="str">
        <f>""</f>
        <v/>
      </c>
      <c r="O103" t="str">
        <f>""</f>
        <v/>
      </c>
      <c r="P103" t="str">
        <f>""</f>
        <v/>
      </c>
      <c r="Q103" t="str">
        <f>""</f>
        <v/>
      </c>
      <c r="R103" t="str">
        <f>""</f>
        <v/>
      </c>
      <c r="S103" t="str">
        <f>""</f>
        <v/>
      </c>
    </row>
    <row r="104" spans="1:19" x14ac:dyDescent="0.25">
      <c r="A104" t="str">
        <f>"    DXC Technology Co"</f>
        <v xml:space="preserve">    DXC Technology Co</v>
      </c>
      <c r="B104" t="str">
        <f>"DXC US Equity"</f>
        <v>DXC US Equity</v>
      </c>
      <c r="C104" t="str">
        <f t="shared" si="11"/>
        <v>ES014</v>
      </c>
      <c r="D104" t="str">
        <f t="shared" si="12"/>
        <v>ENERGY_CONSUMPTION</v>
      </c>
      <c r="E104" t="str">
        <f t="shared" si="13"/>
        <v>Dynamic</v>
      </c>
      <c r="F104" t="str">
        <f ca="1">IF(AND(ISNUMBER($F$276),$B$165=1),$F$276,HLOOKUP(INDIRECT(ADDRESS(2,COLUMN())),OFFSET($M$2,0,0,ROW()-1,7),ROW()-1,FALSE))</f>
        <v/>
      </c>
      <c r="G104">
        <f ca="1">IF(AND(ISNUMBER($G$276),$B$165=1),$G$276,HLOOKUP(INDIRECT(ADDRESS(2,COLUMN())),OFFSET($M$2,0,0,ROW()-1,7),ROW()-1,FALSE))</f>
        <v>1867.920044</v>
      </c>
      <c r="H104">
        <f ca="1">IF(AND(ISNUMBER($H$276),$B$165=1),$H$276,HLOOKUP(INDIRECT(ADDRESS(2,COLUMN())),OFFSET($M$2,0,0,ROW()-1,7),ROW()-1,FALSE))</f>
        <v>2184.9099120000001</v>
      </c>
      <c r="I104" t="str">
        <f ca="1">IF(AND(ISNUMBER($I$276),$B$165=1),$I$276,HLOOKUP(INDIRECT(ADDRESS(2,COLUMN())),OFFSET($M$2,0,0,ROW()-1,7),ROW()-1,FALSE))</f>
        <v/>
      </c>
      <c r="J104" t="str">
        <f ca="1">IF(AND(ISNUMBER($J$276),$B$165=1),$J$276,HLOOKUP(INDIRECT(ADDRESS(2,COLUMN())),OFFSET($M$2,0,0,ROW()-1,7),ROW()-1,FALSE))</f>
        <v/>
      </c>
      <c r="K104" t="str">
        <f ca="1">IF(AND(ISNUMBER($K$276),$B$165=1),$K$276,HLOOKUP(INDIRECT(ADDRESS(2,COLUMN())),OFFSET($M$2,0,0,ROW()-1,7),ROW()-1,FALSE))</f>
        <v/>
      </c>
      <c r="L104" t="str">
        <f ca="1">IF(AND(ISNUMBER($L$276),$B$165=1),$L$276,HLOOKUP(INDIRECT(ADDRESS(2,COLUMN())),OFFSET($M$2,0,0,ROW()-1,7),ROW()-1,FALSE))</f>
        <v/>
      </c>
      <c r="M104" t="str">
        <f>""</f>
        <v/>
      </c>
      <c r="N104">
        <f>1867.920044</f>
        <v>1867.920044</v>
      </c>
      <c r="O104">
        <f>2184.909912</f>
        <v>2184.9099120000001</v>
      </c>
      <c r="P104" t="str">
        <f>""</f>
        <v/>
      </c>
      <c r="Q104" t="str">
        <f>""</f>
        <v/>
      </c>
      <c r="R104" t="str">
        <f>""</f>
        <v/>
      </c>
      <c r="S104" t="str">
        <f>""</f>
        <v/>
      </c>
    </row>
    <row r="105" spans="1:19" x14ac:dyDescent="0.25">
      <c r="A105" t="str">
        <f>"    EPAM Systems Inc"</f>
        <v xml:space="preserve">    EPAM Systems Inc</v>
      </c>
      <c r="B105" t="str">
        <f>"EPAM US Equity"</f>
        <v>EPAM US Equity</v>
      </c>
      <c r="C105" t="str">
        <f t="shared" si="11"/>
        <v>ES014</v>
      </c>
      <c r="D105" t="str">
        <f t="shared" si="12"/>
        <v>ENERGY_CONSUMPTION</v>
      </c>
      <c r="E105" t="str">
        <f t="shared" si="13"/>
        <v>Dynamic</v>
      </c>
      <c r="F105" t="str">
        <f ca="1">IF(AND(ISNUMBER($F$277),$B$165=1),$F$277,HLOOKUP(INDIRECT(ADDRESS(2,COLUMN())),OFFSET($M$2,0,0,ROW()-1,7),ROW()-1,FALSE))</f>
        <v/>
      </c>
      <c r="G105" t="str">
        <f ca="1">IF(AND(ISNUMBER($G$277),$B$165=1),$G$277,HLOOKUP(INDIRECT(ADDRESS(2,COLUMN())),OFFSET($M$2,0,0,ROW()-1,7),ROW()-1,FALSE))</f>
        <v/>
      </c>
      <c r="H105" t="str">
        <f ca="1">IF(AND(ISNUMBER($H$277),$B$165=1),$H$277,HLOOKUP(INDIRECT(ADDRESS(2,COLUMN())),OFFSET($M$2,0,0,ROW()-1,7),ROW()-1,FALSE))</f>
        <v/>
      </c>
      <c r="I105" t="str">
        <f ca="1">IF(AND(ISNUMBER($I$277),$B$165=1),$I$277,HLOOKUP(INDIRECT(ADDRESS(2,COLUMN())),OFFSET($M$2,0,0,ROW()-1,7),ROW()-1,FALSE))</f>
        <v/>
      </c>
      <c r="J105" t="str">
        <f ca="1">IF(AND(ISNUMBER($J$277),$B$165=1),$J$277,HLOOKUP(INDIRECT(ADDRESS(2,COLUMN())),OFFSET($M$2,0,0,ROW()-1,7),ROW()-1,FALSE))</f>
        <v/>
      </c>
      <c r="K105" t="str">
        <f ca="1">IF(AND(ISNUMBER($K$277),$B$165=1),$K$277,HLOOKUP(INDIRECT(ADDRESS(2,COLUMN())),OFFSET($M$2,0,0,ROW()-1,7),ROW()-1,FALSE))</f>
        <v/>
      </c>
      <c r="L105" t="str">
        <f ca="1">IF(AND(ISNUMBER($L$277),$B$165=1),$L$277,HLOOKUP(INDIRECT(ADDRESS(2,COLUMN())),OFFSET($M$2,0,0,ROW()-1,7),ROW()-1,FALSE))</f>
        <v/>
      </c>
      <c r="M105" t="str">
        <f>""</f>
        <v/>
      </c>
      <c r="N105" t="str">
        <f>""</f>
        <v/>
      </c>
      <c r="O105" t="str">
        <f>""</f>
        <v/>
      </c>
      <c r="P105" t="str">
        <f>""</f>
        <v/>
      </c>
      <c r="Q105" t="str">
        <f>""</f>
        <v/>
      </c>
      <c r="R105" t="str">
        <f>""</f>
        <v/>
      </c>
      <c r="S105" t="str">
        <f>""</f>
        <v/>
      </c>
    </row>
    <row r="106" spans="1:19" x14ac:dyDescent="0.25">
      <c r="A106" t="str">
        <f>"    Genpact Ltd"</f>
        <v xml:space="preserve">    Genpact Ltd</v>
      </c>
      <c r="B106" t="str">
        <f>"G US Equity"</f>
        <v>G US Equity</v>
      </c>
      <c r="C106" t="str">
        <f t="shared" si="11"/>
        <v>ES014</v>
      </c>
      <c r="D106" t="str">
        <f t="shared" si="12"/>
        <v>ENERGY_CONSUMPTION</v>
      </c>
      <c r="E106" t="str">
        <f t="shared" si="13"/>
        <v>Dynamic</v>
      </c>
      <c r="F106" t="str">
        <f ca="1">IF(AND(ISNUMBER($F$278),$B$165=1),$F$278,HLOOKUP(INDIRECT(ADDRESS(2,COLUMN())),OFFSET($M$2,0,0,ROW()-1,7),ROW()-1,FALSE))</f>
        <v/>
      </c>
      <c r="G106" t="str">
        <f ca="1">IF(AND(ISNUMBER($G$278),$B$165=1),$G$278,HLOOKUP(INDIRECT(ADDRESS(2,COLUMN())),OFFSET($M$2,0,0,ROW()-1,7),ROW()-1,FALSE))</f>
        <v/>
      </c>
      <c r="H106">
        <f ca="1">IF(AND(ISNUMBER($H$278),$B$165=1),$H$278,HLOOKUP(INDIRECT(ADDRESS(2,COLUMN())),OFFSET($M$2,0,0,ROW()-1,7),ROW()-1,FALSE))</f>
        <v>102.7360001</v>
      </c>
      <c r="I106">
        <f ca="1">IF(AND(ISNUMBER($I$278),$B$165=1),$I$278,HLOOKUP(INDIRECT(ADDRESS(2,COLUMN())),OFFSET($M$2,0,0,ROW()-1,7),ROW()-1,FALSE))</f>
        <v>94.292503359999998</v>
      </c>
      <c r="J106">
        <f ca="1">IF(AND(ISNUMBER($J$278),$B$165=1),$J$278,HLOOKUP(INDIRECT(ADDRESS(2,COLUMN())),OFFSET($M$2,0,0,ROW()-1,7),ROW()-1,FALSE))</f>
        <v>98.904403689999995</v>
      </c>
      <c r="K106" t="str">
        <f ca="1">IF(AND(ISNUMBER($K$278),$B$165=1),$K$278,HLOOKUP(INDIRECT(ADDRESS(2,COLUMN())),OFFSET($M$2,0,0,ROW()-1,7),ROW()-1,FALSE))</f>
        <v/>
      </c>
      <c r="L106">
        <f ca="1">IF(AND(ISNUMBER($L$278),$B$165=1),$L$278,HLOOKUP(INDIRECT(ADDRESS(2,COLUMN())),OFFSET($M$2,0,0,ROW()-1,7),ROW()-1,FALSE))</f>
        <v>90.777801510000003</v>
      </c>
      <c r="M106" t="str">
        <f>""</f>
        <v/>
      </c>
      <c r="N106" t="str">
        <f>""</f>
        <v/>
      </c>
      <c r="O106">
        <f>102.7360001</f>
        <v>102.7360001</v>
      </c>
      <c r="P106">
        <f>94.29250336</f>
        <v>94.292503359999998</v>
      </c>
      <c r="Q106">
        <f>98.90440369</f>
        <v>98.904403689999995</v>
      </c>
      <c r="R106" t="str">
        <f>""</f>
        <v/>
      </c>
      <c r="S106">
        <f>90.77780151</f>
        <v>90.777801510000003</v>
      </c>
    </row>
    <row r="107" spans="1:19" x14ac:dyDescent="0.25">
      <c r="A107" t="str">
        <f>"    HCL Technologies Ltd"</f>
        <v xml:space="preserve">    HCL Technologies Ltd</v>
      </c>
      <c r="B107" t="str">
        <f>"HCLT IN Equity"</f>
        <v>HCLT IN Equity</v>
      </c>
      <c r="C107" t="str">
        <f t="shared" si="11"/>
        <v>ES014</v>
      </c>
      <c r="D107" t="str">
        <f t="shared" si="12"/>
        <v>ENERGY_CONSUMPTION</v>
      </c>
      <c r="E107" t="str">
        <f t="shared" si="13"/>
        <v>Dynamic</v>
      </c>
      <c r="F107" t="str">
        <f ca="1">IF(AND(ISNUMBER($F$279),$B$165=1),$F$279,HLOOKUP(INDIRECT(ADDRESS(2,COLUMN())),OFFSET($M$2,0,0,ROW()-1,7),ROW()-1,FALSE))</f>
        <v/>
      </c>
      <c r="G107" t="str">
        <f ca="1">IF(AND(ISNUMBER($G$279),$B$165=1),$G$279,HLOOKUP(INDIRECT(ADDRESS(2,COLUMN())),OFFSET($M$2,0,0,ROW()-1,7),ROW()-1,FALSE))</f>
        <v/>
      </c>
      <c r="H107" t="str">
        <f ca="1">IF(AND(ISNUMBER($H$279),$B$165=1),$H$279,HLOOKUP(INDIRECT(ADDRESS(2,COLUMN())),OFFSET($M$2,0,0,ROW()-1,7),ROW()-1,FALSE))</f>
        <v/>
      </c>
      <c r="I107" t="str">
        <f ca="1">IF(AND(ISNUMBER($I$279),$B$165=1),$I$279,HLOOKUP(INDIRECT(ADDRESS(2,COLUMN())),OFFSET($M$2,0,0,ROW()-1,7),ROW()-1,FALSE))</f>
        <v/>
      </c>
      <c r="J107">
        <f ca="1">IF(AND(ISNUMBER($J$279),$B$165=1),$J$279,HLOOKUP(INDIRECT(ADDRESS(2,COLUMN())),OFFSET($M$2,0,0,ROW()-1,7),ROW()-1,FALSE))</f>
        <v>296.51199339999999</v>
      </c>
      <c r="K107" t="str">
        <f ca="1">IF(AND(ISNUMBER($K$279),$B$165=1),$K$279,HLOOKUP(INDIRECT(ADDRESS(2,COLUMN())),OFFSET($M$2,0,0,ROW()-1,7),ROW()-1,FALSE))</f>
        <v/>
      </c>
      <c r="L107">
        <f ca="1">IF(AND(ISNUMBER($L$279),$B$165=1),$L$279,HLOOKUP(INDIRECT(ADDRESS(2,COLUMN())),OFFSET($M$2,0,0,ROW()-1,7),ROW()-1,FALSE))</f>
        <v>309.26000979999998</v>
      </c>
      <c r="M107" t="str">
        <f>""</f>
        <v/>
      </c>
      <c r="N107" t="str">
        <f>""</f>
        <v/>
      </c>
      <c r="O107" t="str">
        <f>""</f>
        <v/>
      </c>
      <c r="P107" t="str">
        <f>""</f>
        <v/>
      </c>
      <c r="Q107">
        <f>296.5119934</f>
        <v>296.51199339999999</v>
      </c>
      <c r="R107" t="str">
        <f>""</f>
        <v/>
      </c>
      <c r="S107">
        <f>309.2600098</f>
        <v>309.26000979999998</v>
      </c>
    </row>
    <row r="108" spans="1:19" x14ac:dyDescent="0.25">
      <c r="A108" t="str">
        <f>"    Indra Sistemas SA"</f>
        <v xml:space="preserve">    Indra Sistemas SA</v>
      </c>
      <c r="B108" t="str">
        <f>"IDR SM Equity"</f>
        <v>IDR SM Equity</v>
      </c>
      <c r="C108" t="str">
        <f t="shared" si="11"/>
        <v>ES014</v>
      </c>
      <c r="D108" t="str">
        <f t="shared" si="12"/>
        <v>ENERGY_CONSUMPTION</v>
      </c>
      <c r="E108" t="str">
        <f t="shared" si="13"/>
        <v>Dynamic</v>
      </c>
      <c r="F108">
        <f ca="1">IF(AND(ISNUMBER($F$280),$B$165=1),$F$280,HLOOKUP(INDIRECT(ADDRESS(2,COLUMN())),OFFSET($M$2,0,0,ROW()-1,7),ROW()-1,FALSE))</f>
        <v>81.64949799</v>
      </c>
      <c r="G108">
        <f ca="1">IF(AND(ISNUMBER($G$280),$B$165=1),$G$280,HLOOKUP(INDIRECT(ADDRESS(2,COLUMN())),OFFSET($M$2,0,0,ROW()-1,7),ROW()-1,FALSE))</f>
        <v>82.207901000000007</v>
      </c>
      <c r="H108">
        <f ca="1">IF(AND(ISNUMBER($H$280),$B$165=1),$H$280,HLOOKUP(INDIRECT(ADDRESS(2,COLUMN())),OFFSET($M$2,0,0,ROW()-1,7),ROW()-1,FALSE))</f>
        <v>76.08159637</v>
      </c>
      <c r="I108">
        <f ca="1">IF(AND(ISNUMBER($I$280),$B$165=1),$I$280,HLOOKUP(INDIRECT(ADDRESS(2,COLUMN())),OFFSET($M$2,0,0,ROW()-1,7),ROW()-1,FALSE))</f>
        <v>77.636703490000002</v>
      </c>
      <c r="J108">
        <f ca="1">IF(AND(ISNUMBER($J$280),$B$165=1),$J$280,HLOOKUP(INDIRECT(ADDRESS(2,COLUMN())),OFFSET($M$2,0,0,ROW()-1,7),ROW()-1,FALSE))</f>
        <v>86.152496339999999</v>
      </c>
      <c r="K108">
        <f ca="1">IF(AND(ISNUMBER($K$280),$B$165=1),$K$280,HLOOKUP(INDIRECT(ADDRESS(2,COLUMN())),OFFSET($M$2,0,0,ROW()-1,7),ROW()-1,FALSE))</f>
        <v>91.710800169999999</v>
      </c>
      <c r="L108">
        <f ca="1">IF(AND(ISNUMBER($L$280),$B$165=1),$L$280,HLOOKUP(INDIRECT(ADDRESS(2,COLUMN())),OFFSET($M$2,0,0,ROW()-1,7),ROW()-1,FALSE))</f>
        <v>104.8519974</v>
      </c>
      <c r="M108">
        <f>81.64949799</f>
        <v>81.64949799</v>
      </c>
      <c r="N108">
        <f>82.207901</f>
        <v>82.207901000000007</v>
      </c>
      <c r="O108">
        <f>76.08159637</f>
        <v>76.08159637</v>
      </c>
      <c r="P108">
        <f>77.63670349</f>
        <v>77.636703490000002</v>
      </c>
      <c r="Q108">
        <f>86.15249634</f>
        <v>86.152496339999999</v>
      </c>
      <c r="R108">
        <f>91.71080017</f>
        <v>91.710800169999999</v>
      </c>
      <c r="S108">
        <f>104.8519974</f>
        <v>104.8519974</v>
      </c>
    </row>
    <row r="109" spans="1:19" x14ac:dyDescent="0.25">
      <c r="A109" t="str">
        <f>"    Infosys Ltd"</f>
        <v xml:space="preserve">    Infosys Ltd</v>
      </c>
      <c r="B109" t="str">
        <f>"INFY US Equity"</f>
        <v>INFY US Equity</v>
      </c>
      <c r="C109" t="str">
        <f t="shared" si="11"/>
        <v>ES014</v>
      </c>
      <c r="D109" t="str">
        <f t="shared" si="12"/>
        <v>ENERGY_CONSUMPTION</v>
      </c>
      <c r="E109" t="str">
        <f t="shared" si="13"/>
        <v>Dynamic</v>
      </c>
      <c r="F109">
        <f ca="1">IF(AND(ISNUMBER($F$281),$B$165=1),$F$281,HLOOKUP(INDIRECT(ADDRESS(2,COLUMN())),OFFSET($M$2,0,0,ROW()-1,7),ROW()-1,FALSE))</f>
        <v>286.0490112</v>
      </c>
      <c r="G109">
        <f ca="1">IF(AND(ISNUMBER($G$281),$B$165=1),$G$281,HLOOKUP(INDIRECT(ADDRESS(2,COLUMN())),OFFSET($M$2,0,0,ROW()-1,7),ROW()-1,FALSE))</f>
        <v>278.70400999999998</v>
      </c>
      <c r="H109">
        <f ca="1">IF(AND(ISNUMBER($H$281),$B$165=1),$H$281,HLOOKUP(INDIRECT(ADDRESS(2,COLUMN())),OFFSET($M$2,0,0,ROW()-1,7),ROW()-1,FALSE))</f>
        <v>263.48199460000001</v>
      </c>
      <c r="I109">
        <f ca="1">IF(AND(ISNUMBER($I$281),$B$165=1),$I$281,HLOOKUP(INDIRECT(ADDRESS(2,COLUMN())),OFFSET($M$2,0,0,ROW()-1,7),ROW()-1,FALSE))</f>
        <v>266.57299799999998</v>
      </c>
      <c r="J109">
        <f ca="1">IF(AND(ISNUMBER($J$281),$B$165=1),$J$281,HLOOKUP(INDIRECT(ADDRESS(2,COLUMN())),OFFSET($M$2,0,0,ROW()-1,7),ROW()-1,FALSE))</f>
        <v>265.89300539999999</v>
      </c>
      <c r="K109">
        <f ca="1">IF(AND(ISNUMBER($K$281),$B$165=1),$K$281,HLOOKUP(INDIRECT(ADDRESS(2,COLUMN())),OFFSET($M$2,0,0,ROW()-1,7),ROW()-1,FALSE))</f>
        <v>257.5759888</v>
      </c>
      <c r="L109">
        <f ca="1">IF(AND(ISNUMBER($L$281),$B$165=1),$L$281,HLOOKUP(INDIRECT(ADDRESS(2,COLUMN())),OFFSET($M$2,0,0,ROW()-1,7),ROW()-1,FALSE))</f>
        <v>284.4100037</v>
      </c>
      <c r="M109">
        <f>286.0490112</f>
        <v>286.0490112</v>
      </c>
      <c r="N109">
        <f>278.70401</f>
        <v>278.70400999999998</v>
      </c>
      <c r="O109">
        <f>263.4819946</f>
        <v>263.48199460000001</v>
      </c>
      <c r="P109">
        <f>266.572998</f>
        <v>266.57299799999998</v>
      </c>
      <c r="Q109">
        <f>265.8930054</f>
        <v>265.89300539999999</v>
      </c>
      <c r="R109">
        <f>257.5759888</f>
        <v>257.5759888</v>
      </c>
      <c r="S109">
        <f>284.4100037</f>
        <v>284.4100037</v>
      </c>
    </row>
    <row r="110" spans="1:19" x14ac:dyDescent="0.25">
      <c r="A110" t="str">
        <f>"    International Business Machines Corp"</f>
        <v xml:space="preserve">    International Business Machines Corp</v>
      </c>
      <c r="B110" t="str">
        <f>"IBM US Equity"</f>
        <v>IBM US Equity</v>
      </c>
      <c r="C110" t="str">
        <f t="shared" si="11"/>
        <v>ES014</v>
      </c>
      <c r="D110" t="str">
        <f t="shared" si="12"/>
        <v>ENERGY_CONSUMPTION</v>
      </c>
      <c r="E110" t="str">
        <f t="shared" si="13"/>
        <v>Dynamic</v>
      </c>
      <c r="F110" t="str">
        <f ca="1">IF(AND(ISNUMBER($F$282),$B$165=1),$F$282,HLOOKUP(INDIRECT(ADDRESS(2,COLUMN())),OFFSET($M$2,0,0,ROW()-1,7),ROW()-1,FALSE))</f>
        <v/>
      </c>
      <c r="G110">
        <f ca="1">IF(AND(ISNUMBER($G$282),$B$165=1),$G$282,HLOOKUP(INDIRECT(ADDRESS(2,COLUMN())),OFFSET($M$2,0,0,ROW()-1,7),ROW()-1,FALSE))</f>
        <v>4666.5097660000001</v>
      </c>
      <c r="H110">
        <f ca="1">IF(AND(ISNUMBER($H$282),$B$165=1),$H$282,HLOOKUP(INDIRECT(ADDRESS(2,COLUMN())),OFFSET($M$2,0,0,ROW()-1,7),ROW()-1,FALSE))</f>
        <v>4192.5200199999999</v>
      </c>
      <c r="I110">
        <f ca="1">IF(AND(ISNUMBER($I$282),$B$165=1),$I$282,HLOOKUP(INDIRECT(ADDRESS(2,COLUMN())),OFFSET($M$2,0,0,ROW()-1,7),ROW()-1,FALSE))</f>
        <v>4373.5400390000004</v>
      </c>
      <c r="J110">
        <f ca="1">IF(AND(ISNUMBER($J$282),$B$165=1),$J$282,HLOOKUP(INDIRECT(ADDRESS(2,COLUMN())),OFFSET($M$2,0,0,ROW()-1,7),ROW()-1,FALSE))</f>
        <v>5375.7299800000001</v>
      </c>
      <c r="K110">
        <f ca="1">IF(AND(ISNUMBER($K$282),$B$165=1),$K$282,HLOOKUP(INDIRECT(ADDRESS(2,COLUMN())),OFFSET($M$2,0,0,ROW()-1,7),ROW()-1,FALSE))</f>
        <v>6173.3999020000001</v>
      </c>
      <c r="L110">
        <f ca="1">IF(AND(ISNUMBER($L$282),$B$165=1),$L$282,HLOOKUP(INDIRECT(ADDRESS(2,COLUMN())),OFFSET($M$2,0,0,ROW()-1,7),ROW()-1,FALSE))</f>
        <v>6297.2998049999997</v>
      </c>
      <c r="M110" t="str">
        <f>""</f>
        <v/>
      </c>
      <c r="N110">
        <f>4666.509766</f>
        <v>4666.5097660000001</v>
      </c>
      <c r="O110">
        <f>4192.52002</f>
        <v>4192.5200199999999</v>
      </c>
      <c r="P110">
        <f>4373.540039</f>
        <v>4373.5400390000004</v>
      </c>
      <c r="Q110">
        <f>5375.72998</f>
        <v>5375.7299800000001</v>
      </c>
      <c r="R110">
        <f>6173.399902</f>
        <v>6173.3999020000001</v>
      </c>
      <c r="S110">
        <f>6297.299805</f>
        <v>6297.2998049999997</v>
      </c>
    </row>
    <row r="111" spans="1:19" x14ac:dyDescent="0.25">
      <c r="A111" t="str">
        <f>"    Tata Consultancy Services Ltd"</f>
        <v xml:space="preserve">    Tata Consultancy Services Ltd</v>
      </c>
      <c r="B111" t="str">
        <f>"TCS IN Equity"</f>
        <v>TCS IN Equity</v>
      </c>
      <c r="C111" t="str">
        <f t="shared" si="11"/>
        <v>ES014</v>
      </c>
      <c r="D111" t="str">
        <f t="shared" si="12"/>
        <v>ENERGY_CONSUMPTION</v>
      </c>
      <c r="E111" t="str">
        <f t="shared" si="13"/>
        <v>Dynamic</v>
      </c>
      <c r="F111" t="str">
        <f ca="1">IF(AND(ISNUMBER($F$283),$B$165=1),$F$283,HLOOKUP(INDIRECT(ADDRESS(2,COLUMN())),OFFSET($M$2,0,0,ROW()-1,7),ROW()-1,FALSE))</f>
        <v/>
      </c>
      <c r="G111" t="str">
        <f ca="1">IF(AND(ISNUMBER($G$283),$B$165=1),$G$283,HLOOKUP(INDIRECT(ADDRESS(2,COLUMN())),OFFSET($M$2,0,0,ROW()-1,7),ROW()-1,FALSE))</f>
        <v/>
      </c>
      <c r="H111">
        <f ca="1">IF(AND(ISNUMBER($H$283),$B$165=1),$H$283,HLOOKUP(INDIRECT(ADDRESS(2,COLUMN())),OFFSET($M$2,0,0,ROW()-1,7),ROW()-1,FALSE))</f>
        <v>1206.1099850000001</v>
      </c>
      <c r="I111">
        <f ca="1">IF(AND(ISNUMBER($I$283),$B$165=1),$I$283,HLOOKUP(INDIRECT(ADDRESS(2,COLUMN())),OFFSET($M$2,0,0,ROW()-1,7),ROW()-1,FALSE))</f>
        <v>638.88897710000003</v>
      </c>
      <c r="J111">
        <f ca="1">IF(AND(ISNUMBER($J$283),$B$165=1),$J$283,HLOOKUP(INDIRECT(ADDRESS(2,COLUMN())),OFFSET($M$2,0,0,ROW()-1,7),ROW()-1,FALSE))</f>
        <v>669.37597659999994</v>
      </c>
      <c r="K111">
        <f ca="1">IF(AND(ISNUMBER($K$283),$B$165=1),$K$283,HLOOKUP(INDIRECT(ADDRESS(2,COLUMN())),OFFSET($M$2,0,0,ROW()-1,7),ROW()-1,FALSE))</f>
        <v>692.36798099999999</v>
      </c>
      <c r="L111">
        <f ca="1">IF(AND(ISNUMBER($L$283),$B$165=1),$L$283,HLOOKUP(INDIRECT(ADDRESS(2,COLUMN())),OFFSET($M$2,0,0,ROW()-1,7),ROW()-1,FALSE))</f>
        <v>610.78698729999996</v>
      </c>
      <c r="M111" t="str">
        <f>""</f>
        <v/>
      </c>
      <c r="N111" t="str">
        <f>""</f>
        <v/>
      </c>
      <c r="O111">
        <f>1206.109985</f>
        <v>1206.1099850000001</v>
      </c>
      <c r="P111">
        <f>638.8889771</f>
        <v>638.88897710000003</v>
      </c>
      <c r="Q111">
        <f>669.3759766</f>
        <v>669.37597659999994</v>
      </c>
      <c r="R111">
        <f>692.367981</f>
        <v>692.36798099999999</v>
      </c>
      <c r="S111">
        <f>610.7869873</f>
        <v>610.78698729999996</v>
      </c>
    </row>
    <row r="112" spans="1:19" x14ac:dyDescent="0.25">
      <c r="A112" t="str">
        <f>"    Tech Mahindra Ltd"</f>
        <v xml:space="preserve">    Tech Mahindra Ltd</v>
      </c>
      <c r="B112" t="str">
        <f>"TECHM IN Equity"</f>
        <v>TECHM IN Equity</v>
      </c>
      <c r="C112" t="str">
        <f t="shared" si="11"/>
        <v>ES014</v>
      </c>
      <c r="D112" t="str">
        <f t="shared" si="12"/>
        <v>ENERGY_CONSUMPTION</v>
      </c>
      <c r="E112" t="str">
        <f t="shared" si="13"/>
        <v>Dynamic</v>
      </c>
      <c r="F112" t="str">
        <f ca="1">IF(AND(ISNUMBER($F$284),$B$165=1),$F$284,HLOOKUP(INDIRECT(ADDRESS(2,COLUMN())),OFFSET($M$2,0,0,ROW()-1,7),ROW()-1,FALSE))</f>
        <v/>
      </c>
      <c r="G112" t="str">
        <f ca="1">IF(AND(ISNUMBER($G$284),$B$165=1),$G$284,HLOOKUP(INDIRECT(ADDRESS(2,COLUMN())),OFFSET($M$2,0,0,ROW()-1,7),ROW()-1,FALSE))</f>
        <v/>
      </c>
      <c r="H112">
        <f ca="1">IF(AND(ISNUMBER($H$284),$B$165=1),$H$284,HLOOKUP(INDIRECT(ADDRESS(2,COLUMN())),OFFSET($M$2,0,0,ROW()-1,7),ROW()-1,FALSE))</f>
        <v>160.72999569999999</v>
      </c>
      <c r="I112">
        <f ca="1">IF(AND(ISNUMBER($I$284),$B$165=1),$I$284,HLOOKUP(INDIRECT(ADDRESS(2,COLUMN())),OFFSET($M$2,0,0,ROW()-1,7),ROW()-1,FALSE))</f>
        <v>160.4060059</v>
      </c>
      <c r="J112">
        <f ca="1">IF(AND(ISNUMBER($J$284),$B$165=1),$J$284,HLOOKUP(INDIRECT(ADDRESS(2,COLUMN())),OFFSET($M$2,0,0,ROW()-1,7),ROW()-1,FALSE))</f>
        <v>155.24299619999999</v>
      </c>
      <c r="K112">
        <f ca="1">IF(AND(ISNUMBER($K$284),$B$165=1),$K$284,HLOOKUP(INDIRECT(ADDRESS(2,COLUMN())),OFFSET($M$2,0,0,ROW()-1,7),ROW()-1,FALSE))</f>
        <v>167.60699460000001</v>
      </c>
      <c r="L112">
        <f ca="1">IF(AND(ISNUMBER($L$284),$B$165=1),$L$284,HLOOKUP(INDIRECT(ADDRESS(2,COLUMN())),OFFSET($M$2,0,0,ROW()-1,7),ROW()-1,FALSE))</f>
        <v>150.91400150000001</v>
      </c>
      <c r="M112" t="str">
        <f>""</f>
        <v/>
      </c>
      <c r="N112" t="str">
        <f>""</f>
        <v/>
      </c>
      <c r="O112">
        <f>160.7299957</f>
        <v>160.72999569999999</v>
      </c>
      <c r="P112">
        <f>160.4060059</f>
        <v>160.4060059</v>
      </c>
      <c r="Q112">
        <f>155.2429962</f>
        <v>155.24299619999999</v>
      </c>
      <c r="R112">
        <f>167.6069946</f>
        <v>167.60699460000001</v>
      </c>
      <c r="S112">
        <f>150.9140015</f>
        <v>150.91400150000001</v>
      </c>
    </row>
    <row r="113" spans="1:19" x14ac:dyDescent="0.25">
      <c r="A113" t="str">
        <f>"    Wipro Ltd"</f>
        <v xml:space="preserve">    Wipro Ltd</v>
      </c>
      <c r="B113" t="str">
        <f>"WIT US Equity"</f>
        <v>WIT US Equity</v>
      </c>
      <c r="C113" t="str">
        <f t="shared" si="11"/>
        <v>ES014</v>
      </c>
      <c r="D113" t="str">
        <f t="shared" si="12"/>
        <v>ENERGY_CONSUMPTION</v>
      </c>
      <c r="E113" t="str">
        <f t="shared" si="13"/>
        <v>Dynamic</v>
      </c>
      <c r="F113" t="str">
        <f ca="1">IF(AND(ISNUMBER($F$285),$B$165=1),$F$285,HLOOKUP(INDIRECT(ADDRESS(2,COLUMN())),OFFSET($M$2,0,0,ROW()-1,7),ROW()-1,FALSE))</f>
        <v/>
      </c>
      <c r="G113">
        <f ca="1">IF(AND(ISNUMBER($G$285),$B$165=1),$G$285,HLOOKUP(INDIRECT(ADDRESS(2,COLUMN())),OFFSET($M$2,0,0,ROW()-1,7),ROW()-1,FALSE))</f>
        <v>250.2220001</v>
      </c>
      <c r="H113">
        <f ca="1">IF(AND(ISNUMBER($H$285),$B$165=1),$H$285,HLOOKUP(INDIRECT(ADDRESS(2,COLUMN())),OFFSET($M$2,0,0,ROW()-1,7),ROW()-1,FALSE))</f>
        <v>358.2990112</v>
      </c>
      <c r="I113">
        <f ca="1">IF(AND(ISNUMBER($I$285),$B$165=1),$I$285,HLOOKUP(INDIRECT(ADDRESS(2,COLUMN())),OFFSET($M$2,0,0,ROW()-1,7),ROW()-1,FALSE))</f>
        <v>409.55099489999998</v>
      </c>
      <c r="J113">
        <f ca="1">IF(AND(ISNUMBER($J$285),$B$165=1),$J$285,HLOOKUP(INDIRECT(ADDRESS(2,COLUMN())),OFFSET($M$2,0,0,ROW()-1,7),ROW()-1,FALSE))</f>
        <v>423.3059998</v>
      </c>
      <c r="K113">
        <f ca="1">IF(AND(ISNUMBER($K$285),$B$165=1),$K$285,HLOOKUP(INDIRECT(ADDRESS(2,COLUMN())),OFFSET($M$2,0,0,ROW()-1,7),ROW()-1,FALSE))</f>
        <v>421.48699950000002</v>
      </c>
      <c r="L113">
        <f ca="1">IF(AND(ISNUMBER($L$285),$B$165=1),$L$285,HLOOKUP(INDIRECT(ADDRESS(2,COLUMN())),OFFSET($M$2,0,0,ROW()-1,7),ROW()-1,FALSE))</f>
        <v>412.27899170000001</v>
      </c>
      <c r="M113" t="str">
        <f>""</f>
        <v/>
      </c>
      <c r="N113">
        <f>250.2220001</f>
        <v>250.2220001</v>
      </c>
      <c r="O113">
        <f>358.2990112</f>
        <v>358.2990112</v>
      </c>
      <c r="P113">
        <f>409.5509949</f>
        <v>409.55099489999998</v>
      </c>
      <c r="Q113">
        <f>423.3059998</f>
        <v>423.3059998</v>
      </c>
      <c r="R113">
        <f>421.4869995</f>
        <v>421.48699950000002</v>
      </c>
      <c r="S113">
        <f>412.2789917</f>
        <v>412.27899170000001</v>
      </c>
    </row>
    <row r="114" spans="1:19" x14ac:dyDescent="0.25">
      <c r="A114" t="str">
        <f>"Total Waste (000s Metric Tons)"</f>
        <v>Total Waste (000s Metric Tons)</v>
      </c>
      <c r="B114" t="str">
        <f>""</f>
        <v/>
      </c>
      <c r="E114" t="str">
        <f>"Median"</f>
        <v>Median</v>
      </c>
      <c r="F114">
        <f ca="1">IF(ISERROR(IF(MEDIAN($F$115:$F$131) = 0, "", MEDIAN($F$115:$F$131))), "", (IF(MEDIAN($F$115:$F$131) = 0, "", MEDIAN($F$115:$F$131))))</f>
        <v>3.6763350964999999</v>
      </c>
      <c r="G114">
        <f ca="1">IF(ISERROR(IF(MEDIAN($G$115:$G$131) = 0, "", MEDIAN($G$115:$G$131))), "", (IF(MEDIAN($G$115:$G$131) = 0, "", MEDIAN($G$115:$G$131))))</f>
        <v>5.1824998855000004</v>
      </c>
      <c r="H114">
        <f ca="1">IF(ISERROR(IF(MEDIAN($H$115:$H$131) = 0, "", MEDIAN($H$115:$H$131))), "", (IF(MEDIAN($H$115:$H$131) = 0, "", MEDIAN($H$115:$H$131))))</f>
        <v>3.0711498854999997</v>
      </c>
      <c r="I114">
        <f ca="1">IF(ISERROR(IF(MEDIAN($I$115:$I$131) = 0, "", MEDIAN($I$115:$I$131))), "", (IF(MEDIAN($I$115:$I$131) = 0, "", MEDIAN($I$115:$I$131))))</f>
        <v>1.70551002</v>
      </c>
      <c r="J114">
        <f ca="1">IF(ISERROR(IF(MEDIAN($J$115:$J$131) = 0, "", MEDIAN($J$115:$J$131))), "", (IF(MEDIAN($J$115:$J$131) = 0, "", MEDIAN($J$115:$J$131))))</f>
        <v>1.66613996</v>
      </c>
      <c r="K114">
        <f ca="1">IF(ISERROR(IF(MEDIAN($K$115:$K$131) = 0, "", MEDIAN($K$115:$K$131))), "", (IF(MEDIAN($K$115:$K$131) = 0, "", MEDIAN($K$115:$K$131))))</f>
        <v>2.8219298720000001</v>
      </c>
      <c r="L114">
        <f ca="1">IF(ISERROR(IF(MEDIAN($L$115:$L$131) = 0, "", MEDIAN($L$115:$L$131))), "", (IF(MEDIAN($L$115:$L$131) = 0, "", MEDIAN($L$115:$L$131))))</f>
        <v>2.3620949390000003</v>
      </c>
      <c r="M114" t="str">
        <f>""</f>
        <v/>
      </c>
      <c r="N114">
        <f>5.182499886</f>
        <v>5.1824998860000004</v>
      </c>
      <c r="O114">
        <f>3.071149886</f>
        <v>3.0711498860000002</v>
      </c>
      <c r="P114">
        <f>1.70551002</f>
        <v>1.70551002</v>
      </c>
      <c r="Q114">
        <f>1.66613996</f>
        <v>1.66613996</v>
      </c>
      <c r="R114">
        <f>2.821929872</f>
        <v>2.8219298720000001</v>
      </c>
      <c r="S114">
        <f>2.362094939</f>
        <v>2.3620949389999999</v>
      </c>
    </row>
    <row r="115" spans="1:19" x14ac:dyDescent="0.25">
      <c r="A115" t="str">
        <f>"    Accenture PLC"</f>
        <v xml:space="preserve">    Accenture PLC</v>
      </c>
      <c r="B115" t="str">
        <f>"ACN US Equity"</f>
        <v>ACN US Equity</v>
      </c>
      <c r="C115" t="str">
        <f t="shared" ref="C115:C131" si="14">"ES020"</f>
        <v>ES020</v>
      </c>
      <c r="D115" t="str">
        <f t="shared" ref="D115:D131" si="15">"TOTAL_WASTE"</f>
        <v>TOTAL_WASTE</v>
      </c>
      <c r="E115" t="str">
        <f t="shared" ref="E115:E131" si="16">"Dynamic"</f>
        <v>Dynamic</v>
      </c>
      <c r="F115" t="str">
        <f ca="1">IF(AND(ISNUMBER($F$286),$B$165=1),$F$286,HLOOKUP(INDIRECT(ADDRESS(2,COLUMN())),OFFSET($M$2,0,0,ROW()-1,7),ROW()-1,FALSE))</f>
        <v/>
      </c>
      <c r="G115">
        <f ca="1">IF(AND(ISNUMBER($G$286),$B$165=1),$G$286,HLOOKUP(INDIRECT(ADDRESS(2,COLUMN())),OFFSET($M$2,0,0,ROW()-1,7),ROW()-1,FALSE))</f>
        <v>0.58300000399999996</v>
      </c>
      <c r="H115">
        <f ca="1">IF(AND(ISNUMBER($H$286),$B$165=1),$H$286,HLOOKUP(INDIRECT(ADDRESS(2,COLUMN())),OFFSET($M$2,0,0,ROW()-1,7),ROW()-1,FALSE))</f>
        <v>0.301999986</v>
      </c>
      <c r="I115">
        <f ca="1">IF(AND(ISNUMBER($I$286),$B$165=1),$I$286,HLOOKUP(INDIRECT(ADDRESS(2,COLUMN())),OFFSET($M$2,0,0,ROW()-1,7),ROW()-1,FALSE))</f>
        <v>0.36000001399999998</v>
      </c>
      <c r="J115" t="str">
        <f ca="1">IF(AND(ISNUMBER($J$286),$B$165=1),$J$286,HLOOKUP(INDIRECT(ADDRESS(2,COLUMN())),OFFSET($M$2,0,0,ROW()-1,7),ROW()-1,FALSE))</f>
        <v/>
      </c>
      <c r="K115" t="str">
        <f ca="1">IF(AND(ISNUMBER($K$286),$B$165=1),$K$286,HLOOKUP(INDIRECT(ADDRESS(2,COLUMN())),OFFSET($M$2,0,0,ROW()-1,7),ROW()-1,FALSE))</f>
        <v/>
      </c>
      <c r="L115" t="str">
        <f ca="1">IF(AND(ISNUMBER($L$286),$B$165=1),$L$286,HLOOKUP(INDIRECT(ADDRESS(2,COLUMN())),OFFSET($M$2,0,0,ROW()-1,7),ROW()-1,FALSE))</f>
        <v/>
      </c>
      <c r="M115" t="str">
        <f>""</f>
        <v/>
      </c>
      <c r="N115">
        <f>0.583000004</f>
        <v>0.58300000399999996</v>
      </c>
      <c r="O115">
        <f>0.301999986</f>
        <v>0.301999986</v>
      </c>
      <c r="P115">
        <f>0.360000014</f>
        <v>0.36000001399999998</v>
      </c>
      <c r="Q115" t="str">
        <f>""</f>
        <v/>
      </c>
      <c r="R115" t="str">
        <f>""</f>
        <v/>
      </c>
      <c r="S115" t="str">
        <f>""</f>
        <v/>
      </c>
    </row>
    <row r="116" spans="1:19" x14ac:dyDescent="0.25">
      <c r="A116" t="str">
        <f>"    Amdocs Ltd"</f>
        <v xml:space="preserve">    Amdocs Ltd</v>
      </c>
      <c r="B116" t="str">
        <f>"DOX US Equity"</f>
        <v>DOX US Equity</v>
      </c>
      <c r="C116" t="str">
        <f t="shared" si="14"/>
        <v>ES020</v>
      </c>
      <c r="D116" t="str">
        <f t="shared" si="15"/>
        <v>TOTAL_WASTE</v>
      </c>
      <c r="E116" t="str">
        <f t="shared" si="16"/>
        <v>Dynamic</v>
      </c>
      <c r="F116" t="str">
        <f ca="1">IF(AND(ISNUMBER($F$287),$B$165=1),$F$287,HLOOKUP(INDIRECT(ADDRESS(2,COLUMN())),OFFSET($M$2,0,0,ROW()-1,7),ROW()-1,FALSE))</f>
        <v/>
      </c>
      <c r="G116" t="str">
        <f ca="1">IF(AND(ISNUMBER($G$287),$B$165=1),$G$287,HLOOKUP(INDIRECT(ADDRESS(2,COLUMN())),OFFSET($M$2,0,0,ROW()-1,7),ROW()-1,FALSE))</f>
        <v/>
      </c>
      <c r="H116" t="str">
        <f ca="1">IF(AND(ISNUMBER($H$287),$B$165=1),$H$287,HLOOKUP(INDIRECT(ADDRESS(2,COLUMN())),OFFSET($M$2,0,0,ROW()-1,7),ROW()-1,FALSE))</f>
        <v/>
      </c>
      <c r="I116" t="str">
        <f ca="1">IF(AND(ISNUMBER($I$287),$B$165=1),$I$287,HLOOKUP(INDIRECT(ADDRESS(2,COLUMN())),OFFSET($M$2,0,0,ROW()-1,7),ROW()-1,FALSE))</f>
        <v/>
      </c>
      <c r="J116" t="str">
        <f ca="1">IF(AND(ISNUMBER($J$287),$B$165=1),$J$287,HLOOKUP(INDIRECT(ADDRESS(2,COLUMN())),OFFSET($M$2,0,0,ROW()-1,7),ROW()-1,FALSE))</f>
        <v/>
      </c>
      <c r="K116" t="str">
        <f ca="1">IF(AND(ISNUMBER($K$287),$B$165=1),$K$287,HLOOKUP(INDIRECT(ADDRESS(2,COLUMN())),OFFSET($M$2,0,0,ROW()-1,7),ROW()-1,FALSE))</f>
        <v/>
      </c>
      <c r="L116" t="str">
        <f ca="1">IF(AND(ISNUMBER($L$287),$B$165=1),$L$287,HLOOKUP(INDIRECT(ADDRESS(2,COLUMN())),OFFSET($M$2,0,0,ROW()-1,7),ROW()-1,FALSE))</f>
        <v/>
      </c>
      <c r="M116" t="str">
        <f>""</f>
        <v/>
      </c>
      <c r="N116" t="str">
        <f>""</f>
        <v/>
      </c>
      <c r="O116" t="str">
        <f>""</f>
        <v/>
      </c>
      <c r="P116" t="str">
        <f>""</f>
        <v/>
      </c>
      <c r="Q116" t="str">
        <f>""</f>
        <v/>
      </c>
      <c r="R116" t="str">
        <f>""</f>
        <v/>
      </c>
      <c r="S116" t="str">
        <f>""</f>
        <v/>
      </c>
    </row>
    <row r="117" spans="1:19" x14ac:dyDescent="0.25">
      <c r="A117" t="str">
        <f>"    Atos SE"</f>
        <v xml:space="preserve">    Atos SE</v>
      </c>
      <c r="B117" t="str">
        <f>"ATO FP Equity"</f>
        <v>ATO FP Equity</v>
      </c>
      <c r="C117" t="str">
        <f t="shared" si="14"/>
        <v>ES020</v>
      </c>
      <c r="D117" t="str">
        <f t="shared" si="15"/>
        <v>TOTAL_WASTE</v>
      </c>
      <c r="E117" t="str">
        <f t="shared" si="16"/>
        <v>Dynamic</v>
      </c>
      <c r="F117" t="str">
        <f ca="1">IF(AND(ISNUMBER($F$288),$B$165=1),$F$288,HLOOKUP(INDIRECT(ADDRESS(2,COLUMN())),OFFSET($M$2,0,0,ROW()-1,7),ROW()-1,FALSE))</f>
        <v/>
      </c>
      <c r="G117" t="str">
        <f ca="1">IF(AND(ISNUMBER($G$288),$B$165=1),$G$288,HLOOKUP(INDIRECT(ADDRESS(2,COLUMN())),OFFSET($M$2,0,0,ROW()-1,7),ROW()-1,FALSE))</f>
        <v/>
      </c>
      <c r="H117" t="str">
        <f ca="1">IF(AND(ISNUMBER($H$288),$B$165=1),$H$288,HLOOKUP(INDIRECT(ADDRESS(2,COLUMN())),OFFSET($M$2,0,0,ROW()-1,7),ROW()-1,FALSE))</f>
        <v/>
      </c>
      <c r="I117" t="str">
        <f ca="1">IF(AND(ISNUMBER($I$288),$B$165=1),$I$288,HLOOKUP(INDIRECT(ADDRESS(2,COLUMN())),OFFSET($M$2,0,0,ROW()-1,7),ROW()-1,FALSE))</f>
        <v/>
      </c>
      <c r="J117" t="str">
        <f ca="1">IF(AND(ISNUMBER($J$288),$B$165=1),$J$288,HLOOKUP(INDIRECT(ADDRESS(2,COLUMN())),OFFSET($M$2,0,0,ROW()-1,7),ROW()-1,FALSE))</f>
        <v/>
      </c>
      <c r="K117" t="str">
        <f ca="1">IF(AND(ISNUMBER($K$288),$B$165=1),$K$288,HLOOKUP(INDIRECT(ADDRESS(2,COLUMN())),OFFSET($M$2,0,0,ROW()-1,7),ROW()-1,FALSE))</f>
        <v/>
      </c>
      <c r="L117" t="str">
        <f ca="1">IF(AND(ISNUMBER($L$288),$B$165=1),$L$288,HLOOKUP(INDIRECT(ADDRESS(2,COLUMN())),OFFSET($M$2,0,0,ROW()-1,7),ROW()-1,FALSE))</f>
        <v/>
      </c>
      <c r="M117" t="str">
        <f>""</f>
        <v/>
      </c>
      <c r="N117" t="str">
        <f>""</f>
        <v/>
      </c>
      <c r="O117" t="str">
        <f>""</f>
        <v/>
      </c>
      <c r="P117" t="str">
        <f>""</f>
        <v/>
      </c>
      <c r="Q117" t="str">
        <f>""</f>
        <v/>
      </c>
      <c r="R117" t="str">
        <f>""</f>
        <v/>
      </c>
      <c r="S117" t="str">
        <f>""</f>
        <v/>
      </c>
    </row>
    <row r="118" spans="1:19" x14ac:dyDescent="0.25">
      <c r="A118" t="str">
        <f>"    Capgemini SE"</f>
        <v xml:space="preserve">    Capgemini SE</v>
      </c>
      <c r="B118" t="str">
        <f>"CAP FP Equity"</f>
        <v>CAP FP Equity</v>
      </c>
      <c r="C118" t="str">
        <f t="shared" si="14"/>
        <v>ES020</v>
      </c>
      <c r="D118" t="str">
        <f t="shared" si="15"/>
        <v>TOTAL_WASTE</v>
      </c>
      <c r="E118" t="str">
        <f t="shared" si="16"/>
        <v>Dynamic</v>
      </c>
      <c r="F118">
        <f ca="1">IF(AND(ISNUMBER($F$289),$B$165=1),$F$289,HLOOKUP(INDIRECT(ADDRESS(2,COLUMN())),OFFSET($M$2,0,0,ROW()-1,7),ROW()-1,FALSE))</f>
        <v>5.2010002139999996</v>
      </c>
      <c r="G118">
        <f ca="1">IF(AND(ISNUMBER($G$289),$B$165=1),$G$289,HLOOKUP(INDIRECT(ADDRESS(2,COLUMN())),OFFSET($M$2,0,0,ROW()-1,7),ROW()-1,FALSE))</f>
        <v>4.1599998469999999</v>
      </c>
      <c r="H118">
        <f ca="1">IF(AND(ISNUMBER($H$289),$B$165=1),$H$289,HLOOKUP(INDIRECT(ADDRESS(2,COLUMN())),OFFSET($M$2,0,0,ROW()-1,7),ROW()-1,FALSE))</f>
        <v>4.6799998279999997</v>
      </c>
      <c r="I118">
        <f ca="1">IF(AND(ISNUMBER($I$289),$B$165=1),$I$289,HLOOKUP(INDIRECT(ADDRESS(2,COLUMN())),OFFSET($M$2,0,0,ROW()-1,7),ROW()-1,FALSE))</f>
        <v>4.6009998320000003</v>
      </c>
      <c r="J118">
        <f ca="1">IF(AND(ISNUMBER($J$289),$B$165=1),$J$289,HLOOKUP(INDIRECT(ADDRESS(2,COLUMN())),OFFSET($M$2,0,0,ROW()-1,7),ROW()-1,FALSE))</f>
        <v>5.0929999349999999</v>
      </c>
      <c r="K118">
        <f ca="1">IF(AND(ISNUMBER($K$289),$B$165=1),$K$289,HLOOKUP(INDIRECT(ADDRESS(2,COLUMN())),OFFSET($M$2,0,0,ROW()-1,7),ROW()-1,FALSE))</f>
        <v>4.3319997790000002</v>
      </c>
      <c r="L118">
        <f ca="1">IF(AND(ISNUMBER($L$289),$B$165=1),$L$289,HLOOKUP(INDIRECT(ADDRESS(2,COLUMN())),OFFSET($M$2,0,0,ROW()-1,7),ROW()-1,FALSE))</f>
        <v>3.7179999349999999</v>
      </c>
      <c r="M118">
        <f>5.201000214</f>
        <v>5.2010002139999996</v>
      </c>
      <c r="N118">
        <f>4.159999847</f>
        <v>4.1599998469999999</v>
      </c>
      <c r="O118">
        <f>4.679999828</f>
        <v>4.6799998279999997</v>
      </c>
      <c r="P118">
        <f>4.600999832</f>
        <v>4.6009998320000003</v>
      </c>
      <c r="Q118">
        <f>5.092999935</f>
        <v>5.0929999349999999</v>
      </c>
      <c r="R118">
        <f>4.331999779</f>
        <v>4.3319997790000002</v>
      </c>
      <c r="S118">
        <f>3.717999935</f>
        <v>3.7179999349999999</v>
      </c>
    </row>
    <row r="119" spans="1:19" x14ac:dyDescent="0.25">
      <c r="A119" t="str">
        <f>"    CGI Inc"</f>
        <v xml:space="preserve">    CGI Inc</v>
      </c>
      <c r="B119" t="str">
        <f>"GIB US Equity"</f>
        <v>GIB US Equity</v>
      </c>
      <c r="C119" t="str">
        <f t="shared" si="14"/>
        <v>ES020</v>
      </c>
      <c r="D119" t="str">
        <f t="shared" si="15"/>
        <v>TOTAL_WASTE</v>
      </c>
      <c r="E119" t="str">
        <f t="shared" si="16"/>
        <v>Dynamic</v>
      </c>
      <c r="F119" t="str">
        <f ca="1">IF(AND(ISNUMBER($F$290),$B$165=1),$F$290,HLOOKUP(INDIRECT(ADDRESS(2,COLUMN())),OFFSET($M$2,0,0,ROW()-1,7),ROW()-1,FALSE))</f>
        <v/>
      </c>
      <c r="G119" t="str">
        <f ca="1">IF(AND(ISNUMBER($G$290),$B$165=1),$G$290,HLOOKUP(INDIRECT(ADDRESS(2,COLUMN())),OFFSET($M$2,0,0,ROW()-1,7),ROW()-1,FALSE))</f>
        <v/>
      </c>
      <c r="H119" t="str">
        <f ca="1">IF(AND(ISNUMBER($H$290),$B$165=1),$H$290,HLOOKUP(INDIRECT(ADDRESS(2,COLUMN())),OFFSET($M$2,0,0,ROW()-1,7),ROW()-1,FALSE))</f>
        <v/>
      </c>
      <c r="I119" t="str">
        <f ca="1">IF(AND(ISNUMBER($I$290),$B$165=1),$I$290,HLOOKUP(INDIRECT(ADDRESS(2,COLUMN())),OFFSET($M$2,0,0,ROW()-1,7),ROW()-1,FALSE))</f>
        <v/>
      </c>
      <c r="J119" t="str">
        <f ca="1">IF(AND(ISNUMBER($J$290),$B$165=1),$J$290,HLOOKUP(INDIRECT(ADDRESS(2,COLUMN())),OFFSET($M$2,0,0,ROW()-1,7),ROW()-1,FALSE))</f>
        <v/>
      </c>
      <c r="K119" t="str">
        <f ca="1">IF(AND(ISNUMBER($K$290),$B$165=1),$K$290,HLOOKUP(INDIRECT(ADDRESS(2,COLUMN())),OFFSET($M$2,0,0,ROW()-1,7),ROW()-1,FALSE))</f>
        <v/>
      </c>
      <c r="L119" t="str">
        <f ca="1">IF(AND(ISNUMBER($L$290),$B$165=1),$L$290,HLOOKUP(INDIRECT(ADDRESS(2,COLUMN())),OFFSET($M$2,0,0,ROW()-1,7),ROW()-1,FALSE))</f>
        <v/>
      </c>
      <c r="M119" t="str">
        <f>""</f>
        <v/>
      </c>
      <c r="N119" t="str">
        <f>""</f>
        <v/>
      </c>
      <c r="O119" t="str">
        <f>""</f>
        <v/>
      </c>
      <c r="P119" t="str">
        <f>""</f>
        <v/>
      </c>
      <c r="Q119" t="str">
        <f>""</f>
        <v/>
      </c>
      <c r="R119" t="str">
        <f>""</f>
        <v/>
      </c>
      <c r="S119" t="str">
        <f>""</f>
        <v/>
      </c>
    </row>
    <row r="120" spans="1:19" x14ac:dyDescent="0.25">
      <c r="A120" t="str">
        <f>"    Cognizant Technology Solutions Corp"</f>
        <v xml:space="preserve">    Cognizant Technology Solutions Corp</v>
      </c>
      <c r="B120" t="str">
        <f>"CTSH US Equity"</f>
        <v>CTSH US Equity</v>
      </c>
      <c r="C120" t="str">
        <f t="shared" si="14"/>
        <v>ES020</v>
      </c>
      <c r="D120" t="str">
        <f t="shared" si="15"/>
        <v>TOTAL_WASTE</v>
      </c>
      <c r="E120" t="str">
        <f t="shared" si="16"/>
        <v>Dynamic</v>
      </c>
      <c r="F120" t="str">
        <f ca="1">IF(AND(ISNUMBER($F$291),$B$165=1),$F$291,HLOOKUP(INDIRECT(ADDRESS(2,COLUMN())),OFFSET($M$2,0,0,ROW()-1,7),ROW()-1,FALSE))</f>
        <v/>
      </c>
      <c r="G120" t="str">
        <f ca="1">IF(AND(ISNUMBER($G$291),$B$165=1),$G$291,HLOOKUP(INDIRECT(ADDRESS(2,COLUMN())),OFFSET($M$2,0,0,ROW()-1,7),ROW()-1,FALSE))</f>
        <v/>
      </c>
      <c r="H120" t="str">
        <f ca="1">IF(AND(ISNUMBER($H$291),$B$165=1),$H$291,HLOOKUP(INDIRECT(ADDRESS(2,COLUMN())),OFFSET($M$2,0,0,ROW()-1,7),ROW()-1,FALSE))</f>
        <v/>
      </c>
      <c r="I120">
        <f ca="1">IF(AND(ISNUMBER($I$291),$B$165=1),$I$291,HLOOKUP(INDIRECT(ADDRESS(2,COLUMN())),OFFSET($M$2,0,0,ROW()-1,7),ROW()-1,FALSE))</f>
        <v>1.70551002</v>
      </c>
      <c r="J120">
        <f ca="1">IF(AND(ISNUMBER($J$291),$B$165=1),$J$291,HLOOKUP(INDIRECT(ADDRESS(2,COLUMN())),OFFSET($M$2,0,0,ROW()-1,7),ROW()-1,FALSE))</f>
        <v>1.66613996</v>
      </c>
      <c r="K120">
        <f ca="1">IF(AND(ISNUMBER($K$291),$B$165=1),$K$291,HLOOKUP(INDIRECT(ADDRESS(2,COLUMN())),OFFSET($M$2,0,0,ROW()-1,7),ROW()-1,FALSE))</f>
        <v>1.311859965</v>
      </c>
      <c r="L120">
        <f ca="1">IF(AND(ISNUMBER($L$291),$B$165=1),$L$291,HLOOKUP(INDIRECT(ADDRESS(2,COLUMN())),OFFSET($M$2,0,0,ROW()-1,7),ROW()-1,FALSE))</f>
        <v>1.019189954</v>
      </c>
      <c r="M120" t="str">
        <f>""</f>
        <v/>
      </c>
      <c r="N120" t="str">
        <f>""</f>
        <v/>
      </c>
      <c r="O120" t="str">
        <f>""</f>
        <v/>
      </c>
      <c r="P120">
        <f>1.70551002</f>
        <v>1.70551002</v>
      </c>
      <c r="Q120">
        <f>1.66613996</f>
        <v>1.66613996</v>
      </c>
      <c r="R120">
        <f>1.311859965</f>
        <v>1.311859965</v>
      </c>
      <c r="S120">
        <f>1.019189954</f>
        <v>1.019189954</v>
      </c>
    </row>
    <row r="121" spans="1:19" x14ac:dyDescent="0.25">
      <c r="A121" t="str">
        <f>"    Conduent Inc"</f>
        <v xml:space="preserve">    Conduent Inc</v>
      </c>
      <c r="B121" t="str">
        <f>"CNDT US Equity"</f>
        <v>CNDT US Equity</v>
      </c>
      <c r="C121" t="str">
        <f t="shared" si="14"/>
        <v>ES020</v>
      </c>
      <c r="D121" t="str">
        <f t="shared" si="15"/>
        <v>TOTAL_WASTE</v>
      </c>
      <c r="E121" t="str">
        <f t="shared" si="16"/>
        <v>Dynamic</v>
      </c>
      <c r="F121" t="str">
        <f ca="1">IF(AND(ISNUMBER($F$292),$B$165=1),$F$292,HLOOKUP(INDIRECT(ADDRESS(2,COLUMN())),OFFSET($M$2,0,0,ROW()-1,7),ROW()-1,FALSE))</f>
        <v/>
      </c>
      <c r="G121" t="str">
        <f ca="1">IF(AND(ISNUMBER($G$292),$B$165=1),$G$292,HLOOKUP(INDIRECT(ADDRESS(2,COLUMN())),OFFSET($M$2,0,0,ROW()-1,7),ROW()-1,FALSE))</f>
        <v/>
      </c>
      <c r="H121" t="str">
        <f ca="1">IF(AND(ISNUMBER($H$292),$B$165=1),$H$292,HLOOKUP(INDIRECT(ADDRESS(2,COLUMN())),OFFSET($M$2,0,0,ROW()-1,7),ROW()-1,FALSE))</f>
        <v/>
      </c>
      <c r="I121" t="str">
        <f ca="1">IF(AND(ISNUMBER($I$292),$B$165=1),$I$292,HLOOKUP(INDIRECT(ADDRESS(2,COLUMN())),OFFSET($M$2,0,0,ROW()-1,7),ROW()-1,FALSE))</f>
        <v/>
      </c>
      <c r="J121" t="str">
        <f ca="1">IF(AND(ISNUMBER($J$292),$B$165=1),$J$292,HLOOKUP(INDIRECT(ADDRESS(2,COLUMN())),OFFSET($M$2,0,0,ROW()-1,7),ROW()-1,FALSE))</f>
        <v/>
      </c>
      <c r="K121" t="str">
        <f ca="1">IF(AND(ISNUMBER($K$292),$B$165=1),$K$292,HLOOKUP(INDIRECT(ADDRESS(2,COLUMN())),OFFSET($M$2,0,0,ROW()-1,7),ROW()-1,FALSE))</f>
        <v/>
      </c>
      <c r="L121" t="str">
        <f ca="1">IF(AND(ISNUMBER($L$292),$B$165=1),$L$292,HLOOKUP(INDIRECT(ADDRESS(2,COLUMN())),OFFSET($M$2,0,0,ROW()-1,7),ROW()-1,FALSE))</f>
        <v/>
      </c>
      <c r="M121" t="str">
        <f>""</f>
        <v/>
      </c>
      <c r="N121" t="str">
        <f>""</f>
        <v/>
      </c>
      <c r="O121" t="str">
        <f>""</f>
        <v/>
      </c>
      <c r="P121" t="str">
        <f>""</f>
        <v/>
      </c>
      <c r="Q121" t="str">
        <f>""</f>
        <v/>
      </c>
      <c r="R121" t="str">
        <f>""</f>
        <v/>
      </c>
      <c r="S121" t="str">
        <f>""</f>
        <v/>
      </c>
    </row>
    <row r="122" spans="1:19" x14ac:dyDescent="0.25">
      <c r="A122" t="str">
        <f>"    DXC Technology Co"</f>
        <v xml:space="preserve">    DXC Technology Co</v>
      </c>
      <c r="B122" t="str">
        <f>"DXC US Equity"</f>
        <v>DXC US Equity</v>
      </c>
      <c r="C122" t="str">
        <f t="shared" si="14"/>
        <v>ES020</v>
      </c>
      <c r="D122" t="str">
        <f t="shared" si="15"/>
        <v>TOTAL_WASTE</v>
      </c>
      <c r="E122" t="str">
        <f t="shared" si="16"/>
        <v>Dynamic</v>
      </c>
      <c r="F122" t="str">
        <f ca="1">IF(AND(ISNUMBER($F$293),$B$165=1),$F$293,HLOOKUP(INDIRECT(ADDRESS(2,COLUMN())),OFFSET($M$2,0,0,ROW()-1,7),ROW()-1,FALSE))</f>
        <v/>
      </c>
      <c r="G122">
        <f ca="1">IF(AND(ISNUMBER($G$293),$B$165=1),$G$293,HLOOKUP(INDIRECT(ADDRESS(2,COLUMN())),OFFSET($M$2,0,0,ROW()-1,7),ROW()-1,FALSE))</f>
        <v>7920.2299800000001</v>
      </c>
      <c r="H122" t="str">
        <f ca="1">IF(AND(ISNUMBER($H$293),$B$165=1),$H$293,HLOOKUP(INDIRECT(ADDRESS(2,COLUMN())),OFFSET($M$2,0,0,ROW()-1,7),ROW()-1,FALSE))</f>
        <v/>
      </c>
      <c r="I122" t="str">
        <f ca="1">IF(AND(ISNUMBER($I$293),$B$165=1),$I$293,HLOOKUP(INDIRECT(ADDRESS(2,COLUMN())),OFFSET($M$2,0,0,ROW()-1,7),ROW()-1,FALSE))</f>
        <v/>
      </c>
      <c r="J122" t="str">
        <f ca="1">IF(AND(ISNUMBER($J$293),$B$165=1),$J$293,HLOOKUP(INDIRECT(ADDRESS(2,COLUMN())),OFFSET($M$2,0,0,ROW()-1,7),ROW()-1,FALSE))</f>
        <v/>
      </c>
      <c r="K122" t="str">
        <f ca="1">IF(AND(ISNUMBER($K$293),$B$165=1),$K$293,HLOOKUP(INDIRECT(ADDRESS(2,COLUMN())),OFFSET($M$2,0,0,ROW()-1,7),ROW()-1,FALSE))</f>
        <v/>
      </c>
      <c r="L122" t="str">
        <f ca="1">IF(AND(ISNUMBER($L$293),$B$165=1),$L$293,HLOOKUP(INDIRECT(ADDRESS(2,COLUMN())),OFFSET($M$2,0,0,ROW()-1,7),ROW()-1,FALSE))</f>
        <v/>
      </c>
      <c r="M122" t="str">
        <f>""</f>
        <v/>
      </c>
      <c r="N122">
        <f>7920.22998</f>
        <v>7920.2299800000001</v>
      </c>
      <c r="O122" t="str">
        <f>""</f>
        <v/>
      </c>
      <c r="P122" t="str">
        <f>""</f>
        <v/>
      </c>
      <c r="Q122" t="str">
        <f>""</f>
        <v/>
      </c>
      <c r="R122" t="str">
        <f>""</f>
        <v/>
      </c>
      <c r="S122" t="str">
        <f>""</f>
        <v/>
      </c>
    </row>
    <row r="123" spans="1:19" x14ac:dyDescent="0.25">
      <c r="A123" t="str">
        <f>"    EPAM Systems Inc"</f>
        <v xml:space="preserve">    EPAM Systems Inc</v>
      </c>
      <c r="B123" t="str">
        <f>"EPAM US Equity"</f>
        <v>EPAM US Equity</v>
      </c>
      <c r="C123" t="str">
        <f t="shared" si="14"/>
        <v>ES020</v>
      </c>
      <c r="D123" t="str">
        <f t="shared" si="15"/>
        <v>TOTAL_WASTE</v>
      </c>
      <c r="E123" t="str">
        <f t="shared" si="16"/>
        <v>Dynamic</v>
      </c>
      <c r="F123" t="str">
        <f ca="1">IF(AND(ISNUMBER($F$294),$B$165=1),$F$294,HLOOKUP(INDIRECT(ADDRESS(2,COLUMN())),OFFSET($M$2,0,0,ROW()-1,7),ROW()-1,FALSE))</f>
        <v/>
      </c>
      <c r="G123" t="str">
        <f ca="1">IF(AND(ISNUMBER($G$294),$B$165=1),$G$294,HLOOKUP(INDIRECT(ADDRESS(2,COLUMN())),OFFSET($M$2,0,0,ROW()-1,7),ROW()-1,FALSE))</f>
        <v/>
      </c>
      <c r="H123" t="str">
        <f ca="1">IF(AND(ISNUMBER($H$294),$B$165=1),$H$294,HLOOKUP(INDIRECT(ADDRESS(2,COLUMN())),OFFSET($M$2,0,0,ROW()-1,7),ROW()-1,FALSE))</f>
        <v/>
      </c>
      <c r="I123" t="str">
        <f ca="1">IF(AND(ISNUMBER($I$294),$B$165=1),$I$294,HLOOKUP(INDIRECT(ADDRESS(2,COLUMN())),OFFSET($M$2,0,0,ROW()-1,7),ROW()-1,FALSE))</f>
        <v/>
      </c>
      <c r="J123" t="str">
        <f ca="1">IF(AND(ISNUMBER($J$294),$B$165=1),$J$294,HLOOKUP(INDIRECT(ADDRESS(2,COLUMN())),OFFSET($M$2,0,0,ROW()-1,7),ROW()-1,FALSE))</f>
        <v/>
      </c>
      <c r="K123" t="str">
        <f ca="1">IF(AND(ISNUMBER($K$294),$B$165=1),$K$294,HLOOKUP(INDIRECT(ADDRESS(2,COLUMN())),OFFSET($M$2,0,0,ROW()-1,7),ROW()-1,FALSE))</f>
        <v/>
      </c>
      <c r="L123" t="str">
        <f ca="1">IF(AND(ISNUMBER($L$294),$B$165=1),$L$294,HLOOKUP(INDIRECT(ADDRESS(2,COLUMN())),OFFSET($M$2,0,0,ROW()-1,7),ROW()-1,FALSE))</f>
        <v/>
      </c>
      <c r="M123" t="str">
        <f>""</f>
        <v/>
      </c>
      <c r="N123" t="str">
        <f>""</f>
        <v/>
      </c>
      <c r="O123" t="str">
        <f>""</f>
        <v/>
      </c>
      <c r="P123" t="str">
        <f>""</f>
        <v/>
      </c>
      <c r="Q123" t="str">
        <f>""</f>
        <v/>
      </c>
      <c r="R123" t="str">
        <f>""</f>
        <v/>
      </c>
      <c r="S123" t="str">
        <f>""</f>
        <v/>
      </c>
    </row>
    <row r="124" spans="1:19" x14ac:dyDescent="0.25">
      <c r="A124" t="str">
        <f>"    Genpact Ltd"</f>
        <v xml:space="preserve">    Genpact Ltd</v>
      </c>
      <c r="B124" t="str">
        <f>"G US Equity"</f>
        <v>G US Equity</v>
      </c>
      <c r="C124" t="str">
        <f t="shared" si="14"/>
        <v>ES020</v>
      </c>
      <c r="D124" t="str">
        <f t="shared" si="15"/>
        <v>TOTAL_WASTE</v>
      </c>
      <c r="E124" t="str">
        <f t="shared" si="16"/>
        <v>Dynamic</v>
      </c>
      <c r="F124" t="str">
        <f ca="1">IF(AND(ISNUMBER($F$295),$B$165=1),$F$295,HLOOKUP(INDIRECT(ADDRESS(2,COLUMN())),OFFSET($M$2,0,0,ROW()-1,7),ROW()-1,FALSE))</f>
        <v/>
      </c>
      <c r="G124" t="str">
        <f ca="1">IF(AND(ISNUMBER($G$295),$B$165=1),$G$295,HLOOKUP(INDIRECT(ADDRESS(2,COLUMN())),OFFSET($M$2,0,0,ROW()-1,7),ROW()-1,FALSE))</f>
        <v/>
      </c>
      <c r="H124">
        <f ca="1">IF(AND(ISNUMBER($H$295),$B$165=1),$H$295,HLOOKUP(INDIRECT(ADDRESS(2,COLUMN())),OFFSET($M$2,0,0,ROW()-1,7),ROW()-1,FALSE))</f>
        <v>1.375069976</v>
      </c>
      <c r="I124">
        <f ca="1">IF(AND(ISNUMBER($I$295),$B$165=1),$I$295,HLOOKUP(INDIRECT(ADDRESS(2,COLUMN())),OFFSET($M$2,0,0,ROW()-1,7),ROW()-1,FALSE))</f>
        <v>1.0821199420000001</v>
      </c>
      <c r="J124">
        <f ca="1">IF(AND(ISNUMBER($J$295),$B$165=1),$J$295,HLOOKUP(INDIRECT(ADDRESS(2,COLUMN())),OFFSET($M$2,0,0,ROW()-1,7),ROW()-1,FALSE))</f>
        <v>0.105435997</v>
      </c>
      <c r="K124" t="str">
        <f ca="1">IF(AND(ISNUMBER($K$295),$B$165=1),$K$295,HLOOKUP(INDIRECT(ADDRESS(2,COLUMN())),OFFSET($M$2,0,0,ROW()-1,7),ROW()-1,FALSE))</f>
        <v/>
      </c>
      <c r="L124" t="str">
        <f ca="1">IF(AND(ISNUMBER($L$295),$B$165=1),$L$295,HLOOKUP(INDIRECT(ADDRESS(2,COLUMN())),OFFSET($M$2,0,0,ROW()-1,7),ROW()-1,FALSE))</f>
        <v/>
      </c>
      <c r="M124" t="str">
        <f>""</f>
        <v/>
      </c>
      <c r="N124" t="str">
        <f>""</f>
        <v/>
      </c>
      <c r="O124">
        <f>1.375069976</f>
        <v>1.375069976</v>
      </c>
      <c r="P124">
        <f>1.082119942</f>
        <v>1.0821199420000001</v>
      </c>
      <c r="Q124">
        <f>0.105435997</f>
        <v>0.105435997</v>
      </c>
      <c r="R124" t="str">
        <f>""</f>
        <v/>
      </c>
      <c r="S124" t="str">
        <f>""</f>
        <v/>
      </c>
    </row>
    <row r="125" spans="1:19" x14ac:dyDescent="0.25">
      <c r="A125" t="str">
        <f>"    HCL Technologies Ltd"</f>
        <v xml:space="preserve">    HCL Technologies Ltd</v>
      </c>
      <c r="B125" t="str">
        <f>"HCLT IN Equity"</f>
        <v>HCLT IN Equity</v>
      </c>
      <c r="C125" t="str">
        <f t="shared" si="14"/>
        <v>ES020</v>
      </c>
      <c r="D125" t="str">
        <f t="shared" si="15"/>
        <v>TOTAL_WASTE</v>
      </c>
      <c r="E125" t="str">
        <f t="shared" si="16"/>
        <v>Dynamic</v>
      </c>
      <c r="F125" t="str">
        <f ca="1">IF(AND(ISNUMBER($F$296),$B$165=1),$F$296,HLOOKUP(INDIRECT(ADDRESS(2,COLUMN())),OFFSET($M$2,0,0,ROW()-1,7),ROW()-1,FALSE))</f>
        <v/>
      </c>
      <c r="G125" t="str">
        <f ca="1">IF(AND(ISNUMBER($G$296),$B$165=1),$G$296,HLOOKUP(INDIRECT(ADDRESS(2,COLUMN())),OFFSET($M$2,0,0,ROW()-1,7),ROW()-1,FALSE))</f>
        <v/>
      </c>
      <c r="H125" t="str">
        <f ca="1">IF(AND(ISNUMBER($H$296),$B$165=1),$H$296,HLOOKUP(INDIRECT(ADDRESS(2,COLUMN())),OFFSET($M$2,0,0,ROW()-1,7),ROW()-1,FALSE))</f>
        <v/>
      </c>
      <c r="I125" t="str">
        <f ca="1">IF(AND(ISNUMBER($I$296),$B$165=1),$I$296,HLOOKUP(INDIRECT(ADDRESS(2,COLUMN())),OFFSET($M$2,0,0,ROW()-1,7),ROW()-1,FALSE))</f>
        <v/>
      </c>
      <c r="J125" t="str">
        <f ca="1">IF(AND(ISNUMBER($J$296),$B$165=1),$J$296,HLOOKUP(INDIRECT(ADDRESS(2,COLUMN())),OFFSET($M$2,0,0,ROW()-1,7),ROW()-1,FALSE))</f>
        <v/>
      </c>
      <c r="K125" t="str">
        <f ca="1">IF(AND(ISNUMBER($K$296),$B$165=1),$K$296,HLOOKUP(INDIRECT(ADDRESS(2,COLUMN())),OFFSET($M$2,0,0,ROW()-1,7),ROW()-1,FALSE))</f>
        <v/>
      </c>
      <c r="L125" t="str">
        <f ca="1">IF(AND(ISNUMBER($L$296),$B$165=1),$L$296,HLOOKUP(INDIRECT(ADDRESS(2,COLUMN())),OFFSET($M$2,0,0,ROW()-1,7),ROW()-1,FALSE))</f>
        <v/>
      </c>
      <c r="M125" t="str">
        <f>""</f>
        <v/>
      </c>
      <c r="N125" t="str">
        <f>""</f>
        <v/>
      </c>
      <c r="O125" t="str">
        <f>""</f>
        <v/>
      </c>
      <c r="P125" t="str">
        <f>""</f>
        <v/>
      </c>
      <c r="Q125" t="str">
        <f>""</f>
        <v/>
      </c>
      <c r="R125" t="str">
        <f>""</f>
        <v/>
      </c>
      <c r="S125" t="str">
        <f>""</f>
        <v/>
      </c>
    </row>
    <row r="126" spans="1:19" x14ac:dyDescent="0.25">
      <c r="A126" t="str">
        <f>"    Indra Sistemas SA"</f>
        <v xml:space="preserve">    Indra Sistemas SA</v>
      </c>
      <c r="B126" t="str">
        <f>"IDR SM Equity"</f>
        <v>IDR SM Equity</v>
      </c>
      <c r="C126" t="str">
        <f t="shared" si="14"/>
        <v>ES020</v>
      </c>
      <c r="D126" t="str">
        <f t="shared" si="15"/>
        <v>TOTAL_WASTE</v>
      </c>
      <c r="E126" t="str">
        <f t="shared" si="16"/>
        <v>Dynamic</v>
      </c>
      <c r="F126">
        <f ca="1">IF(AND(ISNUMBER($F$297),$B$165=1),$F$297,HLOOKUP(INDIRECT(ADDRESS(2,COLUMN())),OFFSET($M$2,0,0,ROW()-1,7),ROW()-1,FALSE))</f>
        <v>2.1516699789999998</v>
      </c>
      <c r="G126">
        <f ca="1">IF(AND(ISNUMBER($G$297),$B$165=1),$G$297,HLOOKUP(INDIRECT(ADDRESS(2,COLUMN())),OFFSET($M$2,0,0,ROW()-1,7),ROW()-1,FALSE))</f>
        <v>2.3327898980000001</v>
      </c>
      <c r="H126">
        <f ca="1">IF(AND(ISNUMBER($H$297),$B$165=1),$H$297,HLOOKUP(INDIRECT(ADDRESS(2,COLUMN())),OFFSET($M$2,0,0,ROW()-1,7),ROW()-1,FALSE))</f>
        <v>1.4622999430000001</v>
      </c>
      <c r="I126">
        <f ca="1">IF(AND(ISNUMBER($I$297),$B$165=1),$I$297,HLOOKUP(INDIRECT(ADDRESS(2,COLUMN())),OFFSET($M$2,0,0,ROW()-1,7),ROW()-1,FALSE))</f>
        <v>1.1050100329999999</v>
      </c>
      <c r="J126">
        <f ca="1">IF(AND(ISNUMBER($J$297),$B$165=1),$J$297,HLOOKUP(INDIRECT(ADDRESS(2,COLUMN())),OFFSET($M$2,0,0,ROW()-1,7),ROW()-1,FALSE))</f>
        <v>0.94392198299999996</v>
      </c>
      <c r="K126">
        <f ca="1">IF(AND(ISNUMBER($K$297),$B$165=1),$K$297,HLOOKUP(INDIRECT(ADDRESS(2,COLUMN())),OFFSET($M$2,0,0,ROW()-1,7),ROW()-1,FALSE))</f>
        <v>0.65717202399999997</v>
      </c>
      <c r="L126">
        <f ca="1">IF(AND(ISNUMBER($L$297),$B$165=1),$L$297,HLOOKUP(INDIRECT(ADDRESS(2,COLUMN())),OFFSET($M$2,0,0,ROW()-1,7),ROW()-1,FALSE))</f>
        <v>0.80998998899999997</v>
      </c>
      <c r="M126">
        <f>2.151669979</f>
        <v>2.1516699789999998</v>
      </c>
      <c r="N126">
        <f>2.332789898</f>
        <v>2.3327898980000001</v>
      </c>
      <c r="O126">
        <f>1.462299943</f>
        <v>1.4622999430000001</v>
      </c>
      <c r="P126">
        <f>1.105010033</f>
        <v>1.1050100329999999</v>
      </c>
      <c r="Q126">
        <f>0.943921983</f>
        <v>0.94392198299999996</v>
      </c>
      <c r="R126">
        <f>0.657172024</f>
        <v>0.65717202399999997</v>
      </c>
      <c r="S126">
        <f>0.809989989</f>
        <v>0.80998998899999997</v>
      </c>
    </row>
    <row r="127" spans="1:19" x14ac:dyDescent="0.25">
      <c r="A127" t="str">
        <f>"    Infosys Ltd"</f>
        <v xml:space="preserve">    Infosys Ltd</v>
      </c>
      <c r="B127" t="str">
        <f>"INFY US Equity"</f>
        <v>INFY US Equity</v>
      </c>
      <c r="C127" t="str">
        <f t="shared" si="14"/>
        <v>ES020</v>
      </c>
      <c r="D127" t="str">
        <f t="shared" si="15"/>
        <v>TOTAL_WASTE</v>
      </c>
      <c r="E127" t="str">
        <f t="shared" si="16"/>
        <v>Dynamic</v>
      </c>
      <c r="F127" t="str">
        <f ca="1">IF(AND(ISNUMBER($F$298),$B$165=1),$F$298,HLOOKUP(INDIRECT(ADDRESS(2,COLUMN())),OFFSET($M$2,0,0,ROW()-1,7),ROW()-1,FALSE))</f>
        <v/>
      </c>
      <c r="G127" t="str">
        <f ca="1">IF(AND(ISNUMBER($G$298),$B$165=1),$G$298,HLOOKUP(INDIRECT(ADDRESS(2,COLUMN())),OFFSET($M$2,0,0,ROW()-1,7),ROW()-1,FALSE))</f>
        <v/>
      </c>
      <c r="H127" t="str">
        <f ca="1">IF(AND(ISNUMBER($H$298),$B$165=1),$H$298,HLOOKUP(INDIRECT(ADDRESS(2,COLUMN())),OFFSET($M$2,0,0,ROW()-1,7),ROW()-1,FALSE))</f>
        <v/>
      </c>
      <c r="I127" t="str">
        <f ca="1">IF(AND(ISNUMBER($I$298),$B$165=1),$I$298,HLOOKUP(INDIRECT(ADDRESS(2,COLUMN())),OFFSET($M$2,0,0,ROW()-1,7),ROW()-1,FALSE))</f>
        <v/>
      </c>
      <c r="J127" t="str">
        <f ca="1">IF(AND(ISNUMBER($J$298),$B$165=1),$J$298,HLOOKUP(INDIRECT(ADDRESS(2,COLUMN())),OFFSET($M$2,0,0,ROW()-1,7),ROW()-1,FALSE))</f>
        <v/>
      </c>
      <c r="K127" t="str">
        <f ca="1">IF(AND(ISNUMBER($K$298),$B$165=1),$K$298,HLOOKUP(INDIRECT(ADDRESS(2,COLUMN())),OFFSET($M$2,0,0,ROW()-1,7),ROW()-1,FALSE))</f>
        <v/>
      </c>
      <c r="L127" t="str">
        <f ca="1">IF(AND(ISNUMBER($L$298),$B$165=1),$L$298,HLOOKUP(INDIRECT(ADDRESS(2,COLUMN())),OFFSET($M$2,0,0,ROW()-1,7),ROW()-1,FALSE))</f>
        <v/>
      </c>
      <c r="M127" t="str">
        <f>""</f>
        <v/>
      </c>
      <c r="N127" t="str">
        <f>""</f>
        <v/>
      </c>
      <c r="O127" t="str">
        <f>""</f>
        <v/>
      </c>
      <c r="P127" t="str">
        <f>""</f>
        <v/>
      </c>
      <c r="Q127" t="str">
        <f>""</f>
        <v/>
      </c>
      <c r="R127" t="str">
        <f>""</f>
        <v/>
      </c>
      <c r="S127" t="str">
        <f>""</f>
        <v/>
      </c>
    </row>
    <row r="128" spans="1:19" x14ac:dyDescent="0.25">
      <c r="A128" t="str">
        <f>"    International Business Machines Corp"</f>
        <v xml:space="preserve">    International Business Machines Corp</v>
      </c>
      <c r="B128" t="str">
        <f>"IBM US Equity"</f>
        <v>IBM US Equity</v>
      </c>
      <c r="C128" t="str">
        <f t="shared" si="14"/>
        <v>ES020</v>
      </c>
      <c r="D128" t="str">
        <f t="shared" si="15"/>
        <v>TOTAL_WASTE</v>
      </c>
      <c r="E128" t="str">
        <f t="shared" si="16"/>
        <v>Dynamic</v>
      </c>
      <c r="F128" t="str">
        <f ca="1">IF(AND(ISNUMBER($F$299),$B$165=1),$F$299,HLOOKUP(INDIRECT(ADDRESS(2,COLUMN())),OFFSET($M$2,0,0,ROW()-1,7),ROW()-1,FALSE))</f>
        <v/>
      </c>
      <c r="G128">
        <f ca="1">IF(AND(ISNUMBER($G$299),$B$165=1),$G$299,HLOOKUP(INDIRECT(ADDRESS(2,COLUMN())),OFFSET($M$2,0,0,ROW()-1,7),ROW()-1,FALSE))</f>
        <v>35.959999080000003</v>
      </c>
      <c r="H128">
        <f ca="1">IF(AND(ISNUMBER($H$299),$B$165=1),$H$299,HLOOKUP(INDIRECT(ADDRESS(2,COLUMN())),OFFSET($M$2,0,0,ROW()-1,7),ROW()-1,FALSE))</f>
        <v>38.36000061</v>
      </c>
      <c r="I128">
        <f ca="1">IF(AND(ISNUMBER($I$299),$B$165=1),$I$299,HLOOKUP(INDIRECT(ADDRESS(2,COLUMN())),OFFSET($M$2,0,0,ROW()-1,7),ROW()-1,FALSE))</f>
        <v>45.36000061</v>
      </c>
      <c r="J128">
        <f ca="1">IF(AND(ISNUMBER($J$299),$B$165=1),$J$299,HLOOKUP(INDIRECT(ADDRESS(2,COLUMN())),OFFSET($M$2,0,0,ROW()-1,7),ROW()-1,FALSE))</f>
        <v>56.229900360000002</v>
      </c>
      <c r="K128">
        <f ca="1">IF(AND(ISNUMBER($K$299),$B$165=1),$K$299,HLOOKUP(INDIRECT(ADDRESS(2,COLUMN())),OFFSET($M$2,0,0,ROW()-1,7),ROW()-1,FALSE))</f>
        <v>110.72899630000001</v>
      </c>
      <c r="L128">
        <f ca="1">IF(AND(ISNUMBER($L$299),$B$165=1),$L$299,HLOOKUP(INDIRECT(ADDRESS(2,COLUMN())),OFFSET($M$2,0,0,ROW()-1,7),ROW()-1,FALSE))</f>
        <v>72.51499939</v>
      </c>
      <c r="M128" t="str">
        <f>""</f>
        <v/>
      </c>
      <c r="N128">
        <f>35.95999908</f>
        <v>35.959999080000003</v>
      </c>
      <c r="O128">
        <f>38.36000061</f>
        <v>38.36000061</v>
      </c>
      <c r="P128">
        <f>45.36000061</f>
        <v>45.36000061</v>
      </c>
      <c r="Q128">
        <f>56.22990036</f>
        <v>56.229900360000002</v>
      </c>
      <c r="R128">
        <f>110.7289963</f>
        <v>110.72899630000001</v>
      </c>
      <c r="S128">
        <f>72.51499939</f>
        <v>72.51499939</v>
      </c>
    </row>
    <row r="129" spans="1:19" x14ac:dyDescent="0.25">
      <c r="A129" t="str">
        <f>"    Tata Consultancy Services Ltd"</f>
        <v xml:space="preserve">    Tata Consultancy Services Ltd</v>
      </c>
      <c r="B129" t="str">
        <f>"TCS IN Equity"</f>
        <v>TCS IN Equity</v>
      </c>
      <c r="C129" t="str">
        <f t="shared" si="14"/>
        <v>ES020</v>
      </c>
      <c r="D129" t="str">
        <f t="shared" si="15"/>
        <v>TOTAL_WASTE</v>
      </c>
      <c r="E129" t="str">
        <f t="shared" si="16"/>
        <v>Dynamic</v>
      </c>
      <c r="F129" t="str">
        <f ca="1">IF(AND(ISNUMBER($F$300),$B$165=1),$F$300,HLOOKUP(INDIRECT(ADDRESS(2,COLUMN())),OFFSET($M$2,0,0,ROW()-1,7),ROW()-1,FALSE))</f>
        <v/>
      </c>
      <c r="G129" t="str">
        <f ca="1">IF(AND(ISNUMBER($G$300),$B$165=1),$G$300,HLOOKUP(INDIRECT(ADDRESS(2,COLUMN())),OFFSET($M$2,0,0,ROW()-1,7),ROW()-1,FALSE))</f>
        <v/>
      </c>
      <c r="H129">
        <f ca="1">IF(AND(ISNUMBER($H$300),$B$165=1),$H$300,HLOOKUP(INDIRECT(ADDRESS(2,COLUMN())),OFFSET($M$2,0,0,ROW()-1,7),ROW()-1,FALSE))</f>
        <v>5.9450001720000003</v>
      </c>
      <c r="I129">
        <f ca="1">IF(AND(ISNUMBER($I$300),$B$165=1),$I$300,HLOOKUP(INDIRECT(ADDRESS(2,COLUMN())),OFFSET($M$2,0,0,ROW()-1,7),ROW()-1,FALSE))</f>
        <v>5.3020000459999999</v>
      </c>
      <c r="J129" t="str">
        <f ca="1">IF(AND(ISNUMBER($J$300),$B$165=1),$J$300,HLOOKUP(INDIRECT(ADDRESS(2,COLUMN())),OFFSET($M$2,0,0,ROW()-1,7),ROW()-1,FALSE))</f>
        <v/>
      </c>
      <c r="K129" t="str">
        <f ca="1">IF(AND(ISNUMBER($K$300),$B$165=1),$K$300,HLOOKUP(INDIRECT(ADDRESS(2,COLUMN())),OFFSET($M$2,0,0,ROW()-1,7),ROW()-1,FALSE))</f>
        <v/>
      </c>
      <c r="L129" t="str">
        <f ca="1">IF(AND(ISNUMBER($L$300),$B$165=1),$L$300,HLOOKUP(INDIRECT(ADDRESS(2,COLUMN())),OFFSET($M$2,0,0,ROW()-1,7),ROW()-1,FALSE))</f>
        <v/>
      </c>
      <c r="M129" t="str">
        <f>""</f>
        <v/>
      </c>
      <c r="N129" t="str">
        <f>""</f>
        <v/>
      </c>
      <c r="O129">
        <f>5.945000172</f>
        <v>5.9450001720000003</v>
      </c>
      <c r="P129">
        <f>5.302000046</f>
        <v>5.3020000459999999</v>
      </c>
      <c r="Q129" t="str">
        <f>""</f>
        <v/>
      </c>
      <c r="R129" t="str">
        <f>""</f>
        <v/>
      </c>
      <c r="S129" t="str">
        <f>""</f>
        <v/>
      </c>
    </row>
    <row r="130" spans="1:19" x14ac:dyDescent="0.25">
      <c r="A130" t="str">
        <f>"    Tech Mahindra Ltd"</f>
        <v xml:space="preserve">    Tech Mahindra Ltd</v>
      </c>
      <c r="B130" t="str">
        <f>"TECHM IN Equity"</f>
        <v>TECHM IN Equity</v>
      </c>
      <c r="C130" t="str">
        <f t="shared" si="14"/>
        <v>ES020</v>
      </c>
      <c r="D130" t="str">
        <f t="shared" si="15"/>
        <v>TOTAL_WASTE</v>
      </c>
      <c r="E130" t="str">
        <f t="shared" si="16"/>
        <v>Dynamic</v>
      </c>
      <c r="F130" t="str">
        <f ca="1">IF(AND(ISNUMBER($F$301),$B$165=1),$F$301,HLOOKUP(INDIRECT(ADDRESS(2,COLUMN())),OFFSET($M$2,0,0,ROW()-1,7),ROW()-1,FALSE))</f>
        <v/>
      </c>
      <c r="G130" t="str">
        <f ca="1">IF(AND(ISNUMBER($G$301),$B$165=1),$G$301,HLOOKUP(INDIRECT(ADDRESS(2,COLUMN())),OFFSET($M$2,0,0,ROW()-1,7),ROW()-1,FALSE))</f>
        <v/>
      </c>
      <c r="H130">
        <f ca="1">IF(AND(ISNUMBER($H$301),$B$165=1),$H$301,HLOOKUP(INDIRECT(ADDRESS(2,COLUMN())),OFFSET($M$2,0,0,ROW()-1,7),ROW()-1,FALSE))</f>
        <v>0.90806001400000003</v>
      </c>
      <c r="I130">
        <f ca="1">IF(AND(ISNUMBER($I$301),$B$165=1),$I$301,HLOOKUP(INDIRECT(ADDRESS(2,COLUMN())),OFFSET($M$2,0,0,ROW()-1,7),ROW()-1,FALSE))</f>
        <v>0.84637999500000005</v>
      </c>
      <c r="J130">
        <f ca="1">IF(AND(ISNUMBER($J$301),$B$165=1),$J$301,HLOOKUP(INDIRECT(ADDRESS(2,COLUMN())),OFFSET($M$2,0,0,ROW()-1,7),ROW()-1,FALSE))</f>
        <v>0.64200002</v>
      </c>
      <c r="K130">
        <f ca="1">IF(AND(ISNUMBER($K$301),$B$165=1),$K$301,HLOOKUP(INDIRECT(ADDRESS(2,COLUMN())),OFFSET($M$2,0,0,ROW()-1,7),ROW()-1,FALSE))</f>
        <v>0.58300000399999996</v>
      </c>
      <c r="L130">
        <f ca="1">IF(AND(ISNUMBER($L$301),$B$165=1),$L$301,HLOOKUP(INDIRECT(ADDRESS(2,COLUMN())),OFFSET($M$2,0,0,ROW()-1,7),ROW()-1,FALSE))</f>
        <v>0.398999989</v>
      </c>
      <c r="M130" t="str">
        <f>""</f>
        <v/>
      </c>
      <c r="N130" t="str">
        <f>""</f>
        <v/>
      </c>
      <c r="O130">
        <f>0.908060014</f>
        <v>0.90806001400000003</v>
      </c>
      <c r="P130">
        <f>0.846379995</f>
        <v>0.84637999500000005</v>
      </c>
      <c r="Q130">
        <f>0.64200002</f>
        <v>0.64200002</v>
      </c>
      <c r="R130">
        <f>0.583000004</f>
        <v>0.58300000399999996</v>
      </c>
      <c r="S130">
        <f>0.398999989</f>
        <v>0.398999989</v>
      </c>
    </row>
    <row r="131" spans="1:19" x14ac:dyDescent="0.25">
      <c r="A131" t="str">
        <f>"    Wipro Ltd"</f>
        <v xml:space="preserve">    Wipro Ltd</v>
      </c>
      <c r="B131" t="str">
        <f>"WIT US Equity"</f>
        <v>WIT US Equity</v>
      </c>
      <c r="C131" t="str">
        <f t="shared" si="14"/>
        <v>ES020</v>
      </c>
      <c r="D131" t="str">
        <f t="shared" si="15"/>
        <v>TOTAL_WASTE</v>
      </c>
      <c r="E131" t="str">
        <f t="shared" si="16"/>
        <v>Dynamic</v>
      </c>
      <c r="F131" t="str">
        <f ca="1">IF(AND(ISNUMBER($F$302),$B$165=1),$F$302,HLOOKUP(INDIRECT(ADDRESS(2,COLUMN())),OFFSET($M$2,0,0,ROW()-1,7),ROW()-1,FALSE))</f>
        <v/>
      </c>
      <c r="G131">
        <f ca="1">IF(AND(ISNUMBER($G$302),$B$165=1),$G$302,HLOOKUP(INDIRECT(ADDRESS(2,COLUMN())),OFFSET($M$2,0,0,ROW()-1,7),ROW()-1,FALSE))</f>
        <v>6.204999924</v>
      </c>
      <c r="H131">
        <f ca="1">IF(AND(ISNUMBER($H$302),$B$165=1),$H$302,HLOOKUP(INDIRECT(ADDRESS(2,COLUMN())),OFFSET($M$2,0,0,ROW()-1,7),ROW()-1,FALSE))</f>
        <v>5.0060000420000001</v>
      </c>
      <c r="I131">
        <f ca="1">IF(AND(ISNUMBER($I$302),$B$165=1),$I$302,HLOOKUP(INDIRECT(ADDRESS(2,COLUMN())),OFFSET($M$2,0,0,ROW()-1,7),ROW()-1,FALSE))</f>
        <v>4.3379998210000004</v>
      </c>
      <c r="J131">
        <f ca="1">IF(AND(ISNUMBER($J$302),$B$165=1),$J$302,HLOOKUP(INDIRECT(ADDRESS(2,COLUMN())),OFFSET($M$2,0,0,ROW()-1,7),ROW()-1,FALSE))</f>
        <v>6.7039999960000003</v>
      </c>
      <c r="K131">
        <f ca="1">IF(AND(ISNUMBER($K$302),$B$165=1),$K$302,HLOOKUP(INDIRECT(ADDRESS(2,COLUMN())),OFFSET($M$2,0,0,ROW()-1,7),ROW()-1,FALSE))</f>
        <v>4.566999912</v>
      </c>
      <c r="L131">
        <f ca="1">IF(AND(ISNUMBER($L$302),$B$165=1),$L$302,HLOOKUP(INDIRECT(ADDRESS(2,COLUMN())),OFFSET($M$2,0,0,ROW()-1,7),ROW()-1,FALSE))</f>
        <v>3.704999924</v>
      </c>
      <c r="M131" t="str">
        <f>""</f>
        <v/>
      </c>
      <c r="N131">
        <f>6.204999924</f>
        <v>6.204999924</v>
      </c>
      <c r="O131">
        <f>5.006000042</f>
        <v>5.0060000420000001</v>
      </c>
      <c r="P131">
        <f>4.337999821</f>
        <v>4.3379998210000004</v>
      </c>
      <c r="Q131">
        <f>6.703999996</f>
        <v>6.7039999960000003</v>
      </c>
      <c r="R131">
        <f>4.566999912</f>
        <v>4.566999912</v>
      </c>
      <c r="S131">
        <f>3.704999924</f>
        <v>3.704999924</v>
      </c>
    </row>
    <row r="132" spans="1:19" x14ac:dyDescent="0.25">
      <c r="A132" t="str">
        <f>"Waste Recycled (000s Metric Tons)"</f>
        <v>Waste Recycled (000s Metric Tons)</v>
      </c>
      <c r="B132" t="str">
        <f>""</f>
        <v/>
      </c>
      <c r="E132" t="str">
        <f>"Median"</f>
        <v>Median</v>
      </c>
      <c r="F132">
        <f ca="1">IF(ISERROR(IF(MEDIAN($F$133:$F$149) = 0, "", MEDIAN($F$133:$F$149))), "", (IF(MEDIAN($F$133:$F$149) = 0, "", MEDIAN($F$133:$F$149))))</f>
        <v>1.2029999490000001</v>
      </c>
      <c r="G132">
        <f ca="1">IF(ISERROR(IF(MEDIAN($G$133:$G$149) = 0, "", MEDIAN($G$133:$G$149))), "", (IF(MEDIAN($G$133:$G$149) = 0, "", MEDIAN($G$133:$G$149))))</f>
        <v>18.017674924000001</v>
      </c>
      <c r="H132">
        <f ca="1">IF(ISERROR(IF(MEDIAN($H$133:$H$149) = 0, "", MEDIAN($H$133:$H$149))), "", (IF(MEDIAN($H$133:$H$149) = 0, "", MEDIAN($H$133:$H$149))))</f>
        <v>3.9662499430000002</v>
      </c>
      <c r="I132">
        <f ca="1">IF(ISERROR(IF(MEDIAN($I$133:$I$149) = 0, "", MEDIAN($I$133:$I$149))), "", (IF(MEDIAN($I$133:$I$149) = 0, "", MEDIAN($I$133:$I$149))))</f>
        <v>2.2430000305000002</v>
      </c>
      <c r="J132">
        <f ca="1">IF(ISERROR(IF(MEDIAN($J$133:$J$149) = 0, "", MEDIAN($J$133:$J$149))), "", (IF(MEDIAN($J$133:$J$149) = 0, "", MEDIAN($J$133:$J$149))))</f>
        <v>3.7446800469999997</v>
      </c>
      <c r="K132">
        <f ca="1">IF(ISERROR(IF(MEDIAN($K$133:$K$149) = 0, "", MEDIAN($K$133:$K$149))), "", (IF(MEDIAN($K$133:$K$149) = 0, "", MEDIAN($K$133:$K$149))))</f>
        <v>4.2203598019999999</v>
      </c>
      <c r="L132">
        <f ca="1">IF(ISERROR(IF(MEDIAN($L$133:$L$149) = 0, "", MEDIAN($L$133:$L$149))), "", (IF(MEDIAN($L$133:$L$149) = 0, "", MEDIAN($L$133:$L$149))))</f>
        <v>2.1748299599999998</v>
      </c>
      <c r="M132" t="str">
        <f>""</f>
        <v/>
      </c>
      <c r="N132">
        <f>18.01767492</f>
        <v>18.017674920000001</v>
      </c>
      <c r="O132">
        <f>3.966249943</f>
        <v>3.9662499430000002</v>
      </c>
      <c r="P132">
        <f>2.243000031</f>
        <v>2.2430000309999998</v>
      </c>
      <c r="Q132">
        <f>3.744680047</f>
        <v>3.7446800470000001</v>
      </c>
      <c r="R132">
        <f>4.220359802</f>
        <v>4.2203598019999999</v>
      </c>
      <c r="S132">
        <f>2.17482996</f>
        <v>2.1748299599999998</v>
      </c>
    </row>
    <row r="133" spans="1:19" x14ac:dyDescent="0.25">
      <c r="A133" t="str">
        <f>"    Accenture PLC"</f>
        <v xml:space="preserve">    Accenture PLC</v>
      </c>
      <c r="B133" t="str">
        <f>"ACN US Equity"</f>
        <v>ACN US Equity</v>
      </c>
      <c r="C133" t="str">
        <f t="shared" ref="C133:C149" si="17">"ES021"</f>
        <v>ES021</v>
      </c>
      <c r="D133" t="str">
        <f t="shared" ref="D133:D149" si="18">"WASTE_RECYCLED"</f>
        <v>WASTE_RECYCLED</v>
      </c>
      <c r="E133" t="str">
        <f t="shared" ref="E133:E149" si="19">"Dynamic"</f>
        <v>Dynamic</v>
      </c>
      <c r="F133" t="str">
        <f ca="1">IF(AND(ISNUMBER($F$303),$B$165=1),$F$303,HLOOKUP(INDIRECT(ADDRESS(2,COLUMN())),OFFSET($M$2,0,0,ROW()-1,7),ROW()-1,FALSE))</f>
        <v/>
      </c>
      <c r="G133" t="str">
        <f ca="1">IF(AND(ISNUMBER($G$303),$B$165=1),$G$303,HLOOKUP(INDIRECT(ADDRESS(2,COLUMN())),OFFSET($M$2,0,0,ROW()-1,7),ROW()-1,FALSE))</f>
        <v/>
      </c>
      <c r="H133" t="str">
        <f ca="1">IF(AND(ISNUMBER($H$303),$B$165=1),$H$303,HLOOKUP(INDIRECT(ADDRESS(2,COLUMN())),OFFSET($M$2,0,0,ROW()-1,7),ROW()-1,FALSE))</f>
        <v/>
      </c>
      <c r="I133" t="str">
        <f ca="1">IF(AND(ISNUMBER($I$303),$B$165=1),$I$303,HLOOKUP(INDIRECT(ADDRESS(2,COLUMN())),OFFSET($M$2,0,0,ROW()-1,7),ROW()-1,FALSE))</f>
        <v/>
      </c>
      <c r="J133" t="str">
        <f ca="1">IF(AND(ISNUMBER($J$303),$B$165=1),$J$303,HLOOKUP(INDIRECT(ADDRESS(2,COLUMN())),OFFSET($M$2,0,0,ROW()-1,7),ROW()-1,FALSE))</f>
        <v/>
      </c>
      <c r="K133" t="str">
        <f ca="1">IF(AND(ISNUMBER($K$303),$B$165=1),$K$303,HLOOKUP(INDIRECT(ADDRESS(2,COLUMN())),OFFSET($M$2,0,0,ROW()-1,7),ROW()-1,FALSE))</f>
        <v/>
      </c>
      <c r="L133" t="str">
        <f ca="1">IF(AND(ISNUMBER($L$303),$B$165=1),$L$303,HLOOKUP(INDIRECT(ADDRESS(2,COLUMN())),OFFSET($M$2,0,0,ROW()-1,7),ROW()-1,FALSE))</f>
        <v/>
      </c>
      <c r="M133" t="str">
        <f>""</f>
        <v/>
      </c>
      <c r="N133" t="str">
        <f>""</f>
        <v/>
      </c>
      <c r="O133" t="str">
        <f>""</f>
        <v/>
      </c>
      <c r="P133" t="str">
        <f>""</f>
        <v/>
      </c>
      <c r="Q133" t="str">
        <f>""</f>
        <v/>
      </c>
      <c r="R133" t="str">
        <f>""</f>
        <v/>
      </c>
      <c r="S133" t="str">
        <f>""</f>
        <v/>
      </c>
    </row>
    <row r="134" spans="1:19" x14ac:dyDescent="0.25">
      <c r="A134" t="str">
        <f>"    Amdocs Ltd"</f>
        <v xml:space="preserve">    Amdocs Ltd</v>
      </c>
      <c r="B134" t="str">
        <f>"DOX US Equity"</f>
        <v>DOX US Equity</v>
      </c>
      <c r="C134" t="str">
        <f t="shared" si="17"/>
        <v>ES021</v>
      </c>
      <c r="D134" t="str">
        <f t="shared" si="18"/>
        <v>WASTE_RECYCLED</v>
      </c>
      <c r="E134" t="str">
        <f t="shared" si="19"/>
        <v>Dynamic</v>
      </c>
      <c r="F134" t="str">
        <f ca="1">IF(AND(ISNUMBER($F$304),$B$165=1),$F$304,HLOOKUP(INDIRECT(ADDRESS(2,COLUMN())),OFFSET($M$2,0,0,ROW()-1,7),ROW()-1,FALSE))</f>
        <v/>
      </c>
      <c r="G134" t="str">
        <f ca="1">IF(AND(ISNUMBER($G$304),$B$165=1),$G$304,HLOOKUP(INDIRECT(ADDRESS(2,COLUMN())),OFFSET($M$2,0,0,ROW()-1,7),ROW()-1,FALSE))</f>
        <v/>
      </c>
      <c r="H134" t="str">
        <f ca="1">IF(AND(ISNUMBER($H$304),$B$165=1),$H$304,HLOOKUP(INDIRECT(ADDRESS(2,COLUMN())),OFFSET($M$2,0,0,ROW()-1,7),ROW()-1,FALSE))</f>
        <v/>
      </c>
      <c r="I134" t="str">
        <f ca="1">IF(AND(ISNUMBER($I$304),$B$165=1),$I$304,HLOOKUP(INDIRECT(ADDRESS(2,COLUMN())),OFFSET($M$2,0,0,ROW()-1,7),ROW()-1,FALSE))</f>
        <v/>
      </c>
      <c r="J134" t="str">
        <f ca="1">IF(AND(ISNUMBER($J$304),$B$165=1),$J$304,HLOOKUP(INDIRECT(ADDRESS(2,COLUMN())),OFFSET($M$2,0,0,ROW()-1,7),ROW()-1,FALSE))</f>
        <v/>
      </c>
      <c r="K134" t="str">
        <f ca="1">IF(AND(ISNUMBER($K$304),$B$165=1),$K$304,HLOOKUP(INDIRECT(ADDRESS(2,COLUMN())),OFFSET($M$2,0,0,ROW()-1,7),ROW()-1,FALSE))</f>
        <v/>
      </c>
      <c r="L134" t="str">
        <f ca="1">IF(AND(ISNUMBER($L$304),$B$165=1),$L$304,HLOOKUP(INDIRECT(ADDRESS(2,COLUMN())),OFFSET($M$2,0,0,ROW()-1,7),ROW()-1,FALSE))</f>
        <v/>
      </c>
      <c r="M134" t="str">
        <f>""</f>
        <v/>
      </c>
      <c r="N134" t="str">
        <f>""</f>
        <v/>
      </c>
      <c r="O134" t="str">
        <f>""</f>
        <v/>
      </c>
      <c r="P134" t="str">
        <f>""</f>
        <v/>
      </c>
      <c r="Q134" t="str">
        <f>""</f>
        <v/>
      </c>
      <c r="R134" t="str">
        <f>""</f>
        <v/>
      </c>
      <c r="S134" t="str">
        <f>""</f>
        <v/>
      </c>
    </row>
    <row r="135" spans="1:19" x14ac:dyDescent="0.25">
      <c r="A135" t="str">
        <f>"    Atos SE"</f>
        <v xml:space="preserve">    Atos SE</v>
      </c>
      <c r="B135" t="str">
        <f>"ATO FP Equity"</f>
        <v>ATO FP Equity</v>
      </c>
      <c r="C135" t="str">
        <f t="shared" si="17"/>
        <v>ES021</v>
      </c>
      <c r="D135" t="str">
        <f t="shared" si="18"/>
        <v>WASTE_RECYCLED</v>
      </c>
      <c r="E135" t="str">
        <f t="shared" si="19"/>
        <v>Dynamic</v>
      </c>
      <c r="F135" t="str">
        <f ca="1">IF(AND(ISNUMBER($F$305),$B$165=1),$F$305,HLOOKUP(INDIRECT(ADDRESS(2,COLUMN())),OFFSET($M$2,0,0,ROW()-1,7),ROW()-1,FALSE))</f>
        <v/>
      </c>
      <c r="G135" t="str">
        <f ca="1">IF(AND(ISNUMBER($G$305),$B$165=1),$G$305,HLOOKUP(INDIRECT(ADDRESS(2,COLUMN())),OFFSET($M$2,0,0,ROW()-1,7),ROW()-1,FALSE))</f>
        <v/>
      </c>
      <c r="H135" t="str">
        <f ca="1">IF(AND(ISNUMBER($H$305),$B$165=1),$H$305,HLOOKUP(INDIRECT(ADDRESS(2,COLUMN())),OFFSET($M$2,0,0,ROW()-1,7),ROW()-1,FALSE))</f>
        <v/>
      </c>
      <c r="I135" t="str">
        <f ca="1">IF(AND(ISNUMBER($I$305),$B$165=1),$I$305,HLOOKUP(INDIRECT(ADDRESS(2,COLUMN())),OFFSET($M$2,0,0,ROW()-1,7),ROW()-1,FALSE))</f>
        <v/>
      </c>
      <c r="J135" t="str">
        <f ca="1">IF(AND(ISNUMBER($J$305),$B$165=1),$J$305,HLOOKUP(INDIRECT(ADDRESS(2,COLUMN())),OFFSET($M$2,0,0,ROW()-1,7),ROW()-1,FALSE))</f>
        <v/>
      </c>
      <c r="K135" t="str">
        <f ca="1">IF(AND(ISNUMBER($K$305),$B$165=1),$K$305,HLOOKUP(INDIRECT(ADDRESS(2,COLUMN())),OFFSET($M$2,0,0,ROW()-1,7),ROW()-1,FALSE))</f>
        <v/>
      </c>
      <c r="L135" t="str">
        <f ca="1">IF(AND(ISNUMBER($L$305),$B$165=1),$L$305,HLOOKUP(INDIRECT(ADDRESS(2,COLUMN())),OFFSET($M$2,0,0,ROW()-1,7),ROW()-1,FALSE))</f>
        <v/>
      </c>
      <c r="M135" t="str">
        <f>""</f>
        <v/>
      </c>
      <c r="N135" t="str">
        <f>""</f>
        <v/>
      </c>
      <c r="O135" t="str">
        <f>""</f>
        <v/>
      </c>
      <c r="P135" t="str">
        <f>""</f>
        <v/>
      </c>
      <c r="Q135" t="str">
        <f>""</f>
        <v/>
      </c>
      <c r="R135" t="str">
        <f>""</f>
        <v/>
      </c>
      <c r="S135" t="str">
        <f>""</f>
        <v/>
      </c>
    </row>
    <row r="136" spans="1:19" x14ac:dyDescent="0.25">
      <c r="A136" t="str">
        <f>"    Capgemini SE"</f>
        <v xml:space="preserve">    Capgemini SE</v>
      </c>
      <c r="B136" t="str">
        <f>"CAP FP Equity"</f>
        <v>CAP FP Equity</v>
      </c>
      <c r="C136" t="str">
        <f t="shared" si="17"/>
        <v>ES021</v>
      </c>
      <c r="D136" t="str">
        <f t="shared" si="18"/>
        <v>WASTE_RECYCLED</v>
      </c>
      <c r="E136" t="str">
        <f t="shared" si="19"/>
        <v>Dynamic</v>
      </c>
      <c r="F136">
        <f ca="1">IF(AND(ISNUMBER($F$306),$B$165=1),$F$306,HLOOKUP(INDIRECT(ADDRESS(2,COLUMN())),OFFSET($M$2,0,0,ROW()-1,7),ROW()-1,FALSE))</f>
        <v>1.2029999490000001</v>
      </c>
      <c r="G136">
        <f ca="1">IF(AND(ISNUMBER($G$306),$B$165=1),$G$306,HLOOKUP(INDIRECT(ADDRESS(2,COLUMN())),OFFSET($M$2,0,0,ROW()-1,7),ROW()-1,FALSE))</f>
        <v>1.0420000549999999</v>
      </c>
      <c r="H136">
        <f ca="1">IF(AND(ISNUMBER($H$306),$B$165=1),$H$306,HLOOKUP(INDIRECT(ADDRESS(2,COLUMN())),OFFSET($M$2,0,0,ROW()-1,7),ROW()-1,FALSE))</f>
        <v>1.4060000180000001</v>
      </c>
      <c r="I136">
        <f ca="1">IF(AND(ISNUMBER($I$306),$B$165=1),$I$306,HLOOKUP(INDIRECT(ADDRESS(2,COLUMN())),OFFSET($M$2,0,0,ROW()-1,7),ROW()-1,FALSE))</f>
        <v>1.1080000400000001</v>
      </c>
      <c r="J136">
        <f ca="1">IF(AND(ISNUMBER($J$306),$B$165=1),$J$306,HLOOKUP(INDIRECT(ADDRESS(2,COLUMN())),OFFSET($M$2,0,0,ROW()-1,7),ROW()-1,FALSE))</f>
        <v>1.319000006</v>
      </c>
      <c r="K136" t="str">
        <f ca="1">IF(AND(ISNUMBER($K$306),$B$165=1),$K$306,HLOOKUP(INDIRECT(ADDRESS(2,COLUMN())),OFFSET($M$2,0,0,ROW()-1,7),ROW()-1,FALSE))</f>
        <v/>
      </c>
      <c r="L136" t="str">
        <f ca="1">IF(AND(ISNUMBER($L$306),$B$165=1),$L$306,HLOOKUP(INDIRECT(ADDRESS(2,COLUMN())),OFFSET($M$2,0,0,ROW()-1,7),ROW()-1,FALSE))</f>
        <v/>
      </c>
      <c r="M136">
        <f>1.202999949</f>
        <v>1.2029999490000001</v>
      </c>
      <c r="N136">
        <f>1.042000055</f>
        <v>1.0420000549999999</v>
      </c>
      <c r="O136">
        <f>1.406000018</f>
        <v>1.4060000180000001</v>
      </c>
      <c r="P136">
        <f>1.10800004</f>
        <v>1.1080000400000001</v>
      </c>
      <c r="Q136">
        <f>1.319000006</f>
        <v>1.319000006</v>
      </c>
      <c r="R136" t="str">
        <f>""</f>
        <v/>
      </c>
      <c r="S136" t="str">
        <f>""</f>
        <v/>
      </c>
    </row>
    <row r="137" spans="1:19" x14ac:dyDescent="0.25">
      <c r="A137" t="str">
        <f>"    CGI Inc"</f>
        <v xml:space="preserve">    CGI Inc</v>
      </c>
      <c r="B137" t="str">
        <f>"GIB US Equity"</f>
        <v>GIB US Equity</v>
      </c>
      <c r="C137" t="str">
        <f t="shared" si="17"/>
        <v>ES021</v>
      </c>
      <c r="D137" t="str">
        <f t="shared" si="18"/>
        <v>WASTE_RECYCLED</v>
      </c>
      <c r="E137" t="str">
        <f t="shared" si="19"/>
        <v>Dynamic</v>
      </c>
      <c r="F137" t="str">
        <f ca="1">IF(AND(ISNUMBER($F$307),$B$165=1),$F$307,HLOOKUP(INDIRECT(ADDRESS(2,COLUMN())),OFFSET($M$2,0,0,ROW()-1,7),ROW()-1,FALSE))</f>
        <v/>
      </c>
      <c r="G137" t="str">
        <f ca="1">IF(AND(ISNUMBER($G$307),$B$165=1),$G$307,HLOOKUP(INDIRECT(ADDRESS(2,COLUMN())),OFFSET($M$2,0,0,ROW()-1,7),ROW()-1,FALSE))</f>
        <v/>
      </c>
      <c r="H137" t="str">
        <f ca="1">IF(AND(ISNUMBER($H$307),$B$165=1),$H$307,HLOOKUP(INDIRECT(ADDRESS(2,COLUMN())),OFFSET($M$2,0,0,ROW()-1,7),ROW()-1,FALSE))</f>
        <v/>
      </c>
      <c r="I137" t="str">
        <f ca="1">IF(AND(ISNUMBER($I$307),$B$165=1),$I$307,HLOOKUP(INDIRECT(ADDRESS(2,COLUMN())),OFFSET($M$2,0,0,ROW()-1,7),ROW()-1,FALSE))</f>
        <v/>
      </c>
      <c r="J137" t="str">
        <f ca="1">IF(AND(ISNUMBER($J$307),$B$165=1),$J$307,HLOOKUP(INDIRECT(ADDRESS(2,COLUMN())),OFFSET($M$2,0,0,ROW()-1,7),ROW()-1,FALSE))</f>
        <v/>
      </c>
      <c r="K137" t="str">
        <f ca="1">IF(AND(ISNUMBER($K$307),$B$165=1),$K$307,HLOOKUP(INDIRECT(ADDRESS(2,COLUMN())),OFFSET($M$2,0,0,ROW()-1,7),ROW()-1,FALSE))</f>
        <v/>
      </c>
      <c r="L137" t="str">
        <f ca="1">IF(AND(ISNUMBER($L$307),$B$165=1),$L$307,HLOOKUP(INDIRECT(ADDRESS(2,COLUMN())),OFFSET($M$2,0,0,ROW()-1,7),ROW()-1,FALSE))</f>
        <v/>
      </c>
      <c r="M137" t="str">
        <f>""</f>
        <v/>
      </c>
      <c r="N137" t="str">
        <f>""</f>
        <v/>
      </c>
      <c r="O137" t="str">
        <f>""</f>
        <v/>
      </c>
      <c r="P137" t="str">
        <f>""</f>
        <v/>
      </c>
      <c r="Q137" t="str">
        <f>""</f>
        <v/>
      </c>
      <c r="R137" t="str">
        <f>""</f>
        <v/>
      </c>
      <c r="S137" t="str">
        <f>""</f>
        <v/>
      </c>
    </row>
    <row r="138" spans="1:19" x14ac:dyDescent="0.25">
      <c r="A138" t="str">
        <f>"    Cognizant Technology Solutions Corp"</f>
        <v xml:space="preserve">    Cognizant Technology Solutions Corp</v>
      </c>
      <c r="B138" t="str">
        <f>"CTSH US Equity"</f>
        <v>CTSH US Equity</v>
      </c>
      <c r="C138" t="str">
        <f t="shared" si="17"/>
        <v>ES021</v>
      </c>
      <c r="D138" t="str">
        <f t="shared" si="18"/>
        <v>WASTE_RECYCLED</v>
      </c>
      <c r="E138" t="str">
        <f t="shared" si="19"/>
        <v>Dynamic</v>
      </c>
      <c r="F138" t="str">
        <f ca="1">IF(AND(ISNUMBER($F$308),$B$165=1),$F$308,HLOOKUP(INDIRECT(ADDRESS(2,COLUMN())),OFFSET($M$2,0,0,ROW()-1,7),ROW()-1,FALSE))</f>
        <v/>
      </c>
      <c r="G138" t="str">
        <f ca="1">IF(AND(ISNUMBER($G$308),$B$165=1),$G$308,HLOOKUP(INDIRECT(ADDRESS(2,COLUMN())),OFFSET($M$2,0,0,ROW()-1,7),ROW()-1,FALSE))</f>
        <v/>
      </c>
      <c r="H138" t="str">
        <f ca="1">IF(AND(ISNUMBER($H$308),$B$165=1),$H$308,HLOOKUP(INDIRECT(ADDRESS(2,COLUMN())),OFFSET($M$2,0,0,ROW()-1,7),ROW()-1,FALSE))</f>
        <v/>
      </c>
      <c r="I138">
        <f ca="1">IF(AND(ISNUMBER($I$308),$B$165=1),$I$308,HLOOKUP(INDIRECT(ADDRESS(2,COLUMN())),OFFSET($M$2,0,0,ROW()-1,7),ROW()-1,FALSE))</f>
        <v>0.32625600700000001</v>
      </c>
      <c r="J138">
        <f ca="1">IF(AND(ISNUMBER($J$308),$B$165=1),$J$308,HLOOKUP(INDIRECT(ADDRESS(2,COLUMN())),OFFSET($M$2,0,0,ROW()-1,7),ROW()-1,FALSE))</f>
        <v>0.38127899199999998</v>
      </c>
      <c r="K138">
        <f ca="1">IF(AND(ISNUMBER($K$308),$B$165=1),$K$308,HLOOKUP(INDIRECT(ADDRESS(2,COLUMN())),OFFSET($M$2,0,0,ROW()-1,7),ROW()-1,FALSE))</f>
        <v>0.31093600399999999</v>
      </c>
      <c r="L138">
        <f ca="1">IF(AND(ISNUMBER($L$308),$B$165=1),$L$308,HLOOKUP(INDIRECT(ADDRESS(2,COLUMN())),OFFSET($M$2,0,0,ROW()-1,7),ROW()-1,FALSE))</f>
        <v>0.231821001</v>
      </c>
      <c r="M138" t="str">
        <f>""</f>
        <v/>
      </c>
      <c r="N138" t="str">
        <f>""</f>
        <v/>
      </c>
      <c r="O138" t="str">
        <f>""</f>
        <v/>
      </c>
      <c r="P138">
        <f>0.326256007</f>
        <v>0.32625600700000001</v>
      </c>
      <c r="Q138">
        <f>0.381278992</f>
        <v>0.38127899199999998</v>
      </c>
      <c r="R138">
        <f>0.310936004</f>
        <v>0.31093600399999999</v>
      </c>
      <c r="S138">
        <f>0.231821001</f>
        <v>0.231821001</v>
      </c>
    </row>
    <row r="139" spans="1:19" x14ac:dyDescent="0.25">
      <c r="A139" t="str">
        <f>"    Conduent Inc"</f>
        <v xml:space="preserve">    Conduent Inc</v>
      </c>
      <c r="B139" t="str">
        <f>"CNDT US Equity"</f>
        <v>CNDT US Equity</v>
      </c>
      <c r="C139" t="str">
        <f t="shared" si="17"/>
        <v>ES021</v>
      </c>
      <c r="D139" t="str">
        <f t="shared" si="18"/>
        <v>WASTE_RECYCLED</v>
      </c>
      <c r="E139" t="str">
        <f t="shared" si="19"/>
        <v>Dynamic</v>
      </c>
      <c r="F139" t="str">
        <f ca="1">IF(AND(ISNUMBER($F$309),$B$165=1),$F$309,HLOOKUP(INDIRECT(ADDRESS(2,COLUMN())),OFFSET($M$2,0,0,ROW()-1,7),ROW()-1,FALSE))</f>
        <v/>
      </c>
      <c r="G139" t="str">
        <f ca="1">IF(AND(ISNUMBER($G$309),$B$165=1),$G$309,HLOOKUP(INDIRECT(ADDRESS(2,COLUMN())),OFFSET($M$2,0,0,ROW()-1,7),ROW()-1,FALSE))</f>
        <v/>
      </c>
      <c r="H139" t="str">
        <f ca="1">IF(AND(ISNUMBER($H$309),$B$165=1),$H$309,HLOOKUP(INDIRECT(ADDRESS(2,COLUMN())),OFFSET($M$2,0,0,ROW()-1,7),ROW()-1,FALSE))</f>
        <v/>
      </c>
      <c r="I139" t="str">
        <f ca="1">IF(AND(ISNUMBER($I$309),$B$165=1),$I$309,HLOOKUP(INDIRECT(ADDRESS(2,COLUMN())),OFFSET($M$2,0,0,ROW()-1,7),ROW()-1,FALSE))</f>
        <v/>
      </c>
      <c r="J139" t="str">
        <f ca="1">IF(AND(ISNUMBER($J$309),$B$165=1),$J$309,HLOOKUP(INDIRECT(ADDRESS(2,COLUMN())),OFFSET($M$2,0,0,ROW()-1,7),ROW()-1,FALSE))</f>
        <v/>
      </c>
      <c r="K139" t="str">
        <f ca="1">IF(AND(ISNUMBER($K$309),$B$165=1),$K$309,HLOOKUP(INDIRECT(ADDRESS(2,COLUMN())),OFFSET($M$2,0,0,ROW()-1,7),ROW()-1,FALSE))</f>
        <v/>
      </c>
      <c r="L139" t="str">
        <f ca="1">IF(AND(ISNUMBER($L$309),$B$165=1),$L$309,HLOOKUP(INDIRECT(ADDRESS(2,COLUMN())),OFFSET($M$2,0,0,ROW()-1,7),ROW()-1,FALSE))</f>
        <v/>
      </c>
      <c r="M139" t="str">
        <f>""</f>
        <v/>
      </c>
      <c r="N139" t="str">
        <f>""</f>
        <v/>
      </c>
      <c r="O139" t="str">
        <f>""</f>
        <v/>
      </c>
      <c r="P139" t="str">
        <f>""</f>
        <v/>
      </c>
      <c r="Q139" t="str">
        <f>""</f>
        <v/>
      </c>
      <c r="R139" t="str">
        <f>""</f>
        <v/>
      </c>
      <c r="S139" t="str">
        <f>""</f>
        <v/>
      </c>
    </row>
    <row r="140" spans="1:19" x14ac:dyDescent="0.25">
      <c r="A140" t="str">
        <f>"    DXC Technology Co"</f>
        <v xml:space="preserve">    DXC Technology Co</v>
      </c>
      <c r="B140" t="str">
        <f>"DXC US Equity"</f>
        <v>DXC US Equity</v>
      </c>
      <c r="C140" t="str">
        <f t="shared" si="17"/>
        <v>ES021</v>
      </c>
      <c r="D140" t="str">
        <f t="shared" si="18"/>
        <v>WASTE_RECYCLED</v>
      </c>
      <c r="E140" t="str">
        <f t="shared" si="19"/>
        <v>Dynamic</v>
      </c>
      <c r="F140" t="str">
        <f ca="1">IF(AND(ISNUMBER($F$310),$B$165=1),$F$310,HLOOKUP(INDIRECT(ADDRESS(2,COLUMN())),OFFSET($M$2,0,0,ROW()-1,7),ROW()-1,FALSE))</f>
        <v/>
      </c>
      <c r="G140">
        <f ca="1">IF(AND(ISNUMBER($G$310),$B$165=1),$G$310,HLOOKUP(INDIRECT(ADDRESS(2,COLUMN())),OFFSET($M$2,0,0,ROW()-1,7),ROW()-1,FALSE))</f>
        <v>3326.5</v>
      </c>
      <c r="H140" t="str">
        <f ca="1">IF(AND(ISNUMBER($H$310),$B$165=1),$H$310,HLOOKUP(INDIRECT(ADDRESS(2,COLUMN())),OFFSET($M$2,0,0,ROW()-1,7),ROW()-1,FALSE))</f>
        <v/>
      </c>
      <c r="I140" t="str">
        <f ca="1">IF(AND(ISNUMBER($I$310),$B$165=1),$I$310,HLOOKUP(INDIRECT(ADDRESS(2,COLUMN())),OFFSET($M$2,0,0,ROW()-1,7),ROW()-1,FALSE))</f>
        <v/>
      </c>
      <c r="J140" t="str">
        <f ca="1">IF(AND(ISNUMBER($J$310),$B$165=1),$J$310,HLOOKUP(INDIRECT(ADDRESS(2,COLUMN())),OFFSET($M$2,0,0,ROW()-1,7),ROW()-1,FALSE))</f>
        <v/>
      </c>
      <c r="K140" t="str">
        <f ca="1">IF(AND(ISNUMBER($K$310),$B$165=1),$K$310,HLOOKUP(INDIRECT(ADDRESS(2,COLUMN())),OFFSET($M$2,0,0,ROW()-1,7),ROW()-1,FALSE))</f>
        <v/>
      </c>
      <c r="L140" t="str">
        <f ca="1">IF(AND(ISNUMBER($L$310),$B$165=1),$L$310,HLOOKUP(INDIRECT(ADDRESS(2,COLUMN())),OFFSET($M$2,0,0,ROW()-1,7),ROW()-1,FALSE))</f>
        <v/>
      </c>
      <c r="M140" t="str">
        <f>""</f>
        <v/>
      </c>
      <c r="N140">
        <f>3326.5</f>
        <v>3326.5</v>
      </c>
      <c r="O140" t="str">
        <f>""</f>
        <v/>
      </c>
      <c r="P140" t="str">
        <f>""</f>
        <v/>
      </c>
      <c r="Q140" t="str">
        <f>""</f>
        <v/>
      </c>
      <c r="R140" t="str">
        <f>""</f>
        <v/>
      </c>
      <c r="S140" t="str">
        <f>""</f>
        <v/>
      </c>
    </row>
    <row r="141" spans="1:19" x14ac:dyDescent="0.25">
      <c r="A141" t="str">
        <f>"    EPAM Systems Inc"</f>
        <v xml:space="preserve">    EPAM Systems Inc</v>
      </c>
      <c r="B141" t="str">
        <f>"EPAM US Equity"</f>
        <v>EPAM US Equity</v>
      </c>
      <c r="C141" t="str">
        <f t="shared" si="17"/>
        <v>ES021</v>
      </c>
      <c r="D141" t="str">
        <f t="shared" si="18"/>
        <v>WASTE_RECYCLED</v>
      </c>
      <c r="E141" t="str">
        <f t="shared" si="19"/>
        <v>Dynamic</v>
      </c>
      <c r="F141" t="str">
        <f ca="1">IF(AND(ISNUMBER($F$311),$B$165=1),$F$311,HLOOKUP(INDIRECT(ADDRESS(2,COLUMN())),OFFSET($M$2,0,0,ROW()-1,7),ROW()-1,FALSE))</f>
        <v/>
      </c>
      <c r="G141" t="str">
        <f ca="1">IF(AND(ISNUMBER($G$311),$B$165=1),$G$311,HLOOKUP(INDIRECT(ADDRESS(2,COLUMN())),OFFSET($M$2,0,0,ROW()-1,7),ROW()-1,FALSE))</f>
        <v/>
      </c>
      <c r="H141" t="str">
        <f ca="1">IF(AND(ISNUMBER($H$311),$B$165=1),$H$311,HLOOKUP(INDIRECT(ADDRESS(2,COLUMN())),OFFSET($M$2,0,0,ROW()-1,7),ROW()-1,FALSE))</f>
        <v/>
      </c>
      <c r="I141" t="str">
        <f ca="1">IF(AND(ISNUMBER($I$311),$B$165=1),$I$311,HLOOKUP(INDIRECT(ADDRESS(2,COLUMN())),OFFSET($M$2,0,0,ROW()-1,7),ROW()-1,FALSE))</f>
        <v/>
      </c>
      <c r="J141" t="str">
        <f ca="1">IF(AND(ISNUMBER($J$311),$B$165=1),$J$311,HLOOKUP(INDIRECT(ADDRESS(2,COLUMN())),OFFSET($M$2,0,0,ROW()-1,7),ROW()-1,FALSE))</f>
        <v/>
      </c>
      <c r="K141" t="str">
        <f ca="1">IF(AND(ISNUMBER($K$311),$B$165=1),$K$311,HLOOKUP(INDIRECT(ADDRESS(2,COLUMN())),OFFSET($M$2,0,0,ROW()-1,7),ROW()-1,FALSE))</f>
        <v/>
      </c>
      <c r="L141" t="str">
        <f ca="1">IF(AND(ISNUMBER($L$311),$B$165=1),$L$311,HLOOKUP(INDIRECT(ADDRESS(2,COLUMN())),OFFSET($M$2,0,0,ROW()-1,7),ROW()-1,FALSE))</f>
        <v/>
      </c>
      <c r="M141" t="str">
        <f>""</f>
        <v/>
      </c>
      <c r="N141" t="str">
        <f>""</f>
        <v/>
      </c>
      <c r="O141" t="str">
        <f>""</f>
        <v/>
      </c>
      <c r="P141" t="str">
        <f>""</f>
        <v/>
      </c>
      <c r="Q141" t="str">
        <f>""</f>
        <v/>
      </c>
      <c r="R141" t="str">
        <f>""</f>
        <v/>
      </c>
      <c r="S141" t="str">
        <f>""</f>
        <v/>
      </c>
    </row>
    <row r="142" spans="1:19" x14ac:dyDescent="0.25">
      <c r="A142" t="str">
        <f>"    Genpact Ltd"</f>
        <v xml:space="preserve">    Genpact Ltd</v>
      </c>
      <c r="B142" t="str">
        <f>"G US Equity"</f>
        <v>G US Equity</v>
      </c>
      <c r="C142" t="str">
        <f t="shared" si="17"/>
        <v>ES021</v>
      </c>
      <c r="D142" t="str">
        <f t="shared" si="18"/>
        <v>WASTE_RECYCLED</v>
      </c>
      <c r="E142" t="str">
        <f t="shared" si="19"/>
        <v>Dynamic</v>
      </c>
      <c r="F142" t="str">
        <f ca="1">IF(AND(ISNUMBER($F$312),$B$165=1),$F$312,HLOOKUP(INDIRECT(ADDRESS(2,COLUMN())),OFFSET($M$2,0,0,ROW()-1,7),ROW()-1,FALSE))</f>
        <v/>
      </c>
      <c r="G142" t="str">
        <f ca="1">IF(AND(ISNUMBER($G$312),$B$165=1),$G$312,HLOOKUP(INDIRECT(ADDRESS(2,COLUMN())),OFFSET($M$2,0,0,ROW()-1,7),ROW()-1,FALSE))</f>
        <v/>
      </c>
      <c r="H142" t="str">
        <f ca="1">IF(AND(ISNUMBER($H$312),$B$165=1),$H$312,HLOOKUP(INDIRECT(ADDRESS(2,COLUMN())),OFFSET($M$2,0,0,ROW()-1,7),ROW()-1,FALSE))</f>
        <v/>
      </c>
      <c r="I142" t="str">
        <f ca="1">IF(AND(ISNUMBER($I$312),$B$165=1),$I$312,HLOOKUP(INDIRECT(ADDRESS(2,COLUMN())),OFFSET($M$2,0,0,ROW()-1,7),ROW()-1,FALSE))</f>
        <v/>
      </c>
      <c r="J142" t="str">
        <f ca="1">IF(AND(ISNUMBER($J$312),$B$165=1),$J$312,HLOOKUP(INDIRECT(ADDRESS(2,COLUMN())),OFFSET($M$2,0,0,ROW()-1,7),ROW()-1,FALSE))</f>
        <v/>
      </c>
      <c r="K142" t="str">
        <f ca="1">IF(AND(ISNUMBER($K$312),$B$165=1),$K$312,HLOOKUP(INDIRECT(ADDRESS(2,COLUMN())),OFFSET($M$2,0,0,ROW()-1,7),ROW()-1,FALSE))</f>
        <v/>
      </c>
      <c r="L142" t="str">
        <f ca="1">IF(AND(ISNUMBER($L$312),$B$165=1),$L$312,HLOOKUP(INDIRECT(ADDRESS(2,COLUMN())),OFFSET($M$2,0,0,ROW()-1,7),ROW()-1,FALSE))</f>
        <v/>
      </c>
      <c r="M142" t="str">
        <f>""</f>
        <v/>
      </c>
      <c r="N142" t="str">
        <f>""</f>
        <v/>
      </c>
      <c r="O142" t="str">
        <f>""</f>
        <v/>
      </c>
      <c r="P142" t="str">
        <f>""</f>
        <v/>
      </c>
      <c r="Q142" t="str">
        <f>""</f>
        <v/>
      </c>
      <c r="R142" t="str">
        <f>""</f>
        <v/>
      </c>
      <c r="S142" t="str">
        <f>""</f>
        <v/>
      </c>
    </row>
    <row r="143" spans="1:19" x14ac:dyDescent="0.25">
      <c r="A143" t="str">
        <f>"    HCL Technologies Ltd"</f>
        <v xml:space="preserve">    HCL Technologies Ltd</v>
      </c>
      <c r="B143" t="str">
        <f>"HCLT IN Equity"</f>
        <v>HCLT IN Equity</v>
      </c>
      <c r="C143" t="str">
        <f t="shared" si="17"/>
        <v>ES021</v>
      </c>
      <c r="D143" t="str">
        <f t="shared" si="18"/>
        <v>WASTE_RECYCLED</v>
      </c>
      <c r="E143" t="str">
        <f t="shared" si="19"/>
        <v>Dynamic</v>
      </c>
      <c r="F143" t="str">
        <f ca="1">IF(AND(ISNUMBER($F$313),$B$165=1),$F$313,HLOOKUP(INDIRECT(ADDRESS(2,COLUMN())),OFFSET($M$2,0,0,ROW()-1,7),ROW()-1,FALSE))</f>
        <v/>
      </c>
      <c r="G143" t="str">
        <f ca="1">IF(AND(ISNUMBER($G$313),$B$165=1),$G$313,HLOOKUP(INDIRECT(ADDRESS(2,COLUMN())),OFFSET($M$2,0,0,ROW()-1,7),ROW()-1,FALSE))</f>
        <v/>
      </c>
      <c r="H143" t="str">
        <f ca="1">IF(AND(ISNUMBER($H$313),$B$165=1),$H$313,HLOOKUP(INDIRECT(ADDRESS(2,COLUMN())),OFFSET($M$2,0,0,ROW()-1,7),ROW()-1,FALSE))</f>
        <v/>
      </c>
      <c r="I143" t="str">
        <f ca="1">IF(AND(ISNUMBER($I$313),$B$165=1),$I$313,HLOOKUP(INDIRECT(ADDRESS(2,COLUMN())),OFFSET($M$2,0,0,ROW()-1,7),ROW()-1,FALSE))</f>
        <v/>
      </c>
      <c r="J143" t="str">
        <f ca="1">IF(AND(ISNUMBER($J$313),$B$165=1),$J$313,HLOOKUP(INDIRECT(ADDRESS(2,COLUMN())),OFFSET($M$2,0,0,ROW()-1,7),ROW()-1,FALSE))</f>
        <v/>
      </c>
      <c r="K143" t="str">
        <f ca="1">IF(AND(ISNUMBER($K$313),$B$165=1),$K$313,HLOOKUP(INDIRECT(ADDRESS(2,COLUMN())),OFFSET($M$2,0,0,ROW()-1,7),ROW()-1,FALSE))</f>
        <v/>
      </c>
      <c r="L143" t="str">
        <f ca="1">IF(AND(ISNUMBER($L$313),$B$165=1),$L$313,HLOOKUP(INDIRECT(ADDRESS(2,COLUMN())),OFFSET($M$2,0,0,ROW()-1,7),ROW()-1,FALSE))</f>
        <v/>
      </c>
      <c r="M143" t="str">
        <f>""</f>
        <v/>
      </c>
      <c r="N143" t="str">
        <f>""</f>
        <v/>
      </c>
      <c r="O143" t="str">
        <f>""</f>
        <v/>
      </c>
      <c r="P143" t="str">
        <f>""</f>
        <v/>
      </c>
      <c r="Q143" t="str">
        <f>""</f>
        <v/>
      </c>
      <c r="R143" t="str">
        <f>""</f>
        <v/>
      </c>
      <c r="S143" t="str">
        <f>""</f>
        <v/>
      </c>
    </row>
    <row r="144" spans="1:19" x14ac:dyDescent="0.25">
      <c r="A144" t="str">
        <f>"    Indra Sistemas SA"</f>
        <v xml:space="preserve">    Indra Sistemas SA</v>
      </c>
      <c r="B144" t="str">
        <f>"IDR SM Equity"</f>
        <v>IDR SM Equity</v>
      </c>
      <c r="C144" t="str">
        <f t="shared" si="17"/>
        <v>ES021</v>
      </c>
      <c r="D144" t="str">
        <f t="shared" si="18"/>
        <v>WASTE_RECYCLED</v>
      </c>
      <c r="E144" t="str">
        <f t="shared" si="19"/>
        <v>Dynamic</v>
      </c>
      <c r="F144" t="str">
        <f ca="1">IF(AND(ISNUMBER($F$314),$B$165=1),$F$314,HLOOKUP(INDIRECT(ADDRESS(2,COLUMN())),OFFSET($M$2,0,0,ROW()-1,7),ROW()-1,FALSE))</f>
        <v/>
      </c>
      <c r="G144" t="str">
        <f ca="1">IF(AND(ISNUMBER($G$314),$B$165=1),$G$314,HLOOKUP(INDIRECT(ADDRESS(2,COLUMN())),OFFSET($M$2,0,0,ROW()-1,7),ROW()-1,FALSE))</f>
        <v/>
      </c>
      <c r="H144" t="str">
        <f ca="1">IF(AND(ISNUMBER($H$314),$B$165=1),$H$314,HLOOKUP(INDIRECT(ADDRESS(2,COLUMN())),OFFSET($M$2,0,0,ROW()-1,7),ROW()-1,FALSE))</f>
        <v/>
      </c>
      <c r="I144" t="str">
        <f ca="1">IF(AND(ISNUMBER($I$314),$B$165=1),$I$314,HLOOKUP(INDIRECT(ADDRESS(2,COLUMN())),OFFSET($M$2,0,0,ROW()-1,7),ROW()-1,FALSE))</f>
        <v/>
      </c>
      <c r="J144" t="str">
        <f ca="1">IF(AND(ISNUMBER($J$314),$B$165=1),$J$314,HLOOKUP(INDIRECT(ADDRESS(2,COLUMN())),OFFSET($M$2,0,0,ROW()-1,7),ROW()-1,FALSE))</f>
        <v/>
      </c>
      <c r="K144" t="str">
        <f ca="1">IF(AND(ISNUMBER($K$314),$B$165=1),$K$314,HLOOKUP(INDIRECT(ADDRESS(2,COLUMN())),OFFSET($M$2,0,0,ROW()-1,7),ROW()-1,FALSE))</f>
        <v/>
      </c>
      <c r="L144" t="str">
        <f ca="1">IF(AND(ISNUMBER($L$314),$B$165=1),$L$314,HLOOKUP(INDIRECT(ADDRESS(2,COLUMN())),OFFSET($M$2,0,0,ROW()-1,7),ROW()-1,FALSE))</f>
        <v/>
      </c>
      <c r="M144" t="str">
        <f>""</f>
        <v/>
      </c>
      <c r="N144" t="str">
        <f>""</f>
        <v/>
      </c>
      <c r="O144" t="str">
        <f>""</f>
        <v/>
      </c>
      <c r="P144" t="str">
        <f>""</f>
        <v/>
      </c>
      <c r="Q144" t="str">
        <f>""</f>
        <v/>
      </c>
      <c r="R144" t="str">
        <f>""</f>
        <v/>
      </c>
      <c r="S144" t="str">
        <f>""</f>
        <v/>
      </c>
    </row>
    <row r="145" spans="1:19" x14ac:dyDescent="0.25">
      <c r="A145" t="str">
        <f>"    Infosys Ltd"</f>
        <v xml:space="preserve">    Infosys Ltd</v>
      </c>
      <c r="B145" t="str">
        <f>"INFY US Equity"</f>
        <v>INFY US Equity</v>
      </c>
      <c r="C145" t="str">
        <f t="shared" si="17"/>
        <v>ES021</v>
      </c>
      <c r="D145" t="str">
        <f t="shared" si="18"/>
        <v>WASTE_RECYCLED</v>
      </c>
      <c r="E145" t="str">
        <f t="shared" si="19"/>
        <v>Dynamic</v>
      </c>
      <c r="F145" t="str">
        <f ca="1">IF(AND(ISNUMBER($F$315),$B$165=1),$F$315,HLOOKUP(INDIRECT(ADDRESS(2,COLUMN())),OFFSET($M$2,0,0,ROW()-1,7),ROW()-1,FALSE))</f>
        <v/>
      </c>
      <c r="G145" t="str">
        <f ca="1">IF(AND(ISNUMBER($G$315),$B$165=1),$G$315,HLOOKUP(INDIRECT(ADDRESS(2,COLUMN())),OFFSET($M$2,0,0,ROW()-1,7),ROW()-1,FALSE))</f>
        <v/>
      </c>
      <c r="H145" t="str">
        <f ca="1">IF(AND(ISNUMBER($H$315),$B$165=1),$H$315,HLOOKUP(INDIRECT(ADDRESS(2,COLUMN())),OFFSET($M$2,0,0,ROW()-1,7),ROW()-1,FALSE))</f>
        <v/>
      </c>
      <c r="I145" t="str">
        <f ca="1">IF(AND(ISNUMBER($I$315),$B$165=1),$I$315,HLOOKUP(INDIRECT(ADDRESS(2,COLUMN())),OFFSET($M$2,0,0,ROW()-1,7),ROW()-1,FALSE))</f>
        <v/>
      </c>
      <c r="J145" t="str">
        <f ca="1">IF(AND(ISNUMBER($J$315),$B$165=1),$J$315,HLOOKUP(INDIRECT(ADDRESS(2,COLUMN())),OFFSET($M$2,0,0,ROW()-1,7),ROW()-1,FALSE))</f>
        <v/>
      </c>
      <c r="K145" t="str">
        <f ca="1">IF(AND(ISNUMBER($K$315),$B$165=1),$K$315,HLOOKUP(INDIRECT(ADDRESS(2,COLUMN())),OFFSET($M$2,0,0,ROW()-1,7),ROW()-1,FALSE))</f>
        <v/>
      </c>
      <c r="L145" t="str">
        <f ca="1">IF(AND(ISNUMBER($L$315),$B$165=1),$L$315,HLOOKUP(INDIRECT(ADDRESS(2,COLUMN())),OFFSET($M$2,0,0,ROW()-1,7),ROW()-1,FALSE))</f>
        <v/>
      </c>
      <c r="M145" t="str">
        <f>""</f>
        <v/>
      </c>
      <c r="N145" t="str">
        <f>""</f>
        <v/>
      </c>
      <c r="O145" t="str">
        <f>""</f>
        <v/>
      </c>
      <c r="P145" t="str">
        <f>""</f>
        <v/>
      </c>
      <c r="Q145" t="str">
        <f>""</f>
        <v/>
      </c>
      <c r="R145" t="str">
        <f>""</f>
        <v/>
      </c>
      <c r="S145" t="str">
        <f>""</f>
        <v/>
      </c>
    </row>
    <row r="146" spans="1:19" x14ac:dyDescent="0.25">
      <c r="A146" t="str">
        <f>"    International Business Machines Corp"</f>
        <v xml:space="preserve">    International Business Machines Corp</v>
      </c>
      <c r="B146" t="str">
        <f>"IBM US Equity"</f>
        <v>IBM US Equity</v>
      </c>
      <c r="C146" t="str">
        <f t="shared" si="17"/>
        <v>ES021</v>
      </c>
      <c r="D146" t="str">
        <f t="shared" si="18"/>
        <v>WASTE_RECYCLED</v>
      </c>
      <c r="E146" t="str">
        <f t="shared" si="19"/>
        <v>Dynamic</v>
      </c>
      <c r="F146" t="str">
        <f ca="1">IF(AND(ISNUMBER($F$316),$B$165=1),$F$316,HLOOKUP(INDIRECT(ADDRESS(2,COLUMN())),OFFSET($M$2,0,0,ROW()-1,7),ROW()-1,FALSE))</f>
        <v/>
      </c>
      <c r="G146">
        <f ca="1">IF(AND(ISNUMBER($G$316),$B$165=1),$G$316,HLOOKUP(INDIRECT(ADDRESS(2,COLUMN())),OFFSET($M$2,0,0,ROW()-1,7),ROW()-1,FALSE))</f>
        <v>31.51189995</v>
      </c>
      <c r="H146">
        <f ca="1">IF(AND(ISNUMBER($H$316),$B$165=1),$H$316,HLOOKUP(INDIRECT(ADDRESS(2,COLUMN())),OFFSET($M$2,0,0,ROW()-1,7),ROW()-1,FALSE))</f>
        <v>33.043498990000003</v>
      </c>
      <c r="I146">
        <f ca="1">IF(AND(ISNUMBER($I$316),$B$165=1),$I$316,HLOOKUP(INDIRECT(ADDRESS(2,COLUMN())),OFFSET($M$2,0,0,ROW()-1,7),ROW()-1,FALSE))</f>
        <v>38</v>
      </c>
      <c r="J146">
        <f ca="1">IF(AND(ISNUMBER($J$316),$B$165=1),$J$316,HLOOKUP(INDIRECT(ADDRESS(2,COLUMN())),OFFSET($M$2,0,0,ROW()-1,7),ROW()-1,FALSE))</f>
        <v>46.3207016</v>
      </c>
      <c r="K146">
        <f ca="1">IF(AND(ISNUMBER($K$316),$B$165=1),$K$316,HLOOKUP(INDIRECT(ADDRESS(2,COLUMN())),OFFSET($M$2,0,0,ROW()-1,7),ROW()-1,FALSE))</f>
        <v>83.807701109999996</v>
      </c>
      <c r="L146">
        <f ca="1">IF(AND(ISNUMBER($L$316),$B$165=1),$L$316,HLOOKUP(INDIRECT(ADDRESS(2,COLUMN())),OFFSET($M$2,0,0,ROW()-1,7),ROW()-1,FALSE))</f>
        <v>53.57419968</v>
      </c>
      <c r="M146" t="str">
        <f>""</f>
        <v/>
      </c>
      <c r="N146">
        <f>31.51189995</f>
        <v>31.51189995</v>
      </c>
      <c r="O146">
        <f>33.04349899</f>
        <v>33.043498990000003</v>
      </c>
      <c r="P146">
        <f>38</f>
        <v>38</v>
      </c>
      <c r="Q146">
        <f>46.3207016</f>
        <v>46.3207016</v>
      </c>
      <c r="R146">
        <f>83.80770111</f>
        <v>83.807701109999996</v>
      </c>
      <c r="S146">
        <f>53.57419968</f>
        <v>53.57419968</v>
      </c>
    </row>
    <row r="147" spans="1:19" x14ac:dyDescent="0.25">
      <c r="A147" t="str">
        <f>"    Tata Consultancy Services Ltd"</f>
        <v xml:space="preserve">    Tata Consultancy Services Ltd</v>
      </c>
      <c r="B147" t="str">
        <f>"TCS IN Equity"</f>
        <v>TCS IN Equity</v>
      </c>
      <c r="C147" t="str">
        <f t="shared" si="17"/>
        <v>ES021</v>
      </c>
      <c r="D147" t="str">
        <f t="shared" si="18"/>
        <v>WASTE_RECYCLED</v>
      </c>
      <c r="E147" t="str">
        <f t="shared" si="19"/>
        <v>Dynamic</v>
      </c>
      <c r="F147" t="str">
        <f ca="1">IF(AND(ISNUMBER($F$317),$B$165=1),$F$317,HLOOKUP(INDIRECT(ADDRESS(2,COLUMN())),OFFSET($M$2,0,0,ROW()-1,7),ROW()-1,FALSE))</f>
        <v/>
      </c>
      <c r="G147" t="str">
        <f ca="1">IF(AND(ISNUMBER($G$317),$B$165=1),$G$317,HLOOKUP(INDIRECT(ADDRESS(2,COLUMN())),OFFSET($M$2,0,0,ROW()-1,7),ROW()-1,FALSE))</f>
        <v/>
      </c>
      <c r="H147" t="str">
        <f ca="1">IF(AND(ISNUMBER($H$317),$B$165=1),$H$317,HLOOKUP(INDIRECT(ADDRESS(2,COLUMN())),OFFSET($M$2,0,0,ROW()-1,7),ROW()-1,FALSE))</f>
        <v/>
      </c>
      <c r="I147" t="str">
        <f ca="1">IF(AND(ISNUMBER($I$317),$B$165=1),$I$317,HLOOKUP(INDIRECT(ADDRESS(2,COLUMN())),OFFSET($M$2,0,0,ROW()-1,7),ROW()-1,FALSE))</f>
        <v/>
      </c>
      <c r="J147" t="str">
        <f ca="1">IF(AND(ISNUMBER($J$317),$B$165=1),$J$317,HLOOKUP(INDIRECT(ADDRESS(2,COLUMN())),OFFSET($M$2,0,0,ROW()-1,7),ROW()-1,FALSE))</f>
        <v/>
      </c>
      <c r="K147" t="str">
        <f ca="1">IF(AND(ISNUMBER($K$317),$B$165=1),$K$317,HLOOKUP(INDIRECT(ADDRESS(2,COLUMN())),OFFSET($M$2,0,0,ROW()-1,7),ROW()-1,FALSE))</f>
        <v/>
      </c>
      <c r="L147" t="str">
        <f ca="1">IF(AND(ISNUMBER($L$317),$B$165=1),$L$317,HLOOKUP(INDIRECT(ADDRESS(2,COLUMN())),OFFSET($M$2,0,0,ROW()-1,7),ROW()-1,FALSE))</f>
        <v/>
      </c>
      <c r="M147" t="str">
        <f>""</f>
        <v/>
      </c>
      <c r="N147" t="str">
        <f>""</f>
        <v/>
      </c>
      <c r="O147" t="str">
        <f>""</f>
        <v/>
      </c>
      <c r="P147" t="str">
        <f>""</f>
        <v/>
      </c>
      <c r="Q147" t="str">
        <f>""</f>
        <v/>
      </c>
      <c r="R147" t="str">
        <f>""</f>
        <v/>
      </c>
      <c r="S147" t="str">
        <f>""</f>
        <v/>
      </c>
    </row>
    <row r="148" spans="1:19" x14ac:dyDescent="0.25">
      <c r="A148" t="str">
        <f>"    Tech Mahindra Ltd"</f>
        <v xml:space="preserve">    Tech Mahindra Ltd</v>
      </c>
      <c r="B148" t="str">
        <f>"TECHM IN Equity"</f>
        <v>TECHM IN Equity</v>
      </c>
      <c r="C148" t="str">
        <f t="shared" si="17"/>
        <v>ES021</v>
      </c>
      <c r="D148" t="str">
        <f t="shared" si="18"/>
        <v>WASTE_RECYCLED</v>
      </c>
      <c r="E148" t="str">
        <f t="shared" si="19"/>
        <v>Dynamic</v>
      </c>
      <c r="F148" t="str">
        <f ca="1">IF(AND(ISNUMBER($F$318),$B$165=1),$F$318,HLOOKUP(INDIRECT(ADDRESS(2,COLUMN())),OFFSET($M$2,0,0,ROW()-1,7),ROW()-1,FALSE))</f>
        <v/>
      </c>
      <c r="G148" t="str">
        <f ca="1">IF(AND(ISNUMBER($G$318),$B$165=1),$G$318,HLOOKUP(INDIRECT(ADDRESS(2,COLUMN())),OFFSET($M$2,0,0,ROW()-1,7),ROW()-1,FALSE))</f>
        <v/>
      </c>
      <c r="H148" t="str">
        <f ca="1">IF(AND(ISNUMBER($H$318),$B$165=1),$H$318,HLOOKUP(INDIRECT(ADDRESS(2,COLUMN())),OFFSET($M$2,0,0,ROW()-1,7),ROW()-1,FALSE))</f>
        <v/>
      </c>
      <c r="I148" t="str">
        <f ca="1">IF(AND(ISNUMBER($I$318),$B$165=1),$I$318,HLOOKUP(INDIRECT(ADDRESS(2,COLUMN())),OFFSET($M$2,0,0,ROW()-1,7),ROW()-1,FALSE))</f>
        <v/>
      </c>
      <c r="J148" t="str">
        <f ca="1">IF(AND(ISNUMBER($J$318),$B$165=1),$J$318,HLOOKUP(INDIRECT(ADDRESS(2,COLUMN())),OFFSET($M$2,0,0,ROW()-1,7),ROW()-1,FALSE))</f>
        <v/>
      </c>
      <c r="K148" t="str">
        <f ca="1">IF(AND(ISNUMBER($K$318),$B$165=1),$K$318,HLOOKUP(INDIRECT(ADDRESS(2,COLUMN())),OFFSET($M$2,0,0,ROW()-1,7),ROW()-1,FALSE))</f>
        <v/>
      </c>
      <c r="L148" t="str">
        <f ca="1">IF(AND(ISNUMBER($L$318),$B$165=1),$L$318,HLOOKUP(INDIRECT(ADDRESS(2,COLUMN())),OFFSET($M$2,0,0,ROW()-1,7),ROW()-1,FALSE))</f>
        <v/>
      </c>
      <c r="M148" t="str">
        <f>""</f>
        <v/>
      </c>
      <c r="N148" t="str">
        <f>""</f>
        <v/>
      </c>
      <c r="O148" t="str">
        <f>""</f>
        <v/>
      </c>
      <c r="P148" t="str">
        <f>""</f>
        <v/>
      </c>
      <c r="Q148" t="str">
        <f>""</f>
        <v/>
      </c>
      <c r="R148" t="str">
        <f>""</f>
        <v/>
      </c>
      <c r="S148" t="str">
        <f>""</f>
        <v/>
      </c>
    </row>
    <row r="149" spans="1:19" x14ac:dyDescent="0.25">
      <c r="A149" t="str">
        <f>"    Wipro Ltd"</f>
        <v xml:space="preserve">    Wipro Ltd</v>
      </c>
      <c r="B149" t="str">
        <f>"WIT US Equity"</f>
        <v>WIT US Equity</v>
      </c>
      <c r="C149" t="str">
        <f t="shared" si="17"/>
        <v>ES021</v>
      </c>
      <c r="D149" t="str">
        <f t="shared" si="18"/>
        <v>WASTE_RECYCLED</v>
      </c>
      <c r="E149" t="str">
        <f t="shared" si="19"/>
        <v>Dynamic</v>
      </c>
      <c r="F149" t="str">
        <f ca="1">IF(AND(ISNUMBER($F$319),$B$165=1),$F$319,HLOOKUP(INDIRECT(ADDRESS(2,COLUMN())),OFFSET($M$2,0,0,ROW()-1,7),ROW()-1,FALSE))</f>
        <v/>
      </c>
      <c r="G149">
        <f ca="1">IF(AND(ISNUMBER($G$319),$B$165=1),$G$319,HLOOKUP(INDIRECT(ADDRESS(2,COLUMN())),OFFSET($M$2,0,0,ROW()-1,7),ROW()-1,FALSE))</f>
        <v>4.523449898</v>
      </c>
      <c r="H149">
        <f ca="1">IF(AND(ISNUMBER($H$319),$B$165=1),$H$319,HLOOKUP(INDIRECT(ADDRESS(2,COLUMN())),OFFSET($M$2,0,0,ROW()-1,7),ROW()-1,FALSE))</f>
        <v>3.9662499430000002</v>
      </c>
      <c r="I149">
        <f ca="1">IF(AND(ISNUMBER($I$319),$B$165=1),$I$319,HLOOKUP(INDIRECT(ADDRESS(2,COLUMN())),OFFSET($M$2,0,0,ROW()-1,7),ROW()-1,FALSE))</f>
        <v>3.3780000210000001</v>
      </c>
      <c r="J149">
        <f ca="1">IF(AND(ISNUMBER($J$319),$B$165=1),$J$319,HLOOKUP(INDIRECT(ADDRESS(2,COLUMN())),OFFSET($M$2,0,0,ROW()-1,7),ROW()-1,FALSE))</f>
        <v>6.1703600879999998</v>
      </c>
      <c r="K149">
        <f ca="1">IF(AND(ISNUMBER($K$319),$B$165=1),$K$319,HLOOKUP(INDIRECT(ADDRESS(2,COLUMN())),OFFSET($M$2,0,0,ROW()-1,7),ROW()-1,FALSE))</f>
        <v>4.2203598019999999</v>
      </c>
      <c r="L149">
        <f ca="1">IF(AND(ISNUMBER($L$319),$B$165=1),$L$319,HLOOKUP(INDIRECT(ADDRESS(2,COLUMN())),OFFSET($M$2,0,0,ROW()-1,7),ROW()-1,FALSE))</f>
        <v>2.1748299599999998</v>
      </c>
      <c r="M149" t="str">
        <f>""</f>
        <v/>
      </c>
      <c r="N149">
        <f>4.523449898</f>
        <v>4.523449898</v>
      </c>
      <c r="O149">
        <f>3.966249943</f>
        <v>3.9662499430000002</v>
      </c>
      <c r="P149">
        <f>3.378000021</f>
        <v>3.3780000210000001</v>
      </c>
      <c r="Q149">
        <f>6.170360088</f>
        <v>6.1703600879999998</v>
      </c>
      <c r="R149">
        <f>4.220359802</f>
        <v>4.2203598019999999</v>
      </c>
      <c r="S149">
        <f>2.17482996</f>
        <v>2.1748299599999998</v>
      </c>
    </row>
    <row r="150" spans="1:19" x14ac:dyDescent="0.25">
      <c r="M150" t="str">
        <f>""</f>
        <v/>
      </c>
      <c r="N150" t="str">
        <f>""</f>
        <v/>
      </c>
      <c r="O150" t="str">
        <f>""</f>
        <v/>
      </c>
      <c r="P150" t="str">
        <f>""</f>
        <v/>
      </c>
      <c r="Q150" t="str">
        <f>""</f>
        <v/>
      </c>
      <c r="R150" t="str">
        <f>""</f>
        <v/>
      </c>
      <c r="S150" t="str">
        <f>""</f>
        <v/>
      </c>
    </row>
    <row r="151" spans="1:19" x14ac:dyDescent="0.25">
      <c r="M151" t="str">
        <f>""</f>
        <v/>
      </c>
      <c r="N151" t="str">
        <f>""</f>
        <v/>
      </c>
      <c r="O151" t="str">
        <f>""</f>
        <v/>
      </c>
      <c r="P151" t="str">
        <f>""</f>
        <v/>
      </c>
      <c r="Q151" t="str">
        <f>""</f>
        <v/>
      </c>
      <c r="R151" t="str">
        <f>""</f>
        <v/>
      </c>
      <c r="S151" t="str">
        <f>""</f>
        <v/>
      </c>
    </row>
    <row r="152" spans="1:19" x14ac:dyDescent="0.25">
      <c r="M152" t="str">
        <f>""</f>
        <v/>
      </c>
      <c r="N152" t="str">
        <f>""</f>
        <v/>
      </c>
      <c r="O152" t="str">
        <f>""</f>
        <v/>
      </c>
      <c r="P152" t="str">
        <f>""</f>
        <v/>
      </c>
      <c r="Q152" t="str">
        <f>""</f>
        <v/>
      </c>
      <c r="R152" t="str">
        <f>""</f>
        <v/>
      </c>
      <c r="S152" t="str">
        <f>""</f>
        <v/>
      </c>
    </row>
    <row r="153" spans="1:19" x14ac:dyDescent="0.25">
      <c r="M153" t="str">
        <f>""</f>
        <v/>
      </c>
      <c r="N153" t="str">
        <f>""</f>
        <v/>
      </c>
      <c r="O153" t="str">
        <f>""</f>
        <v/>
      </c>
      <c r="P153" t="str">
        <f>""</f>
        <v/>
      </c>
      <c r="Q153" t="str">
        <f>""</f>
        <v/>
      </c>
      <c r="R153" t="str">
        <f>""</f>
        <v/>
      </c>
      <c r="S153" t="str">
        <f>""</f>
        <v/>
      </c>
    </row>
    <row r="154" spans="1:19" x14ac:dyDescent="0.25">
      <c r="M154" t="str">
        <f>""</f>
        <v/>
      </c>
      <c r="N154" t="str">
        <f>""</f>
        <v/>
      </c>
      <c r="O154" t="str">
        <f>""</f>
        <v/>
      </c>
      <c r="P154" t="str">
        <f>""</f>
        <v/>
      </c>
      <c r="Q154" t="str">
        <f>""</f>
        <v/>
      </c>
      <c r="R154" t="str">
        <f>""</f>
        <v/>
      </c>
      <c r="S154" t="str">
        <f>""</f>
        <v/>
      </c>
    </row>
    <row r="155" spans="1:19" x14ac:dyDescent="0.25">
      <c r="M155" t="str">
        <f>""</f>
        <v/>
      </c>
      <c r="N155" t="str">
        <f>""</f>
        <v/>
      </c>
      <c r="O155" t="str">
        <f>""</f>
        <v/>
      </c>
      <c r="P155" t="str">
        <f>""</f>
        <v/>
      </c>
      <c r="Q155" t="str">
        <f>""</f>
        <v/>
      </c>
      <c r="R155" t="str">
        <f>""</f>
        <v/>
      </c>
      <c r="S155" t="str">
        <f>""</f>
        <v/>
      </c>
    </row>
    <row r="156" spans="1:19" x14ac:dyDescent="0.25">
      <c r="M156" t="str">
        <f>""</f>
        <v/>
      </c>
      <c r="N156" t="str">
        <f>""</f>
        <v/>
      </c>
      <c r="O156" t="str">
        <f>""</f>
        <v/>
      </c>
      <c r="P156" t="str">
        <f>""</f>
        <v/>
      </c>
      <c r="Q156" t="str">
        <f>""</f>
        <v/>
      </c>
      <c r="R156" t="str">
        <f>""</f>
        <v/>
      </c>
      <c r="S156" t="str">
        <f>""</f>
        <v/>
      </c>
    </row>
    <row r="157" spans="1:19" x14ac:dyDescent="0.25">
      <c r="A157" t="str">
        <f t="shared" ref="A157:L157" si="20">"~~~~~~~~~~"</f>
        <v>~~~~~~~~~~</v>
      </c>
      <c r="B157" t="str">
        <f t="shared" si="20"/>
        <v>~~~~~~~~~~</v>
      </c>
      <c r="C157" t="str">
        <f t="shared" si="20"/>
        <v>~~~~~~~~~~</v>
      </c>
      <c r="D157" t="str">
        <f t="shared" si="20"/>
        <v>~~~~~~~~~~</v>
      </c>
      <c r="E157" t="str">
        <f t="shared" si="20"/>
        <v>~~~~~~~~~~</v>
      </c>
      <c r="F157" t="str">
        <f t="shared" si="20"/>
        <v>~~~~~~~~~~</v>
      </c>
      <c r="G157" t="str">
        <f t="shared" si="20"/>
        <v>~~~~~~~~~~</v>
      </c>
      <c r="H157" t="str">
        <f t="shared" si="20"/>
        <v>~~~~~~~~~~</v>
      </c>
      <c r="I157" t="str">
        <f t="shared" si="20"/>
        <v>~~~~~~~~~~</v>
      </c>
      <c r="J157" t="str">
        <f t="shared" si="20"/>
        <v>~~~~~~~~~~</v>
      </c>
      <c r="K157" t="str">
        <f t="shared" si="20"/>
        <v>~~~~~~~~~~</v>
      </c>
      <c r="L157" t="str">
        <f t="shared" si="20"/>
        <v>~~~~~~~~~~</v>
      </c>
      <c r="M157" t="str">
        <f>""</f>
        <v/>
      </c>
      <c r="N157" t="str">
        <f>""</f>
        <v/>
      </c>
      <c r="O157" t="str">
        <f>""</f>
        <v/>
      </c>
      <c r="P157" t="str">
        <f>""</f>
        <v/>
      </c>
      <c r="Q157" t="str">
        <f>""</f>
        <v/>
      </c>
      <c r="R157" t="str">
        <f>""</f>
        <v/>
      </c>
      <c r="S157" t="str">
        <f>""</f>
        <v/>
      </c>
    </row>
    <row r="158" spans="1:19" x14ac:dyDescent="0.25">
      <c r="A158" t="str">
        <f>"All rows below have been added for reference by formula rows above."</f>
        <v>All rows below have been added for reference by formula rows above.</v>
      </c>
      <c r="M158" t="str">
        <f>""</f>
        <v/>
      </c>
      <c r="N158" t="str">
        <f>""</f>
        <v/>
      </c>
      <c r="O158" t="str">
        <f>""</f>
        <v/>
      </c>
      <c r="P158" t="str">
        <f>""</f>
        <v/>
      </c>
      <c r="Q158" t="str">
        <f>""</f>
        <v/>
      </c>
      <c r="R158" t="str">
        <f>""</f>
        <v/>
      </c>
      <c r="S158" t="str">
        <f>""</f>
        <v/>
      </c>
    </row>
    <row r="159" spans="1:19" x14ac:dyDescent="0.25">
      <c r="A159" t="e">
        <f>RTD("bloomberg.ccyreader", "", "#track", "DBG", "BIHITX", "1.0","RepeatHit")</f>
        <v>#N/A</v>
      </c>
      <c r="M159" t="str">
        <f>""</f>
        <v/>
      </c>
      <c r="N159" t="str">
        <f>""</f>
        <v/>
      </c>
      <c r="O159" t="str">
        <f>""</f>
        <v/>
      </c>
      <c r="P159" t="str">
        <f>""</f>
        <v/>
      </c>
      <c r="Q159" t="str">
        <f>""</f>
        <v/>
      </c>
      <c r="R159" t="str">
        <f>""</f>
        <v/>
      </c>
      <c r="S159" t="str">
        <f>""</f>
        <v/>
      </c>
    </row>
    <row r="160" spans="1:19" x14ac:dyDescent="0.25">
      <c r="A160" t="str">
        <f>"Currency"</f>
        <v>Currency</v>
      </c>
      <c r="B160" t="str">
        <f>"USD"</f>
        <v>USD</v>
      </c>
      <c r="M160" t="str">
        <f>""</f>
        <v/>
      </c>
      <c r="N160" t="str">
        <f>""</f>
        <v/>
      </c>
      <c r="O160" t="str">
        <f>""</f>
        <v/>
      </c>
      <c r="P160" t="str">
        <f>""</f>
        <v/>
      </c>
      <c r="Q160" t="str">
        <f>""</f>
        <v/>
      </c>
      <c r="R160" t="str">
        <f>""</f>
        <v/>
      </c>
      <c r="S160" t="str">
        <f>""</f>
        <v/>
      </c>
    </row>
    <row r="161" spans="1:19" x14ac:dyDescent="0.25">
      <c r="A161" t="str">
        <f>"Periodicity"</f>
        <v>Periodicity</v>
      </c>
      <c r="B161" t="str">
        <f>"CY"</f>
        <v>CY</v>
      </c>
      <c r="C161" t="str">
        <f>"AY"</f>
        <v>AY</v>
      </c>
      <c r="M161" t="str">
        <f>""</f>
        <v/>
      </c>
      <c r="N161" t="str">
        <f>""</f>
        <v/>
      </c>
      <c r="O161" t="str">
        <f>""</f>
        <v/>
      </c>
      <c r="P161" t="str">
        <f>""</f>
        <v/>
      </c>
      <c r="Q161" t="str">
        <f>""</f>
        <v/>
      </c>
      <c r="R161" t="str">
        <f>""</f>
        <v/>
      </c>
      <c r="S161" t="str">
        <f>""</f>
        <v/>
      </c>
    </row>
    <row r="162" spans="1:19" x14ac:dyDescent="0.25">
      <c r="A162" t="str">
        <f>"Number of Periods"</f>
        <v>Number of Periods</v>
      </c>
      <c r="B162">
        <f>7</f>
        <v>7</v>
      </c>
      <c r="M162" t="str">
        <f>""</f>
        <v/>
      </c>
      <c r="N162" t="str">
        <f>""</f>
        <v/>
      </c>
      <c r="O162" t="str">
        <f>""</f>
        <v/>
      </c>
      <c r="P162" t="str">
        <f>""</f>
        <v/>
      </c>
      <c r="Q162" t="str">
        <f>""</f>
        <v/>
      </c>
      <c r="R162" t="str">
        <f>""</f>
        <v/>
      </c>
      <c r="S162" t="str">
        <f>""</f>
        <v/>
      </c>
    </row>
    <row r="163" spans="1:19" x14ac:dyDescent="0.25">
      <c r="A163" t="str">
        <f>"Start Date"</f>
        <v>Start Date</v>
      </c>
      <c r="B163" t="str">
        <f>CONCATENATE("-",$B$162,$B$161)</f>
        <v>-7CY</v>
      </c>
      <c r="C163" t="str">
        <f>CONCATENATE("-",$B$162,$C$161)</f>
        <v>-7AY</v>
      </c>
      <c r="M163" t="str">
        <f>""</f>
        <v/>
      </c>
      <c r="N163" t="str">
        <f>""</f>
        <v/>
      </c>
      <c r="O163" t="str">
        <f>""</f>
        <v/>
      </c>
      <c r="P163" t="str">
        <f>""</f>
        <v/>
      </c>
      <c r="Q163" t="str">
        <f>""</f>
        <v/>
      </c>
      <c r="R163" t="str">
        <f>""</f>
        <v/>
      </c>
      <c r="S163" t="str">
        <f>""</f>
        <v/>
      </c>
    </row>
    <row r="164" spans="1:19" x14ac:dyDescent="0.25">
      <c r="A164" t="str">
        <f>"End Date"</f>
        <v>End Date</v>
      </c>
      <c r="B164">
        <f ca="1">TODAY()</f>
        <v>44004</v>
      </c>
      <c r="M164" t="str">
        <f>""</f>
        <v/>
      </c>
      <c r="N164" t="str">
        <f>""</f>
        <v/>
      </c>
      <c r="O164" t="str">
        <f>""</f>
        <v/>
      </c>
      <c r="P164" t="str">
        <f>""</f>
        <v/>
      </c>
      <c r="Q164" t="str">
        <f>""</f>
        <v/>
      </c>
      <c r="R164" t="str">
        <f>""</f>
        <v/>
      </c>
      <c r="S164" t="str">
        <f>""</f>
        <v/>
      </c>
    </row>
    <row r="165" spans="1:19" x14ac:dyDescent="0.25">
      <c r="A165" t="str">
        <f>"HeaderStatus"</f>
        <v>HeaderStatus</v>
      </c>
      <c r="B165">
        <f ca="1">$B$339*$B$347</f>
        <v>4</v>
      </c>
      <c r="M165" t="str">
        <f>""</f>
        <v/>
      </c>
      <c r="N165" t="str">
        <f>""</f>
        <v/>
      </c>
      <c r="O165" t="str">
        <f>""</f>
        <v/>
      </c>
      <c r="P165" t="str">
        <f>""</f>
        <v/>
      </c>
      <c r="Q165" t="str">
        <f>""</f>
        <v/>
      </c>
      <c r="R165" t="str">
        <f>""</f>
        <v/>
      </c>
      <c r="S165" t="str">
        <f>""</f>
        <v/>
      </c>
    </row>
    <row r="166" spans="1:19" x14ac:dyDescent="0.25">
      <c r="M166" t="str">
        <f>""</f>
        <v/>
      </c>
      <c r="N166" t="str">
        <f>""</f>
        <v/>
      </c>
      <c r="O166" t="str">
        <f>""</f>
        <v/>
      </c>
      <c r="P166" t="str">
        <f>""</f>
        <v/>
      </c>
      <c r="Q166" t="str">
        <f>""</f>
        <v/>
      </c>
      <c r="R166" t="str">
        <f>""</f>
        <v/>
      </c>
      <c r="S166" t="str">
        <f>""</f>
        <v/>
      </c>
    </row>
    <row r="167" spans="1:19" x14ac:dyDescent="0.25">
      <c r="B167" t="str">
        <f>"ACN US Equity"</f>
        <v>ACN US Equity</v>
      </c>
      <c r="C167" t="str">
        <f>"ES047"</f>
        <v>ES047</v>
      </c>
      <c r="D167" t="str">
        <f>"PCT_WOMEN_EMPLOYEES"</f>
        <v>PCT_WOMEN_EMPLOYEES</v>
      </c>
      <c r="E167" t="str">
        <f t="shared" ref="E167:E198" si="21">"Dynamic"</f>
        <v>Dynamic</v>
      </c>
      <c r="F167" t="e">
        <f ca="1">_xll.BDH($B$167,$C$167,$B$163,$B$164,CONCATENATE("Per=",$B$161),"Dts=H","Dir=H",CONCATENATE("Points=",$B$162),"Sort=R","Days=A","Fill=B",CONCATENATE("FX=", $B$160),"cols=7;rows=1")</f>
        <v>#NAME?</v>
      </c>
      <c r="G167">
        <v>42</v>
      </c>
      <c r="H167">
        <v>41</v>
      </c>
      <c r="I167">
        <v>39</v>
      </c>
      <c r="J167">
        <v>38</v>
      </c>
      <c r="K167">
        <v>36</v>
      </c>
      <c r="L167">
        <v>36</v>
      </c>
      <c r="M167" t="str">
        <f>""</f>
        <v/>
      </c>
      <c r="N167" t="str">
        <f>""</f>
        <v/>
      </c>
      <c r="O167" t="str">
        <f>""</f>
        <v/>
      </c>
      <c r="P167" t="str">
        <f>""</f>
        <v/>
      </c>
      <c r="Q167" t="str">
        <f>""</f>
        <v/>
      </c>
      <c r="R167" t="str">
        <f>""</f>
        <v/>
      </c>
      <c r="S167" t="str">
        <f>""</f>
        <v/>
      </c>
    </row>
    <row r="168" spans="1:19" x14ac:dyDescent="0.25">
      <c r="B168" t="str">
        <f>"ACN US Equity"</f>
        <v>ACN US Equity</v>
      </c>
      <c r="C168" t="str">
        <f>"RR121"</f>
        <v>RR121</v>
      </c>
      <c r="D168" t="str">
        <f>"NUM_OF_EMPLOYEES"</f>
        <v>NUM_OF_EMPLOYEES</v>
      </c>
      <c r="E168" t="str">
        <f t="shared" si="21"/>
        <v>Dynamic</v>
      </c>
      <c r="F168" t="e">
        <f ca="1">_xll.BDH($B$168,$C$168,$B$163,$B$164,CONCATENATE("Per=",$B$161),"Dts=H","Dir=H",CONCATENATE("Points=",$B$162),"Sort=R","Days=A","Fill=B",CONCATENATE("FX=", $B$160),"cols=7;rows=1")</f>
        <v>#NAME?</v>
      </c>
      <c r="G168">
        <v>459000</v>
      </c>
      <c r="H168">
        <v>459000</v>
      </c>
      <c r="I168">
        <v>384000</v>
      </c>
      <c r="J168">
        <v>358498</v>
      </c>
      <c r="K168">
        <v>305000</v>
      </c>
      <c r="L168">
        <v>275000</v>
      </c>
      <c r="M168" t="str">
        <f>""</f>
        <v/>
      </c>
      <c r="N168" t="str">
        <f>""</f>
        <v/>
      </c>
      <c r="O168" t="str">
        <f>""</f>
        <v/>
      </c>
      <c r="P168" t="str">
        <f>""</f>
        <v/>
      </c>
      <c r="Q168" t="str">
        <f>""</f>
        <v/>
      </c>
      <c r="R168" t="str">
        <f>""</f>
        <v/>
      </c>
      <c r="S168" t="str">
        <f>""</f>
        <v/>
      </c>
    </row>
    <row r="169" spans="1:19" x14ac:dyDescent="0.25">
      <c r="B169" t="str">
        <f>"DOX US Equity"</f>
        <v>DOX US Equity</v>
      </c>
      <c r="C169" t="str">
        <f>"ES047"</f>
        <v>ES047</v>
      </c>
      <c r="D169" t="str">
        <f>"PCT_WOMEN_EMPLOYEES"</f>
        <v>PCT_WOMEN_EMPLOYEES</v>
      </c>
      <c r="E169" t="str">
        <f t="shared" si="21"/>
        <v>Dynamic</v>
      </c>
      <c r="F169" t="e">
        <f ca="1">_xll.BDH($B$169,$C$169,$B$163,$B$164,CONCATENATE("Per=",$B$161),"Dts=H","Dir=H",CONCATENATE("Points=",$B$162),"Sort=R","Days=A","Fill=B",CONCATENATE("FX=", $B$160),"cols=7;rows=1")</f>
        <v>#NAME?</v>
      </c>
      <c r="H169">
        <v>30.2</v>
      </c>
      <c r="L169">
        <v>30</v>
      </c>
      <c r="M169" t="str">
        <f>""</f>
        <v/>
      </c>
      <c r="N169" t="str">
        <f>""</f>
        <v/>
      </c>
      <c r="O169" t="str">
        <f>""</f>
        <v/>
      </c>
      <c r="P169" t="str">
        <f>""</f>
        <v/>
      </c>
      <c r="Q169" t="str">
        <f>""</f>
        <v/>
      </c>
      <c r="R169" t="str">
        <f>""</f>
        <v/>
      </c>
      <c r="S169" t="str">
        <f>""</f>
        <v/>
      </c>
    </row>
    <row r="170" spans="1:19" x14ac:dyDescent="0.25">
      <c r="B170" t="str">
        <f>"DOX US Equity"</f>
        <v>DOX US Equity</v>
      </c>
      <c r="C170" t="str">
        <f>"RR121"</f>
        <v>RR121</v>
      </c>
      <c r="D170" t="str">
        <f>"NUM_OF_EMPLOYEES"</f>
        <v>NUM_OF_EMPLOYEES</v>
      </c>
      <c r="E170" t="str">
        <f t="shared" si="21"/>
        <v>Dynamic</v>
      </c>
      <c r="F170" t="e">
        <f ca="1">_xll.BDH($B$170,$C$170,$B$163,$B$164,CONCATENATE("Per=",$B$161),"Dts=H","Dir=H",CONCATENATE("Points=",$B$162),"Sort=R","Days=A","Fill=B",CONCATENATE("FX=", $B$160),"cols=7;rows=1")</f>
        <v>#NAME?</v>
      </c>
      <c r="G170">
        <v>24381</v>
      </c>
      <c r="H170">
        <v>24670</v>
      </c>
      <c r="I170">
        <v>25561</v>
      </c>
      <c r="J170">
        <v>24950</v>
      </c>
      <c r="K170">
        <v>22546</v>
      </c>
      <c r="L170">
        <v>20774</v>
      </c>
      <c r="M170" t="str">
        <f>""</f>
        <v/>
      </c>
      <c r="N170" t="str">
        <f>""</f>
        <v/>
      </c>
      <c r="O170" t="str">
        <f>""</f>
        <v/>
      </c>
      <c r="P170" t="str">
        <f>""</f>
        <v/>
      </c>
      <c r="Q170" t="str">
        <f>""</f>
        <v/>
      </c>
      <c r="R170" t="str">
        <f>""</f>
        <v/>
      </c>
      <c r="S170" t="str">
        <f>""</f>
        <v/>
      </c>
    </row>
    <row r="171" spans="1:19" x14ac:dyDescent="0.25">
      <c r="B171" t="str">
        <f>"ATO FP Equity"</f>
        <v>ATO FP Equity</v>
      </c>
      <c r="C171" t="str">
        <f>"ES047"</f>
        <v>ES047</v>
      </c>
      <c r="D171" t="str">
        <f>"PCT_WOMEN_EMPLOYEES"</f>
        <v>PCT_WOMEN_EMPLOYEES</v>
      </c>
      <c r="E171" t="str">
        <f t="shared" si="21"/>
        <v>Dynamic</v>
      </c>
      <c r="F171" t="e">
        <f ca="1">_xll.BDH($B$171,$C$171,$B$163,$B$164,CONCATENATE("Per=",$B$161),"Dts=H","Dir=H",CONCATENATE("Points=",$B$162),"Sort=R","Days=A","Fill=B",CONCATENATE("FX=", $B$160),"cols=7;rows=1")</f>
        <v>#NAME?</v>
      </c>
      <c r="G171">
        <v>29.42</v>
      </c>
      <c r="H171">
        <v>29.17</v>
      </c>
      <c r="I171">
        <v>26.71</v>
      </c>
      <c r="J171">
        <v>27.088000000000001</v>
      </c>
      <c r="K171">
        <v>27.86</v>
      </c>
      <c r="L171">
        <v>27</v>
      </c>
      <c r="M171" t="str">
        <f>""</f>
        <v/>
      </c>
      <c r="N171" t="str">
        <f>""</f>
        <v/>
      </c>
      <c r="O171" t="str">
        <f>""</f>
        <v/>
      </c>
      <c r="P171" t="str">
        <f>""</f>
        <v/>
      </c>
      <c r="Q171" t="str">
        <f>""</f>
        <v/>
      </c>
      <c r="R171" t="str">
        <f>""</f>
        <v/>
      </c>
      <c r="S171" t="str">
        <f>""</f>
        <v/>
      </c>
    </row>
    <row r="172" spans="1:19" x14ac:dyDescent="0.25">
      <c r="B172" t="str">
        <f>"ATO FP Equity"</f>
        <v>ATO FP Equity</v>
      </c>
      <c r="C172" t="str">
        <f>"RR121"</f>
        <v>RR121</v>
      </c>
      <c r="D172" t="str">
        <f>"NUM_OF_EMPLOYEES"</f>
        <v>NUM_OF_EMPLOYEES</v>
      </c>
      <c r="E172" t="str">
        <f t="shared" si="21"/>
        <v>Dynamic</v>
      </c>
      <c r="F172" t="e">
        <f ca="1">_xll.BDH($B$172,$C$172,$B$163,$B$164,CONCATENATE("Per=",$B$161),"Dts=H","Dir=H",CONCATENATE("Points=",$B$162),"Sort=R","Days=A","Fill=B",CONCATENATE("FX=", $B$160),"cols=7;rows=1")</f>
        <v>#NAME?</v>
      </c>
      <c r="G172">
        <v>122110</v>
      </c>
      <c r="H172">
        <v>97267</v>
      </c>
      <c r="I172">
        <v>100096</v>
      </c>
      <c r="J172">
        <v>91322</v>
      </c>
      <c r="K172">
        <v>85865</v>
      </c>
      <c r="L172">
        <v>76320</v>
      </c>
      <c r="M172" t="str">
        <f>""</f>
        <v/>
      </c>
      <c r="N172" t="str">
        <f>""</f>
        <v/>
      </c>
      <c r="O172" t="str">
        <f>""</f>
        <v/>
      </c>
      <c r="P172" t="str">
        <f>""</f>
        <v/>
      </c>
      <c r="Q172" t="str">
        <f>""</f>
        <v/>
      </c>
      <c r="R172" t="str">
        <f>""</f>
        <v/>
      </c>
      <c r="S172" t="str">
        <f>""</f>
        <v/>
      </c>
    </row>
    <row r="173" spans="1:19" x14ac:dyDescent="0.25">
      <c r="B173" t="str">
        <f>"CAP FP Equity"</f>
        <v>CAP FP Equity</v>
      </c>
      <c r="C173" t="str">
        <f>"ES047"</f>
        <v>ES047</v>
      </c>
      <c r="D173" t="str">
        <f>"PCT_WOMEN_EMPLOYEES"</f>
        <v>PCT_WOMEN_EMPLOYEES</v>
      </c>
      <c r="E173" t="str">
        <f t="shared" si="21"/>
        <v>Dynamic</v>
      </c>
      <c r="F173" t="e">
        <f ca="1">_xll.BDH($B$173,$C$173,$B$163,$B$164,CONCATENATE("Per=",$B$161),"Dts=H","Dir=H",CONCATENATE("Points=",$B$162),"Sort=R","Days=A","Fill=B",CONCATENATE("FX=", $B$160),"cols=7;rows=1")</f>
        <v>#NAME?</v>
      </c>
      <c r="G173">
        <v>31.9</v>
      </c>
      <c r="H173">
        <v>31.4</v>
      </c>
      <c r="I173">
        <v>30.3</v>
      </c>
      <c r="J173">
        <v>29.5</v>
      </c>
      <c r="K173">
        <v>28.8</v>
      </c>
      <c r="L173">
        <v>28.4</v>
      </c>
      <c r="M173" t="str">
        <f>""</f>
        <v/>
      </c>
      <c r="N173" t="str">
        <f>""</f>
        <v/>
      </c>
      <c r="O173" t="str">
        <f>""</f>
        <v/>
      </c>
      <c r="P173" t="str">
        <f>""</f>
        <v/>
      </c>
      <c r="Q173" t="str">
        <f>""</f>
        <v/>
      </c>
      <c r="R173" t="str">
        <f>""</f>
        <v/>
      </c>
      <c r="S173" t="str">
        <f>""</f>
        <v/>
      </c>
    </row>
    <row r="174" spans="1:19" x14ac:dyDescent="0.25">
      <c r="B174" t="str">
        <f>"CAP FP Equity"</f>
        <v>CAP FP Equity</v>
      </c>
      <c r="C174" t="str">
        <f>"RR121"</f>
        <v>RR121</v>
      </c>
      <c r="D174" t="str">
        <f>"NUM_OF_EMPLOYEES"</f>
        <v>NUM_OF_EMPLOYEES</v>
      </c>
      <c r="E174" t="str">
        <f t="shared" si="21"/>
        <v>Dynamic</v>
      </c>
      <c r="F174" t="e">
        <f ca="1">_xll.BDH($B$174,$C$174,$B$163,$B$164,CONCATENATE("Per=",$B$161),"Dts=H","Dir=H",CONCATENATE("Points=",$B$162),"Sort=R","Days=A","Fill=B",CONCATENATE("FX=", $B$160),"cols=7;rows=1")</f>
        <v>#NAME?</v>
      </c>
      <c r="G174">
        <v>211313</v>
      </c>
      <c r="H174">
        <v>199698</v>
      </c>
      <c r="I174">
        <v>193077</v>
      </c>
      <c r="J174">
        <v>180639</v>
      </c>
      <c r="K174">
        <v>143643</v>
      </c>
      <c r="L174">
        <v>131430</v>
      </c>
      <c r="M174" t="str">
        <f>""</f>
        <v/>
      </c>
      <c r="N174" t="str">
        <f>""</f>
        <v/>
      </c>
      <c r="O174" t="str">
        <f>""</f>
        <v/>
      </c>
      <c r="P174" t="str">
        <f>""</f>
        <v/>
      </c>
      <c r="Q174" t="str">
        <f>""</f>
        <v/>
      </c>
      <c r="R174" t="str">
        <f>""</f>
        <v/>
      </c>
      <c r="S174" t="str">
        <f>""</f>
        <v/>
      </c>
    </row>
    <row r="175" spans="1:19" x14ac:dyDescent="0.25">
      <c r="B175" t="str">
        <f>"GIB US Equity"</f>
        <v>GIB US Equity</v>
      </c>
      <c r="C175" t="str">
        <f>"ES047"</f>
        <v>ES047</v>
      </c>
      <c r="D175" t="str">
        <f>"PCT_WOMEN_EMPLOYEES"</f>
        <v>PCT_WOMEN_EMPLOYEES</v>
      </c>
      <c r="E175" t="str">
        <f t="shared" si="21"/>
        <v>Dynamic</v>
      </c>
      <c r="F175" t="e">
        <f ca="1">_xll.BDH($B$175,$C$175,$B$163,$B$164,CONCATENATE("Per=",$B$161),"Dts=H","Dir=H",CONCATENATE("Points=",$B$162),"Sort=R","Days=A","Fill=B",CONCATENATE("FX=", $B$160),"cols=7;rows=1")</f>
        <v>#NAME?</v>
      </c>
      <c r="K175">
        <v>31</v>
      </c>
      <c r="L175">
        <v>30</v>
      </c>
      <c r="M175" t="str">
        <f>""</f>
        <v/>
      </c>
      <c r="N175" t="str">
        <f>""</f>
        <v/>
      </c>
      <c r="O175" t="str">
        <f>""</f>
        <v/>
      </c>
      <c r="P175" t="str">
        <f>""</f>
        <v/>
      </c>
      <c r="Q175" t="str">
        <f>""</f>
        <v/>
      </c>
      <c r="R175" t="str">
        <f>""</f>
        <v/>
      </c>
      <c r="S175" t="str">
        <f>""</f>
        <v/>
      </c>
    </row>
    <row r="176" spans="1:19" x14ac:dyDescent="0.25">
      <c r="B176" t="str">
        <f>"GIB US Equity"</f>
        <v>GIB US Equity</v>
      </c>
      <c r="C176" t="str">
        <f>"RR121"</f>
        <v>RR121</v>
      </c>
      <c r="D176" t="str">
        <f>"NUM_OF_EMPLOYEES"</f>
        <v>NUM_OF_EMPLOYEES</v>
      </c>
      <c r="E176" t="str">
        <f t="shared" si="21"/>
        <v>Dynamic</v>
      </c>
      <c r="F176" t="e">
        <f ca="1">_xll.BDH($B$176,$C$176,$B$163,$B$164,CONCATENATE("Per=",$B$161),"Dts=H","Dir=H",CONCATENATE("Points=",$B$162),"Sort=R","Days=A","Fill=B",CONCATENATE("FX=", $B$160),"cols=7;rows=1")</f>
        <v>#NAME?</v>
      </c>
      <c r="G176">
        <v>74000</v>
      </c>
      <c r="H176">
        <v>71000</v>
      </c>
      <c r="I176">
        <v>68000</v>
      </c>
      <c r="J176">
        <v>65000</v>
      </c>
      <c r="K176">
        <v>68000</v>
      </c>
      <c r="L176">
        <v>68000</v>
      </c>
      <c r="M176" t="str">
        <f>""</f>
        <v/>
      </c>
      <c r="N176" t="str">
        <f>""</f>
        <v/>
      </c>
      <c r="O176" t="str">
        <f>""</f>
        <v/>
      </c>
      <c r="P176" t="str">
        <f>""</f>
        <v/>
      </c>
      <c r="Q176" t="str">
        <f>""</f>
        <v/>
      </c>
      <c r="R176" t="str">
        <f>""</f>
        <v/>
      </c>
      <c r="S176" t="str">
        <f>""</f>
        <v/>
      </c>
    </row>
    <row r="177" spans="2:19" x14ac:dyDescent="0.25">
      <c r="B177" t="str">
        <f>"CTSH US Equity"</f>
        <v>CTSH US Equity</v>
      </c>
      <c r="C177" t="str">
        <f>"ES047"</f>
        <v>ES047</v>
      </c>
      <c r="D177" t="str">
        <f>"PCT_WOMEN_EMPLOYEES"</f>
        <v>PCT_WOMEN_EMPLOYEES</v>
      </c>
      <c r="E177" t="str">
        <f t="shared" si="21"/>
        <v>Dynamic</v>
      </c>
      <c r="F177" t="e">
        <f ca="1">_xll.BDH($B$177,$C$177,$B$163,$B$164,CONCATENATE("Per=",$B$161),"Dts=H","Dir=H",CONCATENATE("Points=",$B$162),"Sort=R","Days=A","Fill=B",CONCATENATE("FX=", $B$160),"cols=7;rows=1")</f>
        <v>#NAME?</v>
      </c>
      <c r="I177">
        <v>33.299999999999997</v>
      </c>
      <c r="J177">
        <v>33</v>
      </c>
      <c r="K177">
        <v>32</v>
      </c>
      <c r="L177">
        <v>32</v>
      </c>
      <c r="M177" t="str">
        <f>""</f>
        <v/>
      </c>
      <c r="N177" t="str">
        <f>""</f>
        <v/>
      </c>
      <c r="O177" t="str">
        <f>""</f>
        <v/>
      </c>
      <c r="P177" t="str">
        <f>""</f>
        <v/>
      </c>
      <c r="Q177" t="str">
        <f>""</f>
        <v/>
      </c>
      <c r="R177" t="str">
        <f>""</f>
        <v/>
      </c>
      <c r="S177" t="str">
        <f>""</f>
        <v/>
      </c>
    </row>
    <row r="178" spans="2:19" x14ac:dyDescent="0.25">
      <c r="B178" t="str">
        <f>"CTSH US Equity"</f>
        <v>CTSH US Equity</v>
      </c>
      <c r="C178" t="str">
        <f>"RR121"</f>
        <v>RR121</v>
      </c>
      <c r="D178" t="str">
        <f>"NUM_OF_EMPLOYEES"</f>
        <v>NUM_OF_EMPLOYEES</v>
      </c>
      <c r="E178" t="str">
        <f t="shared" si="21"/>
        <v>Dynamic</v>
      </c>
      <c r="F178" t="e">
        <f ca="1">_xll.BDH($B$178,$C$178,$B$163,$B$164,CONCATENATE("Per=",$B$161),"Dts=H","Dir=H",CONCATENATE("Points=",$B$162),"Sort=R","Days=A","Fill=B",CONCATENATE("FX=", $B$160),"cols=7;rows=1")</f>
        <v>#NAME?</v>
      </c>
      <c r="G178">
        <v>281600</v>
      </c>
      <c r="H178">
        <v>260000</v>
      </c>
      <c r="I178">
        <v>260200</v>
      </c>
      <c r="J178">
        <v>221700</v>
      </c>
      <c r="K178">
        <v>211500</v>
      </c>
      <c r="L178">
        <v>171400</v>
      </c>
      <c r="M178" t="str">
        <f>""</f>
        <v/>
      </c>
      <c r="N178" t="str">
        <f>""</f>
        <v/>
      </c>
      <c r="O178" t="str">
        <f>""</f>
        <v/>
      </c>
      <c r="P178" t="str">
        <f>""</f>
        <v/>
      </c>
      <c r="Q178" t="str">
        <f>""</f>
        <v/>
      </c>
      <c r="R178" t="str">
        <f>""</f>
        <v/>
      </c>
      <c r="S178" t="str">
        <f>""</f>
        <v/>
      </c>
    </row>
    <row r="179" spans="2:19" x14ac:dyDescent="0.25">
      <c r="B179" t="str">
        <f>"CNDT US Equity"</f>
        <v>CNDT US Equity</v>
      </c>
      <c r="C179" t="str">
        <f>"ES047"</f>
        <v>ES047</v>
      </c>
      <c r="D179" t="str">
        <f>"PCT_WOMEN_EMPLOYEES"</f>
        <v>PCT_WOMEN_EMPLOYEES</v>
      </c>
      <c r="E179" t="str">
        <f t="shared" si="21"/>
        <v>Dynamic</v>
      </c>
      <c r="F179" t="e">
        <f ca="1">_xll.BDH($B$179,$C$179,$B$163,$B$164,CONCATENATE("Per=",$B$161),"Dts=H","Dir=H",CONCATENATE("Points=",$B$162),"Sort=R","Days=A","Fill=B",CONCATENATE("FX=", $B$160) )</f>
        <v>#NAME?</v>
      </c>
      <c r="M179" t="str">
        <f>""</f>
        <v/>
      </c>
      <c r="N179" t="str">
        <f>""</f>
        <v/>
      </c>
      <c r="O179" t="str">
        <f>""</f>
        <v/>
      </c>
      <c r="P179" t="str">
        <f>""</f>
        <v/>
      </c>
      <c r="Q179" t="str">
        <f>""</f>
        <v/>
      </c>
      <c r="R179" t="str">
        <f>""</f>
        <v/>
      </c>
      <c r="S179" t="str">
        <f>""</f>
        <v/>
      </c>
    </row>
    <row r="180" spans="2:19" x14ac:dyDescent="0.25">
      <c r="B180" t="str">
        <f>"CNDT US Equity"</f>
        <v>CNDT US Equity</v>
      </c>
      <c r="C180" t="str">
        <f>"RR121"</f>
        <v>RR121</v>
      </c>
      <c r="D180" t="str">
        <f>"NUM_OF_EMPLOYEES"</f>
        <v>NUM_OF_EMPLOYEES</v>
      </c>
      <c r="E180" t="str">
        <f t="shared" si="21"/>
        <v>Dynamic</v>
      </c>
      <c r="F180" t="e">
        <f ca="1">_xll.BDH($B$180,$C$180,$B$163,$B$164,CONCATENATE("Per=",$B$161),"Dts=H","Dir=H",CONCATENATE("Points=",$B$162),"Sort=R","Days=A","Fill=B",CONCATENATE("FX=", $B$160),"cols=7;rows=1")</f>
        <v>#NAME?</v>
      </c>
      <c r="G180">
        <v>82000</v>
      </c>
      <c r="H180">
        <v>90000</v>
      </c>
      <c r="I180">
        <v>96000</v>
      </c>
      <c r="M180" t="str">
        <f>""</f>
        <v/>
      </c>
      <c r="N180" t="str">
        <f>""</f>
        <v/>
      </c>
      <c r="O180" t="str">
        <f>""</f>
        <v/>
      </c>
      <c r="P180" t="str">
        <f>""</f>
        <v/>
      </c>
      <c r="Q180" t="str">
        <f>""</f>
        <v/>
      </c>
      <c r="R180" t="str">
        <f>""</f>
        <v/>
      </c>
      <c r="S180" t="str">
        <f>""</f>
        <v/>
      </c>
    </row>
    <row r="181" spans="2:19" x14ac:dyDescent="0.25">
      <c r="B181" t="str">
        <f>"DXC US Equity"</f>
        <v>DXC US Equity</v>
      </c>
      <c r="C181" t="str">
        <f>"ES047"</f>
        <v>ES047</v>
      </c>
      <c r="D181" t="str">
        <f>"PCT_WOMEN_EMPLOYEES"</f>
        <v>PCT_WOMEN_EMPLOYEES</v>
      </c>
      <c r="E181" t="str">
        <f t="shared" si="21"/>
        <v>Dynamic</v>
      </c>
      <c r="F181" t="e">
        <f ca="1">_xll.BDH($B$181,$C$181,$B$163,$B$164,CONCATENATE("Per=",$B$161),"Dts=H","Dir=H",CONCATENATE("Points=",$B$162),"Sort=R","Days=A","Fill=B",CONCATENATE("FX=", $B$160),"cols=7;rows=1")</f>
        <v>#NAME?</v>
      </c>
      <c r="G181">
        <v>33</v>
      </c>
      <c r="H181">
        <v>33</v>
      </c>
      <c r="M181" t="str">
        <f>""</f>
        <v/>
      </c>
      <c r="N181" t="str">
        <f>""</f>
        <v/>
      </c>
      <c r="O181" t="str">
        <f>""</f>
        <v/>
      </c>
      <c r="P181" t="str">
        <f>""</f>
        <v/>
      </c>
      <c r="Q181" t="str">
        <f>""</f>
        <v/>
      </c>
      <c r="R181" t="str">
        <f>""</f>
        <v/>
      </c>
      <c r="S181" t="str">
        <f>""</f>
        <v/>
      </c>
    </row>
    <row r="182" spans="2:19" x14ac:dyDescent="0.25">
      <c r="B182" t="str">
        <f>"DXC US Equity"</f>
        <v>DXC US Equity</v>
      </c>
      <c r="C182" t="str">
        <f>"RR121"</f>
        <v>RR121</v>
      </c>
      <c r="D182" t="str">
        <f>"NUM_OF_EMPLOYEES"</f>
        <v>NUM_OF_EMPLOYEES</v>
      </c>
      <c r="E182" t="str">
        <f t="shared" si="21"/>
        <v>Dynamic</v>
      </c>
      <c r="F182" t="e">
        <f ca="1">_xll.BDH($B$182,$C$182,$B$163,$B$164,CONCATENATE("Per=",$B$161),"Dts=H","Dir=H",CONCATENATE("Points=",$B$162),"Sort=R","Days=A","Fill=B",CONCATENATE("FX=", $B$160),"cols=7;rows=1")</f>
        <v>#NAME?</v>
      </c>
      <c r="G182">
        <v>130000</v>
      </c>
      <c r="H182">
        <v>150000</v>
      </c>
      <c r="M182" t="str">
        <f>""</f>
        <v/>
      </c>
      <c r="N182" t="str">
        <f>""</f>
        <v/>
      </c>
      <c r="O182" t="str">
        <f>""</f>
        <v/>
      </c>
      <c r="P182" t="str">
        <f>""</f>
        <v/>
      </c>
      <c r="Q182" t="str">
        <f>""</f>
        <v/>
      </c>
      <c r="R182" t="str">
        <f>""</f>
        <v/>
      </c>
      <c r="S182" t="str">
        <f>""</f>
        <v/>
      </c>
    </row>
    <row r="183" spans="2:19" x14ac:dyDescent="0.25">
      <c r="B183" t="str">
        <f>"EPAM US Equity"</f>
        <v>EPAM US Equity</v>
      </c>
      <c r="C183" t="str">
        <f>"ES047"</f>
        <v>ES047</v>
      </c>
      <c r="D183" t="str">
        <f>"PCT_WOMEN_EMPLOYEES"</f>
        <v>PCT_WOMEN_EMPLOYEES</v>
      </c>
      <c r="E183" t="str">
        <f t="shared" si="21"/>
        <v>Dynamic</v>
      </c>
      <c r="F183" t="e">
        <f ca="1">_xll.BDH($B$183,$C$183,$B$163,$B$164,CONCATENATE("Per=",$B$161),"Dts=H","Dir=H",CONCATENATE("Points=",$B$162),"Sort=R","Days=A","Fill=B",CONCATENATE("FX=", $B$160) )</f>
        <v>#NAME?</v>
      </c>
      <c r="M183" t="str">
        <f>""</f>
        <v/>
      </c>
      <c r="N183" t="str">
        <f>""</f>
        <v/>
      </c>
      <c r="O183" t="str">
        <f>""</f>
        <v/>
      </c>
      <c r="P183" t="str">
        <f>""</f>
        <v/>
      </c>
      <c r="Q183" t="str">
        <f>""</f>
        <v/>
      </c>
      <c r="R183" t="str">
        <f>""</f>
        <v/>
      </c>
      <c r="S183" t="str">
        <f>""</f>
        <v/>
      </c>
    </row>
    <row r="184" spans="2:19" x14ac:dyDescent="0.25">
      <c r="B184" t="str">
        <f>"EPAM US Equity"</f>
        <v>EPAM US Equity</v>
      </c>
      <c r="C184" t="str">
        <f>"RR121"</f>
        <v>RR121</v>
      </c>
      <c r="D184" t="str">
        <f>"NUM_OF_EMPLOYEES"</f>
        <v>NUM_OF_EMPLOYEES</v>
      </c>
      <c r="E184" t="str">
        <f t="shared" si="21"/>
        <v>Dynamic</v>
      </c>
      <c r="F184" t="e">
        <f ca="1">_xll.BDH($B$184,$C$184,$B$163,$B$164,CONCATENATE("Per=",$B$161),"Dts=H","Dir=H",CONCATENATE("Points=",$B$162),"Sort=R","Days=A","Fill=B",CONCATENATE("FX=", $B$160),"cols=7;rows=1")</f>
        <v>#NAME?</v>
      </c>
      <c r="G184">
        <v>30200</v>
      </c>
      <c r="H184">
        <v>25962</v>
      </c>
      <c r="I184">
        <v>22383</v>
      </c>
      <c r="J184">
        <v>18354</v>
      </c>
      <c r="K184">
        <v>14109</v>
      </c>
      <c r="M184" t="str">
        <f>""</f>
        <v/>
      </c>
      <c r="N184" t="str">
        <f>""</f>
        <v/>
      </c>
      <c r="O184" t="str">
        <f>""</f>
        <v/>
      </c>
      <c r="P184" t="str">
        <f>""</f>
        <v/>
      </c>
      <c r="Q184" t="str">
        <f>""</f>
        <v/>
      </c>
      <c r="R184" t="str">
        <f>""</f>
        <v/>
      </c>
      <c r="S184" t="str">
        <f>""</f>
        <v/>
      </c>
    </row>
    <row r="185" spans="2:19" x14ac:dyDescent="0.25">
      <c r="B185" t="str">
        <f>"G US Equity"</f>
        <v>G US Equity</v>
      </c>
      <c r="C185" t="str">
        <f>"ES047"</f>
        <v>ES047</v>
      </c>
      <c r="D185" t="str">
        <f>"PCT_WOMEN_EMPLOYEES"</f>
        <v>PCT_WOMEN_EMPLOYEES</v>
      </c>
      <c r="E185" t="str">
        <f t="shared" si="21"/>
        <v>Dynamic</v>
      </c>
      <c r="F185" t="e">
        <f ca="1">_xll.BDH($B$185,$C$185,$B$163,$B$164,CONCATENATE("Per=",$B$161),"Dts=H","Dir=H",CONCATENATE("Points=",$B$162),"Sort=R","Days=A","Fill=B",CONCATENATE("FX=", $B$160),"cols=7;rows=1")</f>
        <v>#NAME?</v>
      </c>
      <c r="H185">
        <v>39.134</v>
      </c>
      <c r="I185">
        <v>38.881</v>
      </c>
      <c r="J185">
        <v>38.231999999999999</v>
      </c>
      <c r="L185">
        <v>37.4</v>
      </c>
      <c r="M185" t="str">
        <f>""</f>
        <v/>
      </c>
      <c r="N185" t="str">
        <f>""</f>
        <v/>
      </c>
      <c r="O185" t="str">
        <f>""</f>
        <v/>
      </c>
      <c r="P185" t="str">
        <f>""</f>
        <v/>
      </c>
      <c r="Q185" t="str">
        <f>""</f>
        <v/>
      </c>
      <c r="R185" t="str">
        <f>""</f>
        <v/>
      </c>
      <c r="S185" t="str">
        <f>""</f>
        <v/>
      </c>
    </row>
    <row r="186" spans="2:19" x14ac:dyDescent="0.25">
      <c r="B186" t="str">
        <f>"G US Equity"</f>
        <v>G US Equity</v>
      </c>
      <c r="C186" t="str">
        <f>"RR121"</f>
        <v>RR121</v>
      </c>
      <c r="D186" t="str">
        <f>"NUM_OF_EMPLOYEES"</f>
        <v>NUM_OF_EMPLOYEES</v>
      </c>
      <c r="E186" t="str">
        <f t="shared" si="21"/>
        <v>Dynamic</v>
      </c>
      <c r="F186" t="e">
        <f ca="1">_xll.BDH($B$186,$C$186,$B$163,$B$164,CONCATENATE("Per=",$B$161),"Dts=H","Dir=H",CONCATENATE("Points=",$B$162),"Sort=R","Days=A","Fill=B",CONCATENATE("FX=", $B$160),"cols=7;rows=1")</f>
        <v>#NAME?</v>
      </c>
      <c r="G186">
        <v>87000</v>
      </c>
      <c r="H186">
        <v>78000</v>
      </c>
      <c r="I186">
        <v>75000</v>
      </c>
      <c r="J186">
        <v>72000</v>
      </c>
      <c r="K186">
        <v>67900</v>
      </c>
      <c r="L186">
        <v>63600</v>
      </c>
      <c r="M186" t="str">
        <f>""</f>
        <v/>
      </c>
      <c r="N186" t="str">
        <f>""</f>
        <v/>
      </c>
      <c r="O186" t="str">
        <f>""</f>
        <v/>
      </c>
      <c r="P186" t="str">
        <f>""</f>
        <v/>
      </c>
      <c r="Q186" t="str">
        <f>""</f>
        <v/>
      </c>
      <c r="R186" t="str">
        <f>""</f>
        <v/>
      </c>
      <c r="S186" t="str">
        <f>""</f>
        <v/>
      </c>
    </row>
    <row r="187" spans="2:19" x14ac:dyDescent="0.25">
      <c r="B187" t="str">
        <f>"HCLT IN Equity"</f>
        <v>HCLT IN Equity</v>
      </c>
      <c r="C187" t="str">
        <f>"ES047"</f>
        <v>ES047</v>
      </c>
      <c r="D187" t="str">
        <f>"PCT_WOMEN_EMPLOYEES"</f>
        <v>PCT_WOMEN_EMPLOYEES</v>
      </c>
      <c r="E187" t="str">
        <f t="shared" si="21"/>
        <v>Dynamic</v>
      </c>
      <c r="F187" t="e">
        <f ca="1">_xll.BDH($B$187,$C$187,$B$163,$B$164,CONCATENATE("Per=",$B$161),"Dts=H","Dir=H",CONCATENATE("Points=",$B$162),"Sort=R","Days=A","Fill=B",CONCATENATE("FX=", $B$160),"cols=7;rows=1")</f>
        <v>#NAME?</v>
      </c>
      <c r="G187">
        <v>24.9</v>
      </c>
      <c r="H187">
        <v>24</v>
      </c>
      <c r="I187">
        <v>24</v>
      </c>
      <c r="J187">
        <v>23</v>
      </c>
      <c r="L187">
        <v>24</v>
      </c>
      <c r="M187" t="str">
        <f>""</f>
        <v/>
      </c>
      <c r="N187" t="str">
        <f>""</f>
        <v/>
      </c>
      <c r="O187" t="str">
        <f>""</f>
        <v/>
      </c>
      <c r="P187" t="str">
        <f>""</f>
        <v/>
      </c>
      <c r="Q187" t="str">
        <f>""</f>
        <v/>
      </c>
      <c r="R187" t="str">
        <f>""</f>
        <v/>
      </c>
      <c r="S187" t="str">
        <f>""</f>
        <v/>
      </c>
    </row>
    <row r="188" spans="2:19" x14ac:dyDescent="0.25">
      <c r="B188" t="str">
        <f>"HCLT IN Equity"</f>
        <v>HCLT IN Equity</v>
      </c>
      <c r="C188" t="str">
        <f>"RR121"</f>
        <v>RR121</v>
      </c>
      <c r="D188" t="str">
        <f>"NUM_OF_EMPLOYEES"</f>
        <v>NUM_OF_EMPLOYEES</v>
      </c>
      <c r="E188" t="str">
        <f t="shared" si="21"/>
        <v>Dynamic</v>
      </c>
      <c r="F188" t="e">
        <f ca="1">_xll.BDH($B$188,$C$188,$B$163,$B$164,CONCATENATE("Per=",$B$161),"Dts=H","Dir=H",CONCATENATE("Points=",$B$162),"Sort=R","Days=A","Fill=B",CONCATENATE("FX=", $B$160),"cols=7;rows=1")</f>
        <v>#NAME?</v>
      </c>
      <c r="G188">
        <v>137965</v>
      </c>
      <c r="H188">
        <v>120081</v>
      </c>
      <c r="I188">
        <v>115973</v>
      </c>
      <c r="J188">
        <v>104896</v>
      </c>
      <c r="L188">
        <v>91691</v>
      </c>
      <c r="M188" t="str">
        <f>""</f>
        <v/>
      </c>
      <c r="N188" t="str">
        <f>""</f>
        <v/>
      </c>
      <c r="O188" t="str">
        <f>""</f>
        <v/>
      </c>
      <c r="P188" t="str">
        <f>""</f>
        <v/>
      </c>
      <c r="Q188" t="str">
        <f>""</f>
        <v/>
      </c>
      <c r="R188" t="str">
        <f>""</f>
        <v/>
      </c>
      <c r="S188" t="str">
        <f>""</f>
        <v/>
      </c>
    </row>
    <row r="189" spans="2:19" x14ac:dyDescent="0.25">
      <c r="B189" t="str">
        <f>"IDR SM Equity"</f>
        <v>IDR SM Equity</v>
      </c>
      <c r="C189" t="str">
        <f>"ES047"</f>
        <v>ES047</v>
      </c>
      <c r="D189" t="str">
        <f>"PCT_WOMEN_EMPLOYEES"</f>
        <v>PCT_WOMEN_EMPLOYEES</v>
      </c>
      <c r="E189" t="str">
        <f t="shared" si="21"/>
        <v>Dynamic</v>
      </c>
      <c r="F189" t="e">
        <f ca="1">_xll.BDH($B$189,$C$189,$B$163,$B$164,CONCATENATE("Per=",$B$161),"Dts=H","Dir=H",CONCATENATE("Points=",$B$162),"Sort=R","Days=A","Fill=B",CONCATENATE("FX=", $B$160),"cols=7;rows=1")</f>
        <v>#NAME?</v>
      </c>
      <c r="G189">
        <v>32.979999999999997</v>
      </c>
      <c r="H189">
        <v>34</v>
      </c>
      <c r="I189">
        <v>37</v>
      </c>
      <c r="J189">
        <v>37</v>
      </c>
      <c r="K189">
        <v>35.9</v>
      </c>
      <c r="L189">
        <v>36.14</v>
      </c>
      <c r="M189" t="str">
        <f>""</f>
        <v/>
      </c>
      <c r="N189" t="str">
        <f>""</f>
        <v/>
      </c>
      <c r="O189" t="str">
        <f>""</f>
        <v/>
      </c>
      <c r="P189" t="str">
        <f>""</f>
        <v/>
      </c>
      <c r="Q189" t="str">
        <f>""</f>
        <v/>
      </c>
      <c r="R189" t="str">
        <f>""</f>
        <v/>
      </c>
      <c r="S189" t="str">
        <f>""</f>
        <v/>
      </c>
    </row>
    <row r="190" spans="2:19" x14ac:dyDescent="0.25">
      <c r="B190" t="str">
        <f>"IDR SM Equity"</f>
        <v>IDR SM Equity</v>
      </c>
      <c r="C190" t="str">
        <f>"RR121"</f>
        <v>RR121</v>
      </c>
      <c r="D190" t="str">
        <f>"NUM_OF_EMPLOYEES"</f>
        <v>NUM_OF_EMPLOYEES</v>
      </c>
      <c r="E190" t="str">
        <f t="shared" si="21"/>
        <v>Dynamic</v>
      </c>
      <c r="F190" t="e">
        <f ca="1">_xll.BDH($B$190,$C$190,$B$163,$B$164,CONCATENATE("Per=",$B$161),"Dts=H","Dir=H",CONCATENATE("Points=",$B$162),"Sort=R","Days=A","Fill=B",CONCATENATE("FX=", $B$160),"cols=7;rows=1")</f>
        <v>#NAME?</v>
      </c>
      <c r="G190">
        <v>41572</v>
      </c>
      <c r="H190">
        <v>40020</v>
      </c>
      <c r="I190">
        <v>35660</v>
      </c>
      <c r="J190">
        <v>37073</v>
      </c>
      <c r="K190">
        <v>38552</v>
      </c>
      <c r="L190">
        <v>38548</v>
      </c>
      <c r="M190" t="str">
        <f>""</f>
        <v/>
      </c>
      <c r="N190" t="str">
        <f>""</f>
        <v/>
      </c>
      <c r="O190" t="str">
        <f>""</f>
        <v/>
      </c>
      <c r="P190" t="str">
        <f>""</f>
        <v/>
      </c>
      <c r="Q190" t="str">
        <f>""</f>
        <v/>
      </c>
      <c r="R190" t="str">
        <f>""</f>
        <v/>
      </c>
      <c r="S190" t="str">
        <f>""</f>
        <v/>
      </c>
    </row>
    <row r="191" spans="2:19" x14ac:dyDescent="0.25">
      <c r="B191" t="str">
        <f>"INFY US Equity"</f>
        <v>INFY US Equity</v>
      </c>
      <c r="C191" t="str">
        <f>"ES047"</f>
        <v>ES047</v>
      </c>
      <c r="D191" t="str">
        <f>"PCT_WOMEN_EMPLOYEES"</f>
        <v>PCT_WOMEN_EMPLOYEES</v>
      </c>
      <c r="E191" t="str">
        <f t="shared" si="21"/>
        <v>Dynamic</v>
      </c>
      <c r="F191" t="e">
        <f ca="1">_xll.BDH($B$191,$C$191,$B$163,$B$164,CONCATENATE("Per=",$B$161),"Dts=H","Dir=H",CONCATENATE("Points=",$B$162),"Sort=R","Days=A","Fill=B",CONCATENATE("FX=", $B$160),"cols=7;rows=1")</f>
        <v>#NAME?</v>
      </c>
      <c r="G191">
        <v>36.67</v>
      </c>
      <c r="H191">
        <v>36.11</v>
      </c>
      <c r="I191">
        <v>36.049999999999997</v>
      </c>
      <c r="J191">
        <v>35.6</v>
      </c>
      <c r="K191">
        <v>35.088999999999999</v>
      </c>
      <c r="L191">
        <v>34.39</v>
      </c>
      <c r="M191" t="str">
        <f>""</f>
        <v/>
      </c>
      <c r="N191" t="str">
        <f>""</f>
        <v/>
      </c>
      <c r="O191" t="str">
        <f>""</f>
        <v/>
      </c>
      <c r="P191" t="str">
        <f>""</f>
        <v/>
      </c>
      <c r="Q191" t="str">
        <f>""</f>
        <v/>
      </c>
      <c r="R191" t="str">
        <f>""</f>
        <v/>
      </c>
      <c r="S191" t="str">
        <f>""</f>
        <v/>
      </c>
    </row>
    <row r="192" spans="2:19" x14ac:dyDescent="0.25">
      <c r="B192" t="str">
        <f>"INFY US Equity"</f>
        <v>INFY US Equity</v>
      </c>
      <c r="C192" t="str">
        <f>"RR121"</f>
        <v>RR121</v>
      </c>
      <c r="D192" t="str">
        <f>"NUM_OF_EMPLOYEES"</f>
        <v>NUM_OF_EMPLOYEES</v>
      </c>
      <c r="E192" t="str">
        <f t="shared" si="21"/>
        <v>Dynamic</v>
      </c>
      <c r="F192" t="e">
        <f ca="1">_xll.BDH($B$192,$C$192,$B$163,$B$164,CONCATENATE("Per=",$B$161),"Dts=H","Dir=H",CONCATENATE("Points=",$B$162),"Sort=R","Days=A","Fill=B",CONCATENATE("FX=", $B$160),"cols=7;rows=1")</f>
        <v>#NAME?</v>
      </c>
      <c r="G192">
        <v>228123</v>
      </c>
      <c r="H192">
        <v>204107</v>
      </c>
      <c r="I192">
        <v>200364</v>
      </c>
      <c r="J192">
        <v>194044</v>
      </c>
      <c r="K192">
        <v>176187</v>
      </c>
      <c r="L192">
        <v>160405</v>
      </c>
      <c r="M192" t="str">
        <f>""</f>
        <v/>
      </c>
      <c r="N192" t="str">
        <f>""</f>
        <v/>
      </c>
      <c r="O192" t="str">
        <f>""</f>
        <v/>
      </c>
      <c r="P192" t="str">
        <f>""</f>
        <v/>
      </c>
      <c r="Q192" t="str">
        <f>""</f>
        <v/>
      </c>
      <c r="R192" t="str">
        <f>""</f>
        <v/>
      </c>
      <c r="S192" t="str">
        <f>""</f>
        <v/>
      </c>
    </row>
    <row r="193" spans="2:19" x14ac:dyDescent="0.25">
      <c r="B193" t="str">
        <f>"IBM US Equity"</f>
        <v>IBM US Equity</v>
      </c>
      <c r="C193" t="str">
        <f>"ES047"</f>
        <v>ES047</v>
      </c>
      <c r="D193" t="str">
        <f>"PCT_WOMEN_EMPLOYEES"</f>
        <v>PCT_WOMEN_EMPLOYEES</v>
      </c>
      <c r="E193" t="str">
        <f t="shared" si="21"/>
        <v>Dynamic</v>
      </c>
      <c r="F193" t="e">
        <f ca="1">_xll.BDH($B$193,$C$193,$B$163,$B$164,CONCATENATE("Per=",$B$161),"Dts=H","Dir=H",CONCATENATE("Points=",$B$162),"Sort=R","Days=A","Fill=B",CONCATENATE("FX=", $B$160),"cols=7;rows=1")</f>
        <v>#NAME?</v>
      </c>
      <c r="I193">
        <v>31.8</v>
      </c>
      <c r="J193">
        <v>31.4</v>
      </c>
      <c r="K193">
        <v>31.1</v>
      </c>
      <c r="L193">
        <v>30.1</v>
      </c>
      <c r="M193" t="str">
        <f>""</f>
        <v/>
      </c>
      <c r="N193" t="str">
        <f>""</f>
        <v/>
      </c>
      <c r="O193" t="str">
        <f>""</f>
        <v/>
      </c>
      <c r="P193" t="str">
        <f>""</f>
        <v/>
      </c>
      <c r="Q193" t="str">
        <f>""</f>
        <v/>
      </c>
      <c r="R193" t="str">
        <f>""</f>
        <v/>
      </c>
      <c r="S193" t="str">
        <f>""</f>
        <v/>
      </c>
    </row>
    <row r="194" spans="2:19" x14ac:dyDescent="0.25">
      <c r="B194" t="str">
        <f>"IBM US Equity"</f>
        <v>IBM US Equity</v>
      </c>
      <c r="C194" t="str">
        <f>"RR121"</f>
        <v>RR121</v>
      </c>
      <c r="D194" t="str">
        <f>"NUM_OF_EMPLOYEES"</f>
        <v>NUM_OF_EMPLOYEES</v>
      </c>
      <c r="E194" t="str">
        <f t="shared" si="21"/>
        <v>Dynamic</v>
      </c>
      <c r="F194" t="e">
        <f ca="1">_xll.BDH($B$194,$C$194,$B$163,$B$164,CONCATENATE("Per=",$B$161),"Dts=H","Dir=H",CONCATENATE("Points=",$B$162),"Sort=R","Days=A","Fill=B",CONCATENATE("FX=", $B$160),"cols=7;rows=1")</f>
        <v>#NAME?</v>
      </c>
      <c r="G194">
        <v>350600</v>
      </c>
      <c r="H194">
        <v>366600</v>
      </c>
      <c r="I194">
        <v>380300</v>
      </c>
      <c r="J194">
        <v>377757</v>
      </c>
      <c r="K194">
        <v>379592</v>
      </c>
      <c r="L194">
        <v>431212</v>
      </c>
      <c r="M194" t="str">
        <f>""</f>
        <v/>
      </c>
      <c r="N194" t="str">
        <f>""</f>
        <v/>
      </c>
      <c r="O194" t="str">
        <f>""</f>
        <v/>
      </c>
      <c r="P194" t="str">
        <f>""</f>
        <v/>
      </c>
      <c r="Q194" t="str">
        <f>""</f>
        <v/>
      </c>
      <c r="R194" t="str">
        <f>""</f>
        <v/>
      </c>
      <c r="S194" t="str">
        <f>""</f>
        <v/>
      </c>
    </row>
    <row r="195" spans="2:19" x14ac:dyDescent="0.25">
      <c r="B195" t="str">
        <f>"TCS IN Equity"</f>
        <v>TCS IN Equity</v>
      </c>
      <c r="C195" t="str">
        <f>"ES047"</f>
        <v>ES047</v>
      </c>
      <c r="D195" t="str">
        <f>"PCT_WOMEN_EMPLOYEES"</f>
        <v>PCT_WOMEN_EMPLOYEES</v>
      </c>
      <c r="E195" t="str">
        <f t="shared" si="21"/>
        <v>Dynamic</v>
      </c>
      <c r="F195" t="e">
        <f ca="1">_xll.BDH($B$195,$C$195,$B$163,$B$164,CONCATENATE("Per=",$B$161),"Dts=H","Dir=H",CONCATENATE("Points=",$B$162),"Sort=R","Days=A","Fill=B",CONCATENATE("FX=", $B$160),"cols=7;rows=1")</f>
        <v>#NAME?</v>
      </c>
      <c r="G195">
        <v>35.9</v>
      </c>
      <c r="H195">
        <v>35.31</v>
      </c>
      <c r="I195">
        <v>34.700000000000003</v>
      </c>
      <c r="J195">
        <v>33.799999999999997</v>
      </c>
      <c r="K195">
        <v>33</v>
      </c>
      <c r="L195">
        <v>32.700000000000003</v>
      </c>
      <c r="M195" t="str">
        <f>""</f>
        <v/>
      </c>
      <c r="N195" t="str">
        <f>""</f>
        <v/>
      </c>
      <c r="O195" t="str">
        <f>""</f>
        <v/>
      </c>
      <c r="P195" t="str">
        <f>""</f>
        <v/>
      </c>
      <c r="Q195" t="str">
        <f>""</f>
        <v/>
      </c>
      <c r="R195" t="str">
        <f>""</f>
        <v/>
      </c>
      <c r="S195" t="str">
        <f>""</f>
        <v/>
      </c>
    </row>
    <row r="196" spans="2:19" x14ac:dyDescent="0.25">
      <c r="B196" t="str">
        <f>"TCS IN Equity"</f>
        <v>TCS IN Equity</v>
      </c>
      <c r="C196" t="str">
        <f>"RR121"</f>
        <v>RR121</v>
      </c>
      <c r="D196" t="str">
        <f>"NUM_OF_EMPLOYEES"</f>
        <v>NUM_OF_EMPLOYEES</v>
      </c>
      <c r="E196" t="str">
        <f t="shared" si="21"/>
        <v>Dynamic</v>
      </c>
      <c r="F196" t="e">
        <f ca="1">_xll.BDH($B$196,$C$196,$B$163,$B$164,CONCATENATE("Per=",$B$161),"Dts=H","Dir=H",CONCATENATE("Points=",$B$162),"Sort=R","Days=A","Fill=B",CONCATENATE("FX=", $B$160),"cols=7;rows=1")</f>
        <v>#NAME?</v>
      </c>
      <c r="G196">
        <v>424285</v>
      </c>
      <c r="H196">
        <v>394998</v>
      </c>
      <c r="I196">
        <v>387223</v>
      </c>
      <c r="J196">
        <v>353843</v>
      </c>
      <c r="K196">
        <v>319656</v>
      </c>
      <c r="L196">
        <v>300464</v>
      </c>
      <c r="M196" t="str">
        <f>""</f>
        <v/>
      </c>
      <c r="N196" t="str">
        <f>""</f>
        <v/>
      </c>
      <c r="O196" t="str">
        <f>""</f>
        <v/>
      </c>
      <c r="P196" t="str">
        <f>""</f>
        <v/>
      </c>
      <c r="Q196" t="str">
        <f>""</f>
        <v/>
      </c>
      <c r="R196" t="str">
        <f>""</f>
        <v/>
      </c>
      <c r="S196" t="str">
        <f>""</f>
        <v/>
      </c>
    </row>
    <row r="197" spans="2:19" x14ac:dyDescent="0.25">
      <c r="B197" t="str">
        <f>"TECHM IN Equity"</f>
        <v>TECHM IN Equity</v>
      </c>
      <c r="C197" t="str">
        <f>"ES047"</f>
        <v>ES047</v>
      </c>
      <c r="D197" t="str">
        <f>"PCT_WOMEN_EMPLOYEES"</f>
        <v>PCT_WOMEN_EMPLOYEES</v>
      </c>
      <c r="E197" t="str">
        <f t="shared" si="21"/>
        <v>Dynamic</v>
      </c>
      <c r="F197" t="e">
        <f ca="1">_xll.BDH($B$197,$C$197,$B$163,$B$164,CONCATENATE("Per=",$B$161),"Dts=H","Dir=H",CONCATENATE("Points=",$B$162),"Sort=R","Days=A","Fill=B",CONCATENATE("FX=", $B$160),"cols=7;rows=1")</f>
        <v>#NAME?</v>
      </c>
      <c r="G197">
        <v>31.15</v>
      </c>
      <c r="H197">
        <v>30.17</v>
      </c>
      <c r="I197">
        <v>30.85</v>
      </c>
      <c r="J197">
        <v>30</v>
      </c>
      <c r="K197">
        <v>30.17</v>
      </c>
      <c r="M197" t="str">
        <f>""</f>
        <v/>
      </c>
      <c r="N197" t="str">
        <f>""</f>
        <v/>
      </c>
      <c r="O197" t="str">
        <f>""</f>
        <v/>
      </c>
      <c r="P197" t="str">
        <f>""</f>
        <v/>
      </c>
      <c r="Q197" t="str">
        <f>""</f>
        <v/>
      </c>
      <c r="R197" t="str">
        <f>""</f>
        <v/>
      </c>
      <c r="S197" t="str">
        <f>""</f>
        <v/>
      </c>
    </row>
    <row r="198" spans="2:19" x14ac:dyDescent="0.25">
      <c r="B198" t="str">
        <f>"TECHM IN Equity"</f>
        <v>TECHM IN Equity</v>
      </c>
      <c r="C198" t="str">
        <f>"RR121"</f>
        <v>RR121</v>
      </c>
      <c r="D198" t="str">
        <f>"NUM_OF_EMPLOYEES"</f>
        <v>NUM_OF_EMPLOYEES</v>
      </c>
      <c r="E198" t="str">
        <f t="shared" si="21"/>
        <v>Dynamic</v>
      </c>
      <c r="F198" t="e">
        <f ca="1">_xll.BDH($B$198,$C$198,$B$163,$B$164,CONCATENATE("Per=",$B$161),"Dts=H","Dir=H",CONCATENATE("Points=",$B$162),"Sort=R","Days=A","Fill=B",CONCATENATE("FX=", $B$160),"cols=7;rows=1")</f>
        <v>#NAME?</v>
      </c>
      <c r="G198">
        <v>103822</v>
      </c>
      <c r="H198">
        <v>112807</v>
      </c>
      <c r="I198">
        <v>117693</v>
      </c>
      <c r="J198">
        <v>105432</v>
      </c>
      <c r="K198">
        <v>103281</v>
      </c>
      <c r="L198">
        <v>89441</v>
      </c>
      <c r="M198" t="str">
        <f>""</f>
        <v/>
      </c>
      <c r="N198" t="str">
        <f>""</f>
        <v/>
      </c>
      <c r="O198" t="str">
        <f>""</f>
        <v/>
      </c>
      <c r="P198" t="str">
        <f>""</f>
        <v/>
      </c>
      <c r="Q198" t="str">
        <f>""</f>
        <v/>
      </c>
      <c r="R198" t="str">
        <f>""</f>
        <v/>
      </c>
      <c r="S198" t="str">
        <f>""</f>
        <v/>
      </c>
    </row>
    <row r="199" spans="2:19" x14ac:dyDescent="0.25">
      <c r="B199" t="str">
        <f>"WIT US Equity"</f>
        <v>WIT US Equity</v>
      </c>
      <c r="C199" t="str">
        <f>"ES047"</f>
        <v>ES047</v>
      </c>
      <c r="D199" t="str">
        <f>"PCT_WOMEN_EMPLOYEES"</f>
        <v>PCT_WOMEN_EMPLOYEES</v>
      </c>
      <c r="E199" t="str">
        <f t="shared" ref="E199:E217" si="22">"Dynamic"</f>
        <v>Dynamic</v>
      </c>
      <c r="F199" t="e">
        <f ca="1">_xll.BDH($B$199,$C$199,$B$163,$B$164,CONCATENATE("Per=",$B$161),"Dts=H","Dir=H",CONCATENATE("Points=",$B$162),"Sort=R","Days=A","Fill=B",CONCATENATE("FX=", $B$160),"cols=7;rows=1")</f>
        <v>#NAME?</v>
      </c>
      <c r="G199">
        <v>35.200000000000003</v>
      </c>
      <c r="H199">
        <v>35</v>
      </c>
      <c r="I199">
        <v>34</v>
      </c>
      <c r="J199">
        <v>32</v>
      </c>
      <c r="K199">
        <v>30.2</v>
      </c>
      <c r="L199">
        <v>31</v>
      </c>
      <c r="M199" t="str">
        <f>""</f>
        <v/>
      </c>
      <c r="N199" t="str">
        <f>""</f>
        <v/>
      </c>
      <c r="O199" t="str">
        <f>""</f>
        <v/>
      </c>
      <c r="P199" t="str">
        <f>""</f>
        <v/>
      </c>
      <c r="Q199" t="str">
        <f>""</f>
        <v/>
      </c>
      <c r="R199" t="str">
        <f>""</f>
        <v/>
      </c>
      <c r="S199" t="str">
        <f>""</f>
        <v/>
      </c>
    </row>
    <row r="200" spans="2:19" x14ac:dyDescent="0.25">
      <c r="B200" t="str">
        <f>"WIT US Equity"</f>
        <v>WIT US Equity</v>
      </c>
      <c r="C200" t="str">
        <f>"RR121"</f>
        <v>RR121</v>
      </c>
      <c r="D200" t="str">
        <f>"NUM_OF_EMPLOYEES"</f>
        <v>NUM_OF_EMPLOYEES</v>
      </c>
      <c r="E200" t="str">
        <f t="shared" si="22"/>
        <v>Dynamic</v>
      </c>
      <c r="F200" t="e">
        <f ca="1">_xll.BDH($B$200,$C$200,$B$163,$B$164,CONCATENATE("Per=",$B$161),"Dts=H","Dir=H",CONCATENATE("Points=",$B$162),"Sort=R","Days=A","Fill=B",CONCATENATE("FX=", $B$160),"cols=7;rows=1")</f>
        <v>#NAME?</v>
      </c>
      <c r="G200">
        <v>171425</v>
      </c>
      <c r="H200">
        <v>163827</v>
      </c>
      <c r="I200">
        <v>181482</v>
      </c>
      <c r="J200">
        <v>172912</v>
      </c>
      <c r="K200">
        <v>158217</v>
      </c>
      <c r="L200">
        <v>146053</v>
      </c>
      <c r="M200" t="str">
        <f>""</f>
        <v/>
      </c>
      <c r="N200" t="str">
        <f>""</f>
        <v/>
      </c>
      <c r="O200" t="str">
        <f>""</f>
        <v/>
      </c>
      <c r="P200" t="str">
        <f>""</f>
        <v/>
      </c>
      <c r="Q200" t="str">
        <f>""</f>
        <v/>
      </c>
      <c r="R200" t="str">
        <f>""</f>
        <v/>
      </c>
      <c r="S200" t="str">
        <f>""</f>
        <v/>
      </c>
    </row>
    <row r="201" spans="2:19" x14ac:dyDescent="0.25">
      <c r="B201" t="str">
        <f>"ACN US Equity"</f>
        <v>ACN US Equity</v>
      </c>
      <c r="C201" t="str">
        <f t="shared" ref="C201:C217" si="23">"F0946"</f>
        <v>F0946</v>
      </c>
      <c r="D201" t="str">
        <f t="shared" ref="D201:D217" si="24">"TOTAL_GHG_CO2_EMISSIONS"</f>
        <v>TOTAL_GHG_CO2_EMISSIONS</v>
      </c>
      <c r="E201" t="str">
        <f t="shared" si="22"/>
        <v>Dynamic</v>
      </c>
      <c r="F201" t="e">
        <f ca="1">_xll.BDH($B$201,$C$201,$B$163,$B$164,CONCATENATE("Per=",$B$161),"Dts=H","Dir=H",CONCATENATE("Points=",$B$162),"Sort=R","Days=A","Fill=B",CONCATENATE("FX=", $B$160),"cols=7;rows=1")</f>
        <v>#NAME?</v>
      </c>
      <c r="G201">
        <v>0.30420000000000003</v>
      </c>
      <c r="H201">
        <v>0.3281</v>
      </c>
      <c r="I201">
        <v>0.2903</v>
      </c>
      <c r="J201">
        <v>0.26350000000000001</v>
      </c>
      <c r="K201">
        <v>0.25779999999999997</v>
      </c>
      <c r="L201">
        <v>0.2651</v>
      </c>
      <c r="M201" t="str">
        <f>""</f>
        <v/>
      </c>
      <c r="N201" t="str">
        <f>""</f>
        <v/>
      </c>
      <c r="O201" t="str">
        <f>""</f>
        <v/>
      </c>
      <c r="P201" t="str">
        <f>""</f>
        <v/>
      </c>
      <c r="Q201" t="str">
        <f>""</f>
        <v/>
      </c>
      <c r="R201" t="str">
        <f>""</f>
        <v/>
      </c>
      <c r="S201" t="str">
        <f>""</f>
        <v/>
      </c>
    </row>
    <row r="202" spans="2:19" x14ac:dyDescent="0.25">
      <c r="B202" t="str">
        <f>"DOX US Equity"</f>
        <v>DOX US Equity</v>
      </c>
      <c r="C202" t="str">
        <f t="shared" si="23"/>
        <v>F0946</v>
      </c>
      <c r="D202" t="str">
        <f t="shared" si="24"/>
        <v>TOTAL_GHG_CO2_EMISSIONS</v>
      </c>
      <c r="E202" t="str">
        <f t="shared" si="22"/>
        <v>Dynamic</v>
      </c>
      <c r="F202" t="e">
        <f ca="1">_xll.BDH($B$202,$C$202,$B$163,$B$164,CONCATENATE("Per=",$B$161),"Dts=H","Dir=H",CONCATENATE("Points=",$B$162),"Sort=R","Days=A","Fill=B",CONCATENATE("FX=", $B$160),"cols=7;rows=1")</f>
        <v>#NAME?</v>
      </c>
      <c r="H202">
        <v>6.7699999999999996E-2</v>
      </c>
      <c r="I202">
        <v>6.5299999999999997E-2</v>
      </c>
      <c r="L202">
        <v>9.7100000000000006E-2</v>
      </c>
      <c r="M202" t="str">
        <f>""</f>
        <v/>
      </c>
      <c r="N202" t="str">
        <f>""</f>
        <v/>
      </c>
      <c r="O202" t="str">
        <f>""</f>
        <v/>
      </c>
      <c r="P202" t="str">
        <f>""</f>
        <v/>
      </c>
      <c r="Q202" t="str">
        <f>""</f>
        <v/>
      </c>
      <c r="R202" t="str">
        <f>""</f>
        <v/>
      </c>
      <c r="S202" t="str">
        <f>""</f>
        <v/>
      </c>
    </row>
    <row r="203" spans="2:19" x14ac:dyDescent="0.25">
      <c r="B203" t="str">
        <f>"ATO FP Equity"</f>
        <v>ATO FP Equity</v>
      </c>
      <c r="C203" t="str">
        <f t="shared" si="23"/>
        <v>F0946</v>
      </c>
      <c r="D203" t="str">
        <f t="shared" si="24"/>
        <v>TOTAL_GHG_CO2_EMISSIONS</v>
      </c>
      <c r="E203" t="str">
        <f t="shared" si="22"/>
        <v>Dynamic</v>
      </c>
      <c r="F203" t="e">
        <f ca="1">_xll.BDH($B$203,$C$203,$B$163,$B$164,CONCATENATE("Per=",$B$161),"Dts=H","Dir=H",CONCATENATE("Points=",$B$162),"Sort=R","Days=A","Fill=B",CONCATENATE("FX=", $B$160),"cols=7;rows=1")</f>
        <v>#NAME?</v>
      </c>
      <c r="G203">
        <v>9.4100000000000003E-2</v>
      </c>
      <c r="H203">
        <v>0.1188</v>
      </c>
      <c r="I203">
        <v>0.13039999999999999</v>
      </c>
      <c r="J203">
        <v>7.4999999999999997E-2</v>
      </c>
      <c r="K203">
        <v>6.7299999999999999E-2</v>
      </c>
      <c r="M203" t="str">
        <f>""</f>
        <v/>
      </c>
      <c r="N203" t="str">
        <f>""</f>
        <v/>
      </c>
      <c r="O203" t="str">
        <f>""</f>
        <v/>
      </c>
      <c r="P203" t="str">
        <f>""</f>
        <v/>
      </c>
      <c r="Q203" t="str">
        <f>""</f>
        <v/>
      </c>
      <c r="R203" t="str">
        <f>""</f>
        <v/>
      </c>
      <c r="S203" t="str">
        <f>""</f>
        <v/>
      </c>
    </row>
    <row r="204" spans="2:19" x14ac:dyDescent="0.25">
      <c r="B204" t="str">
        <f>"CAP FP Equity"</f>
        <v>CAP FP Equity</v>
      </c>
      <c r="C204" t="str">
        <f t="shared" si="23"/>
        <v>F0946</v>
      </c>
      <c r="D204" t="str">
        <f t="shared" si="24"/>
        <v>TOTAL_GHG_CO2_EMISSIONS</v>
      </c>
      <c r="E204" t="str">
        <f t="shared" si="22"/>
        <v>Dynamic</v>
      </c>
      <c r="F204" t="e">
        <f ca="1">_xll.BDH($B$204,$C$204,$B$163,$B$164,CONCATENATE("Per=",$B$161),"Dts=H","Dir=H",CONCATENATE("Points=",$B$162),"Sort=R","Days=A","Fill=B",CONCATENATE("FX=", $B$160),"cols=7;rows=1")</f>
        <v>#NAME?</v>
      </c>
      <c r="G204">
        <v>0.1628</v>
      </c>
      <c r="H204">
        <v>0.18490000000000001</v>
      </c>
      <c r="I204">
        <v>0.193</v>
      </c>
      <c r="J204">
        <v>0.1459</v>
      </c>
      <c r="K204">
        <v>0.1512</v>
      </c>
      <c r="L204">
        <v>0.15629999999999999</v>
      </c>
      <c r="M204" t="str">
        <f>""</f>
        <v/>
      </c>
      <c r="N204" t="str">
        <f>""</f>
        <v/>
      </c>
      <c r="O204" t="str">
        <f>""</f>
        <v/>
      </c>
      <c r="P204" t="str">
        <f>""</f>
        <v/>
      </c>
      <c r="Q204" t="str">
        <f>""</f>
        <v/>
      </c>
      <c r="R204" t="str">
        <f>""</f>
        <v/>
      </c>
      <c r="S204" t="str">
        <f>""</f>
        <v/>
      </c>
    </row>
    <row r="205" spans="2:19" x14ac:dyDescent="0.25">
      <c r="B205" t="str">
        <f>"GIB US Equity"</f>
        <v>GIB US Equity</v>
      </c>
      <c r="C205" t="str">
        <f t="shared" si="23"/>
        <v>F0946</v>
      </c>
      <c r="D205" t="str">
        <f t="shared" si="24"/>
        <v>TOTAL_GHG_CO2_EMISSIONS</v>
      </c>
      <c r="E205" t="str">
        <f t="shared" si="22"/>
        <v>Dynamic</v>
      </c>
      <c r="F205" t="e">
        <f ca="1">_xll.BDH($B$205,$C$205,$B$163,$B$164,CONCATENATE("Per=",$B$161),"Dts=H","Dir=H",CONCATENATE("Points=",$B$162),"Sort=R","Days=A","Fill=B",CONCATENATE("FX=", $B$160),"cols=7;rows=1")</f>
        <v>#NAME?</v>
      </c>
      <c r="K205">
        <v>8.4199999999999997E-2</v>
      </c>
      <c r="L205">
        <v>9.6100000000000005E-2</v>
      </c>
      <c r="M205" t="str">
        <f>""</f>
        <v/>
      </c>
      <c r="N205" t="str">
        <f>""</f>
        <v/>
      </c>
      <c r="O205" t="str">
        <f>""</f>
        <v/>
      </c>
      <c r="P205" t="str">
        <f>""</f>
        <v/>
      </c>
      <c r="Q205" t="str">
        <f>""</f>
        <v/>
      </c>
      <c r="R205" t="str">
        <f>""</f>
        <v/>
      </c>
      <c r="S205" t="str">
        <f>""</f>
        <v/>
      </c>
    </row>
    <row r="206" spans="2:19" x14ac:dyDescent="0.25">
      <c r="B206" t="str">
        <f>"CTSH US Equity"</f>
        <v>CTSH US Equity</v>
      </c>
      <c r="C206" t="str">
        <f t="shared" si="23"/>
        <v>F0946</v>
      </c>
      <c r="D206" t="str">
        <f t="shared" si="24"/>
        <v>TOTAL_GHG_CO2_EMISSIONS</v>
      </c>
      <c r="E206" t="str">
        <f t="shared" si="22"/>
        <v>Dynamic</v>
      </c>
      <c r="F206" t="e">
        <f ca="1">_xll.BDH($B$206,$C$206,$B$163,$B$164,CONCATENATE("Per=",$B$161),"Dts=H","Dir=H",CONCATENATE("Points=",$B$162),"Sort=R","Days=A","Fill=B",CONCATENATE("FX=", $B$160),"cols=7;rows=1")</f>
        <v>#NAME?</v>
      </c>
      <c r="I206">
        <v>0.255</v>
      </c>
      <c r="J206">
        <v>0.2576</v>
      </c>
      <c r="K206">
        <v>0.2039</v>
      </c>
      <c r="L206">
        <v>0.19309999999999999</v>
      </c>
      <c r="M206" t="str">
        <f>""</f>
        <v/>
      </c>
      <c r="N206" t="str">
        <f>""</f>
        <v/>
      </c>
      <c r="O206" t="str">
        <f>""</f>
        <v/>
      </c>
      <c r="P206" t="str">
        <f>""</f>
        <v/>
      </c>
      <c r="Q206" t="str">
        <f>""</f>
        <v/>
      </c>
      <c r="R206" t="str">
        <f>""</f>
        <v/>
      </c>
      <c r="S206" t="str">
        <f>""</f>
        <v/>
      </c>
    </row>
    <row r="207" spans="2:19" x14ac:dyDescent="0.25">
      <c r="B207" t="str">
        <f>"CNDT US Equity"</f>
        <v>CNDT US Equity</v>
      </c>
      <c r="C207" t="str">
        <f t="shared" si="23"/>
        <v>F0946</v>
      </c>
      <c r="D207" t="str">
        <f t="shared" si="24"/>
        <v>TOTAL_GHG_CO2_EMISSIONS</v>
      </c>
      <c r="E207" t="str">
        <f t="shared" si="22"/>
        <v>Dynamic</v>
      </c>
      <c r="F207" t="e">
        <f ca="1">_xll.BDH($B$207,$C$207,$B$163,$B$164,CONCATENATE("Per=",$B$161),"Dts=H","Dir=H",CONCATENATE("Points=",$B$162),"Sort=R","Days=A","Fill=B",CONCATENATE("FX=", $B$160) )</f>
        <v>#NAME?</v>
      </c>
      <c r="M207" t="str">
        <f>""</f>
        <v/>
      </c>
      <c r="N207" t="str">
        <f>""</f>
        <v/>
      </c>
      <c r="O207" t="str">
        <f>""</f>
        <v/>
      </c>
      <c r="P207" t="str">
        <f>""</f>
        <v/>
      </c>
      <c r="Q207" t="str">
        <f>""</f>
        <v/>
      </c>
      <c r="R207" t="str">
        <f>""</f>
        <v/>
      </c>
      <c r="S207" t="str">
        <f>""</f>
        <v/>
      </c>
    </row>
    <row r="208" spans="2:19" x14ac:dyDescent="0.25">
      <c r="B208" t="str">
        <f>"DXC US Equity"</f>
        <v>DXC US Equity</v>
      </c>
      <c r="C208" t="str">
        <f t="shared" si="23"/>
        <v>F0946</v>
      </c>
      <c r="D208" t="str">
        <f t="shared" si="24"/>
        <v>TOTAL_GHG_CO2_EMISSIONS</v>
      </c>
      <c r="E208" t="str">
        <f t="shared" si="22"/>
        <v>Dynamic</v>
      </c>
      <c r="F208" t="e">
        <f ca="1">_xll.BDH($B$208,$C$208,$B$163,$B$164,CONCATENATE("Per=",$B$161),"Dts=H","Dir=H",CONCATENATE("Points=",$B$162),"Sort=R","Days=A","Fill=B",CONCATENATE("FX=", $B$160),"cols=7;rows=1")</f>
        <v>#NAME?</v>
      </c>
      <c r="G208">
        <v>0.79559999999999997</v>
      </c>
      <c r="H208">
        <v>0.86829999999999996</v>
      </c>
      <c r="M208" t="str">
        <f>""</f>
        <v/>
      </c>
      <c r="N208" t="str">
        <f>""</f>
        <v/>
      </c>
      <c r="O208" t="str">
        <f>""</f>
        <v/>
      </c>
      <c r="P208" t="str">
        <f>""</f>
        <v/>
      </c>
      <c r="Q208" t="str">
        <f>""</f>
        <v/>
      </c>
      <c r="R208" t="str">
        <f>""</f>
        <v/>
      </c>
      <c r="S208" t="str">
        <f>""</f>
        <v/>
      </c>
    </row>
    <row r="209" spans="1:19" x14ac:dyDescent="0.25">
      <c r="B209" t="str">
        <f>"EPAM US Equity"</f>
        <v>EPAM US Equity</v>
      </c>
      <c r="C209" t="str">
        <f t="shared" si="23"/>
        <v>F0946</v>
      </c>
      <c r="D209" t="str">
        <f t="shared" si="24"/>
        <v>TOTAL_GHG_CO2_EMISSIONS</v>
      </c>
      <c r="E209" t="str">
        <f t="shared" si="22"/>
        <v>Dynamic</v>
      </c>
      <c r="F209" t="e">
        <f ca="1">_xll.BDH($B$209,$C$209,$B$163,$B$164,CONCATENATE("Per=",$B$161),"Dts=H","Dir=H",CONCATENATE("Points=",$B$162),"Sort=R","Days=A","Fill=B",CONCATENATE("FX=", $B$160) )</f>
        <v>#NAME?</v>
      </c>
      <c r="M209" t="str">
        <f>""</f>
        <v/>
      </c>
      <c r="N209" t="str">
        <f>""</f>
        <v/>
      </c>
      <c r="O209" t="str">
        <f>""</f>
        <v/>
      </c>
      <c r="P209" t="str">
        <f>""</f>
        <v/>
      </c>
      <c r="Q209" t="str">
        <f>""</f>
        <v/>
      </c>
      <c r="R209" t="str">
        <f>""</f>
        <v/>
      </c>
      <c r="S209" t="str">
        <f>""</f>
        <v/>
      </c>
    </row>
    <row r="210" spans="1:19" x14ac:dyDescent="0.25">
      <c r="B210" t="str">
        <f>"G US Equity"</f>
        <v>G US Equity</v>
      </c>
      <c r="C210" t="str">
        <f t="shared" si="23"/>
        <v>F0946</v>
      </c>
      <c r="D210" t="str">
        <f t="shared" si="24"/>
        <v>TOTAL_GHG_CO2_EMISSIONS</v>
      </c>
      <c r="E210" t="str">
        <f t="shared" si="22"/>
        <v>Dynamic</v>
      </c>
      <c r="F210" t="e">
        <f ca="1">_xll.BDH($B$210,$C$210,$B$163,$B$164,CONCATENATE("Per=",$B$161),"Dts=H","Dir=H",CONCATENATE("Points=",$B$162),"Sort=R","Days=A","Fill=B",CONCATENATE("FX=", $B$160),"cols=7;rows=1")</f>
        <v>#NAME?</v>
      </c>
      <c r="H210">
        <v>7.3599999999999999E-2</v>
      </c>
      <c r="I210">
        <v>7.2400000000000006E-2</v>
      </c>
      <c r="J210">
        <v>6.4500000000000002E-2</v>
      </c>
      <c r="L210">
        <v>6.4399999999999999E-2</v>
      </c>
      <c r="M210" t="str">
        <f>""</f>
        <v/>
      </c>
      <c r="N210" t="str">
        <f>""</f>
        <v/>
      </c>
      <c r="O210" t="str">
        <f>""</f>
        <v/>
      </c>
      <c r="P210" t="str">
        <f>""</f>
        <v/>
      </c>
      <c r="Q210" t="str">
        <f>""</f>
        <v/>
      </c>
      <c r="R210" t="str">
        <f>""</f>
        <v/>
      </c>
      <c r="S210" t="str">
        <f>""</f>
        <v/>
      </c>
    </row>
    <row r="211" spans="1:19" x14ac:dyDescent="0.25">
      <c r="B211" t="str">
        <f>"HCLT IN Equity"</f>
        <v>HCLT IN Equity</v>
      </c>
      <c r="C211" t="str">
        <f t="shared" si="23"/>
        <v>F0946</v>
      </c>
      <c r="D211" t="str">
        <f t="shared" si="24"/>
        <v>TOTAL_GHG_CO2_EMISSIONS</v>
      </c>
      <c r="E211" t="str">
        <f t="shared" si="22"/>
        <v>Dynamic</v>
      </c>
      <c r="F211" t="e">
        <f ca="1">_xll.BDH($B$211,$C$211,$B$163,$B$164,CONCATENATE("Per=",$B$161),"Dts=H","Dir=H",CONCATENATE("Points=",$B$162),"Sort=R","Days=A","Fill=B",CONCATENATE("FX=", $B$160),"cols=7;rows=1")</f>
        <v>#NAME?</v>
      </c>
      <c r="J211">
        <v>0.16059999999999999</v>
      </c>
      <c r="L211">
        <v>0.16839999999999999</v>
      </c>
      <c r="M211" t="str">
        <f>""</f>
        <v/>
      </c>
      <c r="N211" t="str">
        <f>""</f>
        <v/>
      </c>
      <c r="O211" t="str">
        <f>""</f>
        <v/>
      </c>
      <c r="P211" t="str">
        <f>""</f>
        <v/>
      </c>
      <c r="Q211" t="str">
        <f>""</f>
        <v/>
      </c>
      <c r="R211" t="str">
        <f>""</f>
        <v/>
      </c>
      <c r="S211" t="str">
        <f>""</f>
        <v/>
      </c>
    </row>
    <row r="212" spans="1:19" x14ac:dyDescent="0.25">
      <c r="B212" t="str">
        <f>"IDR SM Equity"</f>
        <v>IDR SM Equity</v>
      </c>
      <c r="C212" t="str">
        <f t="shared" si="23"/>
        <v>F0946</v>
      </c>
      <c r="D212" t="str">
        <f t="shared" si="24"/>
        <v>TOTAL_GHG_CO2_EMISSIONS</v>
      </c>
      <c r="E212" t="str">
        <f t="shared" si="22"/>
        <v>Dynamic</v>
      </c>
      <c r="F212" t="e">
        <f ca="1">_xll.BDH($B$212,$C$212,$B$163,$B$164,CONCATENATE("Per=",$B$161),"Dts=H","Dir=H",CONCATENATE("Points=",$B$162),"Sort=R","Days=A","Fill=B",CONCATENATE("FX=", $B$160),"cols=7;rows=1")</f>
        <v>#NAME?</v>
      </c>
      <c r="G212">
        <v>1.0500000000000001E-2</v>
      </c>
      <c r="H212">
        <v>1.21E-2</v>
      </c>
      <c r="I212">
        <v>2.2499999999999999E-2</v>
      </c>
      <c r="J212">
        <v>2.4500000000000001E-2</v>
      </c>
      <c r="K212">
        <v>2.9499999999999998E-2</v>
      </c>
      <c r="L212">
        <v>3.2300000000000002E-2</v>
      </c>
      <c r="M212" t="str">
        <f>""</f>
        <v/>
      </c>
      <c r="N212" t="str">
        <f>""</f>
        <v/>
      </c>
      <c r="O212" t="str">
        <f>""</f>
        <v/>
      </c>
      <c r="P212" t="str">
        <f>""</f>
        <v/>
      </c>
      <c r="Q212" t="str">
        <f>""</f>
        <v/>
      </c>
      <c r="R212" t="str">
        <f>""</f>
        <v/>
      </c>
      <c r="S212" t="str">
        <f>""</f>
        <v/>
      </c>
    </row>
    <row r="213" spans="1:19" x14ac:dyDescent="0.25">
      <c r="B213" t="str">
        <f>"INFY US Equity"</f>
        <v>INFY US Equity</v>
      </c>
      <c r="C213" t="str">
        <f t="shared" si="23"/>
        <v>F0946</v>
      </c>
      <c r="D213" t="str">
        <f t="shared" si="24"/>
        <v>TOTAL_GHG_CO2_EMISSIONS</v>
      </c>
      <c r="E213" t="str">
        <f t="shared" si="22"/>
        <v>Dynamic</v>
      </c>
      <c r="F213" t="e">
        <f ca="1">_xll.BDH($B$213,$C$213,$B$163,$B$164,CONCATENATE("Per=",$B$161),"Dts=H","Dir=H",CONCATENATE("Points=",$B$162),"Sort=R","Days=A","Fill=B",CONCATENATE("FX=", $B$160),"cols=7;rows=1")</f>
        <v>#NAME?</v>
      </c>
      <c r="G213">
        <v>0.12479999999999999</v>
      </c>
      <c r="H213">
        <v>0.12609999999999999</v>
      </c>
      <c r="I213">
        <v>0.1338</v>
      </c>
      <c r="J213">
        <v>0.17130000000000001</v>
      </c>
      <c r="K213">
        <v>0.16389999999999999</v>
      </c>
      <c r="L213">
        <v>0.16170000000000001</v>
      </c>
      <c r="M213" t="str">
        <f>""</f>
        <v/>
      </c>
      <c r="N213" t="str">
        <f>""</f>
        <v/>
      </c>
      <c r="O213" t="str">
        <f>""</f>
        <v/>
      </c>
      <c r="P213" t="str">
        <f>""</f>
        <v/>
      </c>
      <c r="Q213" t="str">
        <f>""</f>
        <v/>
      </c>
      <c r="R213" t="str">
        <f>""</f>
        <v/>
      </c>
      <c r="S213" t="str">
        <f>""</f>
        <v/>
      </c>
    </row>
    <row r="214" spans="1:19" x14ac:dyDescent="0.25">
      <c r="B214" t="str">
        <f>"IBM US Equity"</f>
        <v>IBM US Equity</v>
      </c>
      <c r="C214" t="str">
        <f t="shared" si="23"/>
        <v>F0946</v>
      </c>
      <c r="D214" t="str">
        <f t="shared" si="24"/>
        <v>TOTAL_GHG_CO2_EMISSIONS</v>
      </c>
      <c r="E214" t="str">
        <f t="shared" si="22"/>
        <v>Dynamic</v>
      </c>
      <c r="F214" t="e">
        <f ca="1">_xll.BDH($B$214,$C$214,$B$163,$B$164,CONCATENATE("Per=",$B$161),"Dts=H","Dir=H",CONCATENATE("Points=",$B$162),"Sort=R","Days=A","Fill=B",CONCATENATE("FX=", $B$160),"cols=7;rows=1")</f>
        <v>#NAME?</v>
      </c>
      <c r="G214">
        <v>1.2577</v>
      </c>
      <c r="H214">
        <v>1.4964999999999999</v>
      </c>
      <c r="I214">
        <v>1.6191</v>
      </c>
      <c r="J214">
        <v>1.7875000000000001</v>
      </c>
      <c r="K214">
        <v>2.4386999999999999</v>
      </c>
      <c r="L214">
        <v>2.4931000000000001</v>
      </c>
      <c r="M214" t="str">
        <f>""</f>
        <v/>
      </c>
      <c r="N214" t="str">
        <f>""</f>
        <v/>
      </c>
      <c r="O214" t="str">
        <f>""</f>
        <v/>
      </c>
      <c r="P214" t="str">
        <f>""</f>
        <v/>
      </c>
      <c r="Q214" t="str">
        <f>""</f>
        <v/>
      </c>
      <c r="R214" t="str">
        <f>""</f>
        <v/>
      </c>
      <c r="S214" t="str">
        <f>""</f>
        <v/>
      </c>
    </row>
    <row r="215" spans="1:19" x14ac:dyDescent="0.25">
      <c r="B215" t="str">
        <f>"TCS IN Equity"</f>
        <v>TCS IN Equity</v>
      </c>
      <c r="C215" t="str">
        <f t="shared" si="23"/>
        <v>F0946</v>
      </c>
      <c r="D215" t="str">
        <f t="shared" si="24"/>
        <v>TOTAL_GHG_CO2_EMISSIONS</v>
      </c>
      <c r="E215" t="str">
        <f t="shared" si="22"/>
        <v>Dynamic</v>
      </c>
      <c r="F215" t="e">
        <f ca="1">_xll.BDH($B$215,$C$215,$B$163,$B$164,CONCATENATE("Per=",$B$161),"Dts=H","Dir=H",CONCATENATE("Points=",$B$162),"Sort=R","Days=A","Fill=B",CONCATENATE("FX=", $B$160),"cols=7;rows=1")</f>
        <v>#NAME?</v>
      </c>
      <c r="H215">
        <v>0.45529999999999998</v>
      </c>
      <c r="I215">
        <v>0.47049999999999997</v>
      </c>
      <c r="J215">
        <v>0.4713</v>
      </c>
      <c r="K215">
        <v>0.45800000000000002</v>
      </c>
      <c r="L215">
        <v>0.42259999999999998</v>
      </c>
      <c r="M215" t="str">
        <f>""</f>
        <v/>
      </c>
      <c r="N215" t="str">
        <f>""</f>
        <v/>
      </c>
      <c r="O215" t="str">
        <f>""</f>
        <v/>
      </c>
      <c r="P215" t="str">
        <f>""</f>
        <v/>
      </c>
      <c r="Q215" t="str">
        <f>""</f>
        <v/>
      </c>
      <c r="R215" t="str">
        <f>""</f>
        <v/>
      </c>
      <c r="S215" t="str">
        <f>""</f>
        <v/>
      </c>
    </row>
    <row r="216" spans="1:19" x14ac:dyDescent="0.25">
      <c r="B216" t="str">
        <f>"TECHM IN Equity"</f>
        <v>TECHM IN Equity</v>
      </c>
      <c r="C216" t="str">
        <f t="shared" si="23"/>
        <v>F0946</v>
      </c>
      <c r="D216" t="str">
        <f t="shared" si="24"/>
        <v>TOTAL_GHG_CO2_EMISSIONS</v>
      </c>
      <c r="E216" t="str">
        <f t="shared" si="22"/>
        <v>Dynamic</v>
      </c>
      <c r="F216" t="e">
        <f ca="1">_xll.BDH($B$216,$C$216,$B$163,$B$164,CONCATENATE("Per=",$B$161),"Dts=H","Dir=H",CONCATENATE("Points=",$B$162),"Sort=R","Days=A","Fill=B",CONCATENATE("FX=", $B$160),"cols=7;rows=1")</f>
        <v>#NAME?</v>
      </c>
      <c r="G216">
        <v>0.111</v>
      </c>
      <c r="H216">
        <v>0.1255</v>
      </c>
      <c r="I216">
        <v>0.1227</v>
      </c>
      <c r="J216">
        <v>0.1143</v>
      </c>
      <c r="K216">
        <v>0.1149</v>
      </c>
      <c r="L216">
        <v>0.10059999999999999</v>
      </c>
      <c r="M216" t="str">
        <f>""</f>
        <v/>
      </c>
      <c r="N216" t="str">
        <f>""</f>
        <v/>
      </c>
      <c r="O216" t="str">
        <f>""</f>
        <v/>
      </c>
      <c r="P216" t="str">
        <f>""</f>
        <v/>
      </c>
      <c r="Q216" t="str">
        <f>""</f>
        <v/>
      </c>
      <c r="R216" t="str">
        <f>""</f>
        <v/>
      </c>
      <c r="S216" t="str">
        <f>""</f>
        <v/>
      </c>
    </row>
    <row r="217" spans="1:19" x14ac:dyDescent="0.25">
      <c r="B217" t="str">
        <f>"WIT US Equity"</f>
        <v>WIT US Equity</v>
      </c>
      <c r="C217" t="str">
        <f t="shared" si="23"/>
        <v>F0946</v>
      </c>
      <c r="D217" t="str">
        <f t="shared" si="24"/>
        <v>TOTAL_GHG_CO2_EMISSIONS</v>
      </c>
      <c r="E217" t="str">
        <f t="shared" si="22"/>
        <v>Dynamic</v>
      </c>
      <c r="F217" t="e">
        <f ca="1">_xll.BDH($B$217,$C$217,$B$163,$B$164,CONCATENATE("Per=",$B$161),"Dts=H","Dir=H",CONCATENATE("Points=",$B$162),"Sort=R","Days=A","Fill=B",CONCATENATE("FX=", $B$160),"cols=7;rows=1")</f>
        <v>#NAME?</v>
      </c>
      <c r="H217">
        <v>0.28110000000000002</v>
      </c>
      <c r="I217">
        <v>0.3175</v>
      </c>
      <c r="J217">
        <v>0.45619999999999999</v>
      </c>
      <c r="K217">
        <v>0.47889999999999999</v>
      </c>
      <c r="L217">
        <v>0.25409999999999999</v>
      </c>
      <c r="M217" t="str">
        <f>""</f>
        <v/>
      </c>
      <c r="N217" t="str">
        <f>""</f>
        <v/>
      </c>
      <c r="O217" t="str">
        <f>""</f>
        <v/>
      </c>
      <c r="P217" t="str">
        <f>""</f>
        <v/>
      </c>
      <c r="Q217" t="str">
        <f>""</f>
        <v/>
      </c>
      <c r="R217" t="str">
        <f>""</f>
        <v/>
      </c>
      <c r="S217" t="str">
        <f>""</f>
        <v/>
      </c>
    </row>
    <row r="218" spans="1:19" x14ac:dyDescent="0.25">
      <c r="A218" t="str">
        <f>$A$5</f>
        <v xml:space="preserve">    Accenture PLC</v>
      </c>
      <c r="B218" t="str">
        <f>$B$5</f>
        <v>ACN US Equity</v>
      </c>
      <c r="C218" t="str">
        <f>$C$5</f>
        <v>RR121</v>
      </c>
      <c r="D218" t="str">
        <f>$D$5</f>
        <v>NUM_OF_EMPLOYEES</v>
      </c>
      <c r="E218" t="str">
        <f>$E$5</f>
        <v>Dynamic</v>
      </c>
      <c r="F218" t="e">
        <f ca="1">_xll.BDH($B$5,$C$5,$B$163,$B$164,CONCATENATE("Per=",$B$161),"Dts=H","Dir=H",CONCATENATE("Points=",$B$162),"Sort=R","Days=A","Fill=B",CONCATENATE("FX=", $B$160),"cols=7;rows=1")</f>
        <v>#NAME?</v>
      </c>
      <c r="G218">
        <v>459000</v>
      </c>
      <c r="H218">
        <v>459000</v>
      </c>
      <c r="I218">
        <v>384000</v>
      </c>
      <c r="J218">
        <v>358498</v>
      </c>
      <c r="K218">
        <v>305000</v>
      </c>
      <c r="L218">
        <v>275000</v>
      </c>
      <c r="M218" t="str">
        <f>""</f>
        <v/>
      </c>
      <c r="N218" t="str">
        <f>""</f>
        <v/>
      </c>
      <c r="O218" t="str">
        <f>""</f>
        <v/>
      </c>
      <c r="P218" t="str">
        <f>""</f>
        <v/>
      </c>
      <c r="Q218" t="str">
        <f>""</f>
        <v/>
      </c>
      <c r="R218" t="str">
        <f>""</f>
        <v/>
      </c>
      <c r="S218" t="str">
        <f>""</f>
        <v/>
      </c>
    </row>
    <row r="219" spans="1:19" x14ac:dyDescent="0.25">
      <c r="A219" t="str">
        <f>$A$6</f>
        <v xml:space="preserve">    Amdocs Ltd</v>
      </c>
      <c r="B219" t="str">
        <f>$B$6</f>
        <v>DOX US Equity</v>
      </c>
      <c r="C219" t="str">
        <f>$C$6</f>
        <v>RR121</v>
      </c>
      <c r="D219" t="str">
        <f>$D$6</f>
        <v>NUM_OF_EMPLOYEES</v>
      </c>
      <c r="E219" t="str">
        <f>$E$6</f>
        <v>Dynamic</v>
      </c>
      <c r="F219" t="e">
        <f ca="1">_xll.BDH($B$6,$C$6,$B$163,$B$164,CONCATENATE("Per=",$B$161),"Dts=H","Dir=H",CONCATENATE("Points=",$B$162),"Sort=R","Days=A","Fill=B",CONCATENATE("FX=", $B$160),"cols=7;rows=1")</f>
        <v>#NAME?</v>
      </c>
      <c r="G219">
        <v>24381</v>
      </c>
      <c r="H219">
        <v>24670</v>
      </c>
      <c r="I219">
        <v>25561</v>
      </c>
      <c r="J219">
        <v>24950</v>
      </c>
      <c r="K219">
        <v>22546</v>
      </c>
      <c r="L219">
        <v>20774</v>
      </c>
      <c r="M219" t="str">
        <f>""</f>
        <v/>
      </c>
      <c r="N219" t="str">
        <f>""</f>
        <v/>
      </c>
      <c r="O219" t="str">
        <f>""</f>
        <v/>
      </c>
      <c r="P219" t="str">
        <f>""</f>
        <v/>
      </c>
      <c r="Q219" t="str">
        <f>""</f>
        <v/>
      </c>
      <c r="R219" t="str">
        <f>""</f>
        <v/>
      </c>
      <c r="S219" t="str">
        <f>""</f>
        <v/>
      </c>
    </row>
    <row r="220" spans="1:19" x14ac:dyDescent="0.25">
      <c r="A220" t="str">
        <f>$A$7</f>
        <v xml:space="preserve">    Atos SE</v>
      </c>
      <c r="B220" t="str">
        <f>$B$7</f>
        <v>ATO FP Equity</v>
      </c>
      <c r="C220" t="str">
        <f>$C$7</f>
        <v>RR121</v>
      </c>
      <c r="D220" t="str">
        <f>$D$7</f>
        <v>NUM_OF_EMPLOYEES</v>
      </c>
      <c r="E220" t="str">
        <f>$E$7</f>
        <v>Dynamic</v>
      </c>
      <c r="F220" t="e">
        <f ca="1">_xll.BDH($B$7,$C$7,$B$163,$B$164,CONCATENATE("Per=",$B$161),"Dts=H","Dir=H",CONCATENATE("Points=",$B$162),"Sort=R","Days=A","Fill=B",CONCATENATE("FX=", $B$160),"cols=7;rows=1")</f>
        <v>#NAME?</v>
      </c>
      <c r="G220">
        <v>122110</v>
      </c>
      <c r="H220">
        <v>97267</v>
      </c>
      <c r="I220">
        <v>100096</v>
      </c>
      <c r="J220">
        <v>91322</v>
      </c>
      <c r="K220">
        <v>85865</v>
      </c>
      <c r="L220">
        <v>76320</v>
      </c>
      <c r="M220" t="str">
        <f>""</f>
        <v/>
      </c>
      <c r="N220" t="str">
        <f>""</f>
        <v/>
      </c>
      <c r="O220" t="str">
        <f>""</f>
        <v/>
      </c>
      <c r="P220" t="str">
        <f>""</f>
        <v/>
      </c>
      <c r="Q220" t="str">
        <f>""</f>
        <v/>
      </c>
      <c r="R220" t="str">
        <f>""</f>
        <v/>
      </c>
      <c r="S220" t="str">
        <f>""</f>
        <v/>
      </c>
    </row>
    <row r="221" spans="1:19" x14ac:dyDescent="0.25">
      <c r="A221" t="str">
        <f>$A$8</f>
        <v xml:space="preserve">    Capgemini SE</v>
      </c>
      <c r="B221" t="str">
        <f>$B$8</f>
        <v>CAP FP Equity</v>
      </c>
      <c r="C221" t="str">
        <f>$C$8</f>
        <v>RR121</v>
      </c>
      <c r="D221" t="str">
        <f>$D$8</f>
        <v>NUM_OF_EMPLOYEES</v>
      </c>
      <c r="E221" t="str">
        <f>$E$8</f>
        <v>Dynamic</v>
      </c>
      <c r="F221" t="e">
        <f ca="1">_xll.BDH($B$8,$C$8,$B$163,$B$164,CONCATENATE("Per=",$B$161),"Dts=H","Dir=H",CONCATENATE("Points=",$B$162),"Sort=R","Days=A","Fill=B",CONCATENATE("FX=", $B$160),"cols=7;rows=1")</f>
        <v>#NAME?</v>
      </c>
      <c r="G221">
        <v>211313</v>
      </c>
      <c r="H221">
        <v>199698</v>
      </c>
      <c r="I221">
        <v>193077</v>
      </c>
      <c r="J221">
        <v>180639</v>
      </c>
      <c r="K221">
        <v>143643</v>
      </c>
      <c r="L221">
        <v>131430</v>
      </c>
      <c r="M221" t="str">
        <f>""</f>
        <v/>
      </c>
      <c r="N221" t="str">
        <f>""</f>
        <v/>
      </c>
      <c r="O221" t="str">
        <f>""</f>
        <v/>
      </c>
      <c r="P221" t="str">
        <f>""</f>
        <v/>
      </c>
      <c r="Q221" t="str">
        <f>""</f>
        <v/>
      </c>
      <c r="R221" t="str">
        <f>""</f>
        <v/>
      </c>
      <c r="S221" t="str">
        <f>""</f>
        <v/>
      </c>
    </row>
    <row r="222" spans="1:19" x14ac:dyDescent="0.25">
      <c r="A222" t="str">
        <f>$A$9</f>
        <v xml:space="preserve">    CGI Inc</v>
      </c>
      <c r="B222" t="str">
        <f>$B$9</f>
        <v>GIB US Equity</v>
      </c>
      <c r="C222" t="str">
        <f>$C$9</f>
        <v>RR121</v>
      </c>
      <c r="D222" t="str">
        <f>$D$9</f>
        <v>NUM_OF_EMPLOYEES</v>
      </c>
      <c r="E222" t="str">
        <f>$E$9</f>
        <v>Dynamic</v>
      </c>
      <c r="F222" t="e">
        <f ca="1">_xll.BDH($B$9,$C$9,$B$163,$B$164,CONCATENATE("Per=",$B$161),"Dts=H","Dir=H",CONCATENATE("Points=",$B$162),"Sort=R","Days=A","Fill=B",CONCATENATE("FX=", $B$160),"cols=7;rows=1")</f>
        <v>#NAME?</v>
      </c>
      <c r="G222">
        <v>74000</v>
      </c>
      <c r="H222">
        <v>71000</v>
      </c>
      <c r="I222">
        <v>68000</v>
      </c>
      <c r="J222">
        <v>65000</v>
      </c>
      <c r="K222">
        <v>68000</v>
      </c>
      <c r="L222">
        <v>68000</v>
      </c>
      <c r="M222" t="str">
        <f>""</f>
        <v/>
      </c>
      <c r="N222" t="str">
        <f>""</f>
        <v/>
      </c>
      <c r="O222" t="str">
        <f>""</f>
        <v/>
      </c>
      <c r="P222" t="str">
        <f>""</f>
        <v/>
      </c>
      <c r="Q222" t="str">
        <f>""</f>
        <v/>
      </c>
      <c r="R222" t="str">
        <f>""</f>
        <v/>
      </c>
      <c r="S222" t="str">
        <f>""</f>
        <v/>
      </c>
    </row>
    <row r="223" spans="1:19" x14ac:dyDescent="0.25">
      <c r="A223" t="str">
        <f>$A$10</f>
        <v xml:space="preserve">    Cognizant Technology Solutions Corp</v>
      </c>
      <c r="B223" t="str">
        <f>$B$10</f>
        <v>CTSH US Equity</v>
      </c>
      <c r="C223" t="str">
        <f>$C$10</f>
        <v>RR121</v>
      </c>
      <c r="D223" t="str">
        <f>$D$10</f>
        <v>NUM_OF_EMPLOYEES</v>
      </c>
      <c r="E223" t="str">
        <f>$E$10</f>
        <v>Dynamic</v>
      </c>
      <c r="F223" t="e">
        <f ca="1">_xll.BDH($B$10,$C$10,$B$163,$B$164,CONCATENATE("Per=",$B$161),"Dts=H","Dir=H",CONCATENATE("Points=",$B$162),"Sort=R","Days=A","Fill=B",CONCATENATE("FX=", $B$160),"cols=7;rows=1")</f>
        <v>#NAME?</v>
      </c>
      <c r="G223">
        <v>281600</v>
      </c>
      <c r="H223">
        <v>260000</v>
      </c>
      <c r="I223">
        <v>260200</v>
      </c>
      <c r="J223">
        <v>221700</v>
      </c>
      <c r="K223">
        <v>211500</v>
      </c>
      <c r="L223">
        <v>171400</v>
      </c>
      <c r="M223" t="str">
        <f>""</f>
        <v/>
      </c>
      <c r="N223" t="str">
        <f>""</f>
        <v/>
      </c>
      <c r="O223" t="str">
        <f>""</f>
        <v/>
      </c>
      <c r="P223" t="str">
        <f>""</f>
        <v/>
      </c>
      <c r="Q223" t="str">
        <f>""</f>
        <v/>
      </c>
      <c r="R223" t="str">
        <f>""</f>
        <v/>
      </c>
      <c r="S223" t="str">
        <f>""</f>
        <v/>
      </c>
    </row>
    <row r="224" spans="1:19" x14ac:dyDescent="0.25">
      <c r="A224" t="str">
        <f>$A$11</f>
        <v xml:space="preserve">    Conduent Inc</v>
      </c>
      <c r="B224" t="str">
        <f>$B$11</f>
        <v>CNDT US Equity</v>
      </c>
      <c r="C224" t="str">
        <f>$C$11</f>
        <v>RR121</v>
      </c>
      <c r="D224" t="str">
        <f>$D$11</f>
        <v>NUM_OF_EMPLOYEES</v>
      </c>
      <c r="E224" t="str">
        <f>$E$11</f>
        <v>Dynamic</v>
      </c>
      <c r="F224" t="e">
        <f ca="1">_xll.BDH($B$11,$C$11,$B$163,$B$164,CONCATENATE("Per=",$B$161),"Dts=H","Dir=H",CONCATENATE("Points=",$B$162),"Sort=R","Days=A","Fill=B",CONCATENATE("FX=", $B$160),"cols=7;rows=1")</f>
        <v>#NAME?</v>
      </c>
      <c r="G224">
        <v>82000</v>
      </c>
      <c r="H224">
        <v>90000</v>
      </c>
      <c r="I224">
        <v>96000</v>
      </c>
      <c r="M224" t="str">
        <f>""</f>
        <v/>
      </c>
      <c r="N224" t="str">
        <f>""</f>
        <v/>
      </c>
      <c r="O224" t="str">
        <f>""</f>
        <v/>
      </c>
      <c r="P224" t="str">
        <f>""</f>
        <v/>
      </c>
      <c r="Q224" t="str">
        <f>""</f>
        <v/>
      </c>
      <c r="R224" t="str">
        <f>""</f>
        <v/>
      </c>
      <c r="S224" t="str">
        <f>""</f>
        <v/>
      </c>
    </row>
    <row r="225" spans="1:19" x14ac:dyDescent="0.25">
      <c r="A225" t="str">
        <f>$A$12</f>
        <v xml:space="preserve">    DXC Technology Co</v>
      </c>
      <c r="B225" t="str">
        <f>$B$12</f>
        <v>DXC US Equity</v>
      </c>
      <c r="C225" t="str">
        <f>$C$12</f>
        <v>RR121</v>
      </c>
      <c r="D225" t="str">
        <f>$D$12</f>
        <v>NUM_OF_EMPLOYEES</v>
      </c>
      <c r="E225" t="str">
        <f>$E$12</f>
        <v>Dynamic</v>
      </c>
      <c r="F225" t="e">
        <f ca="1">_xll.BDH($B$12,$C$12,$B$163,$B$164,CONCATENATE("Per=",$B$161),"Dts=H","Dir=H",CONCATENATE("Points=",$B$162),"Sort=R","Days=A","Fill=B",CONCATENATE("FX=", $B$160),"cols=7;rows=1")</f>
        <v>#NAME?</v>
      </c>
      <c r="G225">
        <v>130000</v>
      </c>
      <c r="H225">
        <v>150000</v>
      </c>
      <c r="M225" t="str">
        <f>""</f>
        <v/>
      </c>
      <c r="N225" t="str">
        <f>""</f>
        <v/>
      </c>
      <c r="O225" t="str">
        <f>""</f>
        <v/>
      </c>
      <c r="P225" t="str">
        <f>""</f>
        <v/>
      </c>
      <c r="Q225" t="str">
        <f>""</f>
        <v/>
      </c>
      <c r="R225" t="str">
        <f>""</f>
        <v/>
      </c>
      <c r="S225" t="str">
        <f>""</f>
        <v/>
      </c>
    </row>
    <row r="226" spans="1:19" x14ac:dyDescent="0.25">
      <c r="A226" t="str">
        <f>$A$13</f>
        <v xml:space="preserve">    EPAM Systems Inc</v>
      </c>
      <c r="B226" t="str">
        <f>$B$13</f>
        <v>EPAM US Equity</v>
      </c>
      <c r="C226" t="str">
        <f>$C$13</f>
        <v>RR121</v>
      </c>
      <c r="D226" t="str">
        <f>$D$13</f>
        <v>NUM_OF_EMPLOYEES</v>
      </c>
      <c r="E226" t="str">
        <f>$E$13</f>
        <v>Dynamic</v>
      </c>
      <c r="F226" t="e">
        <f ca="1">_xll.BDH($B$13,$C$13,$B$163,$B$164,CONCATENATE("Per=",$B$161),"Dts=H","Dir=H",CONCATENATE("Points=",$B$162),"Sort=R","Days=A","Fill=B",CONCATENATE("FX=", $B$160),"cols=7;rows=1")</f>
        <v>#NAME?</v>
      </c>
      <c r="G226">
        <v>30200</v>
      </c>
      <c r="H226">
        <v>25962</v>
      </c>
      <c r="I226">
        <v>22383</v>
      </c>
      <c r="J226">
        <v>18354</v>
      </c>
      <c r="K226">
        <v>14109</v>
      </c>
      <c r="M226" t="str">
        <f>""</f>
        <v/>
      </c>
      <c r="N226" t="str">
        <f>""</f>
        <v/>
      </c>
      <c r="O226" t="str">
        <f>""</f>
        <v/>
      </c>
      <c r="P226" t="str">
        <f>""</f>
        <v/>
      </c>
      <c r="Q226" t="str">
        <f>""</f>
        <v/>
      </c>
      <c r="R226" t="str">
        <f>""</f>
        <v/>
      </c>
      <c r="S226" t="str">
        <f>""</f>
        <v/>
      </c>
    </row>
    <row r="227" spans="1:19" x14ac:dyDescent="0.25">
      <c r="A227" t="str">
        <f>$A$14</f>
        <v xml:space="preserve">    Genpact Ltd</v>
      </c>
      <c r="B227" t="str">
        <f>$B$14</f>
        <v>G US Equity</v>
      </c>
      <c r="C227" t="str">
        <f>$C$14</f>
        <v>RR121</v>
      </c>
      <c r="D227" t="str">
        <f>$D$14</f>
        <v>NUM_OF_EMPLOYEES</v>
      </c>
      <c r="E227" t="str">
        <f>$E$14</f>
        <v>Dynamic</v>
      </c>
      <c r="F227" t="e">
        <f ca="1">_xll.BDH($B$14,$C$14,$B$163,$B$164,CONCATENATE("Per=",$B$161),"Dts=H","Dir=H",CONCATENATE("Points=",$B$162),"Sort=R","Days=A","Fill=B",CONCATENATE("FX=", $B$160),"cols=7;rows=1")</f>
        <v>#NAME?</v>
      </c>
      <c r="G227">
        <v>87000</v>
      </c>
      <c r="H227">
        <v>78000</v>
      </c>
      <c r="I227">
        <v>75000</v>
      </c>
      <c r="J227">
        <v>72000</v>
      </c>
      <c r="K227">
        <v>67900</v>
      </c>
      <c r="L227">
        <v>63600</v>
      </c>
      <c r="M227" t="str">
        <f>""</f>
        <v/>
      </c>
      <c r="N227" t="str">
        <f>""</f>
        <v/>
      </c>
      <c r="O227" t="str">
        <f>""</f>
        <v/>
      </c>
      <c r="P227" t="str">
        <f>""</f>
        <v/>
      </c>
      <c r="Q227" t="str">
        <f>""</f>
        <v/>
      </c>
      <c r="R227" t="str">
        <f>""</f>
        <v/>
      </c>
      <c r="S227" t="str">
        <f>""</f>
        <v/>
      </c>
    </row>
    <row r="228" spans="1:19" x14ac:dyDescent="0.25">
      <c r="A228" t="str">
        <f>$A$15</f>
        <v xml:space="preserve">    HCL Technologies Ltd</v>
      </c>
      <c r="B228" t="str">
        <f>$B$15</f>
        <v>HCLT IN Equity</v>
      </c>
      <c r="C228" t="str">
        <f>$C$15</f>
        <v>RR121</v>
      </c>
      <c r="D228" t="str">
        <f>$D$15</f>
        <v>NUM_OF_EMPLOYEES</v>
      </c>
      <c r="E228" t="str">
        <f>$E$15</f>
        <v>Dynamic</v>
      </c>
      <c r="F228" t="e">
        <f ca="1">_xll.BDH($B$15,$C$15,$B$163,$B$164,CONCATENATE("Per=",$B$161),"Dts=H","Dir=H",CONCATENATE("Points=",$B$162),"Sort=R","Days=A","Fill=B",CONCATENATE("FX=", $B$160),"cols=7;rows=1")</f>
        <v>#NAME?</v>
      </c>
      <c r="G228">
        <v>137965</v>
      </c>
      <c r="H228">
        <v>120081</v>
      </c>
      <c r="I228">
        <v>115973</v>
      </c>
      <c r="J228">
        <v>104896</v>
      </c>
      <c r="L228">
        <v>91691</v>
      </c>
      <c r="M228" t="str">
        <f>""</f>
        <v/>
      </c>
      <c r="N228" t="str">
        <f>""</f>
        <v/>
      </c>
      <c r="O228" t="str">
        <f>""</f>
        <v/>
      </c>
      <c r="P228" t="str">
        <f>""</f>
        <v/>
      </c>
      <c r="Q228" t="str">
        <f>""</f>
        <v/>
      </c>
      <c r="R228" t="str">
        <f>""</f>
        <v/>
      </c>
      <c r="S228" t="str">
        <f>""</f>
        <v/>
      </c>
    </row>
    <row r="229" spans="1:19" x14ac:dyDescent="0.25">
      <c r="A229" t="str">
        <f>$A$16</f>
        <v xml:space="preserve">    Indra Sistemas SA</v>
      </c>
      <c r="B229" t="str">
        <f>$B$16</f>
        <v>IDR SM Equity</v>
      </c>
      <c r="C229" t="str">
        <f>$C$16</f>
        <v>RR121</v>
      </c>
      <c r="D229" t="str">
        <f>$D$16</f>
        <v>NUM_OF_EMPLOYEES</v>
      </c>
      <c r="E229" t="str">
        <f>$E$16</f>
        <v>Dynamic</v>
      </c>
      <c r="F229" t="e">
        <f ca="1">_xll.BDH($B$16,$C$16,$B$163,$B$164,CONCATENATE("Per=",$B$161),"Dts=H","Dir=H",CONCATENATE("Points=",$B$162),"Sort=R","Days=A","Fill=B",CONCATENATE("FX=", $B$160),"cols=7;rows=1")</f>
        <v>#NAME?</v>
      </c>
      <c r="G229">
        <v>41572</v>
      </c>
      <c r="H229">
        <v>40020</v>
      </c>
      <c r="I229">
        <v>35660</v>
      </c>
      <c r="J229">
        <v>37073</v>
      </c>
      <c r="K229">
        <v>38552</v>
      </c>
      <c r="L229">
        <v>38548</v>
      </c>
      <c r="M229" t="str">
        <f>""</f>
        <v/>
      </c>
      <c r="N229" t="str">
        <f>""</f>
        <v/>
      </c>
      <c r="O229" t="str">
        <f>""</f>
        <v/>
      </c>
      <c r="P229" t="str">
        <f>""</f>
        <v/>
      </c>
      <c r="Q229" t="str">
        <f>""</f>
        <v/>
      </c>
      <c r="R229" t="str">
        <f>""</f>
        <v/>
      </c>
      <c r="S229" t="str">
        <f>""</f>
        <v/>
      </c>
    </row>
    <row r="230" spans="1:19" x14ac:dyDescent="0.25">
      <c r="A230" t="str">
        <f>$A$17</f>
        <v xml:space="preserve">    Infosys Ltd</v>
      </c>
      <c r="B230" t="str">
        <f>$B$17</f>
        <v>INFY US Equity</v>
      </c>
      <c r="C230" t="str">
        <f>$C$17</f>
        <v>RR121</v>
      </c>
      <c r="D230" t="str">
        <f>$D$17</f>
        <v>NUM_OF_EMPLOYEES</v>
      </c>
      <c r="E230" t="str">
        <f>$E$17</f>
        <v>Dynamic</v>
      </c>
      <c r="F230" t="e">
        <f ca="1">_xll.BDH($B$17,$C$17,$B$163,$B$164,CONCATENATE("Per=",$B$161),"Dts=H","Dir=H",CONCATENATE("Points=",$B$162),"Sort=R","Days=A","Fill=B",CONCATENATE("FX=", $B$160),"cols=7;rows=1")</f>
        <v>#NAME?</v>
      </c>
      <c r="G230">
        <v>228123</v>
      </c>
      <c r="H230">
        <v>204107</v>
      </c>
      <c r="I230">
        <v>200364</v>
      </c>
      <c r="J230">
        <v>194044</v>
      </c>
      <c r="K230">
        <v>176187</v>
      </c>
      <c r="L230">
        <v>160405</v>
      </c>
      <c r="M230" t="str">
        <f>""</f>
        <v/>
      </c>
      <c r="N230" t="str">
        <f>""</f>
        <v/>
      </c>
      <c r="O230" t="str">
        <f>""</f>
        <v/>
      </c>
      <c r="P230" t="str">
        <f>""</f>
        <v/>
      </c>
      <c r="Q230" t="str">
        <f>""</f>
        <v/>
      </c>
      <c r="R230" t="str">
        <f>""</f>
        <v/>
      </c>
      <c r="S230" t="str">
        <f>""</f>
        <v/>
      </c>
    </row>
    <row r="231" spans="1:19" x14ac:dyDescent="0.25">
      <c r="A231" t="str">
        <f>$A$18</f>
        <v xml:space="preserve">    International Business Machines Corp</v>
      </c>
      <c r="B231" t="str">
        <f>$B$18</f>
        <v>IBM US Equity</v>
      </c>
      <c r="C231" t="str">
        <f>$C$18</f>
        <v>RR121</v>
      </c>
      <c r="D231" t="str">
        <f>$D$18</f>
        <v>NUM_OF_EMPLOYEES</v>
      </c>
      <c r="E231" t="str">
        <f>$E$18</f>
        <v>Dynamic</v>
      </c>
      <c r="F231" t="e">
        <f ca="1">_xll.BDH($B$18,$C$18,$B$163,$B$164,CONCATENATE("Per=",$B$161),"Dts=H","Dir=H",CONCATENATE("Points=",$B$162),"Sort=R","Days=A","Fill=B",CONCATENATE("FX=", $B$160),"cols=7;rows=1")</f>
        <v>#NAME?</v>
      </c>
      <c r="G231">
        <v>350600</v>
      </c>
      <c r="H231">
        <v>366600</v>
      </c>
      <c r="I231">
        <v>380300</v>
      </c>
      <c r="J231">
        <v>377757</v>
      </c>
      <c r="K231">
        <v>379592</v>
      </c>
      <c r="L231">
        <v>431212</v>
      </c>
      <c r="M231" t="str">
        <f>""</f>
        <v/>
      </c>
      <c r="N231" t="str">
        <f>""</f>
        <v/>
      </c>
      <c r="O231" t="str">
        <f>""</f>
        <v/>
      </c>
      <c r="P231" t="str">
        <f>""</f>
        <v/>
      </c>
      <c r="Q231" t="str">
        <f>""</f>
        <v/>
      </c>
      <c r="R231" t="str">
        <f>""</f>
        <v/>
      </c>
      <c r="S231" t="str">
        <f>""</f>
        <v/>
      </c>
    </row>
    <row r="232" spans="1:19" x14ac:dyDescent="0.25">
      <c r="A232" t="str">
        <f>$A$19</f>
        <v xml:space="preserve">    Tata Consultancy Services Ltd</v>
      </c>
      <c r="B232" t="str">
        <f>$B$19</f>
        <v>TCS IN Equity</v>
      </c>
      <c r="C232" t="str">
        <f>$C$19</f>
        <v>RR121</v>
      </c>
      <c r="D232" t="str">
        <f>$D$19</f>
        <v>NUM_OF_EMPLOYEES</v>
      </c>
      <c r="E232" t="str">
        <f>$E$19</f>
        <v>Dynamic</v>
      </c>
      <c r="F232" t="e">
        <f ca="1">_xll.BDH($B$19,$C$19,$B$163,$B$164,CONCATENATE("Per=",$B$161),"Dts=H","Dir=H",CONCATENATE("Points=",$B$162),"Sort=R","Days=A","Fill=B",CONCATENATE("FX=", $B$160),"cols=7;rows=1")</f>
        <v>#NAME?</v>
      </c>
      <c r="G232">
        <v>424285</v>
      </c>
      <c r="H232">
        <v>394998</v>
      </c>
      <c r="I232">
        <v>387223</v>
      </c>
      <c r="J232">
        <v>353843</v>
      </c>
      <c r="K232">
        <v>319656</v>
      </c>
      <c r="L232">
        <v>300464</v>
      </c>
      <c r="M232" t="str">
        <f>""</f>
        <v/>
      </c>
      <c r="N232" t="str">
        <f>""</f>
        <v/>
      </c>
      <c r="O232" t="str">
        <f>""</f>
        <v/>
      </c>
      <c r="P232" t="str">
        <f>""</f>
        <v/>
      </c>
      <c r="Q232" t="str">
        <f>""</f>
        <v/>
      </c>
      <c r="R232" t="str">
        <f>""</f>
        <v/>
      </c>
      <c r="S232" t="str">
        <f>""</f>
        <v/>
      </c>
    </row>
    <row r="233" spans="1:19" x14ac:dyDescent="0.25">
      <c r="A233" t="str">
        <f>$A$20</f>
        <v xml:space="preserve">    Tech Mahindra Ltd</v>
      </c>
      <c r="B233" t="str">
        <f>$B$20</f>
        <v>TECHM IN Equity</v>
      </c>
      <c r="C233" t="str">
        <f>$C$20</f>
        <v>RR121</v>
      </c>
      <c r="D233" t="str">
        <f>$D$20</f>
        <v>NUM_OF_EMPLOYEES</v>
      </c>
      <c r="E233" t="str">
        <f>$E$20</f>
        <v>Dynamic</v>
      </c>
      <c r="F233" t="e">
        <f ca="1">_xll.BDH($B$20,$C$20,$B$163,$B$164,CONCATENATE("Per=",$B$161),"Dts=H","Dir=H",CONCATENATE("Points=",$B$162),"Sort=R","Days=A","Fill=B",CONCATENATE("FX=", $B$160),"cols=7;rows=1")</f>
        <v>#NAME?</v>
      </c>
      <c r="G233">
        <v>103822</v>
      </c>
      <c r="H233">
        <v>112807</v>
      </c>
      <c r="I233">
        <v>117693</v>
      </c>
      <c r="J233">
        <v>105432</v>
      </c>
      <c r="K233">
        <v>103281</v>
      </c>
      <c r="L233">
        <v>89441</v>
      </c>
      <c r="M233" t="str">
        <f>""</f>
        <v/>
      </c>
      <c r="N233" t="str">
        <f>""</f>
        <v/>
      </c>
      <c r="O233" t="str">
        <f>""</f>
        <v/>
      </c>
      <c r="P233" t="str">
        <f>""</f>
        <v/>
      </c>
      <c r="Q233" t="str">
        <f>""</f>
        <v/>
      </c>
      <c r="R233" t="str">
        <f>""</f>
        <v/>
      </c>
      <c r="S233" t="str">
        <f>""</f>
        <v/>
      </c>
    </row>
    <row r="234" spans="1:19" x14ac:dyDescent="0.25">
      <c r="A234" t="str">
        <f>$A$21</f>
        <v xml:space="preserve">    Wipro Ltd</v>
      </c>
      <c r="B234" t="str">
        <f>$B$21</f>
        <v>WIT US Equity</v>
      </c>
      <c r="C234" t="str">
        <f>$C$21</f>
        <v>RR121</v>
      </c>
      <c r="D234" t="str">
        <f>$D$21</f>
        <v>NUM_OF_EMPLOYEES</v>
      </c>
      <c r="E234" t="str">
        <f>$E$21</f>
        <v>Dynamic</v>
      </c>
      <c r="F234" t="e">
        <f ca="1">_xll.BDH($B$21,$C$21,$B$163,$B$164,CONCATENATE("Per=",$B$161),"Dts=H","Dir=H",CONCATENATE("Points=",$B$162),"Sort=R","Days=A","Fill=B",CONCATENATE("FX=", $B$160),"cols=7;rows=1")</f>
        <v>#NAME?</v>
      </c>
      <c r="G234">
        <v>171425</v>
      </c>
      <c r="H234">
        <v>163827</v>
      </c>
      <c r="I234">
        <v>181482</v>
      </c>
      <c r="J234">
        <v>172912</v>
      </c>
      <c r="K234">
        <v>158217</v>
      </c>
      <c r="L234">
        <v>146053</v>
      </c>
      <c r="M234" t="str">
        <f>""</f>
        <v/>
      </c>
      <c r="N234" t="str">
        <f>""</f>
        <v/>
      </c>
      <c r="O234" t="str">
        <f>""</f>
        <v/>
      </c>
      <c r="P234" t="str">
        <f>""</f>
        <v/>
      </c>
      <c r="Q234" t="str">
        <f>""</f>
        <v/>
      </c>
      <c r="R234" t="str">
        <f>""</f>
        <v/>
      </c>
      <c r="S234" t="str">
        <f>""</f>
        <v/>
      </c>
    </row>
    <row r="235" spans="1:19" x14ac:dyDescent="0.25">
      <c r="A235" t="str">
        <f>$A$60</f>
        <v xml:space="preserve">    Accenture PLC</v>
      </c>
      <c r="B235" t="str">
        <f>$B$60</f>
        <v>ACN US Equity</v>
      </c>
      <c r="C235" t="str">
        <f>$C$60</f>
        <v>ES014</v>
      </c>
      <c r="D235" t="str">
        <f>$D$60</f>
        <v>ENERGY_CONSUMPTION</v>
      </c>
      <c r="E235" t="str">
        <f>$E$60</f>
        <v>Dynamic</v>
      </c>
      <c r="F235" t="e">
        <f ca="1">_xll.BDH($B$60,$C$60,$B$163,$B$164,CONCATENATE("Per=",$B$161),"Dts=H","Dir=H",CONCATENATE("Points=",$B$162),"Sort=R","Days=A","Fill=B",CONCATENATE("FX=", $B$160),"cols=7;rows=1")</f>
        <v>#NAME?</v>
      </c>
      <c r="G235">
        <v>489.08</v>
      </c>
      <c r="H235">
        <v>499.048</v>
      </c>
      <c r="I235">
        <v>512.29</v>
      </c>
      <c r="J235">
        <v>469.30599999999998</v>
      </c>
      <c r="K235">
        <v>436.31599999999997</v>
      </c>
      <c r="L235">
        <v>413.30399999999997</v>
      </c>
      <c r="M235" t="str">
        <f>""</f>
        <v/>
      </c>
      <c r="N235" t="str">
        <f>""</f>
        <v/>
      </c>
      <c r="O235" t="str">
        <f>""</f>
        <v/>
      </c>
      <c r="P235" t="str">
        <f>""</f>
        <v/>
      </c>
      <c r="Q235" t="str">
        <f>""</f>
        <v/>
      </c>
      <c r="R235" t="str">
        <f>""</f>
        <v/>
      </c>
      <c r="S235" t="str">
        <f>""</f>
        <v/>
      </c>
    </row>
    <row r="236" spans="1:19" x14ac:dyDescent="0.25">
      <c r="A236" t="str">
        <f>$A$61</f>
        <v xml:space="preserve">    Amdocs Ltd</v>
      </c>
      <c r="B236" t="str">
        <f>$B$61</f>
        <v>DOX US Equity</v>
      </c>
      <c r="C236" t="str">
        <f>$C$61</f>
        <v>ES014</v>
      </c>
      <c r="D236" t="str">
        <f>$D$61</f>
        <v>ENERGY_CONSUMPTION</v>
      </c>
      <c r="E236" t="str">
        <f>$E$61</f>
        <v>Dynamic</v>
      </c>
      <c r="F236" t="e">
        <f ca="1">_xll.BDH($B$61,$C$61,$B$163,$B$164,CONCATENATE("Per=",$B$161),"Dts=H","Dir=H",CONCATENATE("Points=",$B$162),"Sort=R","Days=A","Fill=B",CONCATENATE("FX=", $B$160) )</f>
        <v>#NAME?</v>
      </c>
      <c r="M236" t="str">
        <f>""</f>
        <v/>
      </c>
      <c r="N236" t="str">
        <f>""</f>
        <v/>
      </c>
      <c r="O236" t="str">
        <f>""</f>
        <v/>
      </c>
      <c r="P236" t="str">
        <f>""</f>
        <v/>
      </c>
      <c r="Q236" t="str">
        <f>""</f>
        <v/>
      </c>
      <c r="R236" t="str">
        <f>""</f>
        <v/>
      </c>
      <c r="S236" t="str">
        <f>""</f>
        <v/>
      </c>
    </row>
    <row r="237" spans="1:19" x14ac:dyDescent="0.25">
      <c r="A237" t="str">
        <f>$A$62</f>
        <v xml:space="preserve">    Atos SE</v>
      </c>
      <c r="B237" t="str">
        <f>$B$62</f>
        <v>ATO FP Equity</v>
      </c>
      <c r="C237" t="str">
        <f>$C$62</f>
        <v>ES014</v>
      </c>
      <c r="D237" t="str">
        <f>$D$62</f>
        <v>ENERGY_CONSUMPTION</v>
      </c>
      <c r="E237" t="str">
        <f>$E$62</f>
        <v>Dynamic</v>
      </c>
      <c r="F237" t="e">
        <f ca="1">_xll.BDH($B$62,$C$62,$B$163,$B$164,CONCATENATE("Per=",$B$161),"Dts=H","Dir=H",CONCATENATE("Points=",$B$162),"Sort=R","Days=A","Fill=B",CONCATENATE("FX=", $B$160),"cols=7;rows=1")</f>
        <v>#NAME?</v>
      </c>
      <c r="G237">
        <v>748.26800000000003</v>
      </c>
      <c r="H237">
        <v>774.88900000000001</v>
      </c>
      <c r="I237">
        <v>763.40200000000004</v>
      </c>
      <c r="J237">
        <v>622.42100000000005</v>
      </c>
      <c r="K237">
        <v>575.69000000000005</v>
      </c>
      <c r="L237">
        <v>611.28</v>
      </c>
      <c r="M237" t="str">
        <f>""</f>
        <v/>
      </c>
      <c r="N237" t="str">
        <f>""</f>
        <v/>
      </c>
      <c r="O237" t="str">
        <f>""</f>
        <v/>
      </c>
      <c r="P237" t="str">
        <f>""</f>
        <v/>
      </c>
      <c r="Q237" t="str">
        <f>""</f>
        <v/>
      </c>
      <c r="R237" t="str">
        <f>""</f>
        <v/>
      </c>
      <c r="S237" t="str">
        <f>""</f>
        <v/>
      </c>
    </row>
    <row r="238" spans="1:19" x14ac:dyDescent="0.25">
      <c r="A238" t="str">
        <f>$A$63</f>
        <v xml:space="preserve">    Capgemini SE</v>
      </c>
      <c r="B238" t="str">
        <f>$B$63</f>
        <v>CAP FP Equity</v>
      </c>
      <c r="C238" t="str">
        <f>$C$63</f>
        <v>ES014</v>
      </c>
      <c r="D238" t="str">
        <f>$D$63</f>
        <v>ENERGY_CONSUMPTION</v>
      </c>
      <c r="E238" t="str">
        <f>$E$63</f>
        <v>Dynamic</v>
      </c>
      <c r="F238" t="e">
        <f ca="1">_xll.BDH($B$63,$C$63,$B$163,$B$164,CONCATENATE("Per=",$B$161),"Dts=H","Dir=H",CONCATENATE("Points=",$B$162),"Sort=R","Days=A","Fill=B",CONCATENATE("FX=", $B$160),"cols=7;rows=1")</f>
        <v>#NAME?</v>
      </c>
      <c r="G238">
        <v>380.15</v>
      </c>
      <c r="H238">
        <v>412.31299999999999</v>
      </c>
      <c r="I238">
        <v>418.43200000000002</v>
      </c>
      <c r="J238">
        <v>432.71600000000001</v>
      </c>
      <c r="K238">
        <v>376.66800000000001</v>
      </c>
      <c r="L238">
        <v>392.51100000000002</v>
      </c>
      <c r="M238" t="str">
        <f>""</f>
        <v/>
      </c>
      <c r="N238" t="str">
        <f>""</f>
        <v/>
      </c>
      <c r="O238" t="str">
        <f>""</f>
        <v/>
      </c>
      <c r="P238" t="str">
        <f>""</f>
        <v/>
      </c>
      <c r="Q238" t="str">
        <f>""</f>
        <v/>
      </c>
      <c r="R238" t="str">
        <f>""</f>
        <v/>
      </c>
      <c r="S238" t="str">
        <f>""</f>
        <v/>
      </c>
    </row>
    <row r="239" spans="1:19" x14ac:dyDescent="0.25">
      <c r="A239" t="str">
        <f>$A$64</f>
        <v xml:space="preserve">    CGI Inc</v>
      </c>
      <c r="B239" t="str">
        <f>$B$64</f>
        <v>GIB US Equity</v>
      </c>
      <c r="C239" t="str">
        <f>$C$64</f>
        <v>ES014</v>
      </c>
      <c r="D239" t="str">
        <f>$D$64</f>
        <v>ENERGY_CONSUMPTION</v>
      </c>
      <c r="E239" t="str">
        <f>$E$64</f>
        <v>Dynamic</v>
      </c>
      <c r="F239" t="e">
        <f ca="1">_xll.BDH($B$64,$C$64,$B$163,$B$164,CONCATENATE("Per=",$B$161),"Dts=H","Dir=H",CONCATENATE("Points=",$B$162),"Sort=R","Days=A","Fill=B",CONCATENATE("FX=", $B$160),"cols=7;rows=1")</f>
        <v>#NAME?</v>
      </c>
      <c r="K239">
        <v>303.99299999999999</v>
      </c>
      <c r="L239">
        <v>325.30700000000002</v>
      </c>
      <c r="M239" t="str">
        <f>""</f>
        <v/>
      </c>
      <c r="N239" t="str">
        <f>""</f>
        <v/>
      </c>
      <c r="O239" t="str">
        <f>""</f>
        <v/>
      </c>
      <c r="P239" t="str">
        <f>""</f>
        <v/>
      </c>
      <c r="Q239" t="str">
        <f>""</f>
        <v/>
      </c>
      <c r="R239" t="str">
        <f>""</f>
        <v/>
      </c>
      <c r="S239" t="str">
        <f>""</f>
        <v/>
      </c>
    </row>
    <row r="240" spans="1:19" x14ac:dyDescent="0.25">
      <c r="A240" t="str">
        <f>$A$65</f>
        <v xml:space="preserve">    Cognizant Technology Solutions Corp</v>
      </c>
      <c r="B240" t="str">
        <f>$B$65</f>
        <v>CTSH US Equity</v>
      </c>
      <c r="C240" t="str">
        <f>$C$65</f>
        <v>ES014</v>
      </c>
      <c r="D240" t="str">
        <f>$D$65</f>
        <v>ENERGY_CONSUMPTION</v>
      </c>
      <c r="E240" t="str">
        <f>$E$65</f>
        <v>Dynamic</v>
      </c>
      <c r="F240" t="e">
        <f ca="1">_xll.BDH($B$65,$C$65,$B$163,$B$164,CONCATENATE("Per=",$B$161),"Dts=H","Dir=H",CONCATENATE("Points=",$B$162),"Sort=R","Days=A","Fill=B",CONCATENATE("FX=", $B$160),"cols=7;rows=1")</f>
        <v>#NAME?</v>
      </c>
      <c r="I240">
        <v>67.454999999999998</v>
      </c>
      <c r="J240">
        <v>300.61399999999998</v>
      </c>
      <c r="K240">
        <v>301.017</v>
      </c>
      <c r="L240">
        <v>259.06200000000001</v>
      </c>
      <c r="M240" t="str">
        <f>""</f>
        <v/>
      </c>
      <c r="N240" t="str">
        <f>""</f>
        <v/>
      </c>
      <c r="O240" t="str">
        <f>""</f>
        <v/>
      </c>
      <c r="P240" t="str">
        <f>""</f>
        <v/>
      </c>
      <c r="Q240" t="str">
        <f>""</f>
        <v/>
      </c>
      <c r="R240" t="str">
        <f>""</f>
        <v/>
      </c>
      <c r="S240" t="str">
        <f>""</f>
        <v/>
      </c>
    </row>
    <row r="241" spans="1:19" x14ac:dyDescent="0.25">
      <c r="A241" t="str">
        <f>$A$66</f>
        <v xml:space="preserve">    Conduent Inc</v>
      </c>
      <c r="B241" t="str">
        <f>$B$66</f>
        <v>CNDT US Equity</v>
      </c>
      <c r="C241" t="str">
        <f>$C$66</f>
        <v>ES014</v>
      </c>
      <c r="D241" t="str">
        <f>$D$66</f>
        <v>ENERGY_CONSUMPTION</v>
      </c>
      <c r="E241" t="str">
        <f>$E$66</f>
        <v>Dynamic</v>
      </c>
      <c r="F241" t="e">
        <f ca="1">_xll.BDH($B$66,$C$66,$B$163,$B$164,CONCATENATE("Per=",$B$161),"Dts=H","Dir=H",CONCATENATE("Points=",$B$162),"Sort=R","Days=A","Fill=B",CONCATENATE("FX=", $B$160) )</f>
        <v>#NAME?</v>
      </c>
      <c r="M241" t="str">
        <f>""</f>
        <v/>
      </c>
      <c r="N241" t="str">
        <f>""</f>
        <v/>
      </c>
      <c r="O241" t="str">
        <f>""</f>
        <v/>
      </c>
      <c r="P241" t="str">
        <f>""</f>
        <v/>
      </c>
      <c r="Q241" t="str">
        <f>""</f>
        <v/>
      </c>
      <c r="R241" t="str">
        <f>""</f>
        <v/>
      </c>
      <c r="S241" t="str">
        <f>""</f>
        <v/>
      </c>
    </row>
    <row r="242" spans="1:19" x14ac:dyDescent="0.25">
      <c r="A242" t="str">
        <f>$A$67</f>
        <v xml:space="preserve">    DXC Technology Co</v>
      </c>
      <c r="B242" t="str">
        <f>$B$67</f>
        <v>DXC US Equity</v>
      </c>
      <c r="C242" t="str">
        <f>$C$67</f>
        <v>ES014</v>
      </c>
      <c r="D242" t="str">
        <f>$D$67</f>
        <v>ENERGY_CONSUMPTION</v>
      </c>
      <c r="E242" t="str">
        <f>$E$67</f>
        <v>Dynamic</v>
      </c>
      <c r="F242" t="e">
        <f ca="1">_xll.BDH($B$67,$C$67,$B$163,$B$164,CONCATENATE("Per=",$B$161),"Dts=H","Dir=H",CONCATENATE("Points=",$B$162),"Sort=R","Days=A","Fill=B",CONCATENATE("FX=", $B$160),"cols=7;rows=1")</f>
        <v>#NAME?</v>
      </c>
      <c r="G242">
        <v>1867.92</v>
      </c>
      <c r="H242">
        <v>2184.91</v>
      </c>
      <c r="M242" t="str">
        <f>""</f>
        <v/>
      </c>
      <c r="N242" t="str">
        <f>""</f>
        <v/>
      </c>
      <c r="O242" t="str">
        <f>""</f>
        <v/>
      </c>
      <c r="P242" t="str">
        <f>""</f>
        <v/>
      </c>
      <c r="Q242" t="str">
        <f>""</f>
        <v/>
      </c>
      <c r="R242" t="str">
        <f>""</f>
        <v/>
      </c>
      <c r="S242" t="str">
        <f>""</f>
        <v/>
      </c>
    </row>
    <row r="243" spans="1:19" x14ac:dyDescent="0.25">
      <c r="A243" t="str">
        <f>$A$68</f>
        <v xml:space="preserve">    EPAM Systems Inc</v>
      </c>
      <c r="B243" t="str">
        <f>$B$68</f>
        <v>EPAM US Equity</v>
      </c>
      <c r="C243" t="str">
        <f>$C$68</f>
        <v>ES014</v>
      </c>
      <c r="D243" t="str">
        <f>$D$68</f>
        <v>ENERGY_CONSUMPTION</v>
      </c>
      <c r="E243" t="str">
        <f>$E$68</f>
        <v>Dynamic</v>
      </c>
      <c r="F243" t="e">
        <f ca="1">_xll.BDH($B$68,$C$68,$B$163,$B$164,CONCATENATE("Per=",$B$161),"Dts=H","Dir=H",CONCATENATE("Points=",$B$162),"Sort=R","Days=A","Fill=B",CONCATENATE("FX=", $B$160) )</f>
        <v>#NAME?</v>
      </c>
      <c r="M243" t="str">
        <f>""</f>
        <v/>
      </c>
      <c r="N243" t="str">
        <f>""</f>
        <v/>
      </c>
      <c r="O243" t="str">
        <f>""</f>
        <v/>
      </c>
      <c r="P243" t="str">
        <f>""</f>
        <v/>
      </c>
      <c r="Q243" t="str">
        <f>""</f>
        <v/>
      </c>
      <c r="R243" t="str">
        <f>""</f>
        <v/>
      </c>
      <c r="S243" t="str">
        <f>""</f>
        <v/>
      </c>
    </row>
    <row r="244" spans="1:19" x14ac:dyDescent="0.25">
      <c r="A244" t="str">
        <f>$A$69</f>
        <v xml:space="preserve">    Genpact Ltd</v>
      </c>
      <c r="B244" t="str">
        <f>$B$69</f>
        <v>G US Equity</v>
      </c>
      <c r="C244" t="str">
        <f>$C$69</f>
        <v>ES014</v>
      </c>
      <c r="D244" t="str">
        <f>$D$69</f>
        <v>ENERGY_CONSUMPTION</v>
      </c>
      <c r="E244" t="str">
        <f>$E$69</f>
        <v>Dynamic</v>
      </c>
      <c r="F244" t="e">
        <f ca="1">_xll.BDH($B$69,$C$69,$B$163,$B$164,CONCATENATE("Per=",$B$161),"Dts=H","Dir=H",CONCATENATE("Points=",$B$162),"Sort=R","Days=A","Fill=B",CONCATENATE("FX=", $B$160),"cols=7;rows=1")</f>
        <v>#NAME?</v>
      </c>
      <c r="H244">
        <v>102.736</v>
      </c>
      <c r="I244">
        <v>94.293000000000006</v>
      </c>
      <c r="J244">
        <v>98.903999999999996</v>
      </c>
      <c r="L244">
        <v>90.778000000000006</v>
      </c>
      <c r="M244" t="str">
        <f>""</f>
        <v/>
      </c>
      <c r="N244" t="str">
        <f>""</f>
        <v/>
      </c>
      <c r="O244" t="str">
        <f>""</f>
        <v/>
      </c>
      <c r="P244" t="str">
        <f>""</f>
        <v/>
      </c>
      <c r="Q244" t="str">
        <f>""</f>
        <v/>
      </c>
      <c r="R244" t="str">
        <f>""</f>
        <v/>
      </c>
      <c r="S244" t="str">
        <f>""</f>
        <v/>
      </c>
    </row>
    <row r="245" spans="1:19" x14ac:dyDescent="0.25">
      <c r="A245" t="str">
        <f>$A$70</f>
        <v xml:space="preserve">    HCL Technologies Ltd</v>
      </c>
      <c r="B245" t="str">
        <f>$B$70</f>
        <v>HCLT IN Equity</v>
      </c>
      <c r="C245" t="str">
        <f>$C$70</f>
        <v>ES014</v>
      </c>
      <c r="D245" t="str">
        <f>$D$70</f>
        <v>ENERGY_CONSUMPTION</v>
      </c>
      <c r="E245" t="str">
        <f>$E$70</f>
        <v>Dynamic</v>
      </c>
      <c r="F245" t="e">
        <f ca="1">_xll.BDH($B$70,$C$70,$B$163,$B$164,CONCATENATE("Per=",$B$161),"Dts=H","Dir=H",CONCATENATE("Points=",$B$162),"Sort=R","Days=A","Fill=B",CONCATENATE("FX=", $B$160),"cols=7;rows=1")</f>
        <v>#NAME?</v>
      </c>
      <c r="J245">
        <v>296.512</v>
      </c>
      <c r="L245">
        <v>309.26</v>
      </c>
      <c r="M245" t="str">
        <f>""</f>
        <v/>
      </c>
      <c r="N245" t="str">
        <f>""</f>
        <v/>
      </c>
      <c r="O245" t="str">
        <f>""</f>
        <v/>
      </c>
      <c r="P245" t="str">
        <f>""</f>
        <v/>
      </c>
      <c r="Q245" t="str">
        <f>""</f>
        <v/>
      </c>
      <c r="R245" t="str">
        <f>""</f>
        <v/>
      </c>
      <c r="S245" t="str">
        <f>""</f>
        <v/>
      </c>
    </row>
    <row r="246" spans="1:19" x14ac:dyDescent="0.25">
      <c r="A246" t="str">
        <f>$A$71</f>
        <v xml:space="preserve">    Indra Sistemas SA</v>
      </c>
      <c r="B246" t="str">
        <f>$B$71</f>
        <v>IDR SM Equity</v>
      </c>
      <c r="C246" t="str">
        <f>$C$71</f>
        <v>ES014</v>
      </c>
      <c r="D246" t="str">
        <f>$D$71</f>
        <v>ENERGY_CONSUMPTION</v>
      </c>
      <c r="E246" t="str">
        <f>$E$71</f>
        <v>Dynamic</v>
      </c>
      <c r="F246" t="e">
        <f ca="1">_xll.BDH($B$71,$C$71,$B$163,$B$164,CONCATENATE("Per=",$B$161),"Dts=H","Dir=H",CONCATENATE("Points=",$B$162),"Sort=R","Days=A","Fill=B",CONCATENATE("FX=", $B$160),"cols=7;rows=1")</f>
        <v>#NAME?</v>
      </c>
      <c r="G246">
        <v>82.207999999999998</v>
      </c>
      <c r="H246">
        <v>76.081999999999994</v>
      </c>
      <c r="I246">
        <v>77.637</v>
      </c>
      <c r="J246">
        <v>86.152000000000001</v>
      </c>
      <c r="K246">
        <v>91.710999999999999</v>
      </c>
      <c r="L246">
        <v>104.852</v>
      </c>
      <c r="M246" t="str">
        <f>""</f>
        <v/>
      </c>
      <c r="N246" t="str">
        <f>""</f>
        <v/>
      </c>
      <c r="O246" t="str">
        <f>""</f>
        <v/>
      </c>
      <c r="P246" t="str">
        <f>""</f>
        <v/>
      </c>
      <c r="Q246" t="str">
        <f>""</f>
        <v/>
      </c>
      <c r="R246" t="str">
        <f>""</f>
        <v/>
      </c>
      <c r="S246" t="str">
        <f>""</f>
        <v/>
      </c>
    </row>
    <row r="247" spans="1:19" x14ac:dyDescent="0.25">
      <c r="A247" t="str">
        <f>$A$72</f>
        <v xml:space="preserve">    Infosys Ltd</v>
      </c>
      <c r="B247" t="str">
        <f>$B$72</f>
        <v>INFY US Equity</v>
      </c>
      <c r="C247" t="str">
        <f>$C$72</f>
        <v>ES014</v>
      </c>
      <c r="D247" t="str">
        <f>$D$72</f>
        <v>ENERGY_CONSUMPTION</v>
      </c>
      <c r="E247" t="str">
        <f>$E$72</f>
        <v>Dynamic</v>
      </c>
      <c r="F247" t="e">
        <f ca="1">_xll.BDH($B$72,$C$72,$B$163,$B$164,CONCATENATE("Per=",$B$161),"Dts=H","Dir=H",CONCATENATE("Points=",$B$162),"Sort=R","Days=A","Fill=B",CONCATENATE("FX=", $B$160),"cols=7;rows=1")</f>
        <v>#NAME?</v>
      </c>
      <c r="G247">
        <v>278.70400000000001</v>
      </c>
      <c r="H247">
        <v>263.48200000000003</v>
      </c>
      <c r="I247">
        <v>266.57299999999998</v>
      </c>
      <c r="J247">
        <v>265.89299999999997</v>
      </c>
      <c r="K247">
        <v>257.57600000000002</v>
      </c>
      <c r="L247">
        <v>284.41000000000003</v>
      </c>
      <c r="M247" t="str">
        <f>""</f>
        <v/>
      </c>
      <c r="N247" t="str">
        <f>""</f>
        <v/>
      </c>
      <c r="O247" t="str">
        <f>""</f>
        <v/>
      </c>
      <c r="P247" t="str">
        <f>""</f>
        <v/>
      </c>
      <c r="Q247" t="str">
        <f>""</f>
        <v/>
      </c>
      <c r="R247" t="str">
        <f>""</f>
        <v/>
      </c>
      <c r="S247" t="str">
        <f>""</f>
        <v/>
      </c>
    </row>
    <row r="248" spans="1:19" x14ac:dyDescent="0.25">
      <c r="A248" t="str">
        <f>$A$73</f>
        <v xml:space="preserve">    International Business Machines Corp</v>
      </c>
      <c r="B248" t="str">
        <f>$B$73</f>
        <v>IBM US Equity</v>
      </c>
      <c r="C248" t="str">
        <f>$C$73</f>
        <v>ES014</v>
      </c>
      <c r="D248" t="str">
        <f>$D$73</f>
        <v>ENERGY_CONSUMPTION</v>
      </c>
      <c r="E248" t="str">
        <f>$E$73</f>
        <v>Dynamic</v>
      </c>
      <c r="F248" t="e">
        <f ca="1">_xll.BDH($B$73,$C$73,$B$163,$B$164,CONCATENATE("Per=",$B$161),"Dts=H","Dir=H",CONCATENATE("Points=",$B$162),"Sort=R","Days=A","Fill=B",CONCATENATE("FX=", $B$160),"cols=7;rows=1")</f>
        <v>#NAME?</v>
      </c>
      <c r="G248">
        <v>4666.51</v>
      </c>
      <c r="H248">
        <v>4192.5200000000004</v>
      </c>
      <c r="I248">
        <v>4373.54</v>
      </c>
      <c r="J248">
        <v>5375.73</v>
      </c>
      <c r="K248">
        <v>6173.4</v>
      </c>
      <c r="L248">
        <v>6297.3</v>
      </c>
      <c r="M248" t="str">
        <f>""</f>
        <v/>
      </c>
      <c r="N248" t="str">
        <f>""</f>
        <v/>
      </c>
      <c r="O248" t="str">
        <f>""</f>
        <v/>
      </c>
      <c r="P248" t="str">
        <f>""</f>
        <v/>
      </c>
      <c r="Q248" t="str">
        <f>""</f>
        <v/>
      </c>
      <c r="R248" t="str">
        <f>""</f>
        <v/>
      </c>
      <c r="S248" t="str">
        <f>""</f>
        <v/>
      </c>
    </row>
    <row r="249" spans="1:19" x14ac:dyDescent="0.25">
      <c r="A249" t="str">
        <f>$A$74</f>
        <v xml:space="preserve">    Tata Consultancy Services Ltd</v>
      </c>
      <c r="B249" t="str">
        <f>$B$74</f>
        <v>TCS IN Equity</v>
      </c>
      <c r="C249" t="str">
        <f>$C$74</f>
        <v>ES014</v>
      </c>
      <c r="D249" t="str">
        <f>$D$74</f>
        <v>ENERGY_CONSUMPTION</v>
      </c>
      <c r="E249" t="str">
        <f>$E$74</f>
        <v>Dynamic</v>
      </c>
      <c r="F249" t="e">
        <f ca="1">_xll.BDH($B$74,$C$74,$B$163,$B$164,CONCATENATE("Per=",$B$161),"Dts=H","Dir=H",CONCATENATE("Points=",$B$162),"Sort=R","Days=A","Fill=B",CONCATENATE("FX=", $B$160),"cols=7;rows=1")</f>
        <v>#NAME?</v>
      </c>
      <c r="H249">
        <v>1206.1099999999999</v>
      </c>
      <c r="I249">
        <v>638.88900000000001</v>
      </c>
      <c r="J249">
        <v>669.37599999999998</v>
      </c>
      <c r="K249">
        <v>692.36800000000005</v>
      </c>
      <c r="L249">
        <v>610.78700000000003</v>
      </c>
      <c r="M249" t="str">
        <f>""</f>
        <v/>
      </c>
      <c r="N249" t="str">
        <f>""</f>
        <v/>
      </c>
      <c r="O249" t="str">
        <f>""</f>
        <v/>
      </c>
      <c r="P249" t="str">
        <f>""</f>
        <v/>
      </c>
      <c r="Q249" t="str">
        <f>""</f>
        <v/>
      </c>
      <c r="R249" t="str">
        <f>""</f>
        <v/>
      </c>
      <c r="S249" t="str">
        <f>""</f>
        <v/>
      </c>
    </row>
    <row r="250" spans="1:19" x14ac:dyDescent="0.25">
      <c r="A250" t="str">
        <f>$A$75</f>
        <v xml:space="preserve">    Tech Mahindra Ltd</v>
      </c>
      <c r="B250" t="str">
        <f>$B$75</f>
        <v>TECHM IN Equity</v>
      </c>
      <c r="C250" t="str">
        <f>$C$75</f>
        <v>ES014</v>
      </c>
      <c r="D250" t="str">
        <f>$D$75</f>
        <v>ENERGY_CONSUMPTION</v>
      </c>
      <c r="E250" t="str">
        <f>$E$75</f>
        <v>Dynamic</v>
      </c>
      <c r="F250" t="e">
        <f ca="1">_xll.BDH($B$75,$C$75,$B$163,$B$164,CONCATENATE("Per=",$B$161),"Dts=H","Dir=H",CONCATENATE("Points=",$B$162),"Sort=R","Days=A","Fill=B",CONCATENATE("FX=", $B$160),"cols=7;rows=1")</f>
        <v>#NAME?</v>
      </c>
      <c r="G250">
        <v>166.49700000000001</v>
      </c>
      <c r="H250">
        <v>160.72999999999999</v>
      </c>
      <c r="I250">
        <v>160.40600000000001</v>
      </c>
      <c r="J250">
        <v>155.24299999999999</v>
      </c>
      <c r="K250">
        <v>167.607</v>
      </c>
      <c r="L250">
        <v>150.91399999999999</v>
      </c>
      <c r="M250" t="str">
        <f>""</f>
        <v/>
      </c>
      <c r="N250" t="str">
        <f>""</f>
        <v/>
      </c>
      <c r="O250" t="str">
        <f>""</f>
        <v/>
      </c>
      <c r="P250" t="str">
        <f>""</f>
        <v/>
      </c>
      <c r="Q250" t="str">
        <f>""</f>
        <v/>
      </c>
      <c r="R250" t="str">
        <f>""</f>
        <v/>
      </c>
      <c r="S250" t="str">
        <f>""</f>
        <v/>
      </c>
    </row>
    <row r="251" spans="1:19" x14ac:dyDescent="0.25">
      <c r="A251" t="str">
        <f>$A$76</f>
        <v xml:space="preserve">    Wipro Ltd</v>
      </c>
      <c r="B251" t="str">
        <f>$B$76</f>
        <v>WIT US Equity</v>
      </c>
      <c r="C251" t="str">
        <f>$C$76</f>
        <v>ES014</v>
      </c>
      <c r="D251" t="str">
        <f>$D$76</f>
        <v>ENERGY_CONSUMPTION</v>
      </c>
      <c r="E251" t="str">
        <f>$E$76</f>
        <v>Dynamic</v>
      </c>
      <c r="F251" t="e">
        <f ca="1">_xll.BDH($B$76,$C$76,$B$163,$B$164,CONCATENATE("Per=",$B$161),"Dts=H","Dir=H",CONCATENATE("Points=",$B$162),"Sort=R","Days=A","Fill=B",CONCATENATE("FX=", $B$160),"cols=7;rows=1")</f>
        <v>#NAME?</v>
      </c>
      <c r="G251">
        <v>250.22200000000001</v>
      </c>
      <c r="H251">
        <v>358.29899999999998</v>
      </c>
      <c r="I251">
        <v>409.55099999999999</v>
      </c>
      <c r="J251">
        <v>423.30599999999998</v>
      </c>
      <c r="K251">
        <v>421.48700000000002</v>
      </c>
      <c r="L251">
        <v>412.279</v>
      </c>
      <c r="M251" t="str">
        <f>""</f>
        <v/>
      </c>
      <c r="N251" t="str">
        <f>""</f>
        <v/>
      </c>
      <c r="O251" t="str">
        <f>""</f>
        <v/>
      </c>
      <c r="P251" t="str">
        <f>""</f>
        <v/>
      </c>
      <c r="Q251" t="str">
        <f>""</f>
        <v/>
      </c>
      <c r="R251" t="str">
        <f>""</f>
        <v/>
      </c>
      <c r="S251" t="str">
        <f>""</f>
        <v/>
      </c>
    </row>
    <row r="252" spans="1:19" x14ac:dyDescent="0.25">
      <c r="A252" t="str">
        <f>$A$78</f>
        <v xml:space="preserve">    Accenture PLC</v>
      </c>
      <c r="B252" t="str">
        <f>$B$78</f>
        <v>ACN US Equity</v>
      </c>
      <c r="C252" t="str">
        <f>$C$78</f>
        <v>ES015</v>
      </c>
      <c r="D252" t="str">
        <f>$D$78</f>
        <v>RENEW_ENERGY_USE</v>
      </c>
      <c r="E252" t="str">
        <f>$E$78</f>
        <v>Dynamic</v>
      </c>
      <c r="F252" t="e">
        <f ca="1">_xll.BDH($B$78,$C$78,$B$163,$B$164,CONCATENATE("Per=",$B$161),"Dts=H","Dir=H",CONCATENATE("Points=",$B$162),"Sort=R","Days=A","Fill=B",CONCATENATE("FX=", $B$160),"cols=7;rows=1")</f>
        <v>#NAME?</v>
      </c>
      <c r="G252">
        <v>111.574</v>
      </c>
      <c r="H252">
        <v>101.898</v>
      </c>
      <c r="M252" t="str">
        <f>""</f>
        <v/>
      </c>
      <c r="N252" t="str">
        <f>""</f>
        <v/>
      </c>
      <c r="O252" t="str">
        <f>""</f>
        <v/>
      </c>
      <c r="P252" t="str">
        <f>""</f>
        <v/>
      </c>
      <c r="Q252" t="str">
        <f>""</f>
        <v/>
      </c>
      <c r="R252" t="str">
        <f>""</f>
        <v/>
      </c>
      <c r="S252" t="str">
        <f>""</f>
        <v/>
      </c>
    </row>
    <row r="253" spans="1:19" x14ac:dyDescent="0.25">
      <c r="A253" t="str">
        <f>$A$79</f>
        <v xml:space="preserve">    Amdocs Ltd</v>
      </c>
      <c r="B253" t="str">
        <f>$B$79</f>
        <v>DOX US Equity</v>
      </c>
      <c r="C253" t="str">
        <f>$C$79</f>
        <v>ES015</v>
      </c>
      <c r="D253" t="str">
        <f>$D$79</f>
        <v>RENEW_ENERGY_USE</v>
      </c>
      <c r="E253" t="str">
        <f>$E$79</f>
        <v>Dynamic</v>
      </c>
      <c r="F253" t="e">
        <f ca="1">_xll.BDH($B$79,$C$79,$B$163,$B$164,CONCATENATE("Per=",$B$161),"Dts=H","Dir=H",CONCATENATE("Points=",$B$162),"Sort=R","Days=A","Fill=B",CONCATENATE("FX=", $B$160) )</f>
        <v>#NAME?</v>
      </c>
      <c r="M253" t="str">
        <f>""</f>
        <v/>
      </c>
      <c r="N253" t="str">
        <f>""</f>
        <v/>
      </c>
      <c r="O253" t="str">
        <f>""</f>
        <v/>
      </c>
      <c r="P253" t="str">
        <f>""</f>
        <v/>
      </c>
      <c r="Q253" t="str">
        <f>""</f>
        <v/>
      </c>
      <c r="R253" t="str">
        <f>""</f>
        <v/>
      </c>
      <c r="S253" t="str">
        <f>""</f>
        <v/>
      </c>
    </row>
    <row r="254" spans="1:19" x14ac:dyDescent="0.25">
      <c r="A254" t="str">
        <f>$A$80</f>
        <v xml:space="preserve">    Atos SE</v>
      </c>
      <c r="B254" t="str">
        <f>$B$80</f>
        <v>ATO FP Equity</v>
      </c>
      <c r="C254" t="str">
        <f>$C$80</f>
        <v>ES015</v>
      </c>
      <c r="D254" t="str">
        <f>$D$80</f>
        <v>RENEW_ENERGY_USE</v>
      </c>
      <c r="E254" t="str">
        <f>$E$80</f>
        <v>Dynamic</v>
      </c>
      <c r="F254" t="e">
        <f ca="1">_xll.BDH($B$80,$C$80,$B$163,$B$164,CONCATENATE("Per=",$B$161),"Dts=H","Dir=H",CONCATENATE("Points=",$B$162),"Sort=R","Days=A","Fill=B",CONCATENATE("FX=", $B$160),"cols=7;rows=1")</f>
        <v>#NAME?</v>
      </c>
      <c r="G254">
        <v>243.74</v>
      </c>
      <c r="H254">
        <v>130.38900000000001</v>
      </c>
      <c r="I254">
        <v>102.431</v>
      </c>
      <c r="J254">
        <v>193.92400000000001</v>
      </c>
      <c r="K254">
        <v>0</v>
      </c>
      <c r="M254" t="str">
        <f>""</f>
        <v/>
      </c>
      <c r="N254" t="str">
        <f>""</f>
        <v/>
      </c>
      <c r="O254" t="str">
        <f>""</f>
        <v/>
      </c>
      <c r="P254" t="str">
        <f>""</f>
        <v/>
      </c>
      <c r="Q254" t="str">
        <f>""</f>
        <v/>
      </c>
      <c r="R254" t="str">
        <f>""</f>
        <v/>
      </c>
      <c r="S254" t="str">
        <f>""</f>
        <v/>
      </c>
    </row>
    <row r="255" spans="1:19" x14ac:dyDescent="0.25">
      <c r="A255" t="str">
        <f>$A$81</f>
        <v xml:space="preserve">    Capgemini SE</v>
      </c>
      <c r="B255" t="str">
        <f>$B$81</f>
        <v>CAP FP Equity</v>
      </c>
      <c r="C255" t="str">
        <f>$C$81</f>
        <v>ES015</v>
      </c>
      <c r="D255" t="str">
        <f>$D$81</f>
        <v>RENEW_ENERGY_USE</v>
      </c>
      <c r="E255" t="str">
        <f>$E$81</f>
        <v>Dynamic</v>
      </c>
      <c r="F255" t="e">
        <f ca="1">_xll.BDH($B$81,$C$81,$B$163,$B$164,CONCATENATE("Per=",$B$161),"Dts=H","Dir=H",CONCATENATE("Points=",$B$162),"Sort=R","Days=A","Fill=B",CONCATENATE("FX=", $B$160),"cols=7;rows=1")</f>
        <v>#NAME?</v>
      </c>
      <c r="G255">
        <v>82.078000000000003</v>
      </c>
      <c r="H255">
        <v>70.158000000000001</v>
      </c>
      <c r="I255">
        <v>87.864000000000004</v>
      </c>
      <c r="M255" t="str">
        <f>""</f>
        <v/>
      </c>
      <c r="N255" t="str">
        <f>""</f>
        <v/>
      </c>
      <c r="O255" t="str">
        <f>""</f>
        <v/>
      </c>
      <c r="P255" t="str">
        <f>""</f>
        <v/>
      </c>
      <c r="Q255" t="str">
        <f>""</f>
        <v/>
      </c>
      <c r="R255" t="str">
        <f>""</f>
        <v/>
      </c>
      <c r="S255" t="str">
        <f>""</f>
        <v/>
      </c>
    </row>
    <row r="256" spans="1:19" x14ac:dyDescent="0.25">
      <c r="A256" t="str">
        <f>$A$82</f>
        <v xml:space="preserve">    CGI Inc</v>
      </c>
      <c r="B256" t="str">
        <f>$B$82</f>
        <v>GIB US Equity</v>
      </c>
      <c r="C256" t="str">
        <f>$C$82</f>
        <v>ES015</v>
      </c>
      <c r="D256" t="str">
        <f>$D$82</f>
        <v>RENEW_ENERGY_USE</v>
      </c>
      <c r="E256" t="str">
        <f>$E$82</f>
        <v>Dynamic</v>
      </c>
      <c r="F256" t="e">
        <f ca="1">_xll.BDH($B$82,$C$82,$B$163,$B$164,CONCATENATE("Per=",$B$161),"Dts=H","Dir=H",CONCATENATE("Points=",$B$162),"Sort=R","Days=A","Fill=B",CONCATENATE("FX=", $B$160),"cols=7;rows=1")</f>
        <v>#NAME?</v>
      </c>
      <c r="M256" t="str">
        <f>""</f>
        <v/>
      </c>
      <c r="N256" t="str">
        <f>""</f>
        <v/>
      </c>
      <c r="O256" t="str">
        <f>""</f>
        <v/>
      </c>
      <c r="P256" t="str">
        <f>""</f>
        <v/>
      </c>
      <c r="Q256" t="str">
        <f>""</f>
        <v/>
      </c>
      <c r="R256" t="str">
        <f>""</f>
        <v/>
      </c>
      <c r="S256" t="str">
        <f>""</f>
        <v/>
      </c>
    </row>
    <row r="257" spans="1:19" x14ac:dyDescent="0.25">
      <c r="A257" t="str">
        <f>$A$83</f>
        <v xml:space="preserve">    Cognizant Technology Solutions Corp</v>
      </c>
      <c r="B257" t="str">
        <f>$B$83</f>
        <v>CTSH US Equity</v>
      </c>
      <c r="C257" t="str">
        <f>$C$83</f>
        <v>ES015</v>
      </c>
      <c r="D257" t="str">
        <f>$D$83</f>
        <v>RENEW_ENERGY_USE</v>
      </c>
      <c r="E257" t="str">
        <f>$E$83</f>
        <v>Dynamic</v>
      </c>
      <c r="F257" t="e">
        <f ca="1">_xll.BDH($B$83,$C$83,$B$163,$B$164,CONCATENATE("Per=",$B$161),"Dts=H","Dir=H",CONCATENATE("Points=",$B$162),"Sort=R","Days=A","Fill=B",CONCATENATE("FX=", $B$160),"cols=7;rows=1")</f>
        <v>#NAME?</v>
      </c>
      <c r="I257">
        <v>33.61</v>
      </c>
      <c r="J257">
        <v>21.469000000000001</v>
      </c>
      <c r="K257">
        <v>25.597999999999999</v>
      </c>
      <c r="L257">
        <v>23.638999999999999</v>
      </c>
      <c r="M257" t="str">
        <f>""</f>
        <v/>
      </c>
      <c r="N257" t="str">
        <f>""</f>
        <v/>
      </c>
      <c r="O257" t="str">
        <f>""</f>
        <v/>
      </c>
      <c r="P257" t="str">
        <f>""</f>
        <v/>
      </c>
      <c r="Q257" t="str">
        <f>""</f>
        <v/>
      </c>
      <c r="R257" t="str">
        <f>""</f>
        <v/>
      </c>
      <c r="S257" t="str">
        <f>""</f>
        <v/>
      </c>
    </row>
    <row r="258" spans="1:19" x14ac:dyDescent="0.25">
      <c r="A258" t="str">
        <f>$A$84</f>
        <v xml:space="preserve">    Conduent Inc</v>
      </c>
      <c r="B258" t="str">
        <f>$B$84</f>
        <v>CNDT US Equity</v>
      </c>
      <c r="C258" t="str">
        <f>$C$84</f>
        <v>ES015</v>
      </c>
      <c r="D258" t="str">
        <f>$D$84</f>
        <v>RENEW_ENERGY_USE</v>
      </c>
      <c r="E258" t="str">
        <f>$E$84</f>
        <v>Dynamic</v>
      </c>
      <c r="F258" t="e">
        <f ca="1">_xll.BDH($B$84,$C$84,$B$163,$B$164,CONCATENATE("Per=",$B$161),"Dts=H","Dir=H",CONCATENATE("Points=",$B$162),"Sort=R","Days=A","Fill=B",CONCATENATE("FX=", $B$160) )</f>
        <v>#NAME?</v>
      </c>
      <c r="M258" t="str">
        <f>""</f>
        <v/>
      </c>
      <c r="N258" t="str">
        <f>""</f>
        <v/>
      </c>
      <c r="O258" t="str">
        <f>""</f>
        <v/>
      </c>
      <c r="P258" t="str">
        <f>""</f>
        <v/>
      </c>
      <c r="Q258" t="str">
        <f>""</f>
        <v/>
      </c>
      <c r="R258" t="str">
        <f>""</f>
        <v/>
      </c>
      <c r="S258" t="str">
        <f>""</f>
        <v/>
      </c>
    </row>
    <row r="259" spans="1:19" x14ac:dyDescent="0.25">
      <c r="A259" t="str">
        <f>$A$85</f>
        <v xml:space="preserve">    DXC Technology Co</v>
      </c>
      <c r="B259" t="str">
        <f>$B$85</f>
        <v>DXC US Equity</v>
      </c>
      <c r="C259" t="str">
        <f>$C$85</f>
        <v>ES015</v>
      </c>
      <c r="D259" t="str">
        <f>$D$85</f>
        <v>RENEW_ENERGY_USE</v>
      </c>
      <c r="E259" t="str">
        <f>$E$85</f>
        <v>Dynamic</v>
      </c>
      <c r="F259" t="e">
        <f ca="1">_xll.BDH($B$85,$C$85,$B$163,$B$164,CONCATENATE("Per=",$B$161),"Dts=H","Dir=H",CONCATENATE("Points=",$B$162),"Sort=R","Days=A","Fill=B",CONCATENATE("FX=", $B$160),"cols=7;rows=1")</f>
        <v>#NAME?</v>
      </c>
      <c r="G259">
        <v>317.601</v>
      </c>
      <c r="H259">
        <v>238.18700000000001</v>
      </c>
      <c r="M259" t="str">
        <f>""</f>
        <v/>
      </c>
      <c r="N259" t="str">
        <f>""</f>
        <v/>
      </c>
      <c r="O259" t="str">
        <f>""</f>
        <v/>
      </c>
      <c r="P259" t="str">
        <f>""</f>
        <v/>
      </c>
      <c r="Q259" t="str">
        <f>""</f>
        <v/>
      </c>
      <c r="R259" t="str">
        <f>""</f>
        <v/>
      </c>
      <c r="S259" t="str">
        <f>""</f>
        <v/>
      </c>
    </row>
    <row r="260" spans="1:19" x14ac:dyDescent="0.25">
      <c r="A260" t="str">
        <f>$A$86</f>
        <v xml:space="preserve">    EPAM Systems Inc</v>
      </c>
      <c r="B260" t="str">
        <f>$B$86</f>
        <v>EPAM US Equity</v>
      </c>
      <c r="C260" t="str">
        <f>$C$86</f>
        <v>ES015</v>
      </c>
      <c r="D260" t="str">
        <f>$D$86</f>
        <v>RENEW_ENERGY_USE</v>
      </c>
      <c r="E260" t="str">
        <f>$E$86</f>
        <v>Dynamic</v>
      </c>
      <c r="F260" t="e">
        <f ca="1">_xll.BDH($B$86,$C$86,$B$163,$B$164,CONCATENATE("Per=",$B$161),"Dts=H","Dir=H",CONCATENATE("Points=",$B$162),"Sort=R","Days=A","Fill=B",CONCATENATE("FX=", $B$160) )</f>
        <v>#NAME?</v>
      </c>
      <c r="M260" t="str">
        <f>""</f>
        <v/>
      </c>
      <c r="N260" t="str">
        <f>""</f>
        <v/>
      </c>
      <c r="O260" t="str">
        <f>""</f>
        <v/>
      </c>
      <c r="P260" t="str">
        <f>""</f>
        <v/>
      </c>
      <c r="Q260" t="str">
        <f>""</f>
        <v/>
      </c>
      <c r="R260" t="str">
        <f>""</f>
        <v/>
      </c>
      <c r="S260" t="str">
        <f>""</f>
        <v/>
      </c>
    </row>
    <row r="261" spans="1:19" x14ac:dyDescent="0.25">
      <c r="A261" t="str">
        <f>$A$87</f>
        <v xml:space="preserve">    Genpact Ltd</v>
      </c>
      <c r="B261" t="str">
        <f>$B$87</f>
        <v>G US Equity</v>
      </c>
      <c r="C261" t="str">
        <f>$C$87</f>
        <v>ES015</v>
      </c>
      <c r="D261" t="str">
        <f>$D$87</f>
        <v>RENEW_ENERGY_USE</v>
      </c>
      <c r="E261" t="str">
        <f>$E$87</f>
        <v>Dynamic</v>
      </c>
      <c r="F261" t="e">
        <f ca="1">_xll.BDH($B$87,$C$87,$B$163,$B$164,CONCATENATE("Per=",$B$161),"Dts=H","Dir=H",CONCATENATE("Points=",$B$162),"Sort=R","Days=A","Fill=B",CONCATENATE("FX=", $B$160),"cols=7;rows=1")</f>
        <v>#NAME?</v>
      </c>
      <c r="H261">
        <v>11.747999999999999</v>
      </c>
      <c r="I261">
        <v>4.5410000000000004</v>
      </c>
      <c r="M261" t="str">
        <f>""</f>
        <v/>
      </c>
      <c r="N261" t="str">
        <f>""</f>
        <v/>
      </c>
      <c r="O261" t="str">
        <f>""</f>
        <v/>
      </c>
      <c r="P261" t="str">
        <f>""</f>
        <v/>
      </c>
      <c r="Q261" t="str">
        <f>""</f>
        <v/>
      </c>
      <c r="R261" t="str">
        <f>""</f>
        <v/>
      </c>
      <c r="S261" t="str">
        <f>""</f>
        <v/>
      </c>
    </row>
    <row r="262" spans="1:19" x14ac:dyDescent="0.25">
      <c r="A262" t="str">
        <f>$A$88</f>
        <v xml:space="preserve">    HCL Technologies Ltd</v>
      </c>
      <c r="B262" t="str">
        <f>$B$88</f>
        <v>HCLT IN Equity</v>
      </c>
      <c r="C262" t="str">
        <f>$C$88</f>
        <v>ES015</v>
      </c>
      <c r="D262" t="str">
        <f>$D$88</f>
        <v>RENEW_ENERGY_USE</v>
      </c>
      <c r="E262" t="str">
        <f>$E$88</f>
        <v>Dynamic</v>
      </c>
      <c r="F262" t="e">
        <f ca="1">_xll.BDH($B$88,$C$88,$B$163,$B$164,CONCATENATE("Per=",$B$161),"Dts=H","Dir=H",CONCATENATE("Points=",$B$162),"Sort=R","Days=A","Fill=B",CONCATENATE("FX=", $B$160) )</f>
        <v>#NAME?</v>
      </c>
      <c r="M262" t="str">
        <f>""</f>
        <v/>
      </c>
      <c r="N262" t="str">
        <f>""</f>
        <v/>
      </c>
      <c r="O262" t="str">
        <f>""</f>
        <v/>
      </c>
      <c r="P262" t="str">
        <f>""</f>
        <v/>
      </c>
      <c r="Q262" t="str">
        <f>""</f>
        <v/>
      </c>
      <c r="R262" t="str">
        <f>""</f>
        <v/>
      </c>
      <c r="S262" t="str">
        <f>""</f>
        <v/>
      </c>
    </row>
    <row r="263" spans="1:19" x14ac:dyDescent="0.25">
      <c r="A263" t="str">
        <f>$A$89</f>
        <v xml:space="preserve">    Indra Sistemas SA</v>
      </c>
      <c r="B263" t="str">
        <f>$B$89</f>
        <v>IDR SM Equity</v>
      </c>
      <c r="C263" t="str">
        <f>$C$89</f>
        <v>ES015</v>
      </c>
      <c r="D263" t="str">
        <f>$D$89</f>
        <v>RENEW_ENERGY_USE</v>
      </c>
      <c r="E263" t="str">
        <f>$E$89</f>
        <v>Dynamic</v>
      </c>
      <c r="F263" t="e">
        <f ca="1">_xll.BDH($B$89,$C$89,$B$163,$B$164,CONCATENATE("Per=",$B$161),"Dts=H","Dir=H",CONCATENATE("Points=",$B$162),"Sort=R","Days=A","Fill=B",CONCATENATE("FX=", $B$160) )</f>
        <v>#NAME?</v>
      </c>
      <c r="M263" t="str">
        <f>""</f>
        <v/>
      </c>
      <c r="N263" t="str">
        <f>""</f>
        <v/>
      </c>
      <c r="O263" t="str">
        <f>""</f>
        <v/>
      </c>
      <c r="P263" t="str">
        <f>""</f>
        <v/>
      </c>
      <c r="Q263" t="str">
        <f>""</f>
        <v/>
      </c>
      <c r="R263" t="str">
        <f>""</f>
        <v/>
      </c>
      <c r="S263" t="str">
        <f>""</f>
        <v/>
      </c>
    </row>
    <row r="264" spans="1:19" x14ac:dyDescent="0.25">
      <c r="A264" t="str">
        <f>$A$90</f>
        <v xml:space="preserve">    Infosys Ltd</v>
      </c>
      <c r="B264" t="str">
        <f>$B$90</f>
        <v>INFY US Equity</v>
      </c>
      <c r="C264" t="str">
        <f>$C$90</f>
        <v>ES015</v>
      </c>
      <c r="D264" t="str">
        <f>$D$90</f>
        <v>RENEW_ENERGY_USE</v>
      </c>
      <c r="E264" t="str">
        <f>$E$90</f>
        <v>Dynamic</v>
      </c>
      <c r="F264" t="e">
        <f ca="1">_xll.BDH($B$90,$C$90,$B$163,$B$164,CONCATENATE("Per=",$B$161),"Dts=H","Dir=H",CONCATENATE("Points=",$B$162),"Sort=R","Days=A","Fill=B",CONCATENATE("FX=", $B$160),"cols=7;rows=1")</f>
        <v>#NAME?</v>
      </c>
      <c r="G264">
        <v>125.60899999999999</v>
      </c>
      <c r="H264">
        <v>113.07299999999999</v>
      </c>
      <c r="I264">
        <v>118.90300000000001</v>
      </c>
      <c r="J264">
        <v>69.802999999999997</v>
      </c>
      <c r="K264">
        <v>74.986000000000004</v>
      </c>
      <c r="L264">
        <v>75.674000000000007</v>
      </c>
      <c r="M264" t="str">
        <f>""</f>
        <v/>
      </c>
      <c r="N264" t="str">
        <f>""</f>
        <v/>
      </c>
      <c r="O264" t="str">
        <f>""</f>
        <v/>
      </c>
      <c r="P264" t="str">
        <f>""</f>
        <v/>
      </c>
      <c r="Q264" t="str">
        <f>""</f>
        <v/>
      </c>
      <c r="R264" t="str">
        <f>""</f>
        <v/>
      </c>
      <c r="S264" t="str">
        <f>""</f>
        <v/>
      </c>
    </row>
    <row r="265" spans="1:19" x14ac:dyDescent="0.25">
      <c r="A265" t="str">
        <f>$A$91</f>
        <v xml:space="preserve">    International Business Machines Corp</v>
      </c>
      <c r="B265" t="str">
        <f>$B$91</f>
        <v>IBM US Equity</v>
      </c>
      <c r="C265" t="str">
        <f>$C$91</f>
        <v>ES015</v>
      </c>
      <c r="D265" t="str">
        <f>$D$91</f>
        <v>RENEW_ENERGY_USE</v>
      </c>
      <c r="E265" t="str">
        <f>$E$91</f>
        <v>Dynamic</v>
      </c>
      <c r="F265" t="e">
        <f ca="1">_xll.BDH($B$91,$C$91,$B$163,$B$164,CONCATENATE("Per=",$B$161),"Dts=H","Dir=H",CONCATENATE("Points=",$B$162),"Sort=R","Days=A","Fill=B",CONCATENATE("FX=", $B$160),"cols=7;rows=1")</f>
        <v>#NAME?</v>
      </c>
      <c r="G265">
        <v>1520.42</v>
      </c>
      <c r="H265">
        <v>778.85900000000004</v>
      </c>
      <c r="I265">
        <v>783</v>
      </c>
      <c r="J265">
        <v>679.23199999999997</v>
      </c>
      <c r="K265">
        <v>683.29399999999998</v>
      </c>
      <c r="L265">
        <v>579.67899999999997</v>
      </c>
      <c r="M265" t="str">
        <f>""</f>
        <v/>
      </c>
      <c r="N265" t="str">
        <f>""</f>
        <v/>
      </c>
      <c r="O265" t="str">
        <f>""</f>
        <v/>
      </c>
      <c r="P265" t="str">
        <f>""</f>
        <v/>
      </c>
      <c r="Q265" t="str">
        <f>""</f>
        <v/>
      </c>
      <c r="R265" t="str">
        <f>""</f>
        <v/>
      </c>
      <c r="S265" t="str">
        <f>""</f>
        <v/>
      </c>
    </row>
    <row r="266" spans="1:19" x14ac:dyDescent="0.25">
      <c r="A266" t="str">
        <f>$A$92</f>
        <v xml:space="preserve">    Tata Consultancy Services Ltd</v>
      </c>
      <c r="B266" t="str">
        <f>$B$92</f>
        <v>TCS IN Equity</v>
      </c>
      <c r="C266" t="str">
        <f>$C$92</f>
        <v>ES015</v>
      </c>
      <c r="D266" t="str">
        <f>$D$92</f>
        <v>RENEW_ENERGY_USE</v>
      </c>
      <c r="E266" t="str">
        <f>$E$92</f>
        <v>Dynamic</v>
      </c>
      <c r="F266" t="e">
        <f ca="1">_xll.BDH($B$92,$C$92,$B$163,$B$164,CONCATENATE("Per=",$B$161),"Dts=H","Dir=H",CONCATENATE("Points=",$B$162),"Sort=R","Days=A","Fill=B",CONCATENATE("FX=", $B$160),"cols=7;rows=1")</f>
        <v>#NAME?</v>
      </c>
      <c r="H266">
        <v>50.277999999999999</v>
      </c>
      <c r="I266">
        <v>46.319000000000003</v>
      </c>
      <c r="J266">
        <v>18.599</v>
      </c>
      <c r="K266">
        <v>14.736000000000001</v>
      </c>
      <c r="L266">
        <v>11.456</v>
      </c>
      <c r="M266" t="str">
        <f>""</f>
        <v/>
      </c>
      <c r="N266" t="str">
        <f>""</f>
        <v/>
      </c>
      <c r="O266" t="str">
        <f>""</f>
        <v/>
      </c>
      <c r="P266" t="str">
        <f>""</f>
        <v/>
      </c>
      <c r="Q266" t="str">
        <f>""</f>
        <v/>
      </c>
      <c r="R266" t="str">
        <f>""</f>
        <v/>
      </c>
      <c r="S266" t="str">
        <f>""</f>
        <v/>
      </c>
    </row>
    <row r="267" spans="1:19" x14ac:dyDescent="0.25">
      <c r="A267" t="str">
        <f>$A$93</f>
        <v xml:space="preserve">    Tech Mahindra Ltd</v>
      </c>
      <c r="B267" t="str">
        <f>$B$93</f>
        <v>TECHM IN Equity</v>
      </c>
      <c r="C267" t="str">
        <f>$C$93</f>
        <v>ES015</v>
      </c>
      <c r="D267" t="str">
        <f>$D$93</f>
        <v>RENEW_ENERGY_USE</v>
      </c>
      <c r="E267" t="str">
        <f>$E$93</f>
        <v>Dynamic</v>
      </c>
      <c r="F267" t="e">
        <f ca="1">_xll.BDH($B$93,$C$93,$B$163,$B$164,CONCATENATE("Per=",$B$161),"Dts=H","Dir=H",CONCATENATE("Points=",$B$162),"Sort=R","Days=A","Fill=B",CONCATENATE("FX=", $B$160),"cols=7;rows=1")</f>
        <v>#NAME?</v>
      </c>
      <c r="G267">
        <v>24.045000000000002</v>
      </c>
      <c r="M267" t="str">
        <f>""</f>
        <v/>
      </c>
      <c r="N267" t="str">
        <f>""</f>
        <v/>
      </c>
      <c r="O267" t="str">
        <f>""</f>
        <v/>
      </c>
      <c r="P267" t="str">
        <f>""</f>
        <v/>
      </c>
      <c r="Q267" t="str">
        <f>""</f>
        <v/>
      </c>
      <c r="R267" t="str">
        <f>""</f>
        <v/>
      </c>
      <c r="S267" t="str">
        <f>""</f>
        <v/>
      </c>
    </row>
    <row r="268" spans="1:19" x14ac:dyDescent="0.25">
      <c r="A268" t="str">
        <f>$A$94</f>
        <v xml:space="preserve">    Wipro Ltd</v>
      </c>
      <c r="B268" t="str">
        <f>$B$94</f>
        <v>WIT US Equity</v>
      </c>
      <c r="C268" t="str">
        <f>$C$94</f>
        <v>ES015</v>
      </c>
      <c r="D268" t="str">
        <f>$D$94</f>
        <v>RENEW_ENERGY_USE</v>
      </c>
      <c r="E268" t="str">
        <f>$E$94</f>
        <v>Dynamic</v>
      </c>
      <c r="F268" t="e">
        <f ca="1">_xll.BDH($B$94,$C$94,$B$163,$B$164,CONCATENATE("Per=",$B$161),"Dts=H","Dir=H",CONCATENATE("Points=",$B$162),"Sort=R","Days=A","Fill=B",CONCATENATE("FX=", $B$160),"cols=7;rows=1")</f>
        <v>#NAME?</v>
      </c>
      <c r="H268">
        <v>93.335999999999999</v>
      </c>
      <c r="I268">
        <v>77.933000000000007</v>
      </c>
      <c r="J268">
        <v>77.447000000000003</v>
      </c>
      <c r="K268">
        <v>67.293999999999997</v>
      </c>
      <c r="L268">
        <v>70.933999999999997</v>
      </c>
      <c r="M268" t="str">
        <f>""</f>
        <v/>
      </c>
      <c r="N268" t="str">
        <f>""</f>
        <v/>
      </c>
      <c r="O268" t="str">
        <f>""</f>
        <v/>
      </c>
      <c r="P268" t="str">
        <f>""</f>
        <v/>
      </c>
      <c r="Q268" t="str">
        <f>""</f>
        <v/>
      </c>
      <c r="R268" t="str">
        <f>""</f>
        <v/>
      </c>
      <c r="S268" t="str">
        <f>""</f>
        <v/>
      </c>
    </row>
    <row r="269" spans="1:19" x14ac:dyDescent="0.25">
      <c r="A269" t="str">
        <f>$A$97</f>
        <v xml:space="preserve">    Accenture PLC</v>
      </c>
      <c r="B269" t="str">
        <f>$B$97</f>
        <v>ACN US Equity</v>
      </c>
      <c r="C269" t="str">
        <f>$C$97</f>
        <v>ES014</v>
      </c>
      <c r="D269" t="str">
        <f>$D$97</f>
        <v>ENERGY_CONSUMPTION</v>
      </c>
      <c r="E269" t="str">
        <f>$E$97</f>
        <v>Dynamic</v>
      </c>
      <c r="F269" t="e">
        <f ca="1">_xll.BDH($B$97,$C$97,$B$163,$B$164,CONCATENATE("Per=",$B$161),"Dts=H","Dir=H",CONCATENATE("Points=",$B$162),"Sort=R","Days=A","Fill=B",CONCATENATE("FX=", $B$160),"cols=7;rows=1")</f>
        <v>#NAME?</v>
      </c>
      <c r="G269">
        <v>489.08</v>
      </c>
      <c r="H269">
        <v>499.048</v>
      </c>
      <c r="I269">
        <v>512.29</v>
      </c>
      <c r="J269">
        <v>469.30599999999998</v>
      </c>
      <c r="K269">
        <v>436.31599999999997</v>
      </c>
      <c r="L269">
        <v>413.30399999999997</v>
      </c>
      <c r="M269" t="str">
        <f>""</f>
        <v/>
      </c>
      <c r="N269" t="str">
        <f>""</f>
        <v/>
      </c>
      <c r="O269" t="str">
        <f>""</f>
        <v/>
      </c>
      <c r="P269" t="str">
        <f>""</f>
        <v/>
      </c>
      <c r="Q269" t="str">
        <f>""</f>
        <v/>
      </c>
      <c r="R269" t="str">
        <f>""</f>
        <v/>
      </c>
      <c r="S269" t="str">
        <f>""</f>
        <v/>
      </c>
    </row>
    <row r="270" spans="1:19" x14ac:dyDescent="0.25">
      <c r="A270" t="str">
        <f>$A$98</f>
        <v xml:space="preserve">    Amdocs Ltd</v>
      </c>
      <c r="B270" t="str">
        <f>$B$98</f>
        <v>DOX US Equity</v>
      </c>
      <c r="C270" t="str">
        <f>$C$98</f>
        <v>ES014</v>
      </c>
      <c r="D270" t="str">
        <f>$D$98</f>
        <v>ENERGY_CONSUMPTION</v>
      </c>
      <c r="E270" t="str">
        <f>$E$98</f>
        <v>Dynamic</v>
      </c>
      <c r="F270" t="e">
        <f ca="1">_xll.BDH($B$98,$C$98,$B$163,$B$164,CONCATENATE("Per=",$B$161),"Dts=H","Dir=H",CONCATENATE("Points=",$B$162),"Sort=R","Days=A","Fill=B",CONCATENATE("FX=", $B$160) )</f>
        <v>#NAME?</v>
      </c>
      <c r="M270" t="str">
        <f>""</f>
        <v/>
      </c>
      <c r="N270" t="str">
        <f>""</f>
        <v/>
      </c>
      <c r="O270" t="str">
        <f>""</f>
        <v/>
      </c>
      <c r="P270" t="str">
        <f>""</f>
        <v/>
      </c>
      <c r="Q270" t="str">
        <f>""</f>
        <v/>
      </c>
      <c r="R270" t="str">
        <f>""</f>
        <v/>
      </c>
      <c r="S270" t="str">
        <f>""</f>
        <v/>
      </c>
    </row>
    <row r="271" spans="1:19" x14ac:dyDescent="0.25">
      <c r="A271" t="str">
        <f>$A$99</f>
        <v xml:space="preserve">    Atos SE</v>
      </c>
      <c r="B271" t="str">
        <f>$B$99</f>
        <v>ATO FP Equity</v>
      </c>
      <c r="C271" t="str">
        <f>$C$99</f>
        <v>ES014</v>
      </c>
      <c r="D271" t="str">
        <f>$D$99</f>
        <v>ENERGY_CONSUMPTION</v>
      </c>
      <c r="E271" t="str">
        <f>$E$99</f>
        <v>Dynamic</v>
      </c>
      <c r="F271" t="e">
        <f ca="1">_xll.BDH($B$99,$C$99,$B$163,$B$164,CONCATENATE("Per=",$B$161),"Dts=H","Dir=H",CONCATENATE("Points=",$B$162),"Sort=R","Days=A","Fill=B",CONCATENATE("FX=", $B$160),"cols=7;rows=1")</f>
        <v>#NAME?</v>
      </c>
      <c r="G271">
        <v>748.26800000000003</v>
      </c>
      <c r="H271">
        <v>774.88900000000001</v>
      </c>
      <c r="I271">
        <v>763.40200000000004</v>
      </c>
      <c r="J271">
        <v>622.42100000000005</v>
      </c>
      <c r="K271">
        <v>575.69000000000005</v>
      </c>
      <c r="L271">
        <v>611.28</v>
      </c>
      <c r="M271" t="str">
        <f>""</f>
        <v/>
      </c>
      <c r="N271" t="str">
        <f>""</f>
        <v/>
      </c>
      <c r="O271" t="str">
        <f>""</f>
        <v/>
      </c>
      <c r="P271" t="str">
        <f>""</f>
        <v/>
      </c>
      <c r="Q271" t="str">
        <f>""</f>
        <v/>
      </c>
      <c r="R271" t="str">
        <f>""</f>
        <v/>
      </c>
      <c r="S271" t="str">
        <f>""</f>
        <v/>
      </c>
    </row>
    <row r="272" spans="1:19" x14ac:dyDescent="0.25">
      <c r="A272" t="str">
        <f>$A$100</f>
        <v xml:space="preserve">    Capgemini SE</v>
      </c>
      <c r="B272" t="str">
        <f>$B$100</f>
        <v>CAP FP Equity</v>
      </c>
      <c r="C272" t="str">
        <f>$C$100</f>
        <v>ES014</v>
      </c>
      <c r="D272" t="str">
        <f>$D$100</f>
        <v>ENERGY_CONSUMPTION</v>
      </c>
      <c r="E272" t="str">
        <f>$E$100</f>
        <v>Dynamic</v>
      </c>
      <c r="F272" t="e">
        <f ca="1">_xll.BDH($B$100,$C$100,$B$163,$B$164,CONCATENATE("Per=",$B$161),"Dts=H","Dir=H",CONCATENATE("Points=",$B$162),"Sort=R","Days=A","Fill=B",CONCATENATE("FX=", $B$160),"cols=7;rows=1")</f>
        <v>#NAME?</v>
      </c>
      <c r="G272">
        <v>380.15</v>
      </c>
      <c r="H272">
        <v>412.31299999999999</v>
      </c>
      <c r="I272">
        <v>418.43200000000002</v>
      </c>
      <c r="J272">
        <v>432.71600000000001</v>
      </c>
      <c r="K272">
        <v>376.66800000000001</v>
      </c>
      <c r="L272">
        <v>392.51100000000002</v>
      </c>
      <c r="M272" t="str">
        <f>""</f>
        <v/>
      </c>
      <c r="N272" t="str">
        <f>""</f>
        <v/>
      </c>
      <c r="O272" t="str">
        <f>""</f>
        <v/>
      </c>
      <c r="P272" t="str">
        <f>""</f>
        <v/>
      </c>
      <c r="Q272" t="str">
        <f>""</f>
        <v/>
      </c>
      <c r="R272" t="str">
        <f>""</f>
        <v/>
      </c>
      <c r="S272" t="str">
        <f>""</f>
        <v/>
      </c>
    </row>
    <row r="273" spans="1:19" x14ac:dyDescent="0.25">
      <c r="A273" t="str">
        <f>$A$101</f>
        <v xml:space="preserve">    CGI Inc</v>
      </c>
      <c r="B273" t="str">
        <f>$B$101</f>
        <v>GIB US Equity</v>
      </c>
      <c r="C273" t="str">
        <f>$C$101</f>
        <v>ES014</v>
      </c>
      <c r="D273" t="str">
        <f>$D$101</f>
        <v>ENERGY_CONSUMPTION</v>
      </c>
      <c r="E273" t="str">
        <f>$E$101</f>
        <v>Dynamic</v>
      </c>
      <c r="F273" t="e">
        <f ca="1">_xll.BDH($B$101,$C$101,$B$163,$B$164,CONCATENATE("Per=",$B$161),"Dts=H","Dir=H",CONCATENATE("Points=",$B$162),"Sort=R","Days=A","Fill=B",CONCATENATE("FX=", $B$160),"cols=7;rows=1")</f>
        <v>#NAME?</v>
      </c>
      <c r="K273">
        <v>303.99299999999999</v>
      </c>
      <c r="L273">
        <v>325.30700000000002</v>
      </c>
      <c r="M273" t="str">
        <f>""</f>
        <v/>
      </c>
      <c r="N273" t="str">
        <f>""</f>
        <v/>
      </c>
      <c r="O273" t="str">
        <f>""</f>
        <v/>
      </c>
      <c r="P273" t="str">
        <f>""</f>
        <v/>
      </c>
      <c r="Q273" t="str">
        <f>""</f>
        <v/>
      </c>
      <c r="R273" t="str">
        <f>""</f>
        <v/>
      </c>
      <c r="S273" t="str">
        <f>""</f>
        <v/>
      </c>
    </row>
    <row r="274" spans="1:19" x14ac:dyDescent="0.25">
      <c r="A274" t="str">
        <f>$A$102</f>
        <v xml:space="preserve">    Cognizant Technology Solutions Corp</v>
      </c>
      <c r="B274" t="str">
        <f>$B$102</f>
        <v>CTSH US Equity</v>
      </c>
      <c r="C274" t="str">
        <f>$C$102</f>
        <v>ES014</v>
      </c>
      <c r="D274" t="str">
        <f>$D$102</f>
        <v>ENERGY_CONSUMPTION</v>
      </c>
      <c r="E274" t="str">
        <f>$E$102</f>
        <v>Dynamic</v>
      </c>
      <c r="F274" t="e">
        <f ca="1">_xll.BDH($B$102,$C$102,$B$163,$B$164,CONCATENATE("Per=",$B$161),"Dts=H","Dir=H",CONCATENATE("Points=",$B$162),"Sort=R","Days=A","Fill=B",CONCATENATE("FX=", $B$160),"cols=7;rows=1")</f>
        <v>#NAME?</v>
      </c>
      <c r="I274">
        <v>67.454999999999998</v>
      </c>
      <c r="J274">
        <v>300.61399999999998</v>
      </c>
      <c r="K274">
        <v>301.017</v>
      </c>
      <c r="L274">
        <v>259.06200000000001</v>
      </c>
      <c r="M274" t="str">
        <f>""</f>
        <v/>
      </c>
      <c r="N274" t="str">
        <f>""</f>
        <v/>
      </c>
      <c r="O274" t="str">
        <f>""</f>
        <v/>
      </c>
      <c r="P274" t="str">
        <f>""</f>
        <v/>
      </c>
      <c r="Q274" t="str">
        <f>""</f>
        <v/>
      </c>
      <c r="R274" t="str">
        <f>""</f>
        <v/>
      </c>
      <c r="S274" t="str">
        <f>""</f>
        <v/>
      </c>
    </row>
    <row r="275" spans="1:19" x14ac:dyDescent="0.25">
      <c r="A275" t="str">
        <f>$A$103</f>
        <v xml:space="preserve">    Conduent Inc</v>
      </c>
      <c r="B275" t="str">
        <f>$B$103</f>
        <v>CNDT US Equity</v>
      </c>
      <c r="C275" t="str">
        <f>$C$103</f>
        <v>ES014</v>
      </c>
      <c r="D275" t="str">
        <f>$D$103</f>
        <v>ENERGY_CONSUMPTION</v>
      </c>
      <c r="E275" t="str">
        <f>$E$103</f>
        <v>Dynamic</v>
      </c>
      <c r="F275" t="e">
        <f ca="1">_xll.BDH($B$103,$C$103,$B$163,$B$164,CONCATENATE("Per=",$B$161),"Dts=H","Dir=H",CONCATENATE("Points=",$B$162),"Sort=R","Days=A","Fill=B",CONCATENATE("FX=", $B$160) )</f>
        <v>#NAME?</v>
      </c>
      <c r="M275" t="str">
        <f>""</f>
        <v/>
      </c>
      <c r="N275" t="str">
        <f>""</f>
        <v/>
      </c>
      <c r="O275" t="str">
        <f>""</f>
        <v/>
      </c>
      <c r="P275" t="str">
        <f>""</f>
        <v/>
      </c>
      <c r="Q275" t="str">
        <f>""</f>
        <v/>
      </c>
      <c r="R275" t="str">
        <f>""</f>
        <v/>
      </c>
      <c r="S275" t="str">
        <f>""</f>
        <v/>
      </c>
    </row>
    <row r="276" spans="1:19" x14ac:dyDescent="0.25">
      <c r="A276" t="str">
        <f>$A$104</f>
        <v xml:space="preserve">    DXC Technology Co</v>
      </c>
      <c r="B276" t="str">
        <f>$B$104</f>
        <v>DXC US Equity</v>
      </c>
      <c r="C276" t="str">
        <f>$C$104</f>
        <v>ES014</v>
      </c>
      <c r="D276" t="str">
        <f>$D$104</f>
        <v>ENERGY_CONSUMPTION</v>
      </c>
      <c r="E276" t="str">
        <f>$E$104</f>
        <v>Dynamic</v>
      </c>
      <c r="F276" t="e">
        <f ca="1">_xll.BDH($B$104,$C$104,$B$163,$B$164,CONCATENATE("Per=",$B$161),"Dts=H","Dir=H",CONCATENATE("Points=",$B$162),"Sort=R","Days=A","Fill=B",CONCATENATE("FX=", $B$160),"cols=7;rows=1")</f>
        <v>#NAME?</v>
      </c>
      <c r="G276">
        <v>1867.92</v>
      </c>
      <c r="H276">
        <v>2184.91</v>
      </c>
      <c r="M276" t="str">
        <f>""</f>
        <v/>
      </c>
      <c r="N276" t="str">
        <f>""</f>
        <v/>
      </c>
      <c r="O276" t="str">
        <f>""</f>
        <v/>
      </c>
      <c r="P276" t="str">
        <f>""</f>
        <v/>
      </c>
      <c r="Q276" t="str">
        <f>""</f>
        <v/>
      </c>
      <c r="R276" t="str">
        <f>""</f>
        <v/>
      </c>
      <c r="S276" t="str">
        <f>""</f>
        <v/>
      </c>
    </row>
    <row r="277" spans="1:19" x14ac:dyDescent="0.25">
      <c r="A277" t="str">
        <f>$A$105</f>
        <v xml:space="preserve">    EPAM Systems Inc</v>
      </c>
      <c r="B277" t="str">
        <f>$B$105</f>
        <v>EPAM US Equity</v>
      </c>
      <c r="C277" t="str">
        <f>$C$105</f>
        <v>ES014</v>
      </c>
      <c r="D277" t="str">
        <f>$D$105</f>
        <v>ENERGY_CONSUMPTION</v>
      </c>
      <c r="E277" t="str">
        <f>$E$105</f>
        <v>Dynamic</v>
      </c>
      <c r="F277" t="e">
        <f ca="1">_xll.BDH($B$105,$C$105,$B$163,$B$164,CONCATENATE("Per=",$B$161),"Dts=H","Dir=H",CONCATENATE("Points=",$B$162),"Sort=R","Days=A","Fill=B",CONCATENATE("FX=", $B$160) )</f>
        <v>#NAME?</v>
      </c>
      <c r="M277" t="str">
        <f>""</f>
        <v/>
      </c>
      <c r="N277" t="str">
        <f>""</f>
        <v/>
      </c>
      <c r="O277" t="str">
        <f>""</f>
        <v/>
      </c>
      <c r="P277" t="str">
        <f>""</f>
        <v/>
      </c>
      <c r="Q277" t="str">
        <f>""</f>
        <v/>
      </c>
      <c r="R277" t="str">
        <f>""</f>
        <v/>
      </c>
      <c r="S277" t="str">
        <f>""</f>
        <v/>
      </c>
    </row>
    <row r="278" spans="1:19" x14ac:dyDescent="0.25">
      <c r="A278" t="str">
        <f>$A$106</f>
        <v xml:space="preserve">    Genpact Ltd</v>
      </c>
      <c r="B278" t="str">
        <f>$B$106</f>
        <v>G US Equity</v>
      </c>
      <c r="C278" t="str">
        <f>$C$106</f>
        <v>ES014</v>
      </c>
      <c r="D278" t="str">
        <f>$D$106</f>
        <v>ENERGY_CONSUMPTION</v>
      </c>
      <c r="E278" t="str">
        <f>$E$106</f>
        <v>Dynamic</v>
      </c>
      <c r="F278" t="e">
        <f ca="1">_xll.BDH($B$106,$C$106,$B$163,$B$164,CONCATENATE("Per=",$B$161),"Dts=H","Dir=H",CONCATENATE("Points=",$B$162),"Sort=R","Days=A","Fill=B",CONCATENATE("FX=", $B$160),"cols=7;rows=1")</f>
        <v>#NAME?</v>
      </c>
      <c r="H278">
        <v>102.736</v>
      </c>
      <c r="I278">
        <v>94.293000000000006</v>
      </c>
      <c r="J278">
        <v>98.903999999999996</v>
      </c>
      <c r="L278">
        <v>90.778000000000006</v>
      </c>
      <c r="M278" t="str">
        <f>""</f>
        <v/>
      </c>
      <c r="N278" t="str">
        <f>""</f>
        <v/>
      </c>
      <c r="O278" t="str">
        <f>""</f>
        <v/>
      </c>
      <c r="P278" t="str">
        <f>""</f>
        <v/>
      </c>
      <c r="Q278" t="str">
        <f>""</f>
        <v/>
      </c>
      <c r="R278" t="str">
        <f>""</f>
        <v/>
      </c>
      <c r="S278" t="str">
        <f>""</f>
        <v/>
      </c>
    </row>
    <row r="279" spans="1:19" x14ac:dyDescent="0.25">
      <c r="A279" t="str">
        <f>$A$107</f>
        <v xml:space="preserve">    HCL Technologies Ltd</v>
      </c>
      <c r="B279" t="str">
        <f>$B$107</f>
        <v>HCLT IN Equity</v>
      </c>
      <c r="C279" t="str">
        <f>$C$107</f>
        <v>ES014</v>
      </c>
      <c r="D279" t="str">
        <f>$D$107</f>
        <v>ENERGY_CONSUMPTION</v>
      </c>
      <c r="E279" t="str">
        <f>$E$107</f>
        <v>Dynamic</v>
      </c>
      <c r="F279" t="e">
        <f ca="1">_xll.BDH($B$107,$C$107,$B$163,$B$164,CONCATENATE("Per=",$B$161),"Dts=H","Dir=H",CONCATENATE("Points=",$B$162),"Sort=R","Days=A","Fill=B",CONCATENATE("FX=", $B$160),"cols=7;rows=1")</f>
        <v>#NAME?</v>
      </c>
      <c r="J279">
        <v>296.512</v>
      </c>
      <c r="L279">
        <v>309.26</v>
      </c>
      <c r="M279" t="str">
        <f>""</f>
        <v/>
      </c>
      <c r="N279" t="str">
        <f>""</f>
        <v/>
      </c>
      <c r="O279" t="str">
        <f>""</f>
        <v/>
      </c>
      <c r="P279" t="str">
        <f>""</f>
        <v/>
      </c>
      <c r="Q279" t="str">
        <f>""</f>
        <v/>
      </c>
      <c r="R279" t="str">
        <f>""</f>
        <v/>
      </c>
      <c r="S279" t="str">
        <f>""</f>
        <v/>
      </c>
    </row>
    <row r="280" spans="1:19" x14ac:dyDescent="0.25">
      <c r="A280" t="str">
        <f>$A$108</f>
        <v xml:space="preserve">    Indra Sistemas SA</v>
      </c>
      <c r="B280" t="str">
        <f>$B$108</f>
        <v>IDR SM Equity</v>
      </c>
      <c r="C280" t="str">
        <f>$C$108</f>
        <v>ES014</v>
      </c>
      <c r="D280" t="str">
        <f>$D$108</f>
        <v>ENERGY_CONSUMPTION</v>
      </c>
      <c r="E280" t="str">
        <f>$E$108</f>
        <v>Dynamic</v>
      </c>
      <c r="F280" t="e">
        <f ca="1">_xll.BDH($B$108,$C$108,$B$163,$B$164,CONCATENATE("Per=",$B$161),"Dts=H","Dir=H",CONCATENATE("Points=",$B$162),"Sort=R","Days=A","Fill=B",CONCATENATE("FX=", $B$160),"cols=7;rows=1")</f>
        <v>#NAME?</v>
      </c>
      <c r="G280">
        <v>82.207999999999998</v>
      </c>
      <c r="H280">
        <v>76.081999999999994</v>
      </c>
      <c r="I280">
        <v>77.637</v>
      </c>
      <c r="J280">
        <v>86.152000000000001</v>
      </c>
      <c r="K280">
        <v>91.710999999999999</v>
      </c>
      <c r="L280">
        <v>104.852</v>
      </c>
      <c r="M280" t="str">
        <f>""</f>
        <v/>
      </c>
      <c r="N280" t="str">
        <f>""</f>
        <v/>
      </c>
      <c r="O280" t="str">
        <f>""</f>
        <v/>
      </c>
      <c r="P280" t="str">
        <f>""</f>
        <v/>
      </c>
      <c r="Q280" t="str">
        <f>""</f>
        <v/>
      </c>
      <c r="R280" t="str">
        <f>""</f>
        <v/>
      </c>
      <c r="S280" t="str">
        <f>""</f>
        <v/>
      </c>
    </row>
    <row r="281" spans="1:19" x14ac:dyDescent="0.25">
      <c r="A281" t="str">
        <f>$A$109</f>
        <v xml:space="preserve">    Infosys Ltd</v>
      </c>
      <c r="B281" t="str">
        <f>$B$109</f>
        <v>INFY US Equity</v>
      </c>
      <c r="C281" t="str">
        <f>$C$109</f>
        <v>ES014</v>
      </c>
      <c r="D281" t="str">
        <f>$D$109</f>
        <v>ENERGY_CONSUMPTION</v>
      </c>
      <c r="E281" t="str">
        <f>$E$109</f>
        <v>Dynamic</v>
      </c>
      <c r="F281" t="e">
        <f ca="1">_xll.BDH($B$109,$C$109,$B$163,$B$164,CONCATENATE("Per=",$B$161),"Dts=H","Dir=H",CONCATENATE("Points=",$B$162),"Sort=R","Days=A","Fill=B",CONCATENATE("FX=", $B$160),"cols=7;rows=1")</f>
        <v>#NAME?</v>
      </c>
      <c r="G281">
        <v>278.70400000000001</v>
      </c>
      <c r="H281">
        <v>263.48200000000003</v>
      </c>
      <c r="I281">
        <v>266.57299999999998</v>
      </c>
      <c r="J281">
        <v>265.89299999999997</v>
      </c>
      <c r="K281">
        <v>257.57600000000002</v>
      </c>
      <c r="L281">
        <v>284.41000000000003</v>
      </c>
      <c r="M281" t="str">
        <f>""</f>
        <v/>
      </c>
      <c r="N281" t="str">
        <f>""</f>
        <v/>
      </c>
      <c r="O281" t="str">
        <f>""</f>
        <v/>
      </c>
      <c r="P281" t="str">
        <f>""</f>
        <v/>
      </c>
      <c r="Q281" t="str">
        <f>""</f>
        <v/>
      </c>
      <c r="R281" t="str">
        <f>""</f>
        <v/>
      </c>
      <c r="S281" t="str">
        <f>""</f>
        <v/>
      </c>
    </row>
    <row r="282" spans="1:19" x14ac:dyDescent="0.25">
      <c r="A282" t="str">
        <f>$A$110</f>
        <v xml:space="preserve">    International Business Machines Corp</v>
      </c>
      <c r="B282" t="str">
        <f>$B$110</f>
        <v>IBM US Equity</v>
      </c>
      <c r="C282" t="str">
        <f>$C$110</f>
        <v>ES014</v>
      </c>
      <c r="D282" t="str">
        <f>$D$110</f>
        <v>ENERGY_CONSUMPTION</v>
      </c>
      <c r="E282" t="str">
        <f>$E$110</f>
        <v>Dynamic</v>
      </c>
      <c r="F282" t="e">
        <f ca="1">_xll.BDH($B$110,$C$110,$B$163,$B$164,CONCATENATE("Per=",$B$161),"Dts=H","Dir=H",CONCATENATE("Points=",$B$162),"Sort=R","Days=A","Fill=B",CONCATENATE("FX=", $B$160),"cols=7;rows=1")</f>
        <v>#NAME?</v>
      </c>
      <c r="G282">
        <v>4666.51</v>
      </c>
      <c r="H282">
        <v>4192.5200000000004</v>
      </c>
      <c r="I282">
        <v>4373.54</v>
      </c>
      <c r="J282">
        <v>5375.73</v>
      </c>
      <c r="K282">
        <v>6173.4</v>
      </c>
      <c r="L282">
        <v>6297.3</v>
      </c>
      <c r="M282" t="str">
        <f>""</f>
        <v/>
      </c>
      <c r="N282" t="str">
        <f>""</f>
        <v/>
      </c>
      <c r="O282" t="str">
        <f>""</f>
        <v/>
      </c>
      <c r="P282" t="str">
        <f>""</f>
        <v/>
      </c>
      <c r="Q282" t="str">
        <f>""</f>
        <v/>
      </c>
      <c r="R282" t="str">
        <f>""</f>
        <v/>
      </c>
      <c r="S282" t="str">
        <f>""</f>
        <v/>
      </c>
    </row>
    <row r="283" spans="1:19" x14ac:dyDescent="0.25">
      <c r="A283" t="str">
        <f>$A$111</f>
        <v xml:space="preserve">    Tata Consultancy Services Ltd</v>
      </c>
      <c r="B283" t="str">
        <f>$B$111</f>
        <v>TCS IN Equity</v>
      </c>
      <c r="C283" t="str">
        <f>$C$111</f>
        <v>ES014</v>
      </c>
      <c r="D283" t="str">
        <f>$D$111</f>
        <v>ENERGY_CONSUMPTION</v>
      </c>
      <c r="E283" t="str">
        <f>$E$111</f>
        <v>Dynamic</v>
      </c>
      <c r="F283" t="e">
        <f ca="1">_xll.BDH($B$111,$C$111,$B$163,$B$164,CONCATENATE("Per=",$B$161),"Dts=H","Dir=H",CONCATENATE("Points=",$B$162),"Sort=R","Days=A","Fill=B",CONCATENATE("FX=", $B$160),"cols=7;rows=1")</f>
        <v>#NAME?</v>
      </c>
      <c r="H283">
        <v>1206.1099999999999</v>
      </c>
      <c r="I283">
        <v>638.88900000000001</v>
      </c>
      <c r="J283">
        <v>669.37599999999998</v>
      </c>
      <c r="K283">
        <v>692.36800000000005</v>
      </c>
      <c r="L283">
        <v>610.78700000000003</v>
      </c>
      <c r="M283" t="str">
        <f>""</f>
        <v/>
      </c>
      <c r="N283" t="str">
        <f>""</f>
        <v/>
      </c>
      <c r="O283" t="str">
        <f>""</f>
        <v/>
      </c>
      <c r="P283" t="str">
        <f>""</f>
        <v/>
      </c>
      <c r="Q283" t="str">
        <f>""</f>
        <v/>
      </c>
      <c r="R283" t="str">
        <f>""</f>
        <v/>
      </c>
      <c r="S283" t="str">
        <f>""</f>
        <v/>
      </c>
    </row>
    <row r="284" spans="1:19" x14ac:dyDescent="0.25">
      <c r="A284" t="str">
        <f>$A$112</f>
        <v xml:space="preserve">    Tech Mahindra Ltd</v>
      </c>
      <c r="B284" t="str">
        <f>$B$112</f>
        <v>TECHM IN Equity</v>
      </c>
      <c r="C284" t="str">
        <f>$C$112</f>
        <v>ES014</v>
      </c>
      <c r="D284" t="str">
        <f>$D$112</f>
        <v>ENERGY_CONSUMPTION</v>
      </c>
      <c r="E284" t="str">
        <f>$E$112</f>
        <v>Dynamic</v>
      </c>
      <c r="F284" t="e">
        <f ca="1">_xll.BDH($B$112,$C$112,$B$163,$B$164,CONCATENATE("Per=",$B$161),"Dts=H","Dir=H",CONCATENATE("Points=",$B$162),"Sort=R","Days=A","Fill=B",CONCATENATE("FX=", $B$160),"cols=7;rows=1")</f>
        <v>#NAME?</v>
      </c>
      <c r="G284">
        <v>166.49700000000001</v>
      </c>
      <c r="H284">
        <v>160.72999999999999</v>
      </c>
      <c r="I284">
        <v>160.40600000000001</v>
      </c>
      <c r="J284">
        <v>155.24299999999999</v>
      </c>
      <c r="K284">
        <v>167.607</v>
      </c>
      <c r="L284">
        <v>150.91399999999999</v>
      </c>
      <c r="M284" t="str">
        <f>""</f>
        <v/>
      </c>
      <c r="N284" t="str">
        <f>""</f>
        <v/>
      </c>
      <c r="O284" t="str">
        <f>""</f>
        <v/>
      </c>
      <c r="P284" t="str">
        <f>""</f>
        <v/>
      </c>
      <c r="Q284" t="str">
        <f>""</f>
        <v/>
      </c>
      <c r="R284" t="str">
        <f>""</f>
        <v/>
      </c>
      <c r="S284" t="str">
        <f>""</f>
        <v/>
      </c>
    </row>
    <row r="285" spans="1:19" x14ac:dyDescent="0.25">
      <c r="A285" t="str">
        <f>$A$113</f>
        <v xml:space="preserve">    Wipro Ltd</v>
      </c>
      <c r="B285" t="str">
        <f>$B$113</f>
        <v>WIT US Equity</v>
      </c>
      <c r="C285" t="str">
        <f>$C$113</f>
        <v>ES014</v>
      </c>
      <c r="D285" t="str">
        <f>$D$113</f>
        <v>ENERGY_CONSUMPTION</v>
      </c>
      <c r="E285" t="str">
        <f>$E$113</f>
        <v>Dynamic</v>
      </c>
      <c r="F285" t="e">
        <f ca="1">_xll.BDH($B$113,$C$113,$B$163,$B$164,CONCATENATE("Per=",$B$161),"Dts=H","Dir=H",CONCATENATE("Points=",$B$162),"Sort=R","Days=A","Fill=B",CONCATENATE("FX=", $B$160),"cols=7;rows=1")</f>
        <v>#NAME?</v>
      </c>
      <c r="G285">
        <v>250.22200000000001</v>
      </c>
      <c r="H285">
        <v>358.29899999999998</v>
      </c>
      <c r="I285">
        <v>409.55099999999999</v>
      </c>
      <c r="J285">
        <v>423.30599999999998</v>
      </c>
      <c r="K285">
        <v>421.48700000000002</v>
      </c>
      <c r="L285">
        <v>412.279</v>
      </c>
      <c r="M285" t="str">
        <f>""</f>
        <v/>
      </c>
      <c r="N285" t="str">
        <f>""</f>
        <v/>
      </c>
      <c r="O285" t="str">
        <f>""</f>
        <v/>
      </c>
      <c r="P285" t="str">
        <f>""</f>
        <v/>
      </c>
      <c r="Q285" t="str">
        <f>""</f>
        <v/>
      </c>
      <c r="R285" t="str">
        <f>""</f>
        <v/>
      </c>
      <c r="S285" t="str">
        <f>""</f>
        <v/>
      </c>
    </row>
    <row r="286" spans="1:19" x14ac:dyDescent="0.25">
      <c r="A286" t="str">
        <f>$A$115</f>
        <v xml:space="preserve">    Accenture PLC</v>
      </c>
      <c r="B286" t="str">
        <f>$B$115</f>
        <v>ACN US Equity</v>
      </c>
      <c r="C286" t="str">
        <f>$C$115</f>
        <v>ES020</v>
      </c>
      <c r="D286" t="str">
        <f>$D$115</f>
        <v>TOTAL_WASTE</v>
      </c>
      <c r="E286" t="str">
        <f>$E$115</f>
        <v>Dynamic</v>
      </c>
      <c r="F286" t="e">
        <f ca="1">_xll.BDH($B$115,$C$115,$B$163,$B$164,CONCATENATE("Per=",$B$161),"Dts=H","Dir=H",CONCATENATE("Points=",$B$162),"Sort=R","Days=A","Fill=B",CONCATENATE("FX=", $B$160),"cols=7;rows=1")</f>
        <v>#NAME?</v>
      </c>
      <c r="G286">
        <v>0.58299999999999996</v>
      </c>
      <c r="H286">
        <v>0.30199999999999999</v>
      </c>
      <c r="I286">
        <v>0.36</v>
      </c>
      <c r="M286" t="str">
        <f>""</f>
        <v/>
      </c>
      <c r="N286" t="str">
        <f>""</f>
        <v/>
      </c>
      <c r="O286" t="str">
        <f>""</f>
        <v/>
      </c>
      <c r="P286" t="str">
        <f>""</f>
        <v/>
      </c>
      <c r="Q286" t="str">
        <f>""</f>
        <v/>
      </c>
      <c r="R286" t="str">
        <f>""</f>
        <v/>
      </c>
      <c r="S286" t="str">
        <f>""</f>
        <v/>
      </c>
    </row>
    <row r="287" spans="1:19" x14ac:dyDescent="0.25">
      <c r="A287" t="str">
        <f>$A$116</f>
        <v xml:space="preserve">    Amdocs Ltd</v>
      </c>
      <c r="B287" t="str">
        <f>$B$116</f>
        <v>DOX US Equity</v>
      </c>
      <c r="C287" t="str">
        <f>$C$116</f>
        <v>ES020</v>
      </c>
      <c r="D287" t="str">
        <f>$D$116</f>
        <v>TOTAL_WASTE</v>
      </c>
      <c r="E287" t="str">
        <f>$E$116</f>
        <v>Dynamic</v>
      </c>
      <c r="F287" t="e">
        <f ca="1">_xll.BDH($B$116,$C$116,$B$163,$B$164,CONCATENATE("Per=",$B$161),"Dts=H","Dir=H",CONCATENATE("Points=",$B$162),"Sort=R","Days=A","Fill=B",CONCATENATE("FX=", $B$160) )</f>
        <v>#NAME?</v>
      </c>
      <c r="M287" t="str">
        <f>""</f>
        <v/>
      </c>
      <c r="N287" t="str">
        <f>""</f>
        <v/>
      </c>
      <c r="O287" t="str">
        <f>""</f>
        <v/>
      </c>
      <c r="P287" t="str">
        <f>""</f>
        <v/>
      </c>
      <c r="Q287" t="str">
        <f>""</f>
        <v/>
      </c>
      <c r="R287" t="str">
        <f>""</f>
        <v/>
      </c>
      <c r="S287" t="str">
        <f>""</f>
        <v/>
      </c>
    </row>
    <row r="288" spans="1:19" x14ac:dyDescent="0.25">
      <c r="A288" t="str">
        <f>$A$117</f>
        <v xml:space="preserve">    Atos SE</v>
      </c>
      <c r="B288" t="str">
        <f>$B$117</f>
        <v>ATO FP Equity</v>
      </c>
      <c r="C288" t="str">
        <f>$C$117</f>
        <v>ES020</v>
      </c>
      <c r="D288" t="str">
        <f>$D$117</f>
        <v>TOTAL_WASTE</v>
      </c>
      <c r="E288" t="str">
        <f>$E$117</f>
        <v>Dynamic</v>
      </c>
      <c r="F288" t="e">
        <f ca="1">_xll.BDH($B$117,$C$117,$B$163,$B$164,CONCATENATE("Per=",$B$161),"Dts=H","Dir=H",CONCATENATE("Points=",$B$162),"Sort=R","Days=A","Fill=B",CONCATENATE("FX=", $B$160) )</f>
        <v>#NAME?</v>
      </c>
      <c r="M288" t="str">
        <f>""</f>
        <v/>
      </c>
      <c r="N288" t="str">
        <f>""</f>
        <v/>
      </c>
      <c r="O288" t="str">
        <f>""</f>
        <v/>
      </c>
      <c r="P288" t="str">
        <f>""</f>
        <v/>
      </c>
      <c r="Q288" t="str">
        <f>""</f>
        <v/>
      </c>
      <c r="R288" t="str">
        <f>""</f>
        <v/>
      </c>
      <c r="S288" t="str">
        <f>""</f>
        <v/>
      </c>
    </row>
    <row r="289" spans="1:19" x14ac:dyDescent="0.25">
      <c r="A289" t="str">
        <f>$A$118</f>
        <v xml:space="preserve">    Capgemini SE</v>
      </c>
      <c r="B289" t="str">
        <f>$B$118</f>
        <v>CAP FP Equity</v>
      </c>
      <c r="C289" t="str">
        <f>$C$118</f>
        <v>ES020</v>
      </c>
      <c r="D289" t="str">
        <f>$D$118</f>
        <v>TOTAL_WASTE</v>
      </c>
      <c r="E289" t="str">
        <f>$E$118</f>
        <v>Dynamic</v>
      </c>
      <c r="F289" t="e">
        <f ca="1">_xll.BDH($B$118,$C$118,$B$163,$B$164,CONCATENATE("Per=",$B$161),"Dts=H","Dir=H",CONCATENATE("Points=",$B$162),"Sort=R","Days=A","Fill=B",CONCATENATE("FX=", $B$160),"cols=7;rows=1")</f>
        <v>#NAME?</v>
      </c>
      <c r="G289">
        <v>4.16</v>
      </c>
      <c r="H289">
        <v>4.68</v>
      </c>
      <c r="I289">
        <v>4.601</v>
      </c>
      <c r="J289">
        <v>5.093</v>
      </c>
      <c r="K289">
        <v>4.3319999999999999</v>
      </c>
      <c r="L289">
        <v>3.718</v>
      </c>
      <c r="M289" t="str">
        <f>""</f>
        <v/>
      </c>
      <c r="N289" t="str">
        <f>""</f>
        <v/>
      </c>
      <c r="O289" t="str">
        <f>""</f>
        <v/>
      </c>
      <c r="P289" t="str">
        <f>""</f>
        <v/>
      </c>
      <c r="Q289" t="str">
        <f>""</f>
        <v/>
      </c>
      <c r="R289" t="str">
        <f>""</f>
        <v/>
      </c>
      <c r="S289" t="str">
        <f>""</f>
        <v/>
      </c>
    </row>
    <row r="290" spans="1:19" x14ac:dyDescent="0.25">
      <c r="A290" t="str">
        <f>$A$119</f>
        <v xml:space="preserve">    CGI Inc</v>
      </c>
      <c r="B290" t="str">
        <f>$B$119</f>
        <v>GIB US Equity</v>
      </c>
      <c r="C290" t="str">
        <f>$C$119</f>
        <v>ES020</v>
      </c>
      <c r="D290" t="str">
        <f>$D$119</f>
        <v>TOTAL_WASTE</v>
      </c>
      <c r="E290" t="str">
        <f>$E$119</f>
        <v>Dynamic</v>
      </c>
      <c r="F290" t="e">
        <f ca="1">_xll.BDH($B$119,$C$119,$B$163,$B$164,CONCATENATE("Per=",$B$161),"Dts=H","Dir=H",CONCATENATE("Points=",$B$162),"Sort=R","Days=A","Fill=B",CONCATENATE("FX=", $B$160) )</f>
        <v>#NAME?</v>
      </c>
      <c r="M290" t="str">
        <f>""</f>
        <v/>
      </c>
      <c r="N290" t="str">
        <f>""</f>
        <v/>
      </c>
      <c r="O290" t="str">
        <f>""</f>
        <v/>
      </c>
      <c r="P290" t="str">
        <f>""</f>
        <v/>
      </c>
      <c r="Q290" t="str">
        <f>""</f>
        <v/>
      </c>
      <c r="R290" t="str">
        <f>""</f>
        <v/>
      </c>
      <c r="S290" t="str">
        <f>""</f>
        <v/>
      </c>
    </row>
    <row r="291" spans="1:19" x14ac:dyDescent="0.25">
      <c r="A291" t="str">
        <f>$A$120</f>
        <v xml:space="preserve">    Cognizant Technology Solutions Corp</v>
      </c>
      <c r="B291" t="str">
        <f>$B$120</f>
        <v>CTSH US Equity</v>
      </c>
      <c r="C291" t="str">
        <f>$C$120</f>
        <v>ES020</v>
      </c>
      <c r="D291" t="str">
        <f>$D$120</f>
        <v>TOTAL_WASTE</v>
      </c>
      <c r="E291" t="str">
        <f>$E$120</f>
        <v>Dynamic</v>
      </c>
      <c r="F291" t="e">
        <f ca="1">_xll.BDH($B$120,$C$120,$B$163,$B$164,CONCATENATE("Per=",$B$161),"Dts=H","Dir=H",CONCATENATE("Points=",$B$162),"Sort=R","Days=A","Fill=B",CONCATENATE("FX=", $B$160),"cols=7;rows=1")</f>
        <v>#NAME?</v>
      </c>
      <c r="I291">
        <v>1.706</v>
      </c>
      <c r="J291">
        <v>1.6659999999999999</v>
      </c>
      <c r="K291">
        <v>1.3120000000000001</v>
      </c>
      <c r="L291">
        <v>1.0189999999999999</v>
      </c>
      <c r="M291" t="str">
        <f>""</f>
        <v/>
      </c>
      <c r="N291" t="str">
        <f>""</f>
        <v/>
      </c>
      <c r="O291" t="str">
        <f>""</f>
        <v/>
      </c>
      <c r="P291" t="str">
        <f>""</f>
        <v/>
      </c>
      <c r="Q291" t="str">
        <f>""</f>
        <v/>
      </c>
      <c r="R291" t="str">
        <f>""</f>
        <v/>
      </c>
      <c r="S291" t="str">
        <f>""</f>
        <v/>
      </c>
    </row>
    <row r="292" spans="1:19" x14ac:dyDescent="0.25">
      <c r="A292" t="str">
        <f>$A$121</f>
        <v xml:space="preserve">    Conduent Inc</v>
      </c>
      <c r="B292" t="str">
        <f>$B$121</f>
        <v>CNDT US Equity</v>
      </c>
      <c r="C292" t="str">
        <f>$C$121</f>
        <v>ES020</v>
      </c>
      <c r="D292" t="str">
        <f>$D$121</f>
        <v>TOTAL_WASTE</v>
      </c>
      <c r="E292" t="str">
        <f>$E$121</f>
        <v>Dynamic</v>
      </c>
      <c r="F292" t="e">
        <f ca="1">_xll.BDH($B$121,$C$121,$B$163,$B$164,CONCATENATE("Per=",$B$161),"Dts=H","Dir=H",CONCATENATE("Points=",$B$162),"Sort=R","Days=A","Fill=B",CONCATENATE("FX=", $B$160) )</f>
        <v>#NAME?</v>
      </c>
      <c r="M292" t="str">
        <f>""</f>
        <v/>
      </c>
      <c r="N292" t="str">
        <f>""</f>
        <v/>
      </c>
      <c r="O292" t="str">
        <f>""</f>
        <v/>
      </c>
      <c r="P292" t="str">
        <f>""</f>
        <v/>
      </c>
      <c r="Q292" t="str">
        <f>""</f>
        <v/>
      </c>
      <c r="R292" t="str">
        <f>""</f>
        <v/>
      </c>
      <c r="S292" t="str">
        <f>""</f>
        <v/>
      </c>
    </row>
    <row r="293" spans="1:19" x14ac:dyDescent="0.25">
      <c r="A293" t="str">
        <f>$A$122</f>
        <v xml:space="preserve">    DXC Technology Co</v>
      </c>
      <c r="B293" t="str">
        <f>$B$122</f>
        <v>DXC US Equity</v>
      </c>
      <c r="C293" t="str">
        <f>$C$122</f>
        <v>ES020</v>
      </c>
      <c r="D293" t="str">
        <f>$D$122</f>
        <v>TOTAL_WASTE</v>
      </c>
      <c r="E293" t="str">
        <f>$E$122</f>
        <v>Dynamic</v>
      </c>
      <c r="F293" t="e">
        <f ca="1">_xll.BDH($B$122,$C$122,$B$163,$B$164,CONCATENATE("Per=",$B$161),"Dts=H","Dir=H",CONCATENATE("Points=",$B$162),"Sort=R","Days=A","Fill=B",CONCATENATE("FX=", $B$160),"cols=7;rows=1")</f>
        <v>#NAME?</v>
      </c>
      <c r="G293">
        <v>7920.23</v>
      </c>
      <c r="M293" t="str">
        <f>""</f>
        <v/>
      </c>
      <c r="N293" t="str">
        <f>""</f>
        <v/>
      </c>
      <c r="O293" t="str">
        <f>""</f>
        <v/>
      </c>
      <c r="P293" t="str">
        <f>""</f>
        <v/>
      </c>
      <c r="Q293" t="str">
        <f>""</f>
        <v/>
      </c>
      <c r="R293" t="str">
        <f>""</f>
        <v/>
      </c>
      <c r="S293" t="str">
        <f>""</f>
        <v/>
      </c>
    </row>
    <row r="294" spans="1:19" x14ac:dyDescent="0.25">
      <c r="A294" t="str">
        <f>$A$123</f>
        <v xml:space="preserve">    EPAM Systems Inc</v>
      </c>
      <c r="B294" t="str">
        <f>$B$123</f>
        <v>EPAM US Equity</v>
      </c>
      <c r="C294" t="str">
        <f>$C$123</f>
        <v>ES020</v>
      </c>
      <c r="D294" t="str">
        <f>$D$123</f>
        <v>TOTAL_WASTE</v>
      </c>
      <c r="E294" t="str">
        <f>$E$123</f>
        <v>Dynamic</v>
      </c>
      <c r="F294" t="e">
        <f ca="1">_xll.BDH($B$123,$C$123,$B$163,$B$164,CONCATENATE("Per=",$B$161),"Dts=H","Dir=H",CONCATENATE("Points=",$B$162),"Sort=R","Days=A","Fill=B",CONCATENATE("FX=", $B$160) )</f>
        <v>#NAME?</v>
      </c>
      <c r="M294" t="str">
        <f>""</f>
        <v/>
      </c>
      <c r="N294" t="str">
        <f>""</f>
        <v/>
      </c>
      <c r="O294" t="str">
        <f>""</f>
        <v/>
      </c>
      <c r="P294" t="str">
        <f>""</f>
        <v/>
      </c>
      <c r="Q294" t="str">
        <f>""</f>
        <v/>
      </c>
      <c r="R294" t="str">
        <f>""</f>
        <v/>
      </c>
      <c r="S294" t="str">
        <f>""</f>
        <v/>
      </c>
    </row>
    <row r="295" spans="1:19" x14ac:dyDescent="0.25">
      <c r="A295" t="str">
        <f>$A$124</f>
        <v xml:space="preserve">    Genpact Ltd</v>
      </c>
      <c r="B295" t="str">
        <f>$B$124</f>
        <v>G US Equity</v>
      </c>
      <c r="C295" t="str">
        <f>$C$124</f>
        <v>ES020</v>
      </c>
      <c r="D295" t="str">
        <f>$D$124</f>
        <v>TOTAL_WASTE</v>
      </c>
      <c r="E295" t="str">
        <f>$E$124</f>
        <v>Dynamic</v>
      </c>
      <c r="F295" t="e">
        <f ca="1">_xll.BDH($B$124,$C$124,$B$163,$B$164,CONCATENATE("Per=",$B$161),"Dts=H","Dir=H",CONCATENATE("Points=",$B$162),"Sort=R","Days=A","Fill=B",CONCATENATE("FX=", $B$160),"cols=7;rows=1")</f>
        <v>#NAME?</v>
      </c>
      <c r="H295">
        <v>1.375</v>
      </c>
      <c r="I295">
        <v>1.0820000000000001</v>
      </c>
      <c r="J295">
        <v>0.105</v>
      </c>
      <c r="M295" t="str">
        <f>""</f>
        <v/>
      </c>
      <c r="N295" t="str">
        <f>""</f>
        <v/>
      </c>
      <c r="O295" t="str">
        <f>""</f>
        <v/>
      </c>
      <c r="P295" t="str">
        <f>""</f>
        <v/>
      </c>
      <c r="Q295" t="str">
        <f>""</f>
        <v/>
      </c>
      <c r="R295" t="str">
        <f>""</f>
        <v/>
      </c>
      <c r="S295" t="str">
        <f>""</f>
        <v/>
      </c>
    </row>
    <row r="296" spans="1:19" x14ac:dyDescent="0.25">
      <c r="A296" t="str">
        <f>$A$125</f>
        <v xml:space="preserve">    HCL Technologies Ltd</v>
      </c>
      <c r="B296" t="str">
        <f>$B$125</f>
        <v>HCLT IN Equity</v>
      </c>
      <c r="C296" t="str">
        <f>$C$125</f>
        <v>ES020</v>
      </c>
      <c r="D296" t="str">
        <f>$D$125</f>
        <v>TOTAL_WASTE</v>
      </c>
      <c r="E296" t="str">
        <f>$E$125</f>
        <v>Dynamic</v>
      </c>
      <c r="F296" t="e">
        <f ca="1">_xll.BDH($B$125,$C$125,$B$163,$B$164,CONCATENATE("Per=",$B$161),"Dts=H","Dir=H",CONCATENATE("Points=",$B$162),"Sort=R","Days=A","Fill=B",CONCATENATE("FX=", $B$160) )</f>
        <v>#NAME?</v>
      </c>
      <c r="M296" t="str">
        <f>""</f>
        <v/>
      </c>
      <c r="N296" t="str">
        <f>""</f>
        <v/>
      </c>
      <c r="O296" t="str">
        <f>""</f>
        <v/>
      </c>
      <c r="P296" t="str">
        <f>""</f>
        <v/>
      </c>
      <c r="Q296" t="str">
        <f>""</f>
        <v/>
      </c>
      <c r="R296" t="str">
        <f>""</f>
        <v/>
      </c>
      <c r="S296" t="str">
        <f>""</f>
        <v/>
      </c>
    </row>
    <row r="297" spans="1:19" x14ac:dyDescent="0.25">
      <c r="A297" t="str">
        <f>$A$126</f>
        <v xml:space="preserve">    Indra Sistemas SA</v>
      </c>
      <c r="B297" t="str">
        <f>$B$126</f>
        <v>IDR SM Equity</v>
      </c>
      <c r="C297" t="str">
        <f>$C$126</f>
        <v>ES020</v>
      </c>
      <c r="D297" t="str">
        <f>$D$126</f>
        <v>TOTAL_WASTE</v>
      </c>
      <c r="E297" t="str">
        <f>$E$126</f>
        <v>Dynamic</v>
      </c>
      <c r="F297" t="e">
        <f ca="1">_xll.BDH($B$126,$C$126,$B$163,$B$164,CONCATENATE("Per=",$B$161),"Dts=H","Dir=H",CONCATENATE("Points=",$B$162),"Sort=R","Days=A","Fill=B",CONCATENATE("FX=", $B$160),"cols=7;rows=1")</f>
        <v>#NAME?</v>
      </c>
      <c r="G297">
        <v>2.3330000000000002</v>
      </c>
      <c r="H297">
        <v>1.462</v>
      </c>
      <c r="I297">
        <v>1.105</v>
      </c>
      <c r="J297">
        <v>0.94399999999999995</v>
      </c>
      <c r="K297">
        <v>0.65700000000000003</v>
      </c>
      <c r="L297">
        <v>0.81</v>
      </c>
      <c r="M297" t="str">
        <f>""</f>
        <v/>
      </c>
      <c r="N297" t="str">
        <f>""</f>
        <v/>
      </c>
      <c r="O297" t="str">
        <f>""</f>
        <v/>
      </c>
      <c r="P297" t="str">
        <f>""</f>
        <v/>
      </c>
      <c r="Q297" t="str">
        <f>""</f>
        <v/>
      </c>
      <c r="R297" t="str">
        <f>""</f>
        <v/>
      </c>
      <c r="S297" t="str">
        <f>""</f>
        <v/>
      </c>
    </row>
    <row r="298" spans="1:19" x14ac:dyDescent="0.25">
      <c r="A298" t="str">
        <f>$A$127</f>
        <v xml:space="preserve">    Infosys Ltd</v>
      </c>
      <c r="B298" t="str">
        <f>$B$127</f>
        <v>INFY US Equity</v>
      </c>
      <c r="C298" t="str">
        <f>$C$127</f>
        <v>ES020</v>
      </c>
      <c r="D298" t="str">
        <f>$D$127</f>
        <v>TOTAL_WASTE</v>
      </c>
      <c r="E298" t="str">
        <f>$E$127</f>
        <v>Dynamic</v>
      </c>
      <c r="F298" t="e">
        <f ca="1">_xll.BDH($B$127,$C$127,$B$163,$B$164,CONCATENATE("Per=",$B$161),"Dts=H","Dir=H",CONCATENATE("Points=",$B$162),"Sort=R","Days=A","Fill=B",CONCATENATE("FX=", $B$160) )</f>
        <v>#NAME?</v>
      </c>
      <c r="M298" t="str">
        <f>""</f>
        <v/>
      </c>
      <c r="N298" t="str">
        <f>""</f>
        <v/>
      </c>
      <c r="O298" t="str">
        <f>""</f>
        <v/>
      </c>
      <c r="P298" t="str">
        <f>""</f>
        <v/>
      </c>
      <c r="Q298" t="str">
        <f>""</f>
        <v/>
      </c>
      <c r="R298" t="str">
        <f>""</f>
        <v/>
      </c>
      <c r="S298" t="str">
        <f>""</f>
        <v/>
      </c>
    </row>
    <row r="299" spans="1:19" x14ac:dyDescent="0.25">
      <c r="A299" t="str">
        <f>$A$128</f>
        <v xml:space="preserve">    International Business Machines Corp</v>
      </c>
      <c r="B299" t="str">
        <f>$B$128</f>
        <v>IBM US Equity</v>
      </c>
      <c r="C299" t="str">
        <f>$C$128</f>
        <v>ES020</v>
      </c>
      <c r="D299" t="str">
        <f>$D$128</f>
        <v>TOTAL_WASTE</v>
      </c>
      <c r="E299" t="str">
        <f>$E$128</f>
        <v>Dynamic</v>
      </c>
      <c r="F299" t="e">
        <f ca="1">_xll.BDH($B$128,$C$128,$B$163,$B$164,CONCATENATE("Per=",$B$161),"Dts=H","Dir=H",CONCATENATE("Points=",$B$162),"Sort=R","Days=A","Fill=B",CONCATENATE("FX=", $B$160),"cols=7;rows=1")</f>
        <v>#NAME?</v>
      </c>
      <c r="G299">
        <v>35.96</v>
      </c>
      <c r="H299">
        <v>38.36</v>
      </c>
      <c r="I299">
        <v>45.36</v>
      </c>
      <c r="J299">
        <v>56.23</v>
      </c>
      <c r="K299">
        <v>110.729</v>
      </c>
      <c r="L299">
        <v>72.515000000000001</v>
      </c>
      <c r="M299" t="str">
        <f>""</f>
        <v/>
      </c>
      <c r="N299" t="str">
        <f>""</f>
        <v/>
      </c>
      <c r="O299" t="str">
        <f>""</f>
        <v/>
      </c>
      <c r="P299" t="str">
        <f>""</f>
        <v/>
      </c>
      <c r="Q299" t="str">
        <f>""</f>
        <v/>
      </c>
      <c r="R299" t="str">
        <f>""</f>
        <v/>
      </c>
      <c r="S299" t="str">
        <f>""</f>
        <v/>
      </c>
    </row>
    <row r="300" spans="1:19" x14ac:dyDescent="0.25">
      <c r="A300" t="str">
        <f>$A$129</f>
        <v xml:space="preserve">    Tata Consultancy Services Ltd</v>
      </c>
      <c r="B300" t="str">
        <f>$B$129</f>
        <v>TCS IN Equity</v>
      </c>
      <c r="C300" t="str">
        <f>$C$129</f>
        <v>ES020</v>
      </c>
      <c r="D300" t="str">
        <f>$D$129</f>
        <v>TOTAL_WASTE</v>
      </c>
      <c r="E300" t="str">
        <f>$E$129</f>
        <v>Dynamic</v>
      </c>
      <c r="F300" t="e">
        <f ca="1">_xll.BDH($B$129,$C$129,$B$163,$B$164,CONCATENATE("Per=",$B$161),"Dts=H","Dir=H",CONCATENATE("Points=",$B$162),"Sort=R","Days=A","Fill=B",CONCATENATE("FX=", $B$160),"cols=7;rows=1")</f>
        <v>#NAME?</v>
      </c>
      <c r="H300">
        <v>5.9450000000000003</v>
      </c>
      <c r="I300">
        <v>5.3019999999999996</v>
      </c>
      <c r="M300" t="str">
        <f>""</f>
        <v/>
      </c>
      <c r="N300" t="str">
        <f>""</f>
        <v/>
      </c>
      <c r="O300" t="str">
        <f>""</f>
        <v/>
      </c>
      <c r="P300" t="str">
        <f>""</f>
        <v/>
      </c>
      <c r="Q300" t="str">
        <f>""</f>
        <v/>
      </c>
      <c r="R300" t="str">
        <f>""</f>
        <v/>
      </c>
      <c r="S300" t="str">
        <f>""</f>
        <v/>
      </c>
    </row>
    <row r="301" spans="1:19" x14ac:dyDescent="0.25">
      <c r="A301" t="str">
        <f>$A$130</f>
        <v xml:space="preserve">    Tech Mahindra Ltd</v>
      </c>
      <c r="B301" t="str">
        <f>$B$130</f>
        <v>TECHM IN Equity</v>
      </c>
      <c r="C301" t="str">
        <f>$C$130</f>
        <v>ES020</v>
      </c>
      <c r="D301" t="str">
        <f>$D$130</f>
        <v>TOTAL_WASTE</v>
      </c>
      <c r="E301" t="str">
        <f>$E$130</f>
        <v>Dynamic</v>
      </c>
      <c r="F301" t="e">
        <f ca="1">_xll.BDH($B$130,$C$130,$B$163,$B$164,CONCATENATE("Per=",$B$161),"Dts=H","Dir=H",CONCATENATE("Points=",$B$162),"Sort=R","Days=A","Fill=B",CONCATENATE("FX=", $B$160),"cols=7;rows=1")</f>
        <v>#NAME?</v>
      </c>
      <c r="G301">
        <v>0.84099999999999997</v>
      </c>
      <c r="H301">
        <v>0.90800000000000003</v>
      </c>
      <c r="I301">
        <v>0.84599999999999997</v>
      </c>
      <c r="J301">
        <v>0.64200000000000002</v>
      </c>
      <c r="K301">
        <v>0.58299999999999996</v>
      </c>
      <c r="L301">
        <v>0.39900000000000002</v>
      </c>
      <c r="M301" t="str">
        <f>""</f>
        <v/>
      </c>
      <c r="N301" t="str">
        <f>""</f>
        <v/>
      </c>
      <c r="O301" t="str">
        <f>""</f>
        <v/>
      </c>
      <c r="P301" t="str">
        <f>""</f>
        <v/>
      </c>
      <c r="Q301" t="str">
        <f>""</f>
        <v/>
      </c>
      <c r="R301" t="str">
        <f>""</f>
        <v/>
      </c>
      <c r="S301" t="str">
        <f>""</f>
        <v/>
      </c>
    </row>
    <row r="302" spans="1:19" x14ac:dyDescent="0.25">
      <c r="A302" t="str">
        <f>$A$131</f>
        <v xml:space="preserve">    Wipro Ltd</v>
      </c>
      <c r="B302" t="str">
        <f>$B$131</f>
        <v>WIT US Equity</v>
      </c>
      <c r="C302" t="str">
        <f>$C$131</f>
        <v>ES020</v>
      </c>
      <c r="D302" t="str">
        <f>$D$131</f>
        <v>TOTAL_WASTE</v>
      </c>
      <c r="E302" t="str">
        <f>$E$131</f>
        <v>Dynamic</v>
      </c>
      <c r="F302" t="e">
        <f ca="1">_xll.BDH($B$131,$C$131,$B$163,$B$164,CONCATENATE("Per=",$B$161),"Dts=H","Dir=H",CONCATENATE("Points=",$B$162),"Sort=R","Days=A","Fill=B",CONCATENATE("FX=", $B$160),"cols=7;rows=1")</f>
        <v>#NAME?</v>
      </c>
      <c r="G302">
        <v>6.2050000000000001</v>
      </c>
      <c r="H302">
        <v>5.0060000000000002</v>
      </c>
      <c r="I302">
        <v>4.3380000000000001</v>
      </c>
      <c r="J302">
        <v>6.7039999999999997</v>
      </c>
      <c r="K302">
        <v>4.5670000000000002</v>
      </c>
      <c r="L302">
        <v>3.7050000000000001</v>
      </c>
      <c r="M302" t="str">
        <f>""</f>
        <v/>
      </c>
      <c r="N302" t="str">
        <f>""</f>
        <v/>
      </c>
      <c r="O302" t="str">
        <f>""</f>
        <v/>
      </c>
      <c r="P302" t="str">
        <f>""</f>
        <v/>
      </c>
      <c r="Q302" t="str">
        <f>""</f>
        <v/>
      </c>
      <c r="R302" t="str">
        <f>""</f>
        <v/>
      </c>
      <c r="S302" t="str">
        <f>""</f>
        <v/>
      </c>
    </row>
    <row r="303" spans="1:19" x14ac:dyDescent="0.25">
      <c r="A303" t="str">
        <f>$A$133</f>
        <v xml:space="preserve">    Accenture PLC</v>
      </c>
      <c r="B303" t="str">
        <f>$B$133</f>
        <v>ACN US Equity</v>
      </c>
      <c r="C303" t="str">
        <f>$C$133</f>
        <v>ES021</v>
      </c>
      <c r="D303" t="str">
        <f>$D$133</f>
        <v>WASTE_RECYCLED</v>
      </c>
      <c r="E303" t="str">
        <f>$E$133</f>
        <v>Dynamic</v>
      </c>
      <c r="F303" t="e">
        <f ca="1">_xll.BDH($B$133,$C$133,$B$163,$B$164,CONCATENATE("Per=",$B$161),"Dts=H","Dir=H",CONCATENATE("Points=",$B$162),"Sort=R","Days=A","Fill=B",CONCATENATE("FX=", $B$160) )</f>
        <v>#NAME?</v>
      </c>
      <c r="M303" t="str">
        <f>""</f>
        <v/>
      </c>
      <c r="N303" t="str">
        <f>""</f>
        <v/>
      </c>
      <c r="O303" t="str">
        <f>""</f>
        <v/>
      </c>
      <c r="P303" t="str">
        <f>""</f>
        <v/>
      </c>
      <c r="Q303" t="str">
        <f>""</f>
        <v/>
      </c>
      <c r="R303" t="str">
        <f>""</f>
        <v/>
      </c>
      <c r="S303" t="str">
        <f>""</f>
        <v/>
      </c>
    </row>
    <row r="304" spans="1:19" x14ac:dyDescent="0.25">
      <c r="A304" t="str">
        <f>$A$134</f>
        <v xml:space="preserve">    Amdocs Ltd</v>
      </c>
      <c r="B304" t="str">
        <f>$B$134</f>
        <v>DOX US Equity</v>
      </c>
      <c r="C304" t="str">
        <f>$C$134</f>
        <v>ES021</v>
      </c>
      <c r="D304" t="str">
        <f>$D$134</f>
        <v>WASTE_RECYCLED</v>
      </c>
      <c r="E304" t="str">
        <f>$E$134</f>
        <v>Dynamic</v>
      </c>
      <c r="F304" t="e">
        <f ca="1">_xll.BDH($B$134,$C$134,$B$163,$B$164,CONCATENATE("Per=",$B$161),"Dts=H","Dir=H",CONCATENATE("Points=",$B$162),"Sort=R","Days=A","Fill=B",CONCATENATE("FX=", $B$160) )</f>
        <v>#NAME?</v>
      </c>
      <c r="M304" t="str">
        <f>""</f>
        <v/>
      </c>
      <c r="N304" t="str">
        <f>""</f>
        <v/>
      </c>
      <c r="O304" t="str">
        <f>""</f>
        <v/>
      </c>
      <c r="P304" t="str">
        <f>""</f>
        <v/>
      </c>
      <c r="Q304" t="str">
        <f>""</f>
        <v/>
      </c>
      <c r="R304" t="str">
        <f>""</f>
        <v/>
      </c>
      <c r="S304" t="str">
        <f>""</f>
        <v/>
      </c>
    </row>
    <row r="305" spans="1:19" x14ac:dyDescent="0.25">
      <c r="A305" t="str">
        <f>$A$135</f>
        <v xml:space="preserve">    Atos SE</v>
      </c>
      <c r="B305" t="str">
        <f>$B$135</f>
        <v>ATO FP Equity</v>
      </c>
      <c r="C305" t="str">
        <f>$C$135</f>
        <v>ES021</v>
      </c>
      <c r="D305" t="str">
        <f>$D$135</f>
        <v>WASTE_RECYCLED</v>
      </c>
      <c r="E305" t="str">
        <f>$E$135</f>
        <v>Dynamic</v>
      </c>
      <c r="F305" t="e">
        <f ca="1">_xll.BDH($B$135,$C$135,$B$163,$B$164,CONCATENATE("Per=",$B$161),"Dts=H","Dir=H",CONCATENATE("Points=",$B$162),"Sort=R","Days=A","Fill=B",CONCATENATE("FX=", $B$160) )</f>
        <v>#NAME?</v>
      </c>
      <c r="M305" t="str">
        <f>""</f>
        <v/>
      </c>
      <c r="N305" t="str">
        <f>""</f>
        <v/>
      </c>
      <c r="O305" t="str">
        <f>""</f>
        <v/>
      </c>
      <c r="P305" t="str">
        <f>""</f>
        <v/>
      </c>
      <c r="Q305" t="str">
        <f>""</f>
        <v/>
      </c>
      <c r="R305" t="str">
        <f>""</f>
        <v/>
      </c>
      <c r="S305" t="str">
        <f>""</f>
        <v/>
      </c>
    </row>
    <row r="306" spans="1:19" x14ac:dyDescent="0.25">
      <c r="A306" t="str">
        <f>$A$136</f>
        <v xml:space="preserve">    Capgemini SE</v>
      </c>
      <c r="B306" t="str">
        <f>$B$136</f>
        <v>CAP FP Equity</v>
      </c>
      <c r="C306" t="str">
        <f>$C$136</f>
        <v>ES021</v>
      </c>
      <c r="D306" t="str">
        <f>$D$136</f>
        <v>WASTE_RECYCLED</v>
      </c>
      <c r="E306" t="str">
        <f>$E$136</f>
        <v>Dynamic</v>
      </c>
      <c r="F306" t="e">
        <f ca="1">_xll.BDH($B$136,$C$136,$B$163,$B$164,CONCATENATE("Per=",$B$161),"Dts=H","Dir=H",CONCATENATE("Points=",$B$162),"Sort=R","Days=A","Fill=B",CONCATENATE("FX=", $B$160),"cols=7;rows=1")</f>
        <v>#NAME?</v>
      </c>
      <c r="G306">
        <v>1.042</v>
      </c>
      <c r="H306">
        <v>1.4060000000000001</v>
      </c>
      <c r="I306">
        <v>1.1080000000000001</v>
      </c>
      <c r="J306">
        <v>1.319</v>
      </c>
      <c r="M306" t="str">
        <f>""</f>
        <v/>
      </c>
      <c r="N306" t="str">
        <f>""</f>
        <v/>
      </c>
      <c r="O306" t="str">
        <f>""</f>
        <v/>
      </c>
      <c r="P306" t="str">
        <f>""</f>
        <v/>
      </c>
      <c r="Q306" t="str">
        <f>""</f>
        <v/>
      </c>
      <c r="R306" t="str">
        <f>""</f>
        <v/>
      </c>
      <c r="S306" t="str">
        <f>""</f>
        <v/>
      </c>
    </row>
    <row r="307" spans="1:19" x14ac:dyDescent="0.25">
      <c r="A307" t="str">
        <f>$A$137</f>
        <v xml:space="preserve">    CGI Inc</v>
      </c>
      <c r="B307" t="str">
        <f>$B$137</f>
        <v>GIB US Equity</v>
      </c>
      <c r="C307" t="str">
        <f>$C$137</f>
        <v>ES021</v>
      </c>
      <c r="D307" t="str">
        <f>$D$137</f>
        <v>WASTE_RECYCLED</v>
      </c>
      <c r="E307" t="str">
        <f>$E$137</f>
        <v>Dynamic</v>
      </c>
      <c r="F307" t="e">
        <f ca="1">_xll.BDH($B$137,$C$137,$B$163,$B$164,CONCATENATE("Per=",$B$161),"Dts=H","Dir=H",CONCATENATE("Points=",$B$162),"Sort=R","Days=A","Fill=B",CONCATENATE("FX=", $B$160) )</f>
        <v>#NAME?</v>
      </c>
      <c r="M307" t="str">
        <f>""</f>
        <v/>
      </c>
      <c r="N307" t="str">
        <f>""</f>
        <v/>
      </c>
      <c r="O307" t="str">
        <f>""</f>
        <v/>
      </c>
      <c r="P307" t="str">
        <f>""</f>
        <v/>
      </c>
      <c r="Q307" t="str">
        <f>""</f>
        <v/>
      </c>
      <c r="R307" t="str">
        <f>""</f>
        <v/>
      </c>
      <c r="S307" t="str">
        <f>""</f>
        <v/>
      </c>
    </row>
    <row r="308" spans="1:19" x14ac:dyDescent="0.25">
      <c r="A308" t="str">
        <f>$A$138</f>
        <v xml:space="preserve">    Cognizant Technology Solutions Corp</v>
      </c>
      <c r="B308" t="str">
        <f>$B$138</f>
        <v>CTSH US Equity</v>
      </c>
      <c r="C308" t="str">
        <f>$C$138</f>
        <v>ES021</v>
      </c>
      <c r="D308" t="str">
        <f>$D$138</f>
        <v>WASTE_RECYCLED</v>
      </c>
      <c r="E308" t="str">
        <f>$E$138</f>
        <v>Dynamic</v>
      </c>
      <c r="F308" t="e">
        <f ca="1">_xll.BDH($B$138,$C$138,$B$163,$B$164,CONCATENATE("Per=",$B$161),"Dts=H","Dir=H",CONCATENATE("Points=",$B$162),"Sort=R","Days=A","Fill=B",CONCATENATE("FX=", $B$160),"cols=7;rows=1")</f>
        <v>#NAME?</v>
      </c>
      <c r="I308">
        <v>0.32600000000000001</v>
      </c>
      <c r="J308">
        <v>0.38100000000000001</v>
      </c>
      <c r="K308">
        <v>0.311</v>
      </c>
      <c r="L308">
        <v>0.23200000000000001</v>
      </c>
      <c r="M308" t="str">
        <f>""</f>
        <v/>
      </c>
      <c r="N308" t="str">
        <f>""</f>
        <v/>
      </c>
      <c r="O308" t="str">
        <f>""</f>
        <v/>
      </c>
      <c r="P308" t="str">
        <f>""</f>
        <v/>
      </c>
      <c r="Q308" t="str">
        <f>""</f>
        <v/>
      </c>
      <c r="R308" t="str">
        <f>""</f>
        <v/>
      </c>
      <c r="S308" t="str">
        <f>""</f>
        <v/>
      </c>
    </row>
    <row r="309" spans="1:19" x14ac:dyDescent="0.25">
      <c r="A309" t="str">
        <f>$A$139</f>
        <v xml:space="preserve">    Conduent Inc</v>
      </c>
      <c r="B309" t="str">
        <f>$B$139</f>
        <v>CNDT US Equity</v>
      </c>
      <c r="C309" t="str">
        <f>$C$139</f>
        <v>ES021</v>
      </c>
      <c r="D309" t="str">
        <f>$D$139</f>
        <v>WASTE_RECYCLED</v>
      </c>
      <c r="E309" t="str">
        <f>$E$139</f>
        <v>Dynamic</v>
      </c>
      <c r="F309" t="e">
        <f ca="1">_xll.BDH($B$139,$C$139,$B$163,$B$164,CONCATENATE("Per=",$B$161),"Dts=H","Dir=H",CONCATENATE("Points=",$B$162),"Sort=R","Days=A","Fill=B",CONCATENATE("FX=", $B$160) )</f>
        <v>#NAME?</v>
      </c>
      <c r="M309" t="str">
        <f>""</f>
        <v/>
      </c>
      <c r="N309" t="str">
        <f>""</f>
        <v/>
      </c>
      <c r="O309" t="str">
        <f>""</f>
        <v/>
      </c>
      <c r="P309" t="str">
        <f>""</f>
        <v/>
      </c>
      <c r="Q309" t="str">
        <f>""</f>
        <v/>
      </c>
      <c r="R309" t="str">
        <f>""</f>
        <v/>
      </c>
      <c r="S309" t="str">
        <f>""</f>
        <v/>
      </c>
    </row>
    <row r="310" spans="1:19" x14ac:dyDescent="0.25">
      <c r="A310" t="str">
        <f>$A$140</f>
        <v xml:space="preserve">    DXC Technology Co</v>
      </c>
      <c r="B310" t="str">
        <f>$B$140</f>
        <v>DXC US Equity</v>
      </c>
      <c r="C310" t="str">
        <f>$C$140</f>
        <v>ES021</v>
      </c>
      <c r="D310" t="str">
        <f>$D$140</f>
        <v>WASTE_RECYCLED</v>
      </c>
      <c r="E310" t="str">
        <f>$E$140</f>
        <v>Dynamic</v>
      </c>
      <c r="F310" t="e">
        <f ca="1">_xll.BDH($B$140,$C$140,$B$163,$B$164,CONCATENATE("Per=",$B$161),"Dts=H","Dir=H",CONCATENATE("Points=",$B$162),"Sort=R","Days=A","Fill=B",CONCATENATE("FX=", $B$160),"cols=7;rows=1")</f>
        <v>#NAME?</v>
      </c>
      <c r="G310">
        <v>3326.5</v>
      </c>
      <c r="M310" t="str">
        <f>""</f>
        <v/>
      </c>
      <c r="N310" t="str">
        <f>""</f>
        <v/>
      </c>
      <c r="O310" t="str">
        <f>""</f>
        <v/>
      </c>
      <c r="P310" t="str">
        <f>""</f>
        <v/>
      </c>
      <c r="Q310" t="str">
        <f>""</f>
        <v/>
      </c>
      <c r="R310" t="str">
        <f>""</f>
        <v/>
      </c>
      <c r="S310" t="str">
        <f>""</f>
        <v/>
      </c>
    </row>
    <row r="311" spans="1:19" x14ac:dyDescent="0.25">
      <c r="A311" t="str">
        <f>$A$141</f>
        <v xml:space="preserve">    EPAM Systems Inc</v>
      </c>
      <c r="B311" t="str">
        <f>$B$141</f>
        <v>EPAM US Equity</v>
      </c>
      <c r="C311" t="str">
        <f>$C$141</f>
        <v>ES021</v>
      </c>
      <c r="D311" t="str">
        <f>$D$141</f>
        <v>WASTE_RECYCLED</v>
      </c>
      <c r="E311" t="str">
        <f>$E$141</f>
        <v>Dynamic</v>
      </c>
      <c r="F311" t="e">
        <f ca="1">_xll.BDH($B$141,$C$141,$B$163,$B$164,CONCATENATE("Per=",$B$161),"Dts=H","Dir=H",CONCATENATE("Points=",$B$162),"Sort=R","Days=A","Fill=B",CONCATENATE("FX=", $B$160) )</f>
        <v>#NAME?</v>
      </c>
      <c r="M311" t="str">
        <f>""</f>
        <v/>
      </c>
      <c r="N311" t="str">
        <f>""</f>
        <v/>
      </c>
      <c r="O311" t="str">
        <f>""</f>
        <v/>
      </c>
      <c r="P311" t="str">
        <f>""</f>
        <v/>
      </c>
      <c r="Q311" t="str">
        <f>""</f>
        <v/>
      </c>
      <c r="R311" t="str">
        <f>""</f>
        <v/>
      </c>
      <c r="S311" t="str">
        <f>""</f>
        <v/>
      </c>
    </row>
    <row r="312" spans="1:19" x14ac:dyDescent="0.25">
      <c r="A312" t="str">
        <f>$A$142</f>
        <v xml:space="preserve">    Genpact Ltd</v>
      </c>
      <c r="B312" t="str">
        <f>$B$142</f>
        <v>G US Equity</v>
      </c>
      <c r="C312" t="str">
        <f>$C$142</f>
        <v>ES021</v>
      </c>
      <c r="D312" t="str">
        <f>$D$142</f>
        <v>WASTE_RECYCLED</v>
      </c>
      <c r="E312" t="str">
        <f>$E$142</f>
        <v>Dynamic</v>
      </c>
      <c r="F312" t="e">
        <f ca="1">_xll.BDH($B$142,$C$142,$B$163,$B$164,CONCATENATE("Per=",$B$161),"Dts=H","Dir=H",CONCATENATE("Points=",$B$162),"Sort=R","Days=A","Fill=B",CONCATENATE("FX=", $B$160) )</f>
        <v>#NAME?</v>
      </c>
      <c r="M312" t="str">
        <f>""</f>
        <v/>
      </c>
      <c r="N312" t="str">
        <f>""</f>
        <v/>
      </c>
      <c r="O312" t="str">
        <f>""</f>
        <v/>
      </c>
      <c r="P312" t="str">
        <f>""</f>
        <v/>
      </c>
      <c r="Q312" t="str">
        <f>""</f>
        <v/>
      </c>
      <c r="R312" t="str">
        <f>""</f>
        <v/>
      </c>
      <c r="S312" t="str">
        <f>""</f>
        <v/>
      </c>
    </row>
    <row r="313" spans="1:19" x14ac:dyDescent="0.25">
      <c r="A313" t="str">
        <f>$A$143</f>
        <v xml:space="preserve">    HCL Technologies Ltd</v>
      </c>
      <c r="B313" t="str">
        <f>$B$143</f>
        <v>HCLT IN Equity</v>
      </c>
      <c r="C313" t="str">
        <f>$C$143</f>
        <v>ES021</v>
      </c>
      <c r="D313" t="str">
        <f>$D$143</f>
        <v>WASTE_RECYCLED</v>
      </c>
      <c r="E313" t="str">
        <f>$E$143</f>
        <v>Dynamic</v>
      </c>
      <c r="F313" t="e">
        <f ca="1">_xll.BDH($B$143,$C$143,$B$163,$B$164,CONCATENATE("Per=",$B$161),"Dts=H","Dir=H",CONCATENATE("Points=",$B$162),"Sort=R","Days=A","Fill=B",CONCATENATE("FX=", $B$160) )</f>
        <v>#NAME?</v>
      </c>
      <c r="M313" t="str">
        <f>""</f>
        <v/>
      </c>
      <c r="N313" t="str">
        <f>""</f>
        <v/>
      </c>
      <c r="O313" t="str">
        <f>""</f>
        <v/>
      </c>
      <c r="P313" t="str">
        <f>""</f>
        <v/>
      </c>
      <c r="Q313" t="str">
        <f>""</f>
        <v/>
      </c>
      <c r="R313" t="str">
        <f>""</f>
        <v/>
      </c>
      <c r="S313" t="str">
        <f>""</f>
        <v/>
      </c>
    </row>
    <row r="314" spans="1:19" x14ac:dyDescent="0.25">
      <c r="A314" t="str">
        <f>$A$144</f>
        <v xml:space="preserve">    Indra Sistemas SA</v>
      </c>
      <c r="B314" t="str">
        <f>$B$144</f>
        <v>IDR SM Equity</v>
      </c>
      <c r="C314" t="str">
        <f>$C$144</f>
        <v>ES021</v>
      </c>
      <c r="D314" t="str">
        <f>$D$144</f>
        <v>WASTE_RECYCLED</v>
      </c>
      <c r="E314" t="str">
        <f>$E$144</f>
        <v>Dynamic</v>
      </c>
      <c r="F314" t="e">
        <f ca="1">_xll.BDH($B$144,$C$144,$B$163,$B$164,CONCATENATE("Per=",$B$161),"Dts=H","Dir=H",CONCATENATE("Points=",$B$162),"Sort=R","Days=A","Fill=B",CONCATENATE("FX=", $B$160) )</f>
        <v>#NAME?</v>
      </c>
      <c r="M314" t="str">
        <f>""</f>
        <v/>
      </c>
      <c r="N314" t="str">
        <f>""</f>
        <v/>
      </c>
      <c r="O314" t="str">
        <f>""</f>
        <v/>
      </c>
      <c r="P314" t="str">
        <f>""</f>
        <v/>
      </c>
      <c r="Q314" t="str">
        <f>""</f>
        <v/>
      </c>
      <c r="R314" t="str">
        <f>""</f>
        <v/>
      </c>
      <c r="S314" t="str">
        <f>""</f>
        <v/>
      </c>
    </row>
    <row r="315" spans="1:19" x14ac:dyDescent="0.25">
      <c r="A315" t="str">
        <f>$A$145</f>
        <v xml:space="preserve">    Infosys Ltd</v>
      </c>
      <c r="B315" t="str">
        <f>$B$145</f>
        <v>INFY US Equity</v>
      </c>
      <c r="C315" t="str">
        <f>$C$145</f>
        <v>ES021</v>
      </c>
      <c r="D315" t="str">
        <f>$D$145</f>
        <v>WASTE_RECYCLED</v>
      </c>
      <c r="E315" t="str">
        <f>$E$145</f>
        <v>Dynamic</v>
      </c>
      <c r="F315" t="e">
        <f ca="1">_xll.BDH($B$145,$C$145,$B$163,$B$164,CONCATENATE("Per=",$B$161),"Dts=H","Dir=H",CONCATENATE("Points=",$B$162),"Sort=R","Days=A","Fill=B",CONCATENATE("FX=", $B$160) )</f>
        <v>#NAME?</v>
      </c>
      <c r="M315" t="str">
        <f>""</f>
        <v/>
      </c>
      <c r="N315" t="str">
        <f>""</f>
        <v/>
      </c>
      <c r="O315" t="str">
        <f>""</f>
        <v/>
      </c>
      <c r="P315" t="str">
        <f>""</f>
        <v/>
      </c>
      <c r="Q315" t="str">
        <f>""</f>
        <v/>
      </c>
      <c r="R315" t="str">
        <f>""</f>
        <v/>
      </c>
      <c r="S315" t="str">
        <f>""</f>
        <v/>
      </c>
    </row>
    <row r="316" spans="1:19" x14ac:dyDescent="0.25">
      <c r="A316" t="str">
        <f>$A$146</f>
        <v xml:space="preserve">    International Business Machines Corp</v>
      </c>
      <c r="B316" t="str">
        <f>$B$146</f>
        <v>IBM US Equity</v>
      </c>
      <c r="C316" t="str">
        <f>$C$146</f>
        <v>ES021</v>
      </c>
      <c r="D316" t="str">
        <f>$D$146</f>
        <v>WASTE_RECYCLED</v>
      </c>
      <c r="E316" t="str">
        <f>$E$146</f>
        <v>Dynamic</v>
      </c>
      <c r="F316" t="e">
        <f ca="1">_xll.BDH($B$146,$C$146,$B$163,$B$164,CONCATENATE("Per=",$B$161),"Dts=H","Dir=H",CONCATENATE("Points=",$B$162),"Sort=R","Days=A","Fill=B",CONCATENATE("FX=", $B$160),"cols=7;rows=1")</f>
        <v>#NAME?</v>
      </c>
      <c r="G316">
        <v>31.512</v>
      </c>
      <c r="H316">
        <v>33.042999999999999</v>
      </c>
      <c r="I316">
        <v>38</v>
      </c>
      <c r="J316">
        <v>46.320999999999998</v>
      </c>
      <c r="K316">
        <v>83.808000000000007</v>
      </c>
      <c r="L316">
        <v>53.573999999999998</v>
      </c>
      <c r="M316" t="str">
        <f>""</f>
        <v/>
      </c>
      <c r="N316" t="str">
        <f>""</f>
        <v/>
      </c>
      <c r="O316" t="str">
        <f>""</f>
        <v/>
      </c>
      <c r="P316" t="str">
        <f>""</f>
        <v/>
      </c>
      <c r="Q316" t="str">
        <f>""</f>
        <v/>
      </c>
      <c r="R316" t="str">
        <f>""</f>
        <v/>
      </c>
      <c r="S316" t="str">
        <f>""</f>
        <v/>
      </c>
    </row>
    <row r="317" spans="1:19" x14ac:dyDescent="0.25">
      <c r="A317" t="str">
        <f>$A$147</f>
        <v xml:space="preserve">    Tata Consultancy Services Ltd</v>
      </c>
      <c r="B317" t="str">
        <f>$B$147</f>
        <v>TCS IN Equity</v>
      </c>
      <c r="C317" t="str">
        <f>$C$147</f>
        <v>ES021</v>
      </c>
      <c r="D317" t="str">
        <f>$D$147</f>
        <v>WASTE_RECYCLED</v>
      </c>
      <c r="E317" t="str">
        <f>$E$147</f>
        <v>Dynamic</v>
      </c>
      <c r="F317" t="e">
        <f ca="1">_xll.BDH($B$147,$C$147,$B$163,$B$164,CONCATENATE("Per=",$B$161),"Dts=H","Dir=H",CONCATENATE("Points=",$B$162),"Sort=R","Days=A","Fill=B",CONCATENATE("FX=", $B$160) )</f>
        <v>#NAME?</v>
      </c>
      <c r="M317" t="str">
        <f>""</f>
        <v/>
      </c>
      <c r="N317" t="str">
        <f>""</f>
        <v/>
      </c>
      <c r="O317" t="str">
        <f>""</f>
        <v/>
      </c>
      <c r="P317" t="str">
        <f>""</f>
        <v/>
      </c>
      <c r="Q317" t="str">
        <f>""</f>
        <v/>
      </c>
      <c r="R317" t="str">
        <f>""</f>
        <v/>
      </c>
      <c r="S317" t="str">
        <f>""</f>
        <v/>
      </c>
    </row>
    <row r="318" spans="1:19" x14ac:dyDescent="0.25">
      <c r="A318" t="str">
        <f>$A$148</f>
        <v xml:space="preserve">    Tech Mahindra Ltd</v>
      </c>
      <c r="B318" t="str">
        <f>$B$148</f>
        <v>TECHM IN Equity</v>
      </c>
      <c r="C318" t="str">
        <f>$C$148</f>
        <v>ES021</v>
      </c>
      <c r="D318" t="str">
        <f>$D$148</f>
        <v>WASTE_RECYCLED</v>
      </c>
      <c r="E318" t="str">
        <f>$E$148</f>
        <v>Dynamic</v>
      </c>
      <c r="F318" t="e">
        <f ca="1">_xll.BDH($B$148,$C$148,$B$163,$B$164,CONCATENATE("Per=",$B$161),"Dts=H","Dir=H",CONCATENATE("Points=",$B$162),"Sort=R","Days=A","Fill=B",CONCATENATE("FX=", $B$160),"cols=7;rows=1")</f>
        <v>#NAME?</v>
      </c>
      <c r="G318">
        <v>0.78800000000000003</v>
      </c>
      <c r="M318" t="str">
        <f>""</f>
        <v/>
      </c>
      <c r="N318" t="str">
        <f>""</f>
        <v/>
      </c>
      <c r="O318" t="str">
        <f>""</f>
        <v/>
      </c>
      <c r="P318" t="str">
        <f>""</f>
        <v/>
      </c>
      <c r="Q318" t="str">
        <f>""</f>
        <v/>
      </c>
      <c r="R318" t="str">
        <f>""</f>
        <v/>
      </c>
      <c r="S318" t="str">
        <f>""</f>
        <v/>
      </c>
    </row>
    <row r="319" spans="1:19" x14ac:dyDescent="0.25">
      <c r="A319" t="str">
        <f>$A$149</f>
        <v xml:space="preserve">    Wipro Ltd</v>
      </c>
      <c r="B319" t="str">
        <f>$B$149</f>
        <v>WIT US Equity</v>
      </c>
      <c r="C319" t="str">
        <f>$C$149</f>
        <v>ES021</v>
      </c>
      <c r="D319" t="str">
        <f>$D$149</f>
        <v>WASTE_RECYCLED</v>
      </c>
      <c r="E319" t="str">
        <f>$E$149</f>
        <v>Dynamic</v>
      </c>
      <c r="F319" t="e">
        <f ca="1">_xll.BDH($B$149,$C$149,$B$163,$B$164,CONCATENATE("Per=",$B$161),"Dts=H","Dir=H",CONCATENATE("Points=",$B$162),"Sort=R","Days=A","Fill=B",CONCATENATE("FX=", $B$160),"cols=7;rows=1")</f>
        <v>#NAME?</v>
      </c>
      <c r="G319">
        <v>4.5229999999999997</v>
      </c>
      <c r="H319">
        <v>3.9660000000000002</v>
      </c>
      <c r="I319">
        <v>3.3780000000000001</v>
      </c>
      <c r="J319">
        <v>6.17</v>
      </c>
      <c r="K319">
        <v>4.22</v>
      </c>
      <c r="L319">
        <v>2.1749999999999998</v>
      </c>
      <c r="M319" t="str">
        <f>""</f>
        <v/>
      </c>
      <c r="N319" t="str">
        <f>""</f>
        <v/>
      </c>
      <c r="O319" t="str">
        <f>""</f>
        <v/>
      </c>
      <c r="P319" t="str">
        <f>""</f>
        <v/>
      </c>
      <c r="Q319" t="str">
        <f>""</f>
        <v/>
      </c>
      <c r="R319" t="str">
        <f>""</f>
        <v/>
      </c>
      <c r="S319" t="str">
        <f>""</f>
        <v/>
      </c>
    </row>
    <row r="320" spans="1:19" x14ac:dyDescent="0.25">
      <c r="A320" t="str">
        <f>""</f>
        <v/>
      </c>
      <c r="B320" t="str">
        <f>""</f>
        <v/>
      </c>
      <c r="C320" t="str">
        <f>""</f>
        <v/>
      </c>
      <c r="D320" t="str">
        <f>""</f>
        <v/>
      </c>
      <c r="E320" t="str">
        <f>""</f>
        <v/>
      </c>
      <c r="M320" t="str">
        <f>""</f>
        <v/>
      </c>
      <c r="N320" t="str">
        <f>""</f>
        <v/>
      </c>
      <c r="O320" t="str">
        <f>""</f>
        <v/>
      </c>
      <c r="P320" t="str">
        <f>""</f>
        <v/>
      </c>
      <c r="Q320" t="str">
        <f>""</f>
        <v/>
      </c>
      <c r="R320" t="str">
        <f>""</f>
        <v/>
      </c>
      <c r="S320" t="str">
        <f>""</f>
        <v/>
      </c>
    </row>
    <row r="321" spans="1:19" x14ac:dyDescent="0.25">
      <c r="A321" t="str">
        <f>""</f>
        <v/>
      </c>
      <c r="B321" t="str">
        <f>""</f>
        <v/>
      </c>
      <c r="C321" t="str">
        <f>""</f>
        <v/>
      </c>
      <c r="D321" t="str">
        <f>""</f>
        <v/>
      </c>
      <c r="E321" t="str">
        <f>""</f>
        <v/>
      </c>
      <c r="M321" t="str">
        <f>""</f>
        <v/>
      </c>
      <c r="N321" t="str">
        <f>""</f>
        <v/>
      </c>
      <c r="O321" t="str">
        <f>""</f>
        <v/>
      </c>
      <c r="P321" t="str">
        <f>""</f>
        <v/>
      </c>
      <c r="Q321" t="str">
        <f>""</f>
        <v/>
      </c>
      <c r="R321" t="str">
        <f>""</f>
        <v/>
      </c>
      <c r="S321" t="str">
        <f>""</f>
        <v/>
      </c>
    </row>
    <row r="322" spans="1:19" x14ac:dyDescent="0.25">
      <c r="A322" t="str">
        <f>""</f>
        <v/>
      </c>
      <c r="B322" t="str">
        <f>""</f>
        <v/>
      </c>
      <c r="C322" t="str">
        <f>""</f>
        <v/>
      </c>
      <c r="D322" t="str">
        <f>""</f>
        <v/>
      </c>
      <c r="E322" t="str">
        <f>""</f>
        <v/>
      </c>
      <c r="M322" t="str">
        <f>""</f>
        <v/>
      </c>
      <c r="N322" t="str">
        <f>""</f>
        <v/>
      </c>
      <c r="O322" t="str">
        <f>""</f>
        <v/>
      </c>
      <c r="P322" t="str">
        <f>""</f>
        <v/>
      </c>
      <c r="Q322" t="str">
        <f>""</f>
        <v/>
      </c>
      <c r="R322" t="str">
        <f>""</f>
        <v/>
      </c>
      <c r="S322" t="str">
        <f>""</f>
        <v/>
      </c>
    </row>
    <row r="323" spans="1:19" x14ac:dyDescent="0.25">
      <c r="A323" t="str">
        <f>""</f>
        <v/>
      </c>
      <c r="B323" t="str">
        <f>""</f>
        <v/>
      </c>
      <c r="C323" t="str">
        <f>""</f>
        <v/>
      </c>
      <c r="D323" t="str">
        <f>""</f>
        <v/>
      </c>
      <c r="E323" t="str">
        <f>""</f>
        <v/>
      </c>
      <c r="M323" t="str">
        <f>""</f>
        <v/>
      </c>
      <c r="N323" t="str">
        <f>""</f>
        <v/>
      </c>
      <c r="O323" t="str">
        <f>""</f>
        <v/>
      </c>
      <c r="P323" t="str">
        <f>""</f>
        <v/>
      </c>
      <c r="Q323" t="str">
        <f>""</f>
        <v/>
      </c>
      <c r="R323" t="str">
        <f>""</f>
        <v/>
      </c>
      <c r="S323" t="str">
        <f>""</f>
        <v/>
      </c>
    </row>
    <row r="324" spans="1:19" x14ac:dyDescent="0.25">
      <c r="A324" t="str">
        <f>""</f>
        <v/>
      </c>
      <c r="B324" t="str">
        <f>""</f>
        <v/>
      </c>
      <c r="C324" t="str">
        <f>""</f>
        <v/>
      </c>
      <c r="D324" t="str">
        <f>""</f>
        <v/>
      </c>
      <c r="E324" t="str">
        <f>""</f>
        <v/>
      </c>
      <c r="M324" t="str">
        <f>""</f>
        <v/>
      </c>
      <c r="N324" t="str">
        <f>""</f>
        <v/>
      </c>
      <c r="O324" t="str">
        <f>""</f>
        <v/>
      </c>
      <c r="P324" t="str">
        <f>""</f>
        <v/>
      </c>
      <c r="Q324" t="str">
        <f>""</f>
        <v/>
      </c>
      <c r="R324" t="str">
        <f>""</f>
        <v/>
      </c>
      <c r="S324" t="str">
        <f>""</f>
        <v/>
      </c>
    </row>
    <row r="325" spans="1:19" x14ac:dyDescent="0.25">
      <c r="A325" t="str">
        <f>"~~~~~~~~~~~~~~~~~~~~~"</f>
        <v>~~~~~~~~~~~~~~~~~~~~~</v>
      </c>
      <c r="B325" t="str">
        <f>"~~~~~~~~~~~~~~~~~~~~~"</f>
        <v>~~~~~~~~~~~~~~~~~~~~~</v>
      </c>
      <c r="C325" t="str">
        <f>"~~~~~~~~~~~~~~~~~~~~~"</f>
        <v>~~~~~~~~~~~~~~~~~~~~~</v>
      </c>
      <c r="D325" t="str">
        <f>"~~~~~~~~~~~~~~~~~~~~~"</f>
        <v>~~~~~~~~~~~~~~~~~~~~~</v>
      </c>
      <c r="E325" t="str">
        <f>"~~~~~~~~~~~~~~~~~~~~~"</f>
        <v>~~~~~~~~~~~~~~~~~~~~~</v>
      </c>
      <c r="M325" t="str">
        <f>""</f>
        <v/>
      </c>
      <c r="N325" t="str">
        <f>""</f>
        <v/>
      </c>
      <c r="O325" t="str">
        <f>""</f>
        <v/>
      </c>
      <c r="P325" t="str">
        <f>""</f>
        <v/>
      </c>
      <c r="Q325" t="str">
        <f>""</f>
        <v/>
      </c>
      <c r="R325" t="str">
        <f>""</f>
        <v/>
      </c>
      <c r="S325" t="str">
        <f>""</f>
        <v/>
      </c>
    </row>
    <row r="326" spans="1:19" x14ac:dyDescent="0.25">
      <c r="A326" t="str">
        <f>"Rows below for column date calculation"</f>
        <v>Rows below for column date calculation</v>
      </c>
      <c r="M326" t="str">
        <f>""</f>
        <v/>
      </c>
      <c r="N326" t="str">
        <f>""</f>
        <v/>
      </c>
      <c r="O326" t="str">
        <f>""</f>
        <v/>
      </c>
      <c r="P326" t="str">
        <f>""</f>
        <v/>
      </c>
      <c r="Q326" t="str">
        <f>""</f>
        <v/>
      </c>
      <c r="R326" t="str">
        <f>""</f>
        <v/>
      </c>
      <c r="S326" t="str">
        <f>""</f>
        <v/>
      </c>
    </row>
    <row r="327" spans="1:19" x14ac:dyDescent="0.25">
      <c r="A327" t="str">
        <f>"Downloaded at"</f>
        <v>Downloaded at</v>
      </c>
      <c r="B327">
        <f>DATE(2020, 6,17)</f>
        <v>43999</v>
      </c>
      <c r="C327" t="str">
        <f>""</f>
        <v/>
      </c>
      <c r="D327" t="str">
        <f>""</f>
        <v/>
      </c>
      <c r="E327" t="str">
        <f>""</f>
        <v/>
      </c>
      <c r="M327" t="str">
        <f>""</f>
        <v/>
      </c>
      <c r="N327" t="str">
        <f>""</f>
        <v/>
      </c>
      <c r="O327" t="str">
        <f>""</f>
        <v/>
      </c>
      <c r="P327" t="str">
        <f>""</f>
        <v/>
      </c>
      <c r="Q327" t="str">
        <f>""</f>
        <v/>
      </c>
      <c r="R327" t="str">
        <f>""</f>
        <v/>
      </c>
      <c r="S327" t="str">
        <f>""</f>
        <v/>
      </c>
    </row>
    <row r="328" spans="1:19" x14ac:dyDescent="0.25">
      <c r="A328" t="str">
        <f>"This is End Date"</f>
        <v>This is End Date</v>
      </c>
      <c r="B328">
        <f ca="1">$B$164</f>
        <v>44004</v>
      </c>
      <c r="C328" t="str">
        <f>""</f>
        <v/>
      </c>
      <c r="D328" t="str">
        <f>""</f>
        <v/>
      </c>
      <c r="E328" t="str">
        <f>""</f>
        <v/>
      </c>
      <c r="M328" t="str">
        <f>""</f>
        <v/>
      </c>
      <c r="N328" t="str">
        <f>""</f>
        <v/>
      </c>
      <c r="O328" t="str">
        <f>""</f>
        <v/>
      </c>
      <c r="P328" t="str">
        <f>""</f>
        <v/>
      </c>
      <c r="Q328" t="str">
        <f>""</f>
        <v/>
      </c>
      <c r="R328" t="str">
        <f>""</f>
        <v/>
      </c>
      <c r="S328" t="str">
        <f>""</f>
        <v/>
      </c>
    </row>
    <row r="329" spans="1:19" x14ac:dyDescent="0.25">
      <c r="A329" t="str">
        <f>"Description"</f>
        <v>Description</v>
      </c>
      <c r="B329" t="str">
        <f>"Ticker"</f>
        <v>Ticker</v>
      </c>
      <c r="C329" t="str">
        <f>"Field ID"</f>
        <v>Field ID</v>
      </c>
      <c r="D329" t="str">
        <f>"Field Mnemonic"</f>
        <v>Field Mnemonic</v>
      </c>
      <c r="E329" t="str">
        <f>"Data State"</f>
        <v>Data State</v>
      </c>
      <c r="M329" t="str">
        <f>""</f>
        <v/>
      </c>
      <c r="N329" t="str">
        <f>""</f>
        <v/>
      </c>
      <c r="O329" t="str">
        <f>""</f>
        <v/>
      </c>
      <c r="P329" t="str">
        <f>""</f>
        <v/>
      </c>
      <c r="Q329" t="str">
        <f>""</f>
        <v/>
      </c>
      <c r="R329" t="str">
        <f>""</f>
        <v/>
      </c>
      <c r="S329" t="str">
        <f>""</f>
        <v/>
      </c>
    </row>
    <row r="330" spans="1:19" x14ac:dyDescent="0.25">
      <c r="A330" t="str">
        <f>"Snapshot Date"</f>
        <v>Snapshot Date</v>
      </c>
      <c r="B330">
        <f>DATE(2020, 6,17)</f>
        <v>43999</v>
      </c>
      <c r="C330" t="str">
        <f>""</f>
        <v/>
      </c>
      <c r="D330" t="str">
        <f>""</f>
        <v/>
      </c>
      <c r="E330" t="str">
        <f>""</f>
        <v/>
      </c>
      <c r="M330" t="str">
        <f>""</f>
        <v/>
      </c>
      <c r="N330" t="str">
        <f>""</f>
        <v/>
      </c>
      <c r="O330" t="str">
        <f>""</f>
        <v/>
      </c>
      <c r="P330" t="str">
        <f>""</f>
        <v/>
      </c>
      <c r="Q330" t="str">
        <f>""</f>
        <v/>
      </c>
      <c r="R330" t="str">
        <f>""</f>
        <v/>
      </c>
      <c r="S330" t="str">
        <f>""</f>
        <v/>
      </c>
    </row>
    <row r="331" spans="1:19" x14ac:dyDescent="0.25">
      <c r="A331" t="str">
        <f>"Snapshot header"</f>
        <v>Snapshot header</v>
      </c>
      <c r="B331">
        <f>2</f>
        <v>2</v>
      </c>
      <c r="C331" t="str">
        <f>"2019"</f>
        <v>2019</v>
      </c>
      <c r="D331" t="str">
        <f>"2018"</f>
        <v>2018</v>
      </c>
      <c r="E331" t="str">
        <f>"2017"</f>
        <v>2017</v>
      </c>
      <c r="F331" t="str">
        <f>"2016"</f>
        <v>2016</v>
      </c>
      <c r="G331" t="str">
        <f>"2015"</f>
        <v>2015</v>
      </c>
      <c r="H331" t="str">
        <f>"2014"</f>
        <v>2014</v>
      </c>
      <c r="I331" t="str">
        <f>"2013"</f>
        <v>2013</v>
      </c>
      <c r="M331" t="str">
        <f>""</f>
        <v/>
      </c>
      <c r="N331" t="str">
        <f>""</f>
        <v/>
      </c>
      <c r="O331" t="str">
        <f>""</f>
        <v/>
      </c>
      <c r="P331" t="str">
        <f>""</f>
        <v/>
      </c>
      <c r="Q331" t="str">
        <f>""</f>
        <v/>
      </c>
      <c r="R331" t="str">
        <f>""</f>
        <v/>
      </c>
      <c r="S331" t="str">
        <f>""</f>
        <v/>
      </c>
    </row>
    <row r="332" spans="1:19" x14ac:dyDescent="0.25">
      <c r="A332" t="str">
        <f>"BDH snapshot header0"</f>
        <v>BDH snapshot header0</v>
      </c>
      <c r="B332">
        <f ca="1">IF(OR(ISERROR($C$332),ISBLANK($C$332),ISNUMBER(SEARCH("N/A",$C$332) ),ISERROR($C$333),ISBLANK($C$333)),0,1)</f>
        <v>0</v>
      </c>
      <c r="C332" t="e">
        <f ca="1">_xll.BDH($B$167,$C$167,$B$163,$B$330,"PER=CY","Dts=S","DtFmt=FI", "rows=2","Dir=H","Points=7","Sort=R","Days=A","Fill=B","FX=USD" )</f>
        <v>#NAME?</v>
      </c>
      <c r="M332" t="str">
        <f>""</f>
        <v/>
      </c>
      <c r="N332" t="str">
        <f>""</f>
        <v/>
      </c>
      <c r="O332" t="str">
        <f>""</f>
        <v/>
      </c>
      <c r="P332" t="str">
        <f>""</f>
        <v/>
      </c>
      <c r="Q332" t="str">
        <f>""</f>
        <v/>
      </c>
      <c r="R332" t="str">
        <f>""</f>
        <v/>
      </c>
      <c r="S332" t="str">
        <f>""</f>
        <v/>
      </c>
    </row>
    <row r="333" spans="1:19" x14ac:dyDescent="0.25">
      <c r="A333" t="str">
        <f>"BDH snapshot result0"</f>
        <v>BDH snapshot result0</v>
      </c>
      <c r="M333" t="str">
        <f>""</f>
        <v/>
      </c>
      <c r="N333" t="str">
        <f>""</f>
        <v/>
      </c>
      <c r="O333" t="str">
        <f>""</f>
        <v/>
      </c>
      <c r="P333" t="str">
        <f>""</f>
        <v/>
      </c>
      <c r="Q333" t="str">
        <f>""</f>
        <v/>
      </c>
      <c r="R333" t="str">
        <f>""</f>
        <v/>
      </c>
      <c r="S333" t="str">
        <f>""</f>
        <v/>
      </c>
    </row>
    <row r="334" spans="1:19" x14ac:dyDescent="0.25">
      <c r="A334" t="str">
        <f>"BDH snapshot header1"</f>
        <v>BDH snapshot header1</v>
      </c>
      <c r="B334">
        <f ca="1">IF(OR(ISERROR($C$334),ISBLANK($C$334),ISNUMBER(SEARCH("N/A",$C$334) ),ISERROR($C$335),ISBLANK($C$335)),0,1)</f>
        <v>0</v>
      </c>
      <c r="C334" t="e">
        <f ca="1">_xll.BDH($B$168,$C$168,$B$163,$B$330,"PER=CY","Dts=S","DtFmt=FI", "rows=2","Dir=H","Points=7","Sort=R","Days=A","Fill=B","FX=USD" )</f>
        <v>#NAME?</v>
      </c>
      <c r="M334" t="str">
        <f>""</f>
        <v/>
      </c>
      <c r="N334" t="str">
        <f>""</f>
        <v/>
      </c>
      <c r="O334" t="str">
        <f>""</f>
        <v/>
      </c>
      <c r="P334" t="str">
        <f>""</f>
        <v/>
      </c>
      <c r="Q334" t="str">
        <f>""</f>
        <v/>
      </c>
      <c r="R334" t="str">
        <f>""</f>
        <v/>
      </c>
      <c r="S334" t="str">
        <f>""</f>
        <v/>
      </c>
    </row>
    <row r="335" spans="1:19" x14ac:dyDescent="0.25">
      <c r="A335" t="str">
        <f>"BDH snapshot result1"</f>
        <v>BDH snapshot result1</v>
      </c>
      <c r="M335" t="str">
        <f>""</f>
        <v/>
      </c>
      <c r="N335" t="str">
        <f>""</f>
        <v/>
      </c>
      <c r="O335" t="str">
        <f>""</f>
        <v/>
      </c>
      <c r="P335" t="str">
        <f>""</f>
        <v/>
      </c>
      <c r="Q335" t="str">
        <f>""</f>
        <v/>
      </c>
      <c r="R335" t="str">
        <f>""</f>
        <v/>
      </c>
      <c r="S335" t="str">
        <f>""</f>
        <v/>
      </c>
    </row>
    <row r="336" spans="1:19" x14ac:dyDescent="0.25">
      <c r="A336" t="str">
        <f>"BDH snapshot header2"</f>
        <v>BDH snapshot header2</v>
      </c>
      <c r="B336">
        <f ca="1">IF(OR(ISERROR($C$336),ISBLANK($C$336),ISNUMBER(SEARCH("N/A",$C$336) ),ISERROR($C$337),ISBLANK($C$337)),0,1)</f>
        <v>0</v>
      </c>
      <c r="C336" t="e">
        <f ca="1">_xll.BDH($B$169,$C$169,$B$163,$B$330,"PER=CY","Dts=S","DtFmt=FI", "rows=2","Dir=H","Points=7","Sort=R","Days=A","Fill=B","FX=USD" )</f>
        <v>#NAME?</v>
      </c>
      <c r="M336" t="str">
        <f>""</f>
        <v/>
      </c>
      <c r="N336" t="str">
        <f>""</f>
        <v/>
      </c>
      <c r="O336" t="str">
        <f>""</f>
        <v/>
      </c>
      <c r="P336" t="str">
        <f>""</f>
        <v/>
      </c>
      <c r="Q336" t="str">
        <f>""</f>
        <v/>
      </c>
      <c r="R336" t="str">
        <f>""</f>
        <v/>
      </c>
      <c r="S336" t="str">
        <f>""</f>
        <v/>
      </c>
    </row>
    <row r="337" spans="1:19" x14ac:dyDescent="0.25">
      <c r="A337" t="str">
        <f>"BDH snapshot result2"</f>
        <v>BDH snapshot result2</v>
      </c>
      <c r="M337" t="str">
        <f>""</f>
        <v/>
      </c>
      <c r="N337" t="str">
        <f>""</f>
        <v/>
      </c>
      <c r="O337" t="str">
        <f>""</f>
        <v/>
      </c>
      <c r="P337" t="str">
        <f>""</f>
        <v/>
      </c>
      <c r="Q337" t="str">
        <f>""</f>
        <v/>
      </c>
      <c r="R337" t="str">
        <f>""</f>
        <v/>
      </c>
      <c r="S337" t="str">
        <f>""</f>
        <v/>
      </c>
    </row>
    <row r="338" spans="1:19" x14ac:dyDescent="0.25">
      <c r="A338" t="str">
        <f>"BDH snapshot"</f>
        <v>BDH snapshot</v>
      </c>
      <c r="B338">
        <f ca="1">IF($B$332&gt;=1,$B$332,IF($B$334&gt;=1,$B$334,IF($B$336&gt;=1,$B$336,$B$331)))</f>
        <v>2</v>
      </c>
      <c r="C338" t="str">
        <f ca="1">IF($B$332&gt;=1,$C$332,IF($B$334&gt;=1,$C$334,IF($B$336&gt;=1,$C$336,$C$331)))</f>
        <v>2019</v>
      </c>
      <c r="D338" t="str">
        <f ca="1">IF($B$332&gt;=1,$D$332,IF($B$334&gt;=1,$D$334,IF($B$336&gt;=1,$D$336,$D$331)))</f>
        <v>2018</v>
      </c>
      <c r="E338" t="str">
        <f ca="1">IF($B$332&gt;=1,$E$332,IF($B$334&gt;=1,$E$334,IF($B$336&gt;=1,$E$336,$E$331)))</f>
        <v>2017</v>
      </c>
      <c r="F338" t="str">
        <f ca="1">IF($B$332&gt;=1,$F$332,IF($B$334&gt;=1,$F$334,IF($B$336&gt;=1,$F$336,$F$331)))</f>
        <v>2016</v>
      </c>
      <c r="G338" t="str">
        <f ca="1">IF($B$332&gt;=1,$G$332,IF($B$334&gt;=1,$G$334,IF($B$336&gt;=1,$G$336,$G$331)))</f>
        <v>2015</v>
      </c>
      <c r="H338" t="str">
        <f ca="1">IF($B$332&gt;=1,$H$332,IF($B$334&gt;=1,$H$334,IF($B$336&gt;=1,$H$336,$H$331)))</f>
        <v>2014</v>
      </c>
      <c r="I338" t="str">
        <f ca="1">IF($B$332&gt;=1,$I$332,IF($B$334&gt;=1,$I$334,IF($B$336&gt;=1,$I$336,$I$331)))</f>
        <v>2013</v>
      </c>
      <c r="M338" t="str">
        <f>""</f>
        <v/>
      </c>
      <c r="N338" t="str">
        <f>""</f>
        <v/>
      </c>
      <c r="O338" t="str">
        <f>""</f>
        <v/>
      </c>
      <c r="P338" t="str">
        <f>""</f>
        <v/>
      </c>
      <c r="Q338" t="str">
        <f>""</f>
        <v/>
      </c>
      <c r="R338" t="str">
        <f>""</f>
        <v/>
      </c>
      <c r="S338" t="str">
        <f>""</f>
        <v/>
      </c>
    </row>
    <row r="339" spans="1:19" x14ac:dyDescent="0.25">
      <c r="A339" t="str">
        <f>"BDH snapshot title"</f>
        <v>BDH snapshot title</v>
      </c>
      <c r="B339">
        <f ca="1">$B$338</f>
        <v>2</v>
      </c>
      <c r="C339" t="str">
        <f ca="1">SUBSTITUTE(SUBSTITUTE($C$338,"CY1 ",""),"C","")</f>
        <v>2019</v>
      </c>
      <c r="D339" t="str">
        <f ca="1">SUBSTITUTE(SUBSTITUTE($D$338,"CY1 ",""),"C","")</f>
        <v>2018</v>
      </c>
      <c r="E339" t="str">
        <f ca="1">SUBSTITUTE(SUBSTITUTE($E$338,"CY1 ",""),"C","")</f>
        <v>2017</v>
      </c>
      <c r="F339" t="str">
        <f ca="1">SUBSTITUTE(SUBSTITUTE($F$338,"CY1 ",""),"C","")</f>
        <v>2016</v>
      </c>
      <c r="G339" t="str">
        <f ca="1">SUBSTITUTE(SUBSTITUTE($G$338,"CY1 ",""),"C","")</f>
        <v>2015</v>
      </c>
      <c r="H339" t="str">
        <f ca="1">SUBSTITUTE(SUBSTITUTE($H$338,"CY1 ",""),"C","")</f>
        <v>2014</v>
      </c>
      <c r="I339" t="str">
        <f ca="1">SUBSTITUTE(SUBSTITUTE($I$338,"CY1 ",""),"C","")</f>
        <v>2013</v>
      </c>
      <c r="M339" t="str">
        <f>""</f>
        <v/>
      </c>
      <c r="N339" t="str">
        <f>""</f>
        <v/>
      </c>
      <c r="O339" t="str">
        <f>""</f>
        <v/>
      </c>
      <c r="P339" t="str">
        <f>""</f>
        <v/>
      </c>
      <c r="Q339" t="str">
        <f>""</f>
        <v/>
      </c>
      <c r="R339" t="str">
        <f>""</f>
        <v/>
      </c>
      <c r="S339" t="str">
        <f>""</f>
        <v/>
      </c>
    </row>
    <row r="340" spans="1:19" x14ac:dyDescent="0.25">
      <c r="A340" t="str">
        <f>"BDH dynamic header0"</f>
        <v>BDH dynamic header0</v>
      </c>
      <c r="B340">
        <f ca="1">IF(OR(ISERROR($C$340),ISBLANK($C$340),ISNUMBER(SEARCH("N/A",$C$340) ),ISERROR($C$341),ISBLANK($C$341)),0,1)</f>
        <v>0</v>
      </c>
      <c r="C340" t="e">
        <f ca="1">_xll.BDH($B$167,$C$167,$B$163,$B$164,"PER=CY","Dts=S","DtFmt=FI", "rows=2","Dir=H","Points=7","Sort=R","Days=A","Fill=B","FX=USD" )</f>
        <v>#NAME?</v>
      </c>
      <c r="M340" t="str">
        <f>""</f>
        <v/>
      </c>
      <c r="N340" t="str">
        <f>""</f>
        <v/>
      </c>
      <c r="O340" t="str">
        <f>""</f>
        <v/>
      </c>
      <c r="P340" t="str">
        <f>""</f>
        <v/>
      </c>
      <c r="Q340" t="str">
        <f>""</f>
        <v/>
      </c>
      <c r="R340" t="str">
        <f>""</f>
        <v/>
      </c>
      <c r="S340" t="str">
        <f>""</f>
        <v/>
      </c>
    </row>
    <row r="341" spans="1:19" x14ac:dyDescent="0.25">
      <c r="A341" t="str">
        <f>"BDH dynamic result0"</f>
        <v>BDH dynamic result0</v>
      </c>
      <c r="M341" t="str">
        <f>""</f>
        <v/>
      </c>
      <c r="N341" t="str">
        <f>""</f>
        <v/>
      </c>
      <c r="O341" t="str">
        <f>""</f>
        <v/>
      </c>
      <c r="P341" t="str">
        <f>""</f>
        <v/>
      </c>
      <c r="Q341" t="str">
        <f>""</f>
        <v/>
      </c>
      <c r="R341" t="str">
        <f>""</f>
        <v/>
      </c>
      <c r="S341" t="str">
        <f>""</f>
        <v/>
      </c>
    </row>
    <row r="342" spans="1:19" x14ac:dyDescent="0.25">
      <c r="A342" t="str">
        <f>"BDH dynamic header1"</f>
        <v>BDH dynamic header1</v>
      </c>
      <c r="B342">
        <f ca="1">IF(OR(ISERROR($C$342),ISBLANK($C$342),ISNUMBER(SEARCH("N/A",$C$342) ),ISERROR($C$343),ISBLANK($C$343)),0,1)</f>
        <v>0</v>
      </c>
      <c r="C342" t="e">
        <f ca="1">_xll.BDH($B$168,$C$168,$B$163,$B$164,"PER=CY","Dts=S","DtFmt=FI", "rows=2","Dir=H","Points=7","Sort=R","Days=A","Fill=B","FX=USD" )</f>
        <v>#NAME?</v>
      </c>
      <c r="M342" t="str">
        <f>""</f>
        <v/>
      </c>
      <c r="N342" t="str">
        <f>""</f>
        <v/>
      </c>
      <c r="O342" t="str">
        <f>""</f>
        <v/>
      </c>
      <c r="P342" t="str">
        <f>""</f>
        <v/>
      </c>
      <c r="Q342" t="str">
        <f>""</f>
        <v/>
      </c>
      <c r="R342" t="str">
        <f>""</f>
        <v/>
      </c>
      <c r="S342" t="str">
        <f>""</f>
        <v/>
      </c>
    </row>
    <row r="343" spans="1:19" x14ac:dyDescent="0.25">
      <c r="A343" t="str">
        <f>"BDH dynamic result1"</f>
        <v>BDH dynamic result1</v>
      </c>
      <c r="M343" t="str">
        <f>""</f>
        <v/>
      </c>
      <c r="N343" t="str">
        <f>""</f>
        <v/>
      </c>
      <c r="O343" t="str">
        <f>""</f>
        <v/>
      </c>
      <c r="P343" t="str">
        <f>""</f>
        <v/>
      </c>
      <c r="Q343" t="str">
        <f>""</f>
        <v/>
      </c>
      <c r="R343" t="str">
        <f>""</f>
        <v/>
      </c>
      <c r="S343" t="str">
        <f>""</f>
        <v/>
      </c>
    </row>
    <row r="344" spans="1:19" x14ac:dyDescent="0.25">
      <c r="A344" t="str">
        <f>"BDH dynamic header2"</f>
        <v>BDH dynamic header2</v>
      </c>
      <c r="B344">
        <f ca="1">IF(OR(ISERROR($C$344),ISBLANK($C$344),ISNUMBER(SEARCH("N/A",$C$344) ),ISERROR($C$345),ISBLANK($C$345)),0,1)</f>
        <v>0</v>
      </c>
      <c r="C344" t="e">
        <f ca="1">_xll.BDH($B$169,$C$169,$B$163,$B$164,"PER=CY","Dts=S","DtFmt=FI", "rows=2","Dir=H","Points=7","Sort=R","Days=A","Fill=B","FX=USD" )</f>
        <v>#NAME?</v>
      </c>
      <c r="M344" t="str">
        <f>""</f>
        <v/>
      </c>
      <c r="N344" t="str">
        <f>""</f>
        <v/>
      </c>
      <c r="O344" t="str">
        <f>""</f>
        <v/>
      </c>
      <c r="P344" t="str">
        <f>""</f>
        <v/>
      </c>
      <c r="Q344" t="str">
        <f>""</f>
        <v/>
      </c>
      <c r="R344" t="str">
        <f>""</f>
        <v/>
      </c>
      <c r="S344" t="str">
        <f>""</f>
        <v/>
      </c>
    </row>
    <row r="345" spans="1:19" x14ac:dyDescent="0.25">
      <c r="A345" t="str">
        <f>"BDH dynamic result2"</f>
        <v>BDH dynamic result2</v>
      </c>
      <c r="M345" t="str">
        <f>""</f>
        <v/>
      </c>
      <c r="N345" t="str">
        <f>""</f>
        <v/>
      </c>
      <c r="O345" t="str">
        <f>""</f>
        <v/>
      </c>
      <c r="P345" t="str">
        <f>""</f>
        <v/>
      </c>
      <c r="Q345" t="str">
        <f>""</f>
        <v/>
      </c>
      <c r="R345" t="str">
        <f>""</f>
        <v/>
      </c>
      <c r="S345" t="str">
        <f>""</f>
        <v/>
      </c>
    </row>
    <row r="346" spans="1:19" x14ac:dyDescent="0.25">
      <c r="A346" t="str">
        <f>"BDH dynamic"</f>
        <v>BDH dynamic</v>
      </c>
      <c r="B346">
        <f ca="1">IF($B$340&gt;=1,$B$340,IF($B$342&gt;=1,$B$342,IF($B$344&gt;=1,$B$344,$B$331)))</f>
        <v>2</v>
      </c>
      <c r="C346" t="str">
        <f ca="1">IF($B$340&gt;=1,$C$340,IF($B$342&gt;=1,$C$342,IF($B$344&gt;=1,$C$344,$C$331)))</f>
        <v>2019</v>
      </c>
      <c r="D346" t="str">
        <f ca="1">IF($B$340&gt;=1,$D$340,IF($B$342&gt;=1,$D$342,IF($B$344&gt;=1,$D$344,$D$331)))</f>
        <v>2018</v>
      </c>
      <c r="E346" t="str">
        <f ca="1">IF($B$340&gt;=1,$E$340,IF($B$342&gt;=1,$E$342,IF($B$344&gt;=1,$E$344,$E$331)))</f>
        <v>2017</v>
      </c>
      <c r="F346" t="str">
        <f ca="1">IF($B$340&gt;=1,$F$340,IF($B$342&gt;=1,$F$342,IF($B$344&gt;=1,$F$344,$F$331)))</f>
        <v>2016</v>
      </c>
      <c r="G346" t="str">
        <f ca="1">IF($B$340&gt;=1,$G$340,IF($B$342&gt;=1,$G$342,IF($B$344&gt;=1,$G$344,$G$331)))</f>
        <v>2015</v>
      </c>
      <c r="H346" t="str">
        <f ca="1">IF($B$340&gt;=1,$H$340,IF($B$342&gt;=1,$H$342,IF($B$344&gt;=1,$H$344,$H$331)))</f>
        <v>2014</v>
      </c>
      <c r="I346" t="str">
        <f ca="1">IF($B$340&gt;=1,$I$340,IF($B$342&gt;=1,$I$342,IF($B$344&gt;=1,$I$344,$I$331)))</f>
        <v>2013</v>
      </c>
      <c r="M346" t="str">
        <f>""</f>
        <v/>
      </c>
      <c r="N346" t="str">
        <f>""</f>
        <v/>
      </c>
      <c r="O346" t="str">
        <f>""</f>
        <v/>
      </c>
      <c r="P346" t="str">
        <f>""</f>
        <v/>
      </c>
      <c r="Q346" t="str">
        <f>""</f>
        <v/>
      </c>
      <c r="R346" t="str">
        <f>""</f>
        <v/>
      </c>
      <c r="S346" t="str">
        <f>""</f>
        <v/>
      </c>
    </row>
    <row r="347" spans="1:19" x14ac:dyDescent="0.25">
      <c r="A347" t="str">
        <f>"BDH dynamic title"</f>
        <v>BDH dynamic title</v>
      </c>
      <c r="B347">
        <f ca="1">$B$346</f>
        <v>2</v>
      </c>
      <c r="C347" t="str">
        <f ca="1">SUBSTITUTE(SUBSTITUTE($C$346,"CY1 ",""),"C","")</f>
        <v>2019</v>
      </c>
      <c r="D347" t="str">
        <f ca="1">SUBSTITUTE(SUBSTITUTE($D$346,"CY1 ",""),"C","")</f>
        <v>2018</v>
      </c>
      <c r="E347" t="str">
        <f ca="1">SUBSTITUTE(SUBSTITUTE($E$346,"CY1 ",""),"C","")</f>
        <v>2017</v>
      </c>
      <c r="F347" t="str">
        <f ca="1">SUBSTITUTE(SUBSTITUTE($F$346,"CY1 ",""),"C","")</f>
        <v>2016</v>
      </c>
      <c r="G347" t="str">
        <f ca="1">SUBSTITUTE(SUBSTITUTE($G$346,"CY1 ",""),"C","")</f>
        <v>2015</v>
      </c>
      <c r="H347" t="str">
        <f ca="1">SUBSTITUTE(SUBSTITUTE($H$346,"CY1 ",""),"C","")</f>
        <v>2014</v>
      </c>
      <c r="I347" t="str">
        <f ca="1">SUBSTITUTE(SUBSTITUTE($I$346,"CY1 ",""),"C","")</f>
        <v>2013</v>
      </c>
      <c r="M347" t="str">
        <f>""</f>
        <v/>
      </c>
      <c r="N347" t="str">
        <f>""</f>
        <v/>
      </c>
      <c r="O347" t="str">
        <f>""</f>
        <v/>
      </c>
      <c r="P347" t="str">
        <f>""</f>
        <v/>
      </c>
      <c r="Q347" t="str">
        <f>""</f>
        <v/>
      </c>
      <c r="R347" t="str">
        <f>""</f>
        <v/>
      </c>
      <c r="S347" t="str">
        <f>""</f>
        <v/>
      </c>
    </row>
    <row r="348" spans="1:19" x14ac:dyDescent="0.25">
      <c r="A348" t="str">
        <f>"No error found"</f>
        <v>No error found</v>
      </c>
      <c r="B348" t="str">
        <f>""</f>
        <v/>
      </c>
      <c r="C348" t="str">
        <f>""</f>
        <v/>
      </c>
      <c r="D348" t="str">
        <f>""</f>
        <v/>
      </c>
      <c r="E348" t="str">
        <f>""</f>
        <v/>
      </c>
      <c r="M348" t="str">
        <f>""</f>
        <v/>
      </c>
      <c r="N348" t="str">
        <f>""</f>
        <v/>
      </c>
      <c r="O348" t="str">
        <f>""</f>
        <v/>
      </c>
      <c r="P348" t="str">
        <f>""</f>
        <v/>
      </c>
      <c r="Q348" t="str">
        <f>""</f>
        <v/>
      </c>
      <c r="R348" t="str">
        <f>""</f>
        <v/>
      </c>
      <c r="S348" t="str">
        <f>""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98B9-B07D-4902-8C8F-36DF9102D2EC}">
  <dimension ref="A2:S337"/>
  <sheetViews>
    <sheetView tabSelected="1" topLeftCell="A59" workbookViewId="0">
      <selection activeCell="A10" sqref="A10:J10"/>
    </sheetView>
  </sheetViews>
  <sheetFormatPr defaultRowHeight="15" x14ac:dyDescent="0.25"/>
  <cols>
    <col min="1" max="1" width="28.7109375" customWidth="1"/>
  </cols>
  <sheetData>
    <row r="2" spans="1:19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39</v>
      </c>
      <c r="G2" t="s">
        <v>38</v>
      </c>
      <c r="H2" t="s">
        <v>37</v>
      </c>
      <c r="I2" t="s">
        <v>36</v>
      </c>
      <c r="J2" t="s">
        <v>35</v>
      </c>
      <c r="K2" t="s">
        <v>34</v>
      </c>
      <c r="L2" t="s">
        <v>33</v>
      </c>
      <c r="M2" t="s">
        <v>39</v>
      </c>
      <c r="N2" t="s">
        <v>38</v>
      </c>
      <c r="O2" t="s">
        <v>37</v>
      </c>
      <c r="P2" t="s">
        <v>36</v>
      </c>
      <c r="Q2" t="s">
        <v>35</v>
      </c>
      <c r="R2" t="s">
        <v>34</v>
      </c>
      <c r="S2" t="s">
        <v>33</v>
      </c>
    </row>
    <row r="3" spans="1:19" x14ac:dyDescent="0.25">
      <c r="A3" t="s">
        <v>40</v>
      </c>
      <c r="B3" t="s">
        <v>41</v>
      </c>
      <c r="E3" t="s">
        <v>42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 t="s">
        <v>41</v>
      </c>
    </row>
    <row r="4" spans="1:19" x14ac:dyDescent="0.25">
      <c r="A4" t="s">
        <v>43</v>
      </c>
      <c r="B4" t="s">
        <v>41</v>
      </c>
      <c r="E4" t="s">
        <v>44</v>
      </c>
      <c r="F4">
        <v>138000</v>
      </c>
      <c r="G4">
        <v>130000</v>
      </c>
      <c r="H4">
        <v>120081</v>
      </c>
      <c r="I4">
        <v>116833</v>
      </c>
      <c r="J4">
        <v>105432</v>
      </c>
      <c r="K4">
        <v>123462</v>
      </c>
      <c r="L4">
        <v>111560.5</v>
      </c>
      <c r="M4">
        <v>138000</v>
      </c>
      <c r="N4">
        <v>130000</v>
      </c>
      <c r="O4">
        <v>120081</v>
      </c>
      <c r="P4">
        <v>116833</v>
      </c>
      <c r="Q4">
        <v>105432</v>
      </c>
      <c r="R4">
        <v>123462</v>
      </c>
      <c r="S4">
        <v>111560.5</v>
      </c>
    </row>
    <row r="5" spans="1:19" x14ac:dyDescent="0.25">
      <c r="A5" t="s">
        <v>68</v>
      </c>
      <c r="B5" t="s">
        <v>69</v>
      </c>
      <c r="C5" t="s">
        <v>47</v>
      </c>
      <c r="D5" t="s">
        <v>48</v>
      </c>
      <c r="E5" t="s">
        <v>49</v>
      </c>
      <c r="F5">
        <v>150423</v>
      </c>
      <c r="G5">
        <v>137965</v>
      </c>
      <c r="H5">
        <v>120081</v>
      </c>
      <c r="I5">
        <v>115973</v>
      </c>
      <c r="J5">
        <v>104896</v>
      </c>
      <c r="K5" t="s">
        <v>41</v>
      </c>
      <c r="L5">
        <v>91691</v>
      </c>
      <c r="M5">
        <v>150423</v>
      </c>
      <c r="N5">
        <v>137965</v>
      </c>
      <c r="O5">
        <v>120081</v>
      </c>
      <c r="P5">
        <v>115973</v>
      </c>
      <c r="Q5">
        <v>104896</v>
      </c>
      <c r="R5" t="s">
        <v>41</v>
      </c>
      <c r="S5">
        <v>91691</v>
      </c>
    </row>
    <row r="6" spans="1:19" x14ac:dyDescent="0.25">
      <c r="A6" t="s">
        <v>72</v>
      </c>
      <c r="B6" t="s">
        <v>73</v>
      </c>
      <c r="C6" t="s">
        <v>47</v>
      </c>
      <c r="D6" t="s">
        <v>48</v>
      </c>
      <c r="E6" t="s">
        <v>49</v>
      </c>
      <c r="F6">
        <v>242371</v>
      </c>
      <c r="G6">
        <v>228123</v>
      </c>
      <c r="H6">
        <v>204107</v>
      </c>
      <c r="I6">
        <v>200364</v>
      </c>
      <c r="J6">
        <v>194044</v>
      </c>
      <c r="K6">
        <v>176187</v>
      </c>
      <c r="L6">
        <v>160405</v>
      </c>
      <c r="M6">
        <v>242371</v>
      </c>
      <c r="N6">
        <v>228123</v>
      </c>
      <c r="O6">
        <v>204107</v>
      </c>
      <c r="P6">
        <v>200364</v>
      </c>
      <c r="Q6">
        <v>194044</v>
      </c>
      <c r="R6">
        <v>176187</v>
      </c>
      <c r="S6">
        <v>160405</v>
      </c>
    </row>
    <row r="7" spans="1:19" x14ac:dyDescent="0.25">
      <c r="A7" t="s">
        <v>76</v>
      </c>
      <c r="B7" t="s">
        <v>77</v>
      </c>
      <c r="C7" t="s">
        <v>47</v>
      </c>
      <c r="D7" t="s">
        <v>48</v>
      </c>
      <c r="E7" t="s">
        <v>49</v>
      </c>
      <c r="F7">
        <v>448464</v>
      </c>
      <c r="G7">
        <v>424285</v>
      </c>
      <c r="H7">
        <v>394998</v>
      </c>
      <c r="I7">
        <v>387223</v>
      </c>
      <c r="J7">
        <v>353843</v>
      </c>
      <c r="K7">
        <v>319656</v>
      </c>
      <c r="L7">
        <v>300464</v>
      </c>
      <c r="M7">
        <v>448464</v>
      </c>
      <c r="N7">
        <v>424285</v>
      </c>
      <c r="O7">
        <v>394998</v>
      </c>
      <c r="P7">
        <v>387223</v>
      </c>
      <c r="Q7">
        <v>353843</v>
      </c>
      <c r="R7">
        <v>319656</v>
      </c>
      <c r="S7">
        <v>300464</v>
      </c>
    </row>
    <row r="8" spans="1:19" x14ac:dyDescent="0.25">
      <c r="A8" t="s">
        <v>78</v>
      </c>
      <c r="B8" t="s">
        <v>79</v>
      </c>
      <c r="C8" t="s">
        <v>47</v>
      </c>
      <c r="D8" t="s">
        <v>48</v>
      </c>
      <c r="E8" t="s">
        <v>49</v>
      </c>
      <c r="F8">
        <v>103822</v>
      </c>
      <c r="G8">
        <v>103822</v>
      </c>
      <c r="H8">
        <v>112807</v>
      </c>
      <c r="I8">
        <v>117693</v>
      </c>
      <c r="J8">
        <v>105432</v>
      </c>
      <c r="K8">
        <v>103281</v>
      </c>
      <c r="L8">
        <v>89441</v>
      </c>
      <c r="M8">
        <v>103822</v>
      </c>
      <c r="N8">
        <v>103822</v>
      </c>
      <c r="O8">
        <v>112807</v>
      </c>
      <c r="P8">
        <v>117693</v>
      </c>
      <c r="Q8">
        <v>105432</v>
      </c>
      <c r="R8">
        <v>103281</v>
      </c>
      <c r="S8">
        <v>89441</v>
      </c>
    </row>
    <row r="9" spans="1:19" x14ac:dyDescent="0.25">
      <c r="A9" t="s">
        <v>80</v>
      </c>
      <c r="B9" t="s">
        <v>81</v>
      </c>
      <c r="C9" t="s">
        <v>47</v>
      </c>
      <c r="D9" t="s">
        <v>48</v>
      </c>
      <c r="E9" t="s">
        <v>49</v>
      </c>
      <c r="F9">
        <v>182886</v>
      </c>
      <c r="G9">
        <v>171425</v>
      </c>
      <c r="H9">
        <v>163827</v>
      </c>
      <c r="I9">
        <v>181482</v>
      </c>
      <c r="J9">
        <v>172912</v>
      </c>
      <c r="K9">
        <v>158217</v>
      </c>
      <c r="L9">
        <v>146053</v>
      </c>
      <c r="M9">
        <v>182886</v>
      </c>
      <c r="N9">
        <v>171425</v>
      </c>
      <c r="O9">
        <v>163827</v>
      </c>
      <c r="P9">
        <v>181482</v>
      </c>
      <c r="Q9">
        <v>172912</v>
      </c>
      <c r="R9">
        <v>158217</v>
      </c>
      <c r="S9">
        <v>146053</v>
      </c>
    </row>
    <row r="10" spans="1:19" x14ac:dyDescent="0.25">
      <c r="A10" t="s">
        <v>140</v>
      </c>
      <c r="F10">
        <f>SUM(F5:F9)</f>
        <v>1127966</v>
      </c>
      <c r="G10">
        <f t="shared" ref="G10:L10" si="0">SUM(G5:G9)</f>
        <v>1065620</v>
      </c>
      <c r="H10">
        <f t="shared" si="0"/>
        <v>995820</v>
      </c>
      <c r="I10">
        <f t="shared" si="0"/>
        <v>1002735</v>
      </c>
      <c r="J10">
        <f t="shared" si="0"/>
        <v>931127</v>
      </c>
      <c r="K10">
        <f t="shared" si="0"/>
        <v>757341</v>
      </c>
      <c r="L10">
        <f t="shared" si="0"/>
        <v>788054</v>
      </c>
    </row>
    <row r="11" spans="1:19" x14ac:dyDescent="0.25">
      <c r="A11" t="s">
        <v>82</v>
      </c>
      <c r="B11" t="s">
        <v>41</v>
      </c>
      <c r="E11" t="s">
        <v>44</v>
      </c>
      <c r="F11">
        <v>33491.616399999999</v>
      </c>
      <c r="G11">
        <v>51620.800855000001</v>
      </c>
      <c r="H11">
        <v>41766.935949999999</v>
      </c>
      <c r="I11">
        <v>60103.104534999999</v>
      </c>
      <c r="J11">
        <v>54310.172500000001</v>
      </c>
      <c r="K11">
        <v>47781.535580000003</v>
      </c>
      <c r="L11">
        <v>37326.120000000003</v>
      </c>
      <c r="M11" t="s">
        <v>41</v>
      </c>
      <c r="N11">
        <v>51620.800860000003</v>
      </c>
      <c r="O11">
        <v>41766.935949999999</v>
      </c>
      <c r="P11">
        <v>60103.104529999997</v>
      </c>
      <c r="Q11">
        <v>54310.172500000001</v>
      </c>
      <c r="R11">
        <v>47781.535580000003</v>
      </c>
      <c r="S11">
        <v>37326.120000000003</v>
      </c>
    </row>
    <row r="12" spans="1:19" x14ac:dyDescent="0.25">
      <c r="A12" t="s">
        <v>45</v>
      </c>
      <c r="B12" t="s">
        <v>46</v>
      </c>
      <c r="E12" t="s">
        <v>83</v>
      </c>
      <c r="F12" t="s">
        <v>41</v>
      </c>
      <c r="G12">
        <v>192780</v>
      </c>
      <c r="H12">
        <v>188190</v>
      </c>
      <c r="I12">
        <v>149760</v>
      </c>
      <c r="J12">
        <v>136229.24</v>
      </c>
      <c r="K12">
        <v>109800</v>
      </c>
      <c r="L12">
        <v>99000</v>
      </c>
      <c r="M12" t="s">
        <v>41</v>
      </c>
      <c r="N12">
        <v>192780</v>
      </c>
      <c r="O12">
        <v>188190</v>
      </c>
      <c r="P12">
        <v>149760</v>
      </c>
      <c r="Q12">
        <v>136229.24</v>
      </c>
      <c r="R12">
        <v>109800</v>
      </c>
      <c r="S12">
        <v>99000</v>
      </c>
    </row>
    <row r="13" spans="1:19" x14ac:dyDescent="0.25">
      <c r="A13" t="s">
        <v>50</v>
      </c>
      <c r="B13" t="s">
        <v>51</v>
      </c>
      <c r="E13" t="s">
        <v>83</v>
      </c>
      <c r="F13">
        <v>7526.4122450000004</v>
      </c>
      <c r="G13" t="s">
        <v>41</v>
      </c>
      <c r="H13">
        <v>7450.3402470000001</v>
      </c>
      <c r="I13" t="s">
        <v>41</v>
      </c>
      <c r="J13" t="s">
        <v>41</v>
      </c>
      <c r="K13" t="s">
        <v>41</v>
      </c>
      <c r="L13">
        <v>6232.2</v>
      </c>
      <c r="M13">
        <v>7526.4122450000004</v>
      </c>
      <c r="N13" t="s">
        <v>41</v>
      </c>
      <c r="O13">
        <v>7450.3402470000001</v>
      </c>
      <c r="P13" t="s">
        <v>41</v>
      </c>
      <c r="Q13" t="s">
        <v>41</v>
      </c>
      <c r="R13" t="s">
        <v>41</v>
      </c>
      <c r="S13">
        <v>6232.2</v>
      </c>
    </row>
    <row r="14" spans="1:19" x14ac:dyDescent="0.25">
      <c r="A14" t="s">
        <v>52</v>
      </c>
      <c r="B14" t="s">
        <v>53</v>
      </c>
      <c r="E14" t="s">
        <v>83</v>
      </c>
      <c r="F14">
        <v>33491.616399999999</v>
      </c>
      <c r="G14">
        <v>35924.762000000002</v>
      </c>
      <c r="H14">
        <v>28372.783899999999</v>
      </c>
      <c r="I14">
        <v>26735.640599999999</v>
      </c>
      <c r="J14">
        <v>24737.66865</v>
      </c>
      <c r="K14">
        <v>23921.989860000001</v>
      </c>
      <c r="L14">
        <v>20606.400000000001</v>
      </c>
      <c r="M14">
        <v>33491.616399999999</v>
      </c>
      <c r="N14">
        <v>35924.762000000002</v>
      </c>
      <c r="O14">
        <v>28372.783899999999</v>
      </c>
      <c r="P14">
        <v>26735.640599999999</v>
      </c>
      <c r="Q14">
        <v>24737.66865</v>
      </c>
      <c r="R14">
        <v>23921.989860000001</v>
      </c>
      <c r="S14">
        <v>20606.400000000001</v>
      </c>
    </row>
    <row r="15" spans="1:19" x14ac:dyDescent="0.25">
      <c r="A15" t="s">
        <v>54</v>
      </c>
      <c r="B15" t="s">
        <v>55</v>
      </c>
      <c r="E15" t="s">
        <v>83</v>
      </c>
      <c r="F15">
        <v>72369</v>
      </c>
      <c r="G15">
        <v>67408.846999999994</v>
      </c>
      <c r="H15">
        <v>62705.171999999999</v>
      </c>
      <c r="I15">
        <v>58502.32907</v>
      </c>
      <c r="J15">
        <v>53288.504999999997</v>
      </c>
      <c r="K15">
        <v>41369.182560000001</v>
      </c>
      <c r="L15">
        <v>37326.120000000003</v>
      </c>
      <c r="M15">
        <v>72369</v>
      </c>
      <c r="N15">
        <v>67408.846999999994</v>
      </c>
      <c r="O15">
        <v>62705.171999999999</v>
      </c>
      <c r="P15">
        <v>58502.32907</v>
      </c>
      <c r="Q15">
        <v>53288.504999999997</v>
      </c>
      <c r="R15">
        <v>41369.182560000001</v>
      </c>
      <c r="S15">
        <v>37326.120000000003</v>
      </c>
    </row>
    <row r="16" spans="1:19" x14ac:dyDescent="0.25">
      <c r="A16" t="s">
        <v>56</v>
      </c>
      <c r="B16" t="s">
        <v>57</v>
      </c>
      <c r="E16" t="s">
        <v>83</v>
      </c>
      <c r="F16" t="s">
        <v>41</v>
      </c>
      <c r="G16" t="s">
        <v>41</v>
      </c>
      <c r="H16" t="s">
        <v>41</v>
      </c>
      <c r="I16" t="s">
        <v>41</v>
      </c>
      <c r="J16" t="s">
        <v>41</v>
      </c>
      <c r="K16">
        <v>21080</v>
      </c>
      <c r="L16">
        <v>20400</v>
      </c>
      <c r="M16" t="s">
        <v>41</v>
      </c>
      <c r="N16" t="s">
        <v>41</v>
      </c>
      <c r="O16" t="s">
        <v>41</v>
      </c>
      <c r="P16" t="s">
        <v>41</v>
      </c>
      <c r="Q16" t="s">
        <v>41</v>
      </c>
      <c r="R16">
        <v>21080</v>
      </c>
      <c r="S16">
        <v>20400</v>
      </c>
    </row>
    <row r="17" spans="1:19" x14ac:dyDescent="0.25">
      <c r="A17" t="s">
        <v>58</v>
      </c>
      <c r="B17" t="s">
        <v>59</v>
      </c>
      <c r="E17" t="s">
        <v>83</v>
      </c>
      <c r="F17" t="s">
        <v>41</v>
      </c>
      <c r="G17" t="s">
        <v>41</v>
      </c>
      <c r="H17" t="s">
        <v>41</v>
      </c>
      <c r="I17">
        <v>86646.597399999999</v>
      </c>
      <c r="J17">
        <v>73161</v>
      </c>
      <c r="K17">
        <v>67680</v>
      </c>
      <c r="L17">
        <v>54848</v>
      </c>
      <c r="M17" t="s">
        <v>41</v>
      </c>
      <c r="N17" t="s">
        <v>41</v>
      </c>
      <c r="O17" t="s">
        <v>41</v>
      </c>
      <c r="P17">
        <v>86646.597399999999</v>
      </c>
      <c r="Q17">
        <v>73161</v>
      </c>
      <c r="R17">
        <v>67680</v>
      </c>
      <c r="S17">
        <v>54848</v>
      </c>
    </row>
    <row r="18" spans="1:19" x14ac:dyDescent="0.25">
      <c r="A18" t="s">
        <v>60</v>
      </c>
      <c r="B18" t="s">
        <v>61</v>
      </c>
      <c r="E18" t="s">
        <v>83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O18" t="s">
        <v>41</v>
      </c>
      <c r="P18" t="s">
        <v>41</v>
      </c>
      <c r="Q18" t="s">
        <v>41</v>
      </c>
      <c r="R18" t="s">
        <v>41</v>
      </c>
      <c r="S18" t="s">
        <v>41</v>
      </c>
    </row>
    <row r="19" spans="1:19" x14ac:dyDescent="0.25">
      <c r="A19" t="s">
        <v>62</v>
      </c>
      <c r="B19" t="s">
        <v>63</v>
      </c>
      <c r="E19" t="s">
        <v>83</v>
      </c>
      <c r="F19" t="s">
        <v>41</v>
      </c>
      <c r="G19">
        <v>42900</v>
      </c>
      <c r="H19">
        <v>49500</v>
      </c>
      <c r="I19" t="s">
        <v>41</v>
      </c>
      <c r="J19" t="s">
        <v>41</v>
      </c>
      <c r="K19" t="s">
        <v>41</v>
      </c>
      <c r="L19" t="s">
        <v>41</v>
      </c>
      <c r="M19" t="s">
        <v>41</v>
      </c>
      <c r="N19">
        <v>42900</v>
      </c>
      <c r="O19">
        <v>49500</v>
      </c>
      <c r="P19" t="s">
        <v>41</v>
      </c>
      <c r="Q19" t="s">
        <v>41</v>
      </c>
      <c r="R19" t="s">
        <v>41</v>
      </c>
      <c r="S19" t="s">
        <v>41</v>
      </c>
    </row>
    <row r="20" spans="1:19" x14ac:dyDescent="0.25">
      <c r="A20" t="s">
        <v>64</v>
      </c>
      <c r="B20" t="s">
        <v>65</v>
      </c>
      <c r="E20" t="s">
        <v>83</v>
      </c>
      <c r="F20" t="s">
        <v>41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O20" t="s">
        <v>41</v>
      </c>
      <c r="P20" t="s">
        <v>41</v>
      </c>
      <c r="Q20" t="s">
        <v>41</v>
      </c>
      <c r="R20" t="s">
        <v>41</v>
      </c>
      <c r="S20" t="s">
        <v>41</v>
      </c>
    </row>
    <row r="21" spans="1:19" x14ac:dyDescent="0.25">
      <c r="A21" t="s">
        <v>66</v>
      </c>
      <c r="B21" t="s">
        <v>67</v>
      </c>
      <c r="E21" t="s">
        <v>83</v>
      </c>
      <c r="F21" t="s">
        <v>41</v>
      </c>
      <c r="G21" t="s">
        <v>41</v>
      </c>
      <c r="H21">
        <v>30524.441999999999</v>
      </c>
      <c r="I21">
        <v>29161.050749999999</v>
      </c>
      <c r="J21">
        <v>27527.327280000001</v>
      </c>
      <c r="K21" t="s">
        <v>41</v>
      </c>
      <c r="L21">
        <v>23786.401269999998</v>
      </c>
      <c r="M21" t="s">
        <v>41</v>
      </c>
      <c r="N21" t="s">
        <v>41</v>
      </c>
      <c r="O21">
        <v>30524.441999999999</v>
      </c>
      <c r="P21">
        <v>29161.050749999999</v>
      </c>
      <c r="Q21">
        <v>27527.327280000001</v>
      </c>
      <c r="R21" t="s">
        <v>41</v>
      </c>
      <c r="S21">
        <v>23786.401269999998</v>
      </c>
    </row>
    <row r="22" spans="1:19" x14ac:dyDescent="0.25">
      <c r="A22" t="s">
        <v>68</v>
      </c>
      <c r="B22" t="s">
        <v>69</v>
      </c>
      <c r="E22" t="s">
        <v>83</v>
      </c>
      <c r="F22" t="s">
        <v>41</v>
      </c>
      <c r="G22">
        <v>34353.285000000003</v>
      </c>
      <c r="H22">
        <v>28819.439999999999</v>
      </c>
      <c r="I22">
        <v>27833.52</v>
      </c>
      <c r="J22">
        <v>24126.080000000002</v>
      </c>
      <c r="K22" t="s">
        <v>41</v>
      </c>
      <c r="L22">
        <v>22005.84</v>
      </c>
      <c r="M22" t="s">
        <v>41</v>
      </c>
      <c r="N22">
        <v>34353.285000000003</v>
      </c>
      <c r="O22">
        <v>28819.439999999999</v>
      </c>
      <c r="P22">
        <v>27833.52</v>
      </c>
      <c r="Q22">
        <v>24126.080000000002</v>
      </c>
      <c r="R22" t="s">
        <v>41</v>
      </c>
      <c r="S22">
        <v>22005.84</v>
      </c>
    </row>
    <row r="23" spans="1:19" x14ac:dyDescent="0.25">
      <c r="A23" t="s">
        <v>70</v>
      </c>
      <c r="B23" t="s">
        <v>71</v>
      </c>
      <c r="E23" t="s">
        <v>83</v>
      </c>
      <c r="F23">
        <v>16593.150000000001</v>
      </c>
      <c r="G23">
        <v>13710.445599999999</v>
      </c>
      <c r="H23">
        <v>13606.8</v>
      </c>
      <c r="I23">
        <v>13194.2</v>
      </c>
      <c r="J23">
        <v>13717.01</v>
      </c>
      <c r="K23">
        <v>13840.16877</v>
      </c>
      <c r="L23">
        <v>13931.246810000001</v>
      </c>
      <c r="M23">
        <v>16593.150000000001</v>
      </c>
      <c r="N23">
        <v>13710.445599999999</v>
      </c>
      <c r="O23">
        <v>13606.8</v>
      </c>
      <c r="P23">
        <v>13194.2</v>
      </c>
      <c r="Q23">
        <v>13717.01</v>
      </c>
      <c r="R23">
        <v>13840.16877</v>
      </c>
      <c r="S23">
        <v>13931.246810000001</v>
      </c>
    </row>
    <row r="24" spans="1:19" x14ac:dyDescent="0.25">
      <c r="A24" t="s">
        <v>72</v>
      </c>
      <c r="B24" t="s">
        <v>73</v>
      </c>
      <c r="E24" t="s">
        <v>83</v>
      </c>
      <c r="F24">
        <v>91679.014509999994</v>
      </c>
      <c r="G24">
        <v>83652.699540000001</v>
      </c>
      <c r="H24">
        <v>73703.039739999993</v>
      </c>
      <c r="I24">
        <v>72231.22</v>
      </c>
      <c r="J24">
        <v>69079.66012</v>
      </c>
      <c r="K24">
        <v>61822.25819</v>
      </c>
      <c r="L24">
        <v>55163.277900000001</v>
      </c>
      <c r="M24">
        <v>91679.014509999994</v>
      </c>
      <c r="N24">
        <v>83652.699540000001</v>
      </c>
      <c r="O24">
        <v>73703.039739999993</v>
      </c>
      <c r="P24">
        <v>72231.22</v>
      </c>
      <c r="Q24">
        <v>69079.66012</v>
      </c>
      <c r="R24">
        <v>61822.25819</v>
      </c>
      <c r="S24">
        <v>55163.277900000001</v>
      </c>
    </row>
    <row r="25" spans="1:19" x14ac:dyDescent="0.25">
      <c r="A25" t="s">
        <v>74</v>
      </c>
      <c r="B25" t="s">
        <v>75</v>
      </c>
      <c r="E25" t="s">
        <v>83</v>
      </c>
      <c r="F25" t="s">
        <v>41</v>
      </c>
      <c r="G25" t="s">
        <v>41</v>
      </c>
      <c r="H25" t="s">
        <v>41</v>
      </c>
      <c r="I25">
        <v>120935.3962</v>
      </c>
      <c r="J25">
        <v>118615.698</v>
      </c>
      <c r="K25">
        <v>118053.11199999999</v>
      </c>
      <c r="L25">
        <v>129794.81200000001</v>
      </c>
      <c r="M25" t="s">
        <v>41</v>
      </c>
      <c r="N25" t="s">
        <v>41</v>
      </c>
      <c r="O25" t="s">
        <v>41</v>
      </c>
      <c r="P25">
        <v>120935.3962</v>
      </c>
      <c r="Q25">
        <v>118615.698</v>
      </c>
      <c r="R25">
        <v>118053.11199999999</v>
      </c>
      <c r="S25">
        <v>129794.81200000001</v>
      </c>
    </row>
    <row r="26" spans="1:19" x14ac:dyDescent="0.25">
      <c r="A26" t="s">
        <v>76</v>
      </c>
      <c r="B26" t="s">
        <v>77</v>
      </c>
      <c r="E26" t="s">
        <v>83</v>
      </c>
      <c r="F26" t="s">
        <v>41</v>
      </c>
      <c r="G26">
        <v>152318.3235</v>
      </c>
      <c r="H26">
        <v>139473.7977</v>
      </c>
      <c r="I26">
        <v>134366.3849</v>
      </c>
      <c r="J26">
        <v>119598.9305</v>
      </c>
      <c r="K26">
        <v>105486.48</v>
      </c>
      <c r="L26">
        <v>98251.731</v>
      </c>
      <c r="M26" t="s">
        <v>41</v>
      </c>
      <c r="N26">
        <v>152318.3235</v>
      </c>
      <c r="O26">
        <v>139473.7977</v>
      </c>
      <c r="P26">
        <v>134366.3849</v>
      </c>
      <c r="Q26">
        <v>119598.9305</v>
      </c>
      <c r="R26">
        <v>105486.48</v>
      </c>
      <c r="S26">
        <v>98251.731</v>
      </c>
    </row>
    <row r="27" spans="1:19" x14ac:dyDescent="0.25">
      <c r="A27" t="s">
        <v>78</v>
      </c>
      <c r="B27" t="s">
        <v>79</v>
      </c>
      <c r="E27" t="s">
        <v>83</v>
      </c>
      <c r="F27" t="s">
        <v>41</v>
      </c>
      <c r="G27">
        <v>31894.11736</v>
      </c>
      <c r="H27">
        <v>34033.871899999998</v>
      </c>
      <c r="I27">
        <v>36308.290500000003</v>
      </c>
      <c r="J27">
        <v>31629.599999999999</v>
      </c>
      <c r="K27">
        <v>31159.877700000001</v>
      </c>
      <c r="L27" t="s">
        <v>41</v>
      </c>
      <c r="M27" t="s">
        <v>41</v>
      </c>
      <c r="N27">
        <v>31894.11736</v>
      </c>
      <c r="O27">
        <v>34033.871899999998</v>
      </c>
      <c r="P27">
        <v>36308.290500000003</v>
      </c>
      <c r="Q27">
        <v>31629.599999999999</v>
      </c>
      <c r="R27">
        <v>31159.877700000001</v>
      </c>
      <c r="S27" t="s">
        <v>41</v>
      </c>
    </row>
    <row r="28" spans="1:19" x14ac:dyDescent="0.25">
      <c r="A28" t="s">
        <v>80</v>
      </c>
      <c r="B28" t="s">
        <v>81</v>
      </c>
      <c r="E28" t="s">
        <v>83</v>
      </c>
      <c r="F28" t="s">
        <v>41</v>
      </c>
      <c r="G28">
        <v>60341.601710000003</v>
      </c>
      <c r="H28">
        <v>57339.45</v>
      </c>
      <c r="I28">
        <v>61703.88</v>
      </c>
      <c r="J28">
        <v>55331.839999999997</v>
      </c>
      <c r="K28">
        <v>47781.535580000003</v>
      </c>
      <c r="L28">
        <v>45276.43</v>
      </c>
      <c r="M28" t="s">
        <v>41</v>
      </c>
      <c r="N28">
        <v>60341.601710000003</v>
      </c>
      <c r="O28">
        <v>57339.45</v>
      </c>
      <c r="P28">
        <v>61703.88</v>
      </c>
      <c r="Q28">
        <v>55331.839999999997</v>
      </c>
      <c r="R28">
        <v>47781.535580000003</v>
      </c>
      <c r="S28">
        <v>45276.43</v>
      </c>
    </row>
    <row r="29" spans="1:19" x14ac:dyDescent="0.25">
      <c r="A29" t="s">
        <v>84</v>
      </c>
      <c r="B29" t="s">
        <v>41</v>
      </c>
      <c r="E29" t="s">
        <v>42</v>
      </c>
      <c r="M29" t="s">
        <v>41</v>
      </c>
      <c r="N29" t="s">
        <v>41</v>
      </c>
      <c r="O29" t="s">
        <v>41</v>
      </c>
      <c r="P29" t="s">
        <v>41</v>
      </c>
      <c r="Q29" t="s">
        <v>41</v>
      </c>
      <c r="R29" t="s">
        <v>41</v>
      </c>
      <c r="S29" t="s">
        <v>41</v>
      </c>
    </row>
    <row r="30" spans="1:19" x14ac:dyDescent="0.25">
      <c r="A30" t="s">
        <v>85</v>
      </c>
      <c r="B30" t="s">
        <v>41</v>
      </c>
      <c r="E30" t="s">
        <v>44</v>
      </c>
      <c r="F30">
        <v>121.07850000000001</v>
      </c>
      <c r="G30">
        <v>162.80799999999999</v>
      </c>
      <c r="H30">
        <v>155.46899999999999</v>
      </c>
      <c r="I30">
        <v>163.4265</v>
      </c>
      <c r="J30">
        <v>165.9</v>
      </c>
      <c r="K30">
        <v>163.89400000000001</v>
      </c>
      <c r="L30">
        <v>161.654</v>
      </c>
      <c r="M30" t="s">
        <v>41</v>
      </c>
      <c r="N30">
        <v>162.80799999999999</v>
      </c>
      <c r="O30">
        <v>155.46899999999999</v>
      </c>
      <c r="P30">
        <v>163.4265</v>
      </c>
      <c r="Q30">
        <v>165.9</v>
      </c>
      <c r="R30">
        <v>163.89400000000001</v>
      </c>
      <c r="S30">
        <v>161.654</v>
      </c>
    </row>
    <row r="31" spans="1:19" x14ac:dyDescent="0.25">
      <c r="A31" t="s">
        <v>45</v>
      </c>
      <c r="B31" t="s">
        <v>46</v>
      </c>
      <c r="E31" t="s">
        <v>83</v>
      </c>
      <c r="F31" t="s">
        <v>41</v>
      </c>
      <c r="G31">
        <v>304.209</v>
      </c>
      <c r="H31">
        <v>328.09300000000002</v>
      </c>
      <c r="I31">
        <v>290.25299999999999</v>
      </c>
      <c r="J31">
        <v>263.529</v>
      </c>
      <c r="K31">
        <v>257.79700000000003</v>
      </c>
      <c r="L31">
        <v>265.14299999999997</v>
      </c>
      <c r="M31" t="s">
        <v>41</v>
      </c>
      <c r="N31">
        <v>304.209</v>
      </c>
      <c r="O31">
        <v>328.09300000000002</v>
      </c>
      <c r="P31">
        <v>290.25299999999999</v>
      </c>
      <c r="Q31">
        <v>263.529</v>
      </c>
      <c r="R31">
        <v>257.79700000000003</v>
      </c>
      <c r="S31">
        <v>265.14299999999997</v>
      </c>
    </row>
    <row r="32" spans="1:19" x14ac:dyDescent="0.25">
      <c r="A32" t="s">
        <v>50</v>
      </c>
      <c r="B32" t="s">
        <v>51</v>
      </c>
      <c r="E32" t="s">
        <v>83</v>
      </c>
      <c r="F32" t="s">
        <v>41</v>
      </c>
      <c r="G32" t="s">
        <v>41</v>
      </c>
      <c r="H32">
        <v>67.694000000000003</v>
      </c>
      <c r="I32">
        <v>65.266000000000005</v>
      </c>
      <c r="J32" t="s">
        <v>41</v>
      </c>
      <c r="K32" t="s">
        <v>41</v>
      </c>
      <c r="L32">
        <v>97.051000000000002</v>
      </c>
      <c r="M32" t="s">
        <v>41</v>
      </c>
      <c r="N32" t="s">
        <v>41</v>
      </c>
      <c r="O32">
        <v>67.694000000000003</v>
      </c>
      <c r="P32">
        <v>65.266000000000005</v>
      </c>
      <c r="Q32" t="s">
        <v>41</v>
      </c>
      <c r="R32" t="s">
        <v>41</v>
      </c>
      <c r="S32">
        <v>97.051000000000002</v>
      </c>
    </row>
    <row r="33" spans="1:19" x14ac:dyDescent="0.25">
      <c r="A33" t="s">
        <v>52</v>
      </c>
      <c r="B33" t="s">
        <v>53</v>
      </c>
      <c r="E33" t="s">
        <v>83</v>
      </c>
      <c r="F33">
        <v>102.75</v>
      </c>
      <c r="G33">
        <v>94.058000000000007</v>
      </c>
      <c r="H33">
        <v>118.789</v>
      </c>
      <c r="I33">
        <v>130.42400000000001</v>
      </c>
      <c r="J33">
        <v>74.995000000000005</v>
      </c>
      <c r="K33">
        <v>67.31</v>
      </c>
      <c r="L33" t="s">
        <v>41</v>
      </c>
      <c r="M33">
        <v>102.75</v>
      </c>
      <c r="N33">
        <v>94.058000000000007</v>
      </c>
      <c r="O33">
        <v>118.789</v>
      </c>
      <c r="P33">
        <v>130.42400000000001</v>
      </c>
      <c r="Q33">
        <v>74.995000000000005</v>
      </c>
      <c r="R33">
        <v>67.31</v>
      </c>
      <c r="S33" t="s">
        <v>41</v>
      </c>
    </row>
    <row r="34" spans="1:19" x14ac:dyDescent="0.25">
      <c r="A34" t="s">
        <v>54</v>
      </c>
      <c r="B34" t="s">
        <v>55</v>
      </c>
      <c r="E34" t="s">
        <v>83</v>
      </c>
      <c r="F34">
        <v>155</v>
      </c>
      <c r="G34">
        <v>162.80799999999999</v>
      </c>
      <c r="H34">
        <v>184.886</v>
      </c>
      <c r="I34">
        <v>193.047</v>
      </c>
      <c r="J34">
        <v>145.929</v>
      </c>
      <c r="K34">
        <v>151.15700000000001</v>
      </c>
      <c r="L34">
        <v>156.279</v>
      </c>
      <c r="M34">
        <v>155</v>
      </c>
      <c r="N34">
        <v>162.80799999999999</v>
      </c>
      <c r="O34">
        <v>184.886</v>
      </c>
      <c r="P34">
        <v>193.047</v>
      </c>
      <c r="Q34">
        <v>145.929</v>
      </c>
      <c r="R34">
        <v>151.15700000000001</v>
      </c>
      <c r="S34">
        <v>156.279</v>
      </c>
    </row>
    <row r="35" spans="1:19" x14ac:dyDescent="0.25">
      <c r="A35" t="s">
        <v>56</v>
      </c>
      <c r="B35" t="s">
        <v>57</v>
      </c>
      <c r="E35" t="s">
        <v>83</v>
      </c>
      <c r="F35" t="s">
        <v>41</v>
      </c>
      <c r="G35" t="s">
        <v>41</v>
      </c>
      <c r="H35" t="s">
        <v>41</v>
      </c>
      <c r="I35" t="s">
        <v>41</v>
      </c>
      <c r="J35" t="s">
        <v>41</v>
      </c>
      <c r="K35">
        <v>84.24</v>
      </c>
      <c r="L35">
        <v>96.066000000000003</v>
      </c>
      <c r="M35" t="s">
        <v>41</v>
      </c>
      <c r="N35" t="s">
        <v>41</v>
      </c>
      <c r="O35" t="s">
        <v>41</v>
      </c>
      <c r="P35" t="s">
        <v>41</v>
      </c>
      <c r="Q35" t="s">
        <v>41</v>
      </c>
      <c r="R35">
        <v>84.24</v>
      </c>
      <c r="S35">
        <v>96.066000000000003</v>
      </c>
    </row>
    <row r="36" spans="1:19" x14ac:dyDescent="0.25">
      <c r="A36" t="s">
        <v>58</v>
      </c>
      <c r="B36" t="s">
        <v>59</v>
      </c>
      <c r="E36" t="s">
        <v>83</v>
      </c>
      <c r="F36" t="s">
        <v>41</v>
      </c>
      <c r="G36" t="s">
        <v>41</v>
      </c>
      <c r="H36" t="s">
        <v>41</v>
      </c>
      <c r="I36">
        <v>254.977</v>
      </c>
      <c r="J36">
        <v>257.625</v>
      </c>
      <c r="K36">
        <v>203.899</v>
      </c>
      <c r="L36">
        <v>193.06700000000001</v>
      </c>
      <c r="M36" t="s">
        <v>41</v>
      </c>
      <c r="N36" t="s">
        <v>41</v>
      </c>
      <c r="O36" t="s">
        <v>41</v>
      </c>
      <c r="P36">
        <v>254.977</v>
      </c>
      <c r="Q36">
        <v>257.625</v>
      </c>
      <c r="R36">
        <v>203.899</v>
      </c>
      <c r="S36">
        <v>193.06700000000001</v>
      </c>
    </row>
    <row r="37" spans="1:19" x14ac:dyDescent="0.25">
      <c r="A37" t="s">
        <v>60</v>
      </c>
      <c r="B37" t="s">
        <v>61</v>
      </c>
      <c r="E37" t="s">
        <v>83</v>
      </c>
      <c r="F37" t="s">
        <v>41</v>
      </c>
      <c r="G37" t="s">
        <v>41</v>
      </c>
      <c r="H37" t="s">
        <v>41</v>
      </c>
      <c r="I37" t="s">
        <v>41</v>
      </c>
      <c r="J37" t="s">
        <v>41</v>
      </c>
      <c r="K37" t="s">
        <v>41</v>
      </c>
      <c r="L37" t="s">
        <v>41</v>
      </c>
      <c r="M37" t="s">
        <v>41</v>
      </c>
      <c r="N37" t="s">
        <v>41</v>
      </c>
      <c r="O37" t="s">
        <v>41</v>
      </c>
      <c r="P37" t="s">
        <v>41</v>
      </c>
      <c r="Q37" t="s">
        <v>41</v>
      </c>
      <c r="R37" t="s">
        <v>41</v>
      </c>
      <c r="S37" t="s">
        <v>41</v>
      </c>
    </row>
    <row r="38" spans="1:19" x14ac:dyDescent="0.25">
      <c r="A38" t="s">
        <v>62</v>
      </c>
      <c r="B38" t="s">
        <v>63</v>
      </c>
      <c r="E38" t="s">
        <v>83</v>
      </c>
      <c r="F38" t="s">
        <v>41</v>
      </c>
      <c r="G38">
        <v>795.63900000000001</v>
      </c>
      <c r="H38">
        <v>868.32299999999998</v>
      </c>
      <c r="I38" t="s">
        <v>41</v>
      </c>
      <c r="J38" t="s">
        <v>41</v>
      </c>
      <c r="K38" t="s">
        <v>41</v>
      </c>
      <c r="L38" t="s">
        <v>41</v>
      </c>
      <c r="M38" t="s">
        <v>41</v>
      </c>
      <c r="N38">
        <v>795.63900000000001</v>
      </c>
      <c r="O38">
        <v>868.32299999999998</v>
      </c>
      <c r="P38" t="s">
        <v>41</v>
      </c>
      <c r="Q38" t="s">
        <v>41</v>
      </c>
      <c r="R38" t="s">
        <v>41</v>
      </c>
      <c r="S38" t="s">
        <v>41</v>
      </c>
    </row>
    <row r="39" spans="1:19" x14ac:dyDescent="0.25">
      <c r="A39" t="s">
        <v>64</v>
      </c>
      <c r="B39" t="s">
        <v>65</v>
      </c>
      <c r="E39" t="s">
        <v>83</v>
      </c>
      <c r="F39" t="s">
        <v>41</v>
      </c>
      <c r="G39" t="s">
        <v>41</v>
      </c>
      <c r="H39" t="s">
        <v>41</v>
      </c>
      <c r="I39" t="s">
        <v>41</v>
      </c>
      <c r="J39" t="s">
        <v>41</v>
      </c>
      <c r="K39" t="s">
        <v>41</v>
      </c>
      <c r="L39" t="s">
        <v>41</v>
      </c>
      <c r="M39" t="s">
        <v>41</v>
      </c>
      <c r="N39" t="s">
        <v>41</v>
      </c>
      <c r="O39" t="s">
        <v>41</v>
      </c>
      <c r="P39" t="s">
        <v>41</v>
      </c>
      <c r="Q39" t="s">
        <v>41</v>
      </c>
      <c r="R39" t="s">
        <v>41</v>
      </c>
      <c r="S39" t="s">
        <v>41</v>
      </c>
    </row>
    <row r="40" spans="1:19" x14ac:dyDescent="0.25">
      <c r="A40" t="s">
        <v>66</v>
      </c>
      <c r="B40" t="s">
        <v>67</v>
      </c>
      <c r="E40" t="s">
        <v>83</v>
      </c>
      <c r="F40" t="s">
        <v>41</v>
      </c>
      <c r="G40" t="s">
        <v>41</v>
      </c>
      <c r="H40">
        <v>73.61</v>
      </c>
      <c r="I40">
        <v>72.391999999999996</v>
      </c>
      <c r="J40">
        <v>64.495999999999995</v>
      </c>
      <c r="K40" t="s">
        <v>41</v>
      </c>
      <c r="L40">
        <v>64.415000000000006</v>
      </c>
      <c r="M40" t="s">
        <v>41</v>
      </c>
      <c r="N40" t="s">
        <v>41</v>
      </c>
      <c r="O40">
        <v>73.61</v>
      </c>
      <c r="P40">
        <v>72.391999999999996</v>
      </c>
      <c r="Q40">
        <v>64.495999999999995</v>
      </c>
      <c r="R40" t="s">
        <v>41</v>
      </c>
      <c r="S40">
        <v>64.415000000000006</v>
      </c>
    </row>
    <row r="41" spans="1:19" x14ac:dyDescent="0.25">
      <c r="A41" t="s">
        <v>68</v>
      </c>
      <c r="B41" t="s">
        <v>69</v>
      </c>
      <c r="E41" t="s">
        <v>83</v>
      </c>
      <c r="F41" t="s">
        <v>41</v>
      </c>
      <c r="G41" t="s">
        <v>41</v>
      </c>
      <c r="H41" t="s">
        <v>41</v>
      </c>
      <c r="I41" t="s">
        <v>41</v>
      </c>
      <c r="J41">
        <v>160.55000000000001</v>
      </c>
      <c r="K41" t="s">
        <v>41</v>
      </c>
      <c r="L41">
        <v>168.40100000000001</v>
      </c>
      <c r="M41" t="s">
        <v>41</v>
      </c>
      <c r="N41" t="s">
        <v>41</v>
      </c>
      <c r="O41" t="s">
        <v>41</v>
      </c>
      <c r="P41" t="s">
        <v>41</v>
      </c>
      <c r="Q41">
        <v>160.55000000000001</v>
      </c>
      <c r="R41" t="s">
        <v>41</v>
      </c>
      <c r="S41">
        <v>168.40100000000001</v>
      </c>
    </row>
    <row r="42" spans="1:19" x14ac:dyDescent="0.25">
      <c r="A42" t="s">
        <v>70</v>
      </c>
      <c r="B42" t="s">
        <v>71</v>
      </c>
      <c r="E42" t="s">
        <v>83</v>
      </c>
      <c r="F42">
        <v>9.9969999999999999</v>
      </c>
      <c r="G42">
        <v>10.504</v>
      </c>
      <c r="H42">
        <v>12.117000000000001</v>
      </c>
      <c r="I42">
        <v>22.49</v>
      </c>
      <c r="J42">
        <v>24.545000000000002</v>
      </c>
      <c r="K42">
        <v>29.49</v>
      </c>
      <c r="L42">
        <v>32.317999999999998</v>
      </c>
      <c r="M42">
        <v>9.9969999999999999</v>
      </c>
      <c r="N42">
        <v>10.504</v>
      </c>
      <c r="O42">
        <v>12.117000000000001</v>
      </c>
      <c r="P42">
        <v>22.49</v>
      </c>
      <c r="Q42">
        <v>24.545000000000002</v>
      </c>
      <c r="R42">
        <v>29.49</v>
      </c>
      <c r="S42">
        <v>32.317999999999998</v>
      </c>
    </row>
    <row r="43" spans="1:19" x14ac:dyDescent="0.25">
      <c r="A43" t="s">
        <v>72</v>
      </c>
      <c r="B43" t="s">
        <v>73</v>
      </c>
      <c r="E43" t="s">
        <v>83</v>
      </c>
      <c r="F43">
        <v>139.40700000000001</v>
      </c>
      <c r="G43">
        <v>124.77</v>
      </c>
      <c r="H43">
        <v>126.05200000000001</v>
      </c>
      <c r="I43">
        <v>133.80600000000001</v>
      </c>
      <c r="J43">
        <v>171.25</v>
      </c>
      <c r="K43">
        <v>163.89400000000001</v>
      </c>
      <c r="L43">
        <v>161.654</v>
      </c>
      <c r="M43">
        <v>139.40700000000001</v>
      </c>
      <c r="N43">
        <v>124.77</v>
      </c>
      <c r="O43">
        <v>126.05200000000001</v>
      </c>
      <c r="P43">
        <v>133.80600000000001</v>
      </c>
      <c r="Q43">
        <v>171.25</v>
      </c>
      <c r="R43">
        <v>163.89400000000001</v>
      </c>
      <c r="S43">
        <v>161.654</v>
      </c>
    </row>
    <row r="44" spans="1:19" x14ac:dyDescent="0.25">
      <c r="A44" t="s">
        <v>74</v>
      </c>
      <c r="B44" t="s">
        <v>75</v>
      </c>
      <c r="E44" t="s">
        <v>83</v>
      </c>
      <c r="F44" t="s">
        <v>41</v>
      </c>
      <c r="G44">
        <v>1257.6600000000001</v>
      </c>
      <c r="H44">
        <v>1496.52</v>
      </c>
      <c r="I44">
        <v>1619.07</v>
      </c>
      <c r="J44">
        <v>1787.5</v>
      </c>
      <c r="K44">
        <v>2438.66</v>
      </c>
      <c r="L44">
        <v>2493.06</v>
      </c>
      <c r="M44" t="s">
        <v>41</v>
      </c>
      <c r="N44">
        <v>1257.6600000000001</v>
      </c>
      <c r="O44">
        <v>1496.52</v>
      </c>
      <c r="P44">
        <v>1619.07</v>
      </c>
      <c r="Q44">
        <v>1787.5</v>
      </c>
      <c r="R44">
        <v>2438.66</v>
      </c>
      <c r="S44">
        <v>2493.06</v>
      </c>
    </row>
    <row r="45" spans="1:19" x14ac:dyDescent="0.25">
      <c r="A45" t="s">
        <v>76</v>
      </c>
      <c r="B45" t="s">
        <v>77</v>
      </c>
      <c r="E45" t="s">
        <v>83</v>
      </c>
      <c r="F45" t="s">
        <v>41</v>
      </c>
      <c r="G45" t="s">
        <v>41</v>
      </c>
      <c r="H45">
        <v>455.32900000000001</v>
      </c>
      <c r="I45">
        <v>470.52</v>
      </c>
      <c r="J45">
        <v>471.32400000000001</v>
      </c>
      <c r="K45">
        <v>458.04</v>
      </c>
      <c r="L45">
        <v>422.589</v>
      </c>
      <c r="M45" t="s">
        <v>41</v>
      </c>
      <c r="N45" t="s">
        <v>41</v>
      </c>
      <c r="O45">
        <v>455.32900000000001</v>
      </c>
      <c r="P45">
        <v>470.52</v>
      </c>
      <c r="Q45">
        <v>471.32400000000001</v>
      </c>
      <c r="R45">
        <v>458.04</v>
      </c>
      <c r="S45">
        <v>422.589</v>
      </c>
    </row>
    <row r="46" spans="1:19" x14ac:dyDescent="0.25">
      <c r="A46" t="s">
        <v>78</v>
      </c>
      <c r="B46" t="s">
        <v>79</v>
      </c>
      <c r="E46" t="s">
        <v>83</v>
      </c>
      <c r="F46" t="s">
        <v>41</v>
      </c>
      <c r="G46" t="s">
        <v>41</v>
      </c>
      <c r="H46">
        <v>125.48699999999999</v>
      </c>
      <c r="I46">
        <v>122.697</v>
      </c>
      <c r="J46">
        <v>114.309</v>
      </c>
      <c r="K46">
        <v>114.94199999999999</v>
      </c>
      <c r="L46">
        <v>100.599</v>
      </c>
      <c r="M46" t="s">
        <v>41</v>
      </c>
      <c r="N46" t="s">
        <v>41</v>
      </c>
      <c r="O46">
        <v>125.48699999999999</v>
      </c>
      <c r="P46">
        <v>122.697</v>
      </c>
      <c r="Q46">
        <v>114.309</v>
      </c>
      <c r="R46">
        <v>114.94199999999999</v>
      </c>
      <c r="S46">
        <v>100.599</v>
      </c>
    </row>
    <row r="47" spans="1:19" x14ac:dyDescent="0.25">
      <c r="A47" t="s">
        <v>80</v>
      </c>
      <c r="B47" t="s">
        <v>81</v>
      </c>
      <c r="E47" t="s">
        <v>83</v>
      </c>
      <c r="F47" t="s">
        <v>41</v>
      </c>
      <c r="G47" t="s">
        <v>41</v>
      </c>
      <c r="H47">
        <v>281.11500000000001</v>
      </c>
      <c r="I47">
        <v>317.46499999999997</v>
      </c>
      <c r="J47">
        <v>456.16300000000001</v>
      </c>
      <c r="K47">
        <v>478.858</v>
      </c>
      <c r="L47">
        <v>254.07300000000001</v>
      </c>
      <c r="M47" t="s">
        <v>41</v>
      </c>
      <c r="N47" t="s">
        <v>41</v>
      </c>
      <c r="O47">
        <v>281.11500000000001</v>
      </c>
      <c r="P47">
        <v>317.46499999999997</v>
      </c>
      <c r="Q47">
        <v>456.16300000000001</v>
      </c>
      <c r="R47">
        <v>478.858</v>
      </c>
      <c r="S47">
        <v>254.07300000000001</v>
      </c>
    </row>
    <row r="48" spans="1:19" x14ac:dyDescent="0.25">
      <c r="A48" t="s">
        <v>86</v>
      </c>
      <c r="B48" t="s">
        <v>41</v>
      </c>
      <c r="E48" t="s">
        <v>44</v>
      </c>
      <c r="F48">
        <v>327.05850220000002</v>
      </c>
      <c r="G48">
        <v>434.61499025000001</v>
      </c>
      <c r="H48">
        <v>412.31298829999997</v>
      </c>
      <c r="I48">
        <v>409.55099489999998</v>
      </c>
      <c r="J48">
        <v>361.96000674999999</v>
      </c>
      <c r="K48">
        <v>376.66799930000002</v>
      </c>
      <c r="L48">
        <v>325.30700680000001</v>
      </c>
      <c r="M48" t="s">
        <v>41</v>
      </c>
      <c r="N48">
        <v>434.61499020000002</v>
      </c>
      <c r="O48">
        <v>412.31298829999997</v>
      </c>
      <c r="P48">
        <v>409.55099489999998</v>
      </c>
      <c r="Q48">
        <v>361.96000670000001</v>
      </c>
      <c r="R48">
        <v>376.66799930000002</v>
      </c>
      <c r="S48">
        <v>325.30700680000001</v>
      </c>
    </row>
    <row r="49" spans="1:19" x14ac:dyDescent="0.25">
      <c r="A49" t="s">
        <v>45</v>
      </c>
      <c r="B49" t="s">
        <v>46</v>
      </c>
      <c r="C49" t="s">
        <v>87</v>
      </c>
      <c r="D49" t="s">
        <v>88</v>
      </c>
      <c r="E49" t="s">
        <v>49</v>
      </c>
      <c r="F49" t="s">
        <v>41</v>
      </c>
      <c r="G49">
        <v>489.07998659999998</v>
      </c>
      <c r="H49">
        <v>499.04800419999998</v>
      </c>
      <c r="I49">
        <v>512.28997800000002</v>
      </c>
      <c r="J49">
        <v>469.3059998</v>
      </c>
      <c r="K49">
        <v>436.31600950000001</v>
      </c>
      <c r="L49">
        <v>413.30398559999998</v>
      </c>
      <c r="M49" t="s">
        <v>41</v>
      </c>
      <c r="N49">
        <v>489.07998659999998</v>
      </c>
      <c r="O49">
        <v>499.04800419999998</v>
      </c>
      <c r="P49">
        <v>512.28997800000002</v>
      </c>
      <c r="Q49">
        <v>469.3059998</v>
      </c>
      <c r="R49">
        <v>436.31600950000001</v>
      </c>
      <c r="S49">
        <v>413.30398559999998</v>
      </c>
    </row>
    <row r="50" spans="1:19" x14ac:dyDescent="0.25">
      <c r="A50" t="s">
        <v>50</v>
      </c>
      <c r="B50" t="s">
        <v>51</v>
      </c>
      <c r="C50" t="s">
        <v>87</v>
      </c>
      <c r="D50" t="s">
        <v>88</v>
      </c>
      <c r="E50" t="s">
        <v>49</v>
      </c>
      <c r="F50" t="s">
        <v>41</v>
      </c>
      <c r="G50" t="s">
        <v>41</v>
      </c>
      <c r="H50" t="s">
        <v>41</v>
      </c>
      <c r="I50" t="s">
        <v>41</v>
      </c>
      <c r="J50" t="s">
        <v>41</v>
      </c>
      <c r="K50" t="s">
        <v>41</v>
      </c>
      <c r="L50" t="s">
        <v>41</v>
      </c>
      <c r="M50" t="s">
        <v>41</v>
      </c>
      <c r="N50" t="s">
        <v>41</v>
      </c>
      <c r="O50" t="s">
        <v>41</v>
      </c>
      <c r="P50" t="s">
        <v>41</v>
      </c>
      <c r="Q50" t="s">
        <v>41</v>
      </c>
      <c r="R50" t="s">
        <v>41</v>
      </c>
      <c r="S50" t="s">
        <v>41</v>
      </c>
    </row>
    <row r="51" spans="1:19" x14ac:dyDescent="0.25">
      <c r="A51" t="s">
        <v>52</v>
      </c>
      <c r="B51" t="s">
        <v>53</v>
      </c>
      <c r="C51" t="s">
        <v>87</v>
      </c>
      <c r="D51" t="s">
        <v>88</v>
      </c>
      <c r="E51" t="s">
        <v>49</v>
      </c>
      <c r="F51">
        <v>702.39801030000001</v>
      </c>
      <c r="G51">
        <v>748.26800539999999</v>
      </c>
      <c r="H51">
        <v>774.88897710000003</v>
      </c>
      <c r="I51">
        <v>763.40197750000004</v>
      </c>
      <c r="J51">
        <v>622.42102050000005</v>
      </c>
      <c r="K51">
        <v>575.69000240000003</v>
      </c>
      <c r="L51">
        <v>611.28002930000002</v>
      </c>
      <c r="M51">
        <v>702.39801030000001</v>
      </c>
      <c r="N51">
        <v>748.26800539999999</v>
      </c>
      <c r="O51">
        <v>774.88897710000003</v>
      </c>
      <c r="P51">
        <v>763.40197750000004</v>
      </c>
      <c r="Q51">
        <v>622.42102050000005</v>
      </c>
      <c r="R51">
        <v>575.69000240000003</v>
      </c>
      <c r="S51">
        <v>611.28002930000002</v>
      </c>
    </row>
    <row r="52" spans="1:19" x14ac:dyDescent="0.25">
      <c r="A52" t="s">
        <v>54</v>
      </c>
      <c r="B52" t="s">
        <v>55</v>
      </c>
      <c r="C52" t="s">
        <v>87</v>
      </c>
      <c r="D52" t="s">
        <v>88</v>
      </c>
      <c r="E52" t="s">
        <v>49</v>
      </c>
      <c r="F52">
        <v>368.06799319999999</v>
      </c>
      <c r="G52">
        <v>380.14999390000003</v>
      </c>
      <c r="H52">
        <v>412.31298829999997</v>
      </c>
      <c r="I52">
        <v>418.43200680000001</v>
      </c>
      <c r="J52">
        <v>432.71600339999998</v>
      </c>
      <c r="K52">
        <v>376.66799930000002</v>
      </c>
      <c r="L52">
        <v>392.51098630000001</v>
      </c>
      <c r="M52">
        <v>368.06799319999999</v>
      </c>
      <c r="N52">
        <v>380.14999390000003</v>
      </c>
      <c r="O52">
        <v>412.31298829999997</v>
      </c>
      <c r="P52">
        <v>418.43200680000001</v>
      </c>
      <c r="Q52">
        <v>432.71600339999998</v>
      </c>
      <c r="R52">
        <v>376.66799930000002</v>
      </c>
      <c r="S52">
        <v>392.51098630000001</v>
      </c>
    </row>
    <row r="53" spans="1:19" x14ac:dyDescent="0.25">
      <c r="A53" t="s">
        <v>56</v>
      </c>
      <c r="B53" t="s">
        <v>57</v>
      </c>
      <c r="C53" t="s">
        <v>87</v>
      </c>
      <c r="D53" t="s">
        <v>88</v>
      </c>
      <c r="E53" t="s">
        <v>49</v>
      </c>
      <c r="F53" t="s">
        <v>41</v>
      </c>
      <c r="G53" t="s">
        <v>41</v>
      </c>
      <c r="H53" t="s">
        <v>41</v>
      </c>
      <c r="I53" t="s">
        <v>41</v>
      </c>
      <c r="J53" t="s">
        <v>41</v>
      </c>
      <c r="K53">
        <v>303.99301150000002</v>
      </c>
      <c r="L53">
        <v>325.30700680000001</v>
      </c>
      <c r="M53" t="s">
        <v>41</v>
      </c>
      <c r="N53" t="s">
        <v>41</v>
      </c>
      <c r="O53" t="s">
        <v>41</v>
      </c>
      <c r="P53" t="s">
        <v>41</v>
      </c>
      <c r="Q53" t="s">
        <v>41</v>
      </c>
      <c r="R53">
        <v>303.99301150000002</v>
      </c>
      <c r="S53">
        <v>325.30700680000001</v>
      </c>
    </row>
    <row r="54" spans="1:19" x14ac:dyDescent="0.25">
      <c r="A54" t="s">
        <v>58</v>
      </c>
      <c r="B54" t="s">
        <v>59</v>
      </c>
      <c r="C54" t="s">
        <v>87</v>
      </c>
      <c r="D54" t="s">
        <v>88</v>
      </c>
      <c r="E54" t="s">
        <v>49</v>
      </c>
      <c r="F54" t="s">
        <v>41</v>
      </c>
      <c r="G54" t="s">
        <v>41</v>
      </c>
      <c r="H54" t="s">
        <v>41</v>
      </c>
      <c r="I54">
        <v>67.455497739999998</v>
      </c>
      <c r="J54">
        <v>300.61401369999999</v>
      </c>
      <c r="K54">
        <v>301.01699830000001</v>
      </c>
      <c r="L54">
        <v>259.06201170000003</v>
      </c>
      <c r="M54" t="s">
        <v>41</v>
      </c>
      <c r="N54" t="s">
        <v>41</v>
      </c>
      <c r="O54" t="s">
        <v>41</v>
      </c>
      <c r="P54">
        <v>67.455497739999998</v>
      </c>
      <c r="Q54">
        <v>300.61401369999999</v>
      </c>
      <c r="R54">
        <v>301.01699830000001</v>
      </c>
      <c r="S54">
        <v>259.06201170000003</v>
      </c>
    </row>
    <row r="55" spans="1:19" x14ac:dyDescent="0.25">
      <c r="A55" t="s">
        <v>60</v>
      </c>
      <c r="B55" t="s">
        <v>61</v>
      </c>
      <c r="C55" t="s">
        <v>87</v>
      </c>
      <c r="D55" t="s">
        <v>88</v>
      </c>
      <c r="E55" t="s">
        <v>49</v>
      </c>
      <c r="F55" t="s">
        <v>41</v>
      </c>
      <c r="G55" t="s">
        <v>41</v>
      </c>
      <c r="H55" t="s">
        <v>41</v>
      </c>
      <c r="I55" t="s">
        <v>41</v>
      </c>
      <c r="J55" t="s">
        <v>41</v>
      </c>
      <c r="K55" t="s">
        <v>41</v>
      </c>
      <c r="L55" t="s">
        <v>41</v>
      </c>
      <c r="M55" t="s">
        <v>41</v>
      </c>
      <c r="N55" t="s">
        <v>41</v>
      </c>
      <c r="O55" t="s">
        <v>41</v>
      </c>
      <c r="P55" t="s">
        <v>41</v>
      </c>
      <c r="Q55" t="s">
        <v>41</v>
      </c>
      <c r="R55" t="s">
        <v>41</v>
      </c>
      <c r="S55" t="s">
        <v>41</v>
      </c>
    </row>
    <row r="56" spans="1:19" x14ac:dyDescent="0.25">
      <c r="A56" t="s">
        <v>62</v>
      </c>
      <c r="B56" t="s">
        <v>63</v>
      </c>
      <c r="C56" t="s">
        <v>87</v>
      </c>
      <c r="D56" t="s">
        <v>88</v>
      </c>
      <c r="E56" t="s">
        <v>49</v>
      </c>
      <c r="F56" t="s">
        <v>41</v>
      </c>
      <c r="G56">
        <v>1867.920044</v>
      </c>
      <c r="H56">
        <v>2184.9099120000001</v>
      </c>
      <c r="I56" t="s">
        <v>41</v>
      </c>
      <c r="J56" t="s">
        <v>41</v>
      </c>
      <c r="K56" t="s">
        <v>41</v>
      </c>
      <c r="L56" t="s">
        <v>41</v>
      </c>
      <c r="M56" t="s">
        <v>41</v>
      </c>
      <c r="N56">
        <v>1867.920044</v>
      </c>
      <c r="O56">
        <v>2184.9099120000001</v>
      </c>
      <c r="P56" t="s">
        <v>41</v>
      </c>
      <c r="Q56" t="s">
        <v>41</v>
      </c>
      <c r="R56" t="s">
        <v>41</v>
      </c>
      <c r="S56" t="s">
        <v>41</v>
      </c>
    </row>
    <row r="57" spans="1:19" x14ac:dyDescent="0.25">
      <c r="A57" t="s">
        <v>64</v>
      </c>
      <c r="B57" t="s">
        <v>65</v>
      </c>
      <c r="C57" t="s">
        <v>87</v>
      </c>
      <c r="D57" t="s">
        <v>88</v>
      </c>
      <c r="E57" t="s">
        <v>49</v>
      </c>
      <c r="F57" t="s">
        <v>41</v>
      </c>
      <c r="G57" t="s">
        <v>41</v>
      </c>
      <c r="H57" t="s">
        <v>41</v>
      </c>
      <c r="I57" t="s">
        <v>41</v>
      </c>
      <c r="J57" t="s">
        <v>41</v>
      </c>
      <c r="K57" t="s">
        <v>41</v>
      </c>
      <c r="L57" t="s">
        <v>41</v>
      </c>
      <c r="M57" t="s">
        <v>41</v>
      </c>
      <c r="N57" t="s">
        <v>41</v>
      </c>
      <c r="O57" t="s">
        <v>41</v>
      </c>
      <c r="P57" t="s">
        <v>41</v>
      </c>
      <c r="Q57" t="s">
        <v>41</v>
      </c>
      <c r="R57" t="s">
        <v>41</v>
      </c>
      <c r="S57" t="s">
        <v>41</v>
      </c>
    </row>
    <row r="58" spans="1:19" x14ac:dyDescent="0.25">
      <c r="A58" t="s">
        <v>66</v>
      </c>
      <c r="B58" t="s">
        <v>67</v>
      </c>
      <c r="C58" t="s">
        <v>87</v>
      </c>
      <c r="D58" t="s">
        <v>88</v>
      </c>
      <c r="E58" t="s">
        <v>49</v>
      </c>
      <c r="F58" t="s">
        <v>41</v>
      </c>
      <c r="G58" t="s">
        <v>41</v>
      </c>
      <c r="H58">
        <v>102.7360001</v>
      </c>
      <c r="I58">
        <v>94.292503359999998</v>
      </c>
      <c r="J58">
        <v>98.904403689999995</v>
      </c>
      <c r="K58" t="s">
        <v>41</v>
      </c>
      <c r="L58">
        <v>90.777801510000003</v>
      </c>
      <c r="M58" t="s">
        <v>41</v>
      </c>
      <c r="N58" t="s">
        <v>41</v>
      </c>
      <c r="O58">
        <v>102.7360001</v>
      </c>
      <c r="P58">
        <v>94.292503359999998</v>
      </c>
      <c r="Q58">
        <v>98.904403689999995</v>
      </c>
      <c r="R58" t="s">
        <v>41</v>
      </c>
      <c r="S58">
        <v>90.777801510000003</v>
      </c>
    </row>
    <row r="59" spans="1:19" x14ac:dyDescent="0.25">
      <c r="A59" t="s">
        <v>68</v>
      </c>
      <c r="B59" t="s">
        <v>69</v>
      </c>
      <c r="C59" t="s">
        <v>87</v>
      </c>
      <c r="D59" t="s">
        <v>88</v>
      </c>
      <c r="E59" t="s">
        <v>49</v>
      </c>
      <c r="F59" t="s">
        <v>41</v>
      </c>
      <c r="G59" t="s">
        <v>41</v>
      </c>
      <c r="H59" t="s">
        <v>41</v>
      </c>
      <c r="I59" t="s">
        <v>41</v>
      </c>
      <c r="J59">
        <v>296.51199339999999</v>
      </c>
      <c r="K59" t="s">
        <v>41</v>
      </c>
      <c r="L59">
        <v>309.26000979999998</v>
      </c>
      <c r="M59" t="s">
        <v>41</v>
      </c>
      <c r="N59" t="s">
        <v>41</v>
      </c>
      <c r="O59" t="s">
        <v>41</v>
      </c>
      <c r="P59" t="s">
        <v>41</v>
      </c>
      <c r="Q59">
        <v>296.51199339999999</v>
      </c>
      <c r="R59" t="s">
        <v>41</v>
      </c>
      <c r="S59">
        <v>309.26000979999998</v>
      </c>
    </row>
    <row r="60" spans="1:19" x14ac:dyDescent="0.25">
      <c r="A60" t="s">
        <v>70</v>
      </c>
      <c r="B60" t="s">
        <v>71</v>
      </c>
      <c r="C60" t="s">
        <v>87</v>
      </c>
      <c r="D60" t="s">
        <v>88</v>
      </c>
      <c r="E60" t="s">
        <v>49</v>
      </c>
      <c r="F60">
        <v>81.64949799</v>
      </c>
      <c r="G60">
        <v>82.207901000000007</v>
      </c>
      <c r="H60">
        <v>76.08159637</v>
      </c>
      <c r="I60">
        <v>77.636703490000002</v>
      </c>
      <c r="J60">
        <v>86.152496339999999</v>
      </c>
      <c r="K60">
        <v>91.710800169999999</v>
      </c>
      <c r="L60">
        <v>104.8519974</v>
      </c>
      <c r="M60">
        <v>81.64949799</v>
      </c>
      <c r="N60">
        <v>82.207901000000007</v>
      </c>
      <c r="O60">
        <v>76.08159637</v>
      </c>
      <c r="P60">
        <v>77.636703490000002</v>
      </c>
      <c r="Q60">
        <v>86.152496339999999</v>
      </c>
      <c r="R60">
        <v>91.710800169999999</v>
      </c>
      <c r="S60">
        <v>104.8519974</v>
      </c>
    </row>
    <row r="61" spans="1:19" x14ac:dyDescent="0.25">
      <c r="A61" t="s">
        <v>72</v>
      </c>
      <c r="B61" t="s">
        <v>73</v>
      </c>
      <c r="C61" t="s">
        <v>87</v>
      </c>
      <c r="D61" t="s">
        <v>88</v>
      </c>
      <c r="E61" t="s">
        <v>49</v>
      </c>
      <c r="F61">
        <v>286.0490112</v>
      </c>
      <c r="G61">
        <v>278.70400999999998</v>
      </c>
      <c r="H61">
        <v>263.48199460000001</v>
      </c>
      <c r="I61">
        <v>266.57299799999998</v>
      </c>
      <c r="J61">
        <v>265.89300539999999</v>
      </c>
      <c r="K61">
        <v>257.5759888</v>
      </c>
      <c r="L61">
        <v>284.4100037</v>
      </c>
      <c r="M61">
        <v>286.0490112</v>
      </c>
      <c r="N61">
        <v>278.70400999999998</v>
      </c>
      <c r="O61">
        <v>263.48199460000001</v>
      </c>
      <c r="P61">
        <v>266.57299799999998</v>
      </c>
      <c r="Q61">
        <v>265.89300539999999</v>
      </c>
      <c r="R61">
        <v>257.5759888</v>
      </c>
      <c r="S61">
        <v>284.4100037</v>
      </c>
    </row>
    <row r="62" spans="1:19" x14ac:dyDescent="0.25">
      <c r="A62" t="s">
        <v>74</v>
      </c>
      <c r="B62" t="s">
        <v>75</v>
      </c>
      <c r="C62" t="s">
        <v>87</v>
      </c>
      <c r="D62" t="s">
        <v>88</v>
      </c>
      <c r="E62" t="s">
        <v>49</v>
      </c>
      <c r="F62" t="s">
        <v>41</v>
      </c>
      <c r="G62">
        <v>4666.5097660000001</v>
      </c>
      <c r="H62">
        <v>4192.5200199999999</v>
      </c>
      <c r="I62">
        <v>4373.5400390000004</v>
      </c>
      <c r="J62">
        <v>5375.7299800000001</v>
      </c>
      <c r="K62">
        <v>6173.3999020000001</v>
      </c>
      <c r="L62">
        <v>6297.2998049999997</v>
      </c>
      <c r="M62" t="s">
        <v>41</v>
      </c>
      <c r="N62">
        <v>4666.5097660000001</v>
      </c>
      <c r="O62">
        <v>4192.5200199999999</v>
      </c>
      <c r="P62">
        <v>4373.5400390000004</v>
      </c>
      <c r="Q62">
        <v>5375.7299800000001</v>
      </c>
      <c r="R62">
        <v>6173.3999020000001</v>
      </c>
      <c r="S62">
        <v>6297.2998049999997</v>
      </c>
    </row>
    <row r="63" spans="1:19" x14ac:dyDescent="0.25">
      <c r="A63" t="s">
        <v>76</v>
      </c>
      <c r="B63" t="s">
        <v>77</v>
      </c>
      <c r="C63" t="s">
        <v>87</v>
      </c>
      <c r="D63" t="s">
        <v>88</v>
      </c>
      <c r="E63" t="s">
        <v>49</v>
      </c>
      <c r="F63" t="s">
        <v>41</v>
      </c>
      <c r="G63" t="s">
        <v>41</v>
      </c>
      <c r="H63">
        <v>1206.1099850000001</v>
      </c>
      <c r="I63">
        <v>638.88897710000003</v>
      </c>
      <c r="J63">
        <v>669.37597659999994</v>
      </c>
      <c r="K63">
        <v>692.36798099999999</v>
      </c>
      <c r="L63">
        <v>610.78698729999996</v>
      </c>
      <c r="M63" t="s">
        <v>41</v>
      </c>
      <c r="N63" t="s">
        <v>41</v>
      </c>
      <c r="O63">
        <v>1206.1099850000001</v>
      </c>
      <c r="P63">
        <v>638.88897710000003</v>
      </c>
      <c r="Q63">
        <v>669.37597659999994</v>
      </c>
      <c r="R63">
        <v>692.36798099999999</v>
      </c>
      <c r="S63">
        <v>610.78698729999996</v>
      </c>
    </row>
    <row r="64" spans="1:19" x14ac:dyDescent="0.25">
      <c r="A64" t="s">
        <v>78</v>
      </c>
      <c r="B64" t="s">
        <v>79</v>
      </c>
      <c r="C64" t="s">
        <v>87</v>
      </c>
      <c r="D64" t="s">
        <v>88</v>
      </c>
      <c r="E64" t="s">
        <v>49</v>
      </c>
      <c r="F64" t="s">
        <v>41</v>
      </c>
      <c r="G64" t="s">
        <v>41</v>
      </c>
      <c r="H64">
        <v>160.72999569999999</v>
      </c>
      <c r="I64">
        <v>160.4060059</v>
      </c>
      <c r="J64">
        <v>155.24299619999999</v>
      </c>
      <c r="K64">
        <v>167.60699460000001</v>
      </c>
      <c r="L64">
        <v>150.91400150000001</v>
      </c>
      <c r="M64" t="s">
        <v>41</v>
      </c>
      <c r="N64" t="s">
        <v>41</v>
      </c>
      <c r="O64">
        <v>160.72999569999999</v>
      </c>
      <c r="P64">
        <v>160.4060059</v>
      </c>
      <c r="Q64">
        <v>155.24299619999999</v>
      </c>
      <c r="R64">
        <v>167.60699460000001</v>
      </c>
      <c r="S64">
        <v>150.91400150000001</v>
      </c>
    </row>
    <row r="65" spans="1:19" x14ac:dyDescent="0.25">
      <c r="A65" t="s">
        <v>80</v>
      </c>
      <c r="B65" t="s">
        <v>81</v>
      </c>
      <c r="C65" t="s">
        <v>87</v>
      </c>
      <c r="D65" t="s">
        <v>88</v>
      </c>
      <c r="E65" t="s">
        <v>49</v>
      </c>
      <c r="F65" t="s">
        <v>41</v>
      </c>
      <c r="G65">
        <v>250.2220001</v>
      </c>
      <c r="H65">
        <v>358.2990112</v>
      </c>
      <c r="I65">
        <v>409.55099489999998</v>
      </c>
      <c r="J65">
        <v>423.3059998</v>
      </c>
      <c r="K65">
        <v>421.48699950000002</v>
      </c>
      <c r="L65">
        <v>412.27899170000001</v>
      </c>
      <c r="M65" t="s">
        <v>41</v>
      </c>
      <c r="N65">
        <v>250.2220001</v>
      </c>
      <c r="O65">
        <v>358.2990112</v>
      </c>
      <c r="P65">
        <v>409.55099489999998</v>
      </c>
      <c r="Q65">
        <v>423.3059998</v>
      </c>
      <c r="R65">
        <v>421.48699950000002</v>
      </c>
      <c r="S65">
        <v>412.27899170000001</v>
      </c>
    </row>
    <row r="66" spans="1:19" x14ac:dyDescent="0.25">
      <c r="A66" t="s">
        <v>89</v>
      </c>
      <c r="B66" t="s">
        <v>41</v>
      </c>
      <c r="E66" t="s">
        <v>44</v>
      </c>
      <c r="F66">
        <v>156.5249939</v>
      </c>
      <c r="G66">
        <v>184.67450335000001</v>
      </c>
      <c r="H66">
        <v>101.8980026</v>
      </c>
      <c r="I66">
        <v>82.898498534999987</v>
      </c>
      <c r="J66">
        <v>73.625247954999992</v>
      </c>
      <c r="K66">
        <v>46.445949554999999</v>
      </c>
      <c r="L66">
        <v>70.933998110000005</v>
      </c>
      <c r="M66" t="s">
        <v>41</v>
      </c>
      <c r="N66">
        <v>184.6745033</v>
      </c>
      <c r="O66">
        <v>101.8980026</v>
      </c>
      <c r="P66">
        <v>82.898498540000006</v>
      </c>
      <c r="Q66">
        <v>73.625247959999996</v>
      </c>
      <c r="R66">
        <v>46.445949550000002</v>
      </c>
      <c r="S66">
        <v>70.933998110000005</v>
      </c>
    </row>
    <row r="67" spans="1:19" x14ac:dyDescent="0.25">
      <c r="A67" t="s">
        <v>45</v>
      </c>
      <c r="B67" t="s">
        <v>46</v>
      </c>
      <c r="C67" t="s">
        <v>90</v>
      </c>
      <c r="D67" t="s">
        <v>91</v>
      </c>
      <c r="E67" t="s">
        <v>49</v>
      </c>
      <c r="F67" t="s">
        <v>41</v>
      </c>
      <c r="G67">
        <v>111.5739975</v>
      </c>
      <c r="H67">
        <v>101.8980026</v>
      </c>
      <c r="I67" t="s">
        <v>41</v>
      </c>
      <c r="J67" t="s">
        <v>41</v>
      </c>
      <c r="K67" t="s">
        <v>41</v>
      </c>
      <c r="L67" t="s">
        <v>41</v>
      </c>
      <c r="M67" t="s">
        <v>41</v>
      </c>
      <c r="N67">
        <v>111.5739975</v>
      </c>
      <c r="O67">
        <v>101.8980026</v>
      </c>
      <c r="P67" t="s">
        <v>41</v>
      </c>
      <c r="Q67" t="s">
        <v>41</v>
      </c>
      <c r="R67" t="s">
        <v>41</v>
      </c>
      <c r="S67" t="s">
        <v>41</v>
      </c>
    </row>
    <row r="68" spans="1:19" x14ac:dyDescent="0.25">
      <c r="A68" t="s">
        <v>50</v>
      </c>
      <c r="B68" t="s">
        <v>51</v>
      </c>
      <c r="C68" t="s">
        <v>90</v>
      </c>
      <c r="D68" t="s">
        <v>91</v>
      </c>
      <c r="E68" t="s">
        <v>49</v>
      </c>
      <c r="F68" t="s">
        <v>41</v>
      </c>
      <c r="G68" t="s">
        <v>41</v>
      </c>
      <c r="H68" t="s">
        <v>41</v>
      </c>
      <c r="I68" t="s">
        <v>41</v>
      </c>
      <c r="J68" t="s">
        <v>41</v>
      </c>
      <c r="K68" t="s">
        <v>41</v>
      </c>
      <c r="L68" t="s">
        <v>41</v>
      </c>
      <c r="M68" t="s">
        <v>41</v>
      </c>
      <c r="N68" t="s">
        <v>41</v>
      </c>
      <c r="O68" t="s">
        <v>41</v>
      </c>
      <c r="P68" t="s">
        <v>41</v>
      </c>
      <c r="Q68" t="s">
        <v>41</v>
      </c>
      <c r="R68" t="s">
        <v>41</v>
      </c>
      <c r="S68" t="s">
        <v>41</v>
      </c>
    </row>
    <row r="69" spans="1:19" x14ac:dyDescent="0.25">
      <c r="A69" t="s">
        <v>52</v>
      </c>
      <c r="B69" t="s">
        <v>53</v>
      </c>
      <c r="C69" t="s">
        <v>90</v>
      </c>
      <c r="D69" t="s">
        <v>91</v>
      </c>
      <c r="E69" t="s">
        <v>49</v>
      </c>
      <c r="F69">
        <v>210.4160004</v>
      </c>
      <c r="G69">
        <v>243.7400055</v>
      </c>
      <c r="H69">
        <v>130.38900760000001</v>
      </c>
      <c r="I69">
        <v>102.4309998</v>
      </c>
      <c r="J69">
        <v>193.92399599999999</v>
      </c>
      <c r="K69">
        <v>0</v>
      </c>
      <c r="L69" t="s">
        <v>41</v>
      </c>
      <c r="M69">
        <v>210.4160004</v>
      </c>
      <c r="N69">
        <v>243.7400055</v>
      </c>
      <c r="O69">
        <v>130.38900760000001</v>
      </c>
      <c r="P69">
        <v>102.4309998</v>
      </c>
      <c r="Q69">
        <v>193.92399599999999</v>
      </c>
      <c r="R69">
        <v>0</v>
      </c>
      <c r="S69" t="s">
        <v>41</v>
      </c>
    </row>
    <row r="70" spans="1:19" x14ac:dyDescent="0.25">
      <c r="A70" t="s">
        <v>54</v>
      </c>
      <c r="B70" t="s">
        <v>55</v>
      </c>
      <c r="C70" t="s">
        <v>90</v>
      </c>
      <c r="D70" t="s">
        <v>91</v>
      </c>
      <c r="E70" t="s">
        <v>49</v>
      </c>
      <c r="F70">
        <v>156.5249939</v>
      </c>
      <c r="G70">
        <v>82.078002929999997</v>
      </c>
      <c r="H70">
        <v>70.157997129999998</v>
      </c>
      <c r="I70">
        <v>87.863998409999994</v>
      </c>
      <c r="J70" t="s">
        <v>41</v>
      </c>
      <c r="K70" t="s">
        <v>41</v>
      </c>
      <c r="L70" t="s">
        <v>41</v>
      </c>
      <c r="M70">
        <v>156.5249939</v>
      </c>
      <c r="N70">
        <v>82.078002929999997</v>
      </c>
      <c r="O70">
        <v>70.157997129999998</v>
      </c>
      <c r="P70">
        <v>87.863998409999994</v>
      </c>
      <c r="Q70" t="s">
        <v>41</v>
      </c>
      <c r="R70" t="s">
        <v>41</v>
      </c>
      <c r="S70" t="s">
        <v>41</v>
      </c>
    </row>
    <row r="71" spans="1:19" x14ac:dyDescent="0.25">
      <c r="A71" t="s">
        <v>56</v>
      </c>
      <c r="B71" t="s">
        <v>57</v>
      </c>
      <c r="C71" t="s">
        <v>90</v>
      </c>
      <c r="D71" t="s">
        <v>91</v>
      </c>
      <c r="E71" t="s">
        <v>49</v>
      </c>
      <c r="F71" t="s">
        <v>41</v>
      </c>
      <c r="G71" t="s">
        <v>41</v>
      </c>
      <c r="H71" t="s">
        <v>41</v>
      </c>
      <c r="I71" t="s">
        <v>41</v>
      </c>
      <c r="J71" t="s">
        <v>41</v>
      </c>
      <c r="K71" t="s">
        <v>41</v>
      </c>
      <c r="L71" t="s">
        <v>41</v>
      </c>
      <c r="M71" t="s">
        <v>41</v>
      </c>
      <c r="N71" t="s">
        <v>41</v>
      </c>
      <c r="O71" t="s">
        <v>41</v>
      </c>
      <c r="P71" t="s">
        <v>41</v>
      </c>
      <c r="Q71" t="s">
        <v>41</v>
      </c>
      <c r="R71" t="s">
        <v>41</v>
      </c>
      <c r="S71" t="s">
        <v>41</v>
      </c>
    </row>
    <row r="72" spans="1:19" x14ac:dyDescent="0.25">
      <c r="A72" t="s">
        <v>58</v>
      </c>
      <c r="B72" t="s">
        <v>59</v>
      </c>
      <c r="C72" t="s">
        <v>90</v>
      </c>
      <c r="D72" t="s">
        <v>91</v>
      </c>
      <c r="E72" t="s">
        <v>49</v>
      </c>
      <c r="F72" t="s">
        <v>41</v>
      </c>
      <c r="G72" t="s">
        <v>41</v>
      </c>
      <c r="H72" t="s">
        <v>41</v>
      </c>
      <c r="I72">
        <v>33.610298159999999</v>
      </c>
      <c r="J72">
        <v>21.468599319999999</v>
      </c>
      <c r="K72">
        <v>25.59790039</v>
      </c>
      <c r="L72">
        <v>23.639099120000001</v>
      </c>
      <c r="M72" t="s">
        <v>41</v>
      </c>
      <c r="N72" t="s">
        <v>41</v>
      </c>
      <c r="O72" t="s">
        <v>41</v>
      </c>
      <c r="P72">
        <v>33.610298159999999</v>
      </c>
      <c r="Q72">
        <v>21.468599319999999</v>
      </c>
      <c r="R72">
        <v>25.59790039</v>
      </c>
      <c r="S72">
        <v>23.639099120000001</v>
      </c>
    </row>
    <row r="73" spans="1:19" x14ac:dyDescent="0.25">
      <c r="A73" t="s">
        <v>60</v>
      </c>
      <c r="B73" t="s">
        <v>61</v>
      </c>
      <c r="C73" t="s">
        <v>90</v>
      </c>
      <c r="D73" t="s">
        <v>91</v>
      </c>
      <c r="E73" t="s">
        <v>49</v>
      </c>
      <c r="F73" t="s">
        <v>41</v>
      </c>
      <c r="G73" t="s">
        <v>41</v>
      </c>
      <c r="H73" t="s">
        <v>41</v>
      </c>
      <c r="I73" t="s">
        <v>41</v>
      </c>
      <c r="J73" t="s">
        <v>41</v>
      </c>
      <c r="K73" t="s">
        <v>41</v>
      </c>
      <c r="L73" t="s">
        <v>41</v>
      </c>
      <c r="M73" t="s">
        <v>41</v>
      </c>
      <c r="N73" t="s">
        <v>41</v>
      </c>
      <c r="O73" t="s">
        <v>41</v>
      </c>
      <c r="P73" t="s">
        <v>41</v>
      </c>
      <c r="Q73" t="s">
        <v>41</v>
      </c>
      <c r="R73" t="s">
        <v>41</v>
      </c>
      <c r="S73" t="s">
        <v>41</v>
      </c>
    </row>
    <row r="74" spans="1:19" x14ac:dyDescent="0.25">
      <c r="A74" t="s">
        <v>62</v>
      </c>
      <c r="B74" t="s">
        <v>63</v>
      </c>
      <c r="C74" t="s">
        <v>90</v>
      </c>
      <c r="D74" t="s">
        <v>91</v>
      </c>
      <c r="E74" t="s">
        <v>49</v>
      </c>
      <c r="F74" t="s">
        <v>41</v>
      </c>
      <c r="G74">
        <v>317.60101320000001</v>
      </c>
      <c r="H74">
        <v>238.18699649999999</v>
      </c>
      <c r="I74" t="s">
        <v>41</v>
      </c>
      <c r="J74" t="s">
        <v>41</v>
      </c>
      <c r="K74" t="s">
        <v>41</v>
      </c>
      <c r="L74" t="s">
        <v>41</v>
      </c>
      <c r="M74" t="s">
        <v>41</v>
      </c>
      <c r="N74">
        <v>317.60101320000001</v>
      </c>
      <c r="O74">
        <v>238.18699649999999</v>
      </c>
      <c r="P74" t="s">
        <v>41</v>
      </c>
      <c r="Q74" t="s">
        <v>41</v>
      </c>
      <c r="R74" t="s">
        <v>41</v>
      </c>
      <c r="S74" t="s">
        <v>41</v>
      </c>
    </row>
    <row r="75" spans="1:19" x14ac:dyDescent="0.25">
      <c r="A75" t="s">
        <v>64</v>
      </c>
      <c r="B75" t="s">
        <v>65</v>
      </c>
      <c r="C75" t="s">
        <v>90</v>
      </c>
      <c r="D75" t="s">
        <v>91</v>
      </c>
      <c r="E75" t="s">
        <v>49</v>
      </c>
      <c r="F75" t="s">
        <v>41</v>
      </c>
      <c r="G75" t="s">
        <v>41</v>
      </c>
      <c r="H75" t="s">
        <v>41</v>
      </c>
      <c r="I75" t="s">
        <v>41</v>
      </c>
      <c r="J75" t="s">
        <v>41</v>
      </c>
      <c r="K75" t="s">
        <v>41</v>
      </c>
      <c r="L75" t="s">
        <v>41</v>
      </c>
      <c r="M75" t="s">
        <v>41</v>
      </c>
      <c r="N75" t="s">
        <v>41</v>
      </c>
      <c r="O75" t="s">
        <v>41</v>
      </c>
      <c r="P75" t="s">
        <v>41</v>
      </c>
      <c r="Q75" t="s">
        <v>41</v>
      </c>
      <c r="R75" t="s">
        <v>41</v>
      </c>
      <c r="S75" t="s">
        <v>41</v>
      </c>
    </row>
    <row r="76" spans="1:19" x14ac:dyDescent="0.25">
      <c r="A76" t="s">
        <v>66</v>
      </c>
      <c r="B76" t="s">
        <v>67</v>
      </c>
      <c r="C76" t="s">
        <v>90</v>
      </c>
      <c r="D76" t="s">
        <v>91</v>
      </c>
      <c r="E76" t="s">
        <v>49</v>
      </c>
      <c r="F76" t="s">
        <v>41</v>
      </c>
      <c r="G76" t="s">
        <v>41</v>
      </c>
      <c r="H76">
        <v>11.748100279999999</v>
      </c>
      <c r="I76">
        <v>4.5408301350000002</v>
      </c>
      <c r="J76" t="s">
        <v>41</v>
      </c>
      <c r="K76" t="s">
        <v>41</v>
      </c>
      <c r="L76" t="s">
        <v>41</v>
      </c>
      <c r="M76" t="s">
        <v>41</v>
      </c>
      <c r="N76" t="s">
        <v>41</v>
      </c>
      <c r="O76">
        <v>11.748100279999999</v>
      </c>
      <c r="P76">
        <v>4.5408301350000002</v>
      </c>
      <c r="Q76" t="s">
        <v>41</v>
      </c>
      <c r="R76" t="s">
        <v>41</v>
      </c>
      <c r="S76" t="s">
        <v>41</v>
      </c>
    </row>
    <row r="77" spans="1:19" x14ac:dyDescent="0.25">
      <c r="A77" t="s">
        <v>68</v>
      </c>
      <c r="B77" t="s">
        <v>69</v>
      </c>
      <c r="C77" t="s">
        <v>90</v>
      </c>
      <c r="D77" t="s">
        <v>91</v>
      </c>
      <c r="E77" t="s">
        <v>49</v>
      </c>
      <c r="F77" t="s">
        <v>41</v>
      </c>
      <c r="G77" t="s">
        <v>41</v>
      </c>
      <c r="H77" t="s">
        <v>41</v>
      </c>
      <c r="I77" t="s">
        <v>41</v>
      </c>
      <c r="J77" t="s">
        <v>41</v>
      </c>
      <c r="K77" t="s">
        <v>41</v>
      </c>
      <c r="L77" t="s">
        <v>41</v>
      </c>
      <c r="M77" t="s">
        <v>41</v>
      </c>
      <c r="N77" t="s">
        <v>41</v>
      </c>
      <c r="O77" t="s">
        <v>41</v>
      </c>
      <c r="P77" t="s">
        <v>41</v>
      </c>
      <c r="Q77" t="s">
        <v>41</v>
      </c>
      <c r="R77" t="s">
        <v>41</v>
      </c>
      <c r="S77" t="s">
        <v>41</v>
      </c>
    </row>
    <row r="78" spans="1:19" x14ac:dyDescent="0.25">
      <c r="A78" t="s">
        <v>70</v>
      </c>
      <c r="B78" t="s">
        <v>71</v>
      </c>
      <c r="C78" t="s">
        <v>90</v>
      </c>
      <c r="D78" t="s">
        <v>91</v>
      </c>
      <c r="E78" t="s">
        <v>49</v>
      </c>
      <c r="F78" t="s">
        <v>41</v>
      </c>
      <c r="G78" t="s">
        <v>41</v>
      </c>
      <c r="H78" t="s">
        <v>41</v>
      </c>
      <c r="I78" t="s">
        <v>41</v>
      </c>
      <c r="J78" t="s">
        <v>41</v>
      </c>
      <c r="K78" t="s">
        <v>41</v>
      </c>
      <c r="L78" t="s">
        <v>41</v>
      </c>
      <c r="M78" t="s">
        <v>41</v>
      </c>
      <c r="N78" t="s">
        <v>41</v>
      </c>
      <c r="O78" t="s">
        <v>41</v>
      </c>
      <c r="P78" t="s">
        <v>41</v>
      </c>
      <c r="Q78" t="s">
        <v>41</v>
      </c>
      <c r="R78" t="s">
        <v>41</v>
      </c>
      <c r="S78" t="s">
        <v>41</v>
      </c>
    </row>
    <row r="79" spans="1:19" x14ac:dyDescent="0.25">
      <c r="A79" t="s">
        <v>72</v>
      </c>
      <c r="B79" t="s">
        <v>73</v>
      </c>
      <c r="C79" t="s">
        <v>90</v>
      </c>
      <c r="D79" t="s">
        <v>91</v>
      </c>
      <c r="E79" t="s">
        <v>49</v>
      </c>
      <c r="F79">
        <v>124.8219986</v>
      </c>
      <c r="G79">
        <v>125.60900119999999</v>
      </c>
      <c r="H79">
        <v>113.072998</v>
      </c>
      <c r="I79">
        <v>118.9029999</v>
      </c>
      <c r="J79">
        <v>69.803497309999997</v>
      </c>
      <c r="K79">
        <v>74.986297609999994</v>
      </c>
      <c r="L79">
        <v>75.674201969999999</v>
      </c>
      <c r="M79">
        <v>124.8219986</v>
      </c>
      <c r="N79">
        <v>125.60900119999999</v>
      </c>
      <c r="O79">
        <v>113.072998</v>
      </c>
      <c r="P79">
        <v>118.9029999</v>
      </c>
      <c r="Q79">
        <v>69.803497309999997</v>
      </c>
      <c r="R79">
        <v>74.986297609999994</v>
      </c>
      <c r="S79">
        <v>75.674201969999999</v>
      </c>
    </row>
    <row r="80" spans="1:19" x14ac:dyDescent="0.25">
      <c r="A80" t="s">
        <v>74</v>
      </c>
      <c r="B80" t="s">
        <v>75</v>
      </c>
      <c r="C80" t="s">
        <v>90</v>
      </c>
      <c r="D80" t="s">
        <v>91</v>
      </c>
      <c r="E80" t="s">
        <v>49</v>
      </c>
      <c r="F80" t="s">
        <v>41</v>
      </c>
      <c r="G80">
        <v>1520.420044</v>
      </c>
      <c r="H80">
        <v>778.85900879999997</v>
      </c>
      <c r="I80">
        <v>783</v>
      </c>
      <c r="J80">
        <v>679.23199460000001</v>
      </c>
      <c r="K80">
        <v>683.29400629999998</v>
      </c>
      <c r="L80">
        <v>579.67901610000001</v>
      </c>
      <c r="M80" t="s">
        <v>41</v>
      </c>
      <c r="N80">
        <v>1520.420044</v>
      </c>
      <c r="O80">
        <v>778.85900879999997</v>
      </c>
      <c r="P80">
        <v>783</v>
      </c>
      <c r="Q80">
        <v>679.23199460000001</v>
      </c>
      <c r="R80">
        <v>683.29400629999998</v>
      </c>
      <c r="S80">
        <v>579.67901610000001</v>
      </c>
    </row>
    <row r="81" spans="1:19" x14ac:dyDescent="0.25">
      <c r="A81" t="s">
        <v>76</v>
      </c>
      <c r="B81" t="s">
        <v>77</v>
      </c>
      <c r="C81" t="s">
        <v>90</v>
      </c>
      <c r="D81" t="s">
        <v>91</v>
      </c>
      <c r="E81" t="s">
        <v>49</v>
      </c>
      <c r="F81" t="s">
        <v>41</v>
      </c>
      <c r="G81" t="s">
        <v>41</v>
      </c>
      <c r="H81">
        <v>50.277500150000002</v>
      </c>
      <c r="I81">
        <v>46.319400790000003</v>
      </c>
      <c r="J81">
        <v>18.598899840000001</v>
      </c>
      <c r="K81">
        <v>14.73630047</v>
      </c>
      <c r="L81">
        <v>11.45610046</v>
      </c>
      <c r="M81" t="s">
        <v>41</v>
      </c>
      <c r="N81" t="s">
        <v>41</v>
      </c>
      <c r="O81">
        <v>50.277500150000002</v>
      </c>
      <c r="P81">
        <v>46.319400790000003</v>
      </c>
      <c r="Q81">
        <v>18.598899840000001</v>
      </c>
      <c r="R81">
        <v>14.73630047</v>
      </c>
      <c r="S81">
        <v>11.45610046</v>
      </c>
    </row>
    <row r="82" spans="1:19" x14ac:dyDescent="0.25">
      <c r="A82" t="s">
        <v>78</v>
      </c>
      <c r="B82" t="s">
        <v>79</v>
      </c>
      <c r="C82" t="s">
        <v>90</v>
      </c>
      <c r="D82" t="s">
        <v>91</v>
      </c>
      <c r="E82" t="s">
        <v>49</v>
      </c>
      <c r="F82" t="s">
        <v>41</v>
      </c>
      <c r="G82" t="s">
        <v>41</v>
      </c>
      <c r="H82" t="s">
        <v>41</v>
      </c>
      <c r="I82" t="s">
        <v>41</v>
      </c>
      <c r="J82" t="s">
        <v>41</v>
      </c>
      <c r="K82" t="s">
        <v>41</v>
      </c>
      <c r="L82" t="s">
        <v>41</v>
      </c>
      <c r="M82" t="s">
        <v>41</v>
      </c>
      <c r="N82" t="s">
        <v>41</v>
      </c>
      <c r="O82" t="s">
        <v>41</v>
      </c>
      <c r="P82" t="s">
        <v>41</v>
      </c>
      <c r="Q82" t="s">
        <v>41</v>
      </c>
      <c r="R82" t="s">
        <v>41</v>
      </c>
      <c r="S82" t="s">
        <v>41</v>
      </c>
    </row>
    <row r="83" spans="1:19" x14ac:dyDescent="0.25">
      <c r="A83" t="s">
        <v>80</v>
      </c>
      <c r="B83" t="s">
        <v>81</v>
      </c>
      <c r="C83" t="s">
        <v>90</v>
      </c>
      <c r="D83" t="s">
        <v>91</v>
      </c>
      <c r="E83" t="s">
        <v>49</v>
      </c>
      <c r="F83" t="s">
        <v>41</v>
      </c>
      <c r="G83" t="s">
        <v>41</v>
      </c>
      <c r="H83">
        <v>93.335998540000006</v>
      </c>
      <c r="I83">
        <v>77.932998659999996</v>
      </c>
      <c r="J83">
        <v>77.446998600000001</v>
      </c>
      <c r="K83">
        <v>67.293998720000005</v>
      </c>
      <c r="L83">
        <v>70.933998110000005</v>
      </c>
      <c r="M83" t="s">
        <v>41</v>
      </c>
      <c r="N83" t="s">
        <v>41</v>
      </c>
      <c r="O83">
        <v>93.335998540000006</v>
      </c>
      <c r="P83">
        <v>77.932998659999996</v>
      </c>
      <c r="Q83">
        <v>77.446998600000001</v>
      </c>
      <c r="R83">
        <v>67.293998720000005</v>
      </c>
      <c r="S83">
        <v>70.933998110000005</v>
      </c>
    </row>
    <row r="84" spans="1:19" x14ac:dyDescent="0.25">
      <c r="A84" t="s">
        <v>92</v>
      </c>
      <c r="B84" t="s">
        <v>41</v>
      </c>
      <c r="E84" t="s">
        <v>42</v>
      </c>
      <c r="M84" t="s">
        <v>41</v>
      </c>
      <c r="N84" t="s">
        <v>41</v>
      </c>
      <c r="O84" t="s">
        <v>41</v>
      </c>
      <c r="P84" t="s">
        <v>41</v>
      </c>
      <c r="Q84" t="s">
        <v>41</v>
      </c>
      <c r="R84" t="s">
        <v>41</v>
      </c>
      <c r="S84" t="s">
        <v>41</v>
      </c>
    </row>
    <row r="85" spans="1:19" x14ac:dyDescent="0.25">
      <c r="A85" t="s">
        <v>86</v>
      </c>
      <c r="B85" t="s">
        <v>41</v>
      </c>
      <c r="E85" t="s">
        <v>44</v>
      </c>
      <c r="F85">
        <v>327.05850220000002</v>
      </c>
      <c r="G85">
        <v>434.61499025000001</v>
      </c>
      <c r="H85">
        <v>412.31298829999997</v>
      </c>
      <c r="I85">
        <v>409.55099489999998</v>
      </c>
      <c r="J85">
        <v>361.96000674999999</v>
      </c>
      <c r="K85">
        <v>376.66799930000002</v>
      </c>
      <c r="L85">
        <v>325.30700680000001</v>
      </c>
      <c r="M85" t="s">
        <v>41</v>
      </c>
      <c r="N85">
        <v>434.61499020000002</v>
      </c>
      <c r="O85">
        <v>412.31298829999997</v>
      </c>
      <c r="P85">
        <v>409.55099489999998</v>
      </c>
      <c r="Q85">
        <v>361.96000670000001</v>
      </c>
      <c r="R85">
        <v>376.66799930000002</v>
      </c>
      <c r="S85">
        <v>325.30700680000001</v>
      </c>
    </row>
    <row r="86" spans="1:19" x14ac:dyDescent="0.25">
      <c r="A86" t="s">
        <v>45</v>
      </c>
      <c r="B86" t="s">
        <v>46</v>
      </c>
      <c r="C86" t="s">
        <v>87</v>
      </c>
      <c r="D86" t="s">
        <v>88</v>
      </c>
      <c r="E86" t="s">
        <v>49</v>
      </c>
      <c r="F86" t="s">
        <v>41</v>
      </c>
      <c r="G86">
        <v>489.07998659999998</v>
      </c>
      <c r="H86">
        <v>499.04800419999998</v>
      </c>
      <c r="I86">
        <v>512.28997800000002</v>
      </c>
      <c r="J86">
        <v>469.3059998</v>
      </c>
      <c r="K86">
        <v>436.31600950000001</v>
      </c>
      <c r="L86">
        <v>413.30398559999998</v>
      </c>
      <c r="M86" t="s">
        <v>41</v>
      </c>
      <c r="N86">
        <v>489.07998659999998</v>
      </c>
      <c r="O86">
        <v>499.04800419999998</v>
      </c>
      <c r="P86">
        <v>512.28997800000002</v>
      </c>
      <c r="Q86">
        <v>469.3059998</v>
      </c>
      <c r="R86">
        <v>436.31600950000001</v>
      </c>
      <c r="S86">
        <v>413.30398559999998</v>
      </c>
    </row>
    <row r="87" spans="1:19" x14ac:dyDescent="0.25">
      <c r="A87" t="s">
        <v>50</v>
      </c>
      <c r="B87" t="s">
        <v>51</v>
      </c>
      <c r="C87" t="s">
        <v>87</v>
      </c>
      <c r="D87" t="s">
        <v>88</v>
      </c>
      <c r="E87" t="s">
        <v>49</v>
      </c>
      <c r="F87" t="s">
        <v>41</v>
      </c>
      <c r="G87" t="s">
        <v>41</v>
      </c>
      <c r="H87" t="s">
        <v>41</v>
      </c>
      <c r="I87" t="s">
        <v>41</v>
      </c>
      <c r="J87" t="s">
        <v>41</v>
      </c>
      <c r="K87" t="s">
        <v>41</v>
      </c>
      <c r="L87" t="s">
        <v>41</v>
      </c>
      <c r="M87" t="s">
        <v>41</v>
      </c>
      <c r="N87" t="s">
        <v>41</v>
      </c>
      <c r="O87" t="s">
        <v>41</v>
      </c>
      <c r="P87" t="s">
        <v>41</v>
      </c>
      <c r="Q87" t="s">
        <v>41</v>
      </c>
      <c r="R87" t="s">
        <v>41</v>
      </c>
      <c r="S87" t="s">
        <v>41</v>
      </c>
    </row>
    <row r="88" spans="1:19" x14ac:dyDescent="0.25">
      <c r="A88" t="s">
        <v>52</v>
      </c>
      <c r="B88" t="s">
        <v>53</v>
      </c>
      <c r="C88" t="s">
        <v>87</v>
      </c>
      <c r="D88" t="s">
        <v>88</v>
      </c>
      <c r="E88" t="s">
        <v>49</v>
      </c>
      <c r="F88">
        <v>702.39801030000001</v>
      </c>
      <c r="G88">
        <v>748.26800539999999</v>
      </c>
      <c r="H88">
        <v>774.88897710000003</v>
      </c>
      <c r="I88">
        <v>763.40197750000004</v>
      </c>
      <c r="J88">
        <v>622.42102050000005</v>
      </c>
      <c r="K88">
        <v>575.69000240000003</v>
      </c>
      <c r="L88">
        <v>611.28002930000002</v>
      </c>
      <c r="M88">
        <v>702.39801030000001</v>
      </c>
      <c r="N88">
        <v>748.26800539999999</v>
      </c>
      <c r="O88">
        <v>774.88897710000003</v>
      </c>
      <c r="P88">
        <v>763.40197750000004</v>
      </c>
      <c r="Q88">
        <v>622.42102050000005</v>
      </c>
      <c r="R88">
        <v>575.69000240000003</v>
      </c>
      <c r="S88">
        <v>611.28002930000002</v>
      </c>
    </row>
    <row r="89" spans="1:19" x14ac:dyDescent="0.25">
      <c r="A89" t="s">
        <v>54</v>
      </c>
      <c r="B89" t="s">
        <v>55</v>
      </c>
      <c r="C89" t="s">
        <v>87</v>
      </c>
      <c r="D89" t="s">
        <v>88</v>
      </c>
      <c r="E89" t="s">
        <v>49</v>
      </c>
      <c r="F89">
        <v>368.06799319999999</v>
      </c>
      <c r="G89">
        <v>380.14999390000003</v>
      </c>
      <c r="H89">
        <v>412.31298829999997</v>
      </c>
      <c r="I89">
        <v>418.43200680000001</v>
      </c>
      <c r="J89">
        <v>432.71600339999998</v>
      </c>
      <c r="K89">
        <v>376.66799930000002</v>
      </c>
      <c r="L89">
        <v>392.51098630000001</v>
      </c>
      <c r="M89">
        <v>368.06799319999999</v>
      </c>
      <c r="N89">
        <v>380.14999390000003</v>
      </c>
      <c r="O89">
        <v>412.31298829999997</v>
      </c>
      <c r="P89">
        <v>418.43200680000001</v>
      </c>
      <c r="Q89">
        <v>432.71600339999998</v>
      </c>
      <c r="R89">
        <v>376.66799930000002</v>
      </c>
      <c r="S89">
        <v>392.51098630000001</v>
      </c>
    </row>
    <row r="90" spans="1:19" x14ac:dyDescent="0.25">
      <c r="A90" t="s">
        <v>56</v>
      </c>
      <c r="B90" t="s">
        <v>57</v>
      </c>
      <c r="C90" t="s">
        <v>87</v>
      </c>
      <c r="D90" t="s">
        <v>88</v>
      </c>
      <c r="E90" t="s">
        <v>49</v>
      </c>
      <c r="F90" t="s">
        <v>41</v>
      </c>
      <c r="G90" t="s">
        <v>41</v>
      </c>
      <c r="H90" t="s">
        <v>41</v>
      </c>
      <c r="I90" t="s">
        <v>41</v>
      </c>
      <c r="J90" t="s">
        <v>41</v>
      </c>
      <c r="K90">
        <v>303.99301150000002</v>
      </c>
      <c r="L90">
        <v>325.30700680000001</v>
      </c>
      <c r="M90" t="s">
        <v>41</v>
      </c>
      <c r="N90" t="s">
        <v>41</v>
      </c>
      <c r="O90" t="s">
        <v>41</v>
      </c>
      <c r="P90" t="s">
        <v>41</v>
      </c>
      <c r="Q90" t="s">
        <v>41</v>
      </c>
      <c r="R90">
        <v>303.99301150000002</v>
      </c>
      <c r="S90">
        <v>325.30700680000001</v>
      </c>
    </row>
    <row r="91" spans="1:19" x14ac:dyDescent="0.25">
      <c r="A91" t="s">
        <v>58</v>
      </c>
      <c r="B91" t="s">
        <v>59</v>
      </c>
      <c r="C91" t="s">
        <v>87</v>
      </c>
      <c r="D91" t="s">
        <v>88</v>
      </c>
      <c r="E91" t="s">
        <v>49</v>
      </c>
      <c r="F91" t="s">
        <v>41</v>
      </c>
      <c r="G91" t="s">
        <v>41</v>
      </c>
      <c r="H91" t="s">
        <v>41</v>
      </c>
      <c r="I91">
        <v>67.455497739999998</v>
      </c>
      <c r="J91">
        <v>300.61401369999999</v>
      </c>
      <c r="K91">
        <v>301.01699830000001</v>
      </c>
      <c r="L91">
        <v>259.06201170000003</v>
      </c>
      <c r="M91" t="s">
        <v>41</v>
      </c>
      <c r="N91" t="s">
        <v>41</v>
      </c>
      <c r="O91" t="s">
        <v>41</v>
      </c>
      <c r="P91">
        <v>67.455497739999998</v>
      </c>
      <c r="Q91">
        <v>300.61401369999999</v>
      </c>
      <c r="R91">
        <v>301.01699830000001</v>
      </c>
      <c r="S91">
        <v>259.06201170000003</v>
      </c>
    </row>
    <row r="92" spans="1:19" x14ac:dyDescent="0.25">
      <c r="A92" t="s">
        <v>60</v>
      </c>
      <c r="B92" t="s">
        <v>61</v>
      </c>
      <c r="C92" t="s">
        <v>87</v>
      </c>
      <c r="D92" t="s">
        <v>88</v>
      </c>
      <c r="E92" t="s">
        <v>49</v>
      </c>
      <c r="F92" t="s">
        <v>41</v>
      </c>
      <c r="G92" t="s">
        <v>41</v>
      </c>
      <c r="H92" t="s">
        <v>41</v>
      </c>
      <c r="I92" t="s">
        <v>41</v>
      </c>
      <c r="J92" t="s">
        <v>41</v>
      </c>
      <c r="K92" t="s">
        <v>41</v>
      </c>
      <c r="L92" t="s">
        <v>41</v>
      </c>
      <c r="M92" t="s">
        <v>41</v>
      </c>
      <c r="N92" t="s">
        <v>41</v>
      </c>
      <c r="O92" t="s">
        <v>41</v>
      </c>
      <c r="P92" t="s">
        <v>41</v>
      </c>
      <c r="Q92" t="s">
        <v>41</v>
      </c>
      <c r="R92" t="s">
        <v>41</v>
      </c>
      <c r="S92" t="s">
        <v>41</v>
      </c>
    </row>
    <row r="93" spans="1:19" x14ac:dyDescent="0.25">
      <c r="A93" t="s">
        <v>62</v>
      </c>
      <c r="B93" t="s">
        <v>63</v>
      </c>
      <c r="C93" t="s">
        <v>87</v>
      </c>
      <c r="D93" t="s">
        <v>88</v>
      </c>
      <c r="E93" t="s">
        <v>49</v>
      </c>
      <c r="F93" t="s">
        <v>41</v>
      </c>
      <c r="G93">
        <v>1867.920044</v>
      </c>
      <c r="H93">
        <v>2184.9099120000001</v>
      </c>
      <c r="I93" t="s">
        <v>41</v>
      </c>
      <c r="J93" t="s">
        <v>41</v>
      </c>
      <c r="K93" t="s">
        <v>41</v>
      </c>
      <c r="L93" t="s">
        <v>41</v>
      </c>
      <c r="M93" t="s">
        <v>41</v>
      </c>
      <c r="N93">
        <v>1867.920044</v>
      </c>
      <c r="O93">
        <v>2184.9099120000001</v>
      </c>
      <c r="P93" t="s">
        <v>41</v>
      </c>
      <c r="Q93" t="s">
        <v>41</v>
      </c>
      <c r="R93" t="s">
        <v>41</v>
      </c>
      <c r="S93" t="s">
        <v>41</v>
      </c>
    </row>
    <row r="94" spans="1:19" x14ac:dyDescent="0.25">
      <c r="A94" t="s">
        <v>64</v>
      </c>
      <c r="B94" t="s">
        <v>65</v>
      </c>
      <c r="C94" t="s">
        <v>87</v>
      </c>
      <c r="D94" t="s">
        <v>88</v>
      </c>
      <c r="E94" t="s">
        <v>49</v>
      </c>
      <c r="F94" t="s">
        <v>41</v>
      </c>
      <c r="G94" t="s">
        <v>41</v>
      </c>
      <c r="H94" t="s">
        <v>41</v>
      </c>
      <c r="I94" t="s">
        <v>41</v>
      </c>
      <c r="J94" t="s">
        <v>41</v>
      </c>
      <c r="K94" t="s">
        <v>41</v>
      </c>
      <c r="L94" t="s">
        <v>41</v>
      </c>
      <c r="M94" t="s">
        <v>41</v>
      </c>
      <c r="N94" t="s">
        <v>41</v>
      </c>
      <c r="O94" t="s">
        <v>41</v>
      </c>
      <c r="P94" t="s">
        <v>41</v>
      </c>
      <c r="Q94" t="s">
        <v>41</v>
      </c>
      <c r="R94" t="s">
        <v>41</v>
      </c>
      <c r="S94" t="s">
        <v>41</v>
      </c>
    </row>
    <row r="95" spans="1:19" x14ac:dyDescent="0.25">
      <c r="A95" t="s">
        <v>66</v>
      </c>
      <c r="B95" t="s">
        <v>67</v>
      </c>
      <c r="C95" t="s">
        <v>87</v>
      </c>
      <c r="D95" t="s">
        <v>88</v>
      </c>
      <c r="E95" t="s">
        <v>49</v>
      </c>
      <c r="F95" t="s">
        <v>41</v>
      </c>
      <c r="G95" t="s">
        <v>41</v>
      </c>
      <c r="H95">
        <v>102.7360001</v>
      </c>
      <c r="I95">
        <v>94.292503359999998</v>
      </c>
      <c r="J95">
        <v>98.904403689999995</v>
      </c>
      <c r="K95" t="s">
        <v>41</v>
      </c>
      <c r="L95">
        <v>90.777801510000003</v>
      </c>
      <c r="M95" t="s">
        <v>41</v>
      </c>
      <c r="N95" t="s">
        <v>41</v>
      </c>
      <c r="O95">
        <v>102.7360001</v>
      </c>
      <c r="P95">
        <v>94.292503359999998</v>
      </c>
      <c r="Q95">
        <v>98.904403689999995</v>
      </c>
      <c r="R95" t="s">
        <v>41</v>
      </c>
      <c r="S95">
        <v>90.777801510000003</v>
      </c>
    </row>
    <row r="96" spans="1:19" x14ac:dyDescent="0.25">
      <c r="A96" t="s">
        <v>68</v>
      </c>
      <c r="B96" t="s">
        <v>69</v>
      </c>
      <c r="C96" t="s">
        <v>87</v>
      </c>
      <c r="D96" t="s">
        <v>88</v>
      </c>
      <c r="E96" t="s">
        <v>49</v>
      </c>
      <c r="F96" t="s">
        <v>41</v>
      </c>
      <c r="G96" t="s">
        <v>41</v>
      </c>
      <c r="H96" t="s">
        <v>41</v>
      </c>
      <c r="I96" t="s">
        <v>41</v>
      </c>
      <c r="J96">
        <v>296.51199339999999</v>
      </c>
      <c r="K96" t="s">
        <v>41</v>
      </c>
      <c r="L96">
        <v>309.26000979999998</v>
      </c>
      <c r="M96" t="s">
        <v>41</v>
      </c>
      <c r="N96" t="s">
        <v>41</v>
      </c>
      <c r="O96" t="s">
        <v>41</v>
      </c>
      <c r="P96" t="s">
        <v>41</v>
      </c>
      <c r="Q96">
        <v>296.51199339999999</v>
      </c>
      <c r="R96" t="s">
        <v>41</v>
      </c>
      <c r="S96">
        <v>309.26000979999998</v>
      </c>
    </row>
    <row r="97" spans="1:19" x14ac:dyDescent="0.25">
      <c r="A97" t="s">
        <v>70</v>
      </c>
      <c r="B97" t="s">
        <v>71</v>
      </c>
      <c r="C97" t="s">
        <v>87</v>
      </c>
      <c r="D97" t="s">
        <v>88</v>
      </c>
      <c r="E97" t="s">
        <v>49</v>
      </c>
      <c r="F97">
        <v>81.64949799</v>
      </c>
      <c r="G97">
        <v>82.207901000000007</v>
      </c>
      <c r="H97">
        <v>76.08159637</v>
      </c>
      <c r="I97">
        <v>77.636703490000002</v>
      </c>
      <c r="J97">
        <v>86.152496339999999</v>
      </c>
      <c r="K97">
        <v>91.710800169999999</v>
      </c>
      <c r="L97">
        <v>104.8519974</v>
      </c>
      <c r="M97">
        <v>81.64949799</v>
      </c>
      <c r="N97">
        <v>82.207901000000007</v>
      </c>
      <c r="O97">
        <v>76.08159637</v>
      </c>
      <c r="P97">
        <v>77.636703490000002</v>
      </c>
      <c r="Q97">
        <v>86.152496339999999</v>
      </c>
      <c r="R97">
        <v>91.710800169999999</v>
      </c>
      <c r="S97">
        <v>104.8519974</v>
      </c>
    </row>
    <row r="98" spans="1:19" x14ac:dyDescent="0.25">
      <c r="A98" t="s">
        <v>72</v>
      </c>
      <c r="B98" t="s">
        <v>73</v>
      </c>
      <c r="C98" t="s">
        <v>87</v>
      </c>
      <c r="D98" t="s">
        <v>88</v>
      </c>
      <c r="E98" t="s">
        <v>49</v>
      </c>
      <c r="F98">
        <v>286.0490112</v>
      </c>
      <c r="G98">
        <v>278.70400999999998</v>
      </c>
      <c r="H98">
        <v>263.48199460000001</v>
      </c>
      <c r="I98">
        <v>266.57299799999998</v>
      </c>
      <c r="J98">
        <v>265.89300539999999</v>
      </c>
      <c r="K98">
        <v>257.5759888</v>
      </c>
      <c r="L98">
        <v>284.4100037</v>
      </c>
      <c r="M98">
        <v>286.0490112</v>
      </c>
      <c r="N98">
        <v>278.70400999999998</v>
      </c>
      <c r="O98">
        <v>263.48199460000001</v>
      </c>
      <c r="P98">
        <v>266.57299799999998</v>
      </c>
      <c r="Q98">
        <v>265.89300539999999</v>
      </c>
      <c r="R98">
        <v>257.5759888</v>
      </c>
      <c r="S98">
        <v>284.4100037</v>
      </c>
    </row>
    <row r="99" spans="1:19" x14ac:dyDescent="0.25">
      <c r="A99" t="s">
        <v>74</v>
      </c>
      <c r="B99" t="s">
        <v>75</v>
      </c>
      <c r="C99" t="s">
        <v>87</v>
      </c>
      <c r="D99" t="s">
        <v>88</v>
      </c>
      <c r="E99" t="s">
        <v>49</v>
      </c>
      <c r="F99" t="s">
        <v>41</v>
      </c>
      <c r="G99">
        <v>4666.5097660000001</v>
      </c>
      <c r="H99">
        <v>4192.5200199999999</v>
      </c>
      <c r="I99">
        <v>4373.5400390000004</v>
      </c>
      <c r="J99">
        <v>5375.7299800000001</v>
      </c>
      <c r="K99">
        <v>6173.3999020000001</v>
      </c>
      <c r="L99">
        <v>6297.2998049999997</v>
      </c>
      <c r="M99" t="s">
        <v>41</v>
      </c>
      <c r="N99">
        <v>4666.5097660000001</v>
      </c>
      <c r="O99">
        <v>4192.5200199999999</v>
      </c>
      <c r="P99">
        <v>4373.5400390000004</v>
      </c>
      <c r="Q99">
        <v>5375.7299800000001</v>
      </c>
      <c r="R99">
        <v>6173.3999020000001</v>
      </c>
      <c r="S99">
        <v>6297.2998049999997</v>
      </c>
    </row>
    <row r="100" spans="1:19" x14ac:dyDescent="0.25">
      <c r="A100" t="s">
        <v>76</v>
      </c>
      <c r="B100" t="s">
        <v>77</v>
      </c>
      <c r="C100" t="s">
        <v>87</v>
      </c>
      <c r="D100" t="s">
        <v>88</v>
      </c>
      <c r="E100" t="s">
        <v>49</v>
      </c>
      <c r="F100" t="s">
        <v>41</v>
      </c>
      <c r="G100" t="s">
        <v>41</v>
      </c>
      <c r="H100">
        <v>1206.1099850000001</v>
      </c>
      <c r="I100">
        <v>638.88897710000003</v>
      </c>
      <c r="J100">
        <v>669.37597659999994</v>
      </c>
      <c r="K100">
        <v>692.36798099999999</v>
      </c>
      <c r="L100">
        <v>610.78698729999996</v>
      </c>
      <c r="M100" t="s">
        <v>41</v>
      </c>
      <c r="N100" t="s">
        <v>41</v>
      </c>
      <c r="O100">
        <v>1206.1099850000001</v>
      </c>
      <c r="P100">
        <v>638.88897710000003</v>
      </c>
      <c r="Q100">
        <v>669.37597659999994</v>
      </c>
      <c r="R100">
        <v>692.36798099999999</v>
      </c>
      <c r="S100">
        <v>610.78698729999996</v>
      </c>
    </row>
    <row r="101" spans="1:19" x14ac:dyDescent="0.25">
      <c r="A101" t="s">
        <v>78</v>
      </c>
      <c r="B101" t="s">
        <v>79</v>
      </c>
      <c r="C101" t="s">
        <v>87</v>
      </c>
      <c r="D101" t="s">
        <v>88</v>
      </c>
      <c r="E101" t="s">
        <v>49</v>
      </c>
      <c r="F101" t="s">
        <v>41</v>
      </c>
      <c r="G101" t="s">
        <v>41</v>
      </c>
      <c r="H101">
        <v>160.72999569999999</v>
      </c>
      <c r="I101">
        <v>160.4060059</v>
      </c>
      <c r="J101">
        <v>155.24299619999999</v>
      </c>
      <c r="K101">
        <v>167.60699460000001</v>
      </c>
      <c r="L101">
        <v>150.91400150000001</v>
      </c>
      <c r="M101" t="s">
        <v>41</v>
      </c>
      <c r="N101" t="s">
        <v>41</v>
      </c>
      <c r="O101">
        <v>160.72999569999999</v>
      </c>
      <c r="P101">
        <v>160.4060059</v>
      </c>
      <c r="Q101">
        <v>155.24299619999999</v>
      </c>
      <c r="R101">
        <v>167.60699460000001</v>
      </c>
      <c r="S101">
        <v>150.91400150000001</v>
      </c>
    </row>
    <row r="102" spans="1:19" x14ac:dyDescent="0.25">
      <c r="A102" t="s">
        <v>80</v>
      </c>
      <c r="B102" t="s">
        <v>81</v>
      </c>
      <c r="C102" t="s">
        <v>87</v>
      </c>
      <c r="D102" t="s">
        <v>88</v>
      </c>
      <c r="E102" t="s">
        <v>49</v>
      </c>
      <c r="F102" t="s">
        <v>41</v>
      </c>
      <c r="G102">
        <v>250.2220001</v>
      </c>
      <c r="H102">
        <v>358.2990112</v>
      </c>
      <c r="I102">
        <v>409.55099489999998</v>
      </c>
      <c r="J102">
        <v>423.3059998</v>
      </c>
      <c r="K102">
        <v>421.48699950000002</v>
      </c>
      <c r="L102">
        <v>412.27899170000001</v>
      </c>
      <c r="M102" t="s">
        <v>41</v>
      </c>
      <c r="N102">
        <v>250.2220001</v>
      </c>
      <c r="O102">
        <v>358.2990112</v>
      </c>
      <c r="P102">
        <v>409.55099489999998</v>
      </c>
      <c r="Q102">
        <v>423.3059998</v>
      </c>
      <c r="R102">
        <v>421.48699950000002</v>
      </c>
      <c r="S102">
        <v>412.27899170000001</v>
      </c>
    </row>
    <row r="103" spans="1:19" x14ac:dyDescent="0.25">
      <c r="A103" t="s">
        <v>93</v>
      </c>
      <c r="B103" t="s">
        <v>41</v>
      </c>
      <c r="E103" t="s">
        <v>44</v>
      </c>
      <c r="F103">
        <v>3.6763350964999999</v>
      </c>
      <c r="G103">
        <v>5.1824998855000004</v>
      </c>
      <c r="H103">
        <v>3.0711498854999997</v>
      </c>
      <c r="I103">
        <v>1.70551002</v>
      </c>
      <c r="J103">
        <v>1.66613996</v>
      </c>
      <c r="K103">
        <v>2.8219298720000001</v>
      </c>
      <c r="L103">
        <v>2.3620949390000003</v>
      </c>
      <c r="M103" t="s">
        <v>41</v>
      </c>
      <c r="N103">
        <v>5.1824998860000004</v>
      </c>
      <c r="O103">
        <v>3.0711498860000002</v>
      </c>
      <c r="P103">
        <v>1.70551002</v>
      </c>
      <c r="Q103">
        <v>1.66613996</v>
      </c>
      <c r="R103">
        <v>2.8219298720000001</v>
      </c>
      <c r="S103">
        <v>2.3620949389999999</v>
      </c>
    </row>
    <row r="104" spans="1:19" x14ac:dyDescent="0.25">
      <c r="A104" t="s">
        <v>45</v>
      </c>
      <c r="B104" t="s">
        <v>46</v>
      </c>
      <c r="C104" t="s">
        <v>94</v>
      </c>
      <c r="D104" t="s">
        <v>95</v>
      </c>
      <c r="E104" t="s">
        <v>49</v>
      </c>
      <c r="F104" t="s">
        <v>41</v>
      </c>
      <c r="G104">
        <v>0.58300000399999996</v>
      </c>
      <c r="H104">
        <v>0.301999986</v>
      </c>
      <c r="I104">
        <v>0.36000001399999998</v>
      </c>
      <c r="J104" t="s">
        <v>41</v>
      </c>
      <c r="K104" t="s">
        <v>41</v>
      </c>
      <c r="L104" t="s">
        <v>41</v>
      </c>
      <c r="M104" t="s">
        <v>41</v>
      </c>
      <c r="N104">
        <v>0.58300000399999996</v>
      </c>
      <c r="O104">
        <v>0.301999986</v>
      </c>
      <c r="P104">
        <v>0.36000001399999998</v>
      </c>
      <c r="Q104" t="s">
        <v>41</v>
      </c>
      <c r="R104" t="s">
        <v>41</v>
      </c>
      <c r="S104" t="s">
        <v>41</v>
      </c>
    </row>
    <row r="105" spans="1:19" x14ac:dyDescent="0.25">
      <c r="A105" t="s">
        <v>50</v>
      </c>
      <c r="B105" t="s">
        <v>51</v>
      </c>
      <c r="C105" t="s">
        <v>94</v>
      </c>
      <c r="D105" t="s">
        <v>95</v>
      </c>
      <c r="E105" t="s">
        <v>49</v>
      </c>
      <c r="F105" t="s">
        <v>41</v>
      </c>
      <c r="G105" t="s">
        <v>41</v>
      </c>
      <c r="H105" t="s">
        <v>41</v>
      </c>
      <c r="I105" t="s">
        <v>41</v>
      </c>
      <c r="J105" t="s">
        <v>41</v>
      </c>
      <c r="K105" t="s">
        <v>41</v>
      </c>
      <c r="L105" t="s">
        <v>41</v>
      </c>
      <c r="M105" t="s">
        <v>41</v>
      </c>
      <c r="N105" t="s">
        <v>41</v>
      </c>
      <c r="O105" t="s">
        <v>41</v>
      </c>
      <c r="P105" t="s">
        <v>41</v>
      </c>
      <c r="Q105" t="s">
        <v>41</v>
      </c>
      <c r="R105" t="s">
        <v>41</v>
      </c>
      <c r="S105" t="s">
        <v>41</v>
      </c>
    </row>
    <row r="106" spans="1:19" x14ac:dyDescent="0.25">
      <c r="A106" t="s">
        <v>52</v>
      </c>
      <c r="B106" t="s">
        <v>53</v>
      </c>
      <c r="C106" t="s">
        <v>94</v>
      </c>
      <c r="D106" t="s">
        <v>95</v>
      </c>
      <c r="E106" t="s">
        <v>49</v>
      </c>
      <c r="F106" t="s">
        <v>41</v>
      </c>
      <c r="G106" t="s">
        <v>41</v>
      </c>
      <c r="H106" t="s">
        <v>41</v>
      </c>
      <c r="I106" t="s">
        <v>41</v>
      </c>
      <c r="J106" t="s">
        <v>41</v>
      </c>
      <c r="K106" t="s">
        <v>41</v>
      </c>
      <c r="L106" t="s">
        <v>41</v>
      </c>
      <c r="M106" t="s">
        <v>41</v>
      </c>
      <c r="N106" t="s">
        <v>41</v>
      </c>
      <c r="O106" t="s">
        <v>41</v>
      </c>
      <c r="P106" t="s">
        <v>41</v>
      </c>
      <c r="Q106" t="s">
        <v>41</v>
      </c>
      <c r="R106" t="s">
        <v>41</v>
      </c>
      <c r="S106" t="s">
        <v>41</v>
      </c>
    </row>
    <row r="107" spans="1:19" x14ac:dyDescent="0.25">
      <c r="A107" t="s">
        <v>54</v>
      </c>
      <c r="B107" t="s">
        <v>55</v>
      </c>
      <c r="C107" t="s">
        <v>94</v>
      </c>
      <c r="D107" t="s">
        <v>95</v>
      </c>
      <c r="E107" t="s">
        <v>49</v>
      </c>
      <c r="F107">
        <v>5.2010002139999996</v>
      </c>
      <c r="G107">
        <v>4.1599998469999999</v>
      </c>
      <c r="H107">
        <v>4.6799998279999997</v>
      </c>
      <c r="I107">
        <v>4.6009998320000003</v>
      </c>
      <c r="J107">
        <v>5.0929999349999999</v>
      </c>
      <c r="K107">
        <v>4.3319997790000002</v>
      </c>
      <c r="L107">
        <v>3.7179999349999999</v>
      </c>
      <c r="M107">
        <v>5.2010002139999996</v>
      </c>
      <c r="N107">
        <v>4.1599998469999999</v>
      </c>
      <c r="O107">
        <v>4.6799998279999997</v>
      </c>
      <c r="P107">
        <v>4.6009998320000003</v>
      </c>
      <c r="Q107">
        <v>5.0929999349999999</v>
      </c>
      <c r="R107">
        <v>4.3319997790000002</v>
      </c>
      <c r="S107">
        <v>3.7179999349999999</v>
      </c>
    </row>
    <row r="108" spans="1:19" x14ac:dyDescent="0.25">
      <c r="A108" t="s">
        <v>56</v>
      </c>
      <c r="B108" t="s">
        <v>57</v>
      </c>
      <c r="C108" t="s">
        <v>94</v>
      </c>
      <c r="D108" t="s">
        <v>95</v>
      </c>
      <c r="E108" t="s">
        <v>49</v>
      </c>
      <c r="F108" t="s">
        <v>41</v>
      </c>
      <c r="G108" t="s">
        <v>41</v>
      </c>
      <c r="H108" t="s">
        <v>41</v>
      </c>
      <c r="I108" t="s">
        <v>41</v>
      </c>
      <c r="J108" t="s">
        <v>41</v>
      </c>
      <c r="K108" t="s">
        <v>41</v>
      </c>
      <c r="L108" t="s">
        <v>41</v>
      </c>
      <c r="M108" t="s">
        <v>41</v>
      </c>
      <c r="N108" t="s">
        <v>41</v>
      </c>
      <c r="O108" t="s">
        <v>41</v>
      </c>
      <c r="P108" t="s">
        <v>41</v>
      </c>
      <c r="Q108" t="s">
        <v>41</v>
      </c>
      <c r="R108" t="s">
        <v>41</v>
      </c>
      <c r="S108" t="s">
        <v>41</v>
      </c>
    </row>
    <row r="109" spans="1:19" x14ac:dyDescent="0.25">
      <c r="A109" t="s">
        <v>58</v>
      </c>
      <c r="B109" t="s">
        <v>59</v>
      </c>
      <c r="C109" t="s">
        <v>94</v>
      </c>
      <c r="D109" t="s">
        <v>95</v>
      </c>
      <c r="E109" t="s">
        <v>49</v>
      </c>
      <c r="F109" t="s">
        <v>41</v>
      </c>
      <c r="G109" t="s">
        <v>41</v>
      </c>
      <c r="H109" t="s">
        <v>41</v>
      </c>
      <c r="I109">
        <v>1.70551002</v>
      </c>
      <c r="J109">
        <v>1.66613996</v>
      </c>
      <c r="K109">
        <v>1.311859965</v>
      </c>
      <c r="L109">
        <v>1.019189954</v>
      </c>
      <c r="M109" t="s">
        <v>41</v>
      </c>
      <c r="N109" t="s">
        <v>41</v>
      </c>
      <c r="O109" t="s">
        <v>41</v>
      </c>
      <c r="P109">
        <v>1.70551002</v>
      </c>
      <c r="Q109">
        <v>1.66613996</v>
      </c>
      <c r="R109">
        <v>1.311859965</v>
      </c>
      <c r="S109">
        <v>1.019189954</v>
      </c>
    </row>
    <row r="110" spans="1:19" x14ac:dyDescent="0.25">
      <c r="A110" t="s">
        <v>60</v>
      </c>
      <c r="B110" t="s">
        <v>61</v>
      </c>
      <c r="C110" t="s">
        <v>94</v>
      </c>
      <c r="D110" t="s">
        <v>95</v>
      </c>
      <c r="E110" t="s">
        <v>49</v>
      </c>
      <c r="F110" t="s">
        <v>41</v>
      </c>
      <c r="G110" t="s">
        <v>41</v>
      </c>
      <c r="H110" t="s">
        <v>41</v>
      </c>
      <c r="I110" t="s">
        <v>41</v>
      </c>
      <c r="J110" t="s">
        <v>41</v>
      </c>
      <c r="K110" t="s">
        <v>41</v>
      </c>
      <c r="L110" t="s">
        <v>41</v>
      </c>
      <c r="M110" t="s">
        <v>41</v>
      </c>
      <c r="N110" t="s">
        <v>41</v>
      </c>
      <c r="O110" t="s">
        <v>41</v>
      </c>
      <c r="P110" t="s">
        <v>41</v>
      </c>
      <c r="Q110" t="s">
        <v>41</v>
      </c>
      <c r="R110" t="s">
        <v>41</v>
      </c>
      <c r="S110" t="s">
        <v>41</v>
      </c>
    </row>
    <row r="111" spans="1:19" x14ac:dyDescent="0.25">
      <c r="A111" t="s">
        <v>62</v>
      </c>
      <c r="B111" t="s">
        <v>63</v>
      </c>
      <c r="C111" t="s">
        <v>94</v>
      </c>
      <c r="D111" t="s">
        <v>95</v>
      </c>
      <c r="E111" t="s">
        <v>49</v>
      </c>
      <c r="F111" t="s">
        <v>41</v>
      </c>
      <c r="G111">
        <v>7920.2299800000001</v>
      </c>
      <c r="H111" t="s">
        <v>41</v>
      </c>
      <c r="I111" t="s">
        <v>41</v>
      </c>
      <c r="J111" t="s">
        <v>41</v>
      </c>
      <c r="K111" t="s">
        <v>41</v>
      </c>
      <c r="L111" t="s">
        <v>41</v>
      </c>
      <c r="M111" t="s">
        <v>41</v>
      </c>
      <c r="N111">
        <v>7920.2299800000001</v>
      </c>
      <c r="O111" t="s">
        <v>41</v>
      </c>
      <c r="P111" t="s">
        <v>41</v>
      </c>
      <c r="Q111" t="s">
        <v>41</v>
      </c>
      <c r="R111" t="s">
        <v>41</v>
      </c>
      <c r="S111" t="s">
        <v>41</v>
      </c>
    </row>
    <row r="112" spans="1:19" x14ac:dyDescent="0.25">
      <c r="A112" t="s">
        <v>64</v>
      </c>
      <c r="B112" t="s">
        <v>65</v>
      </c>
      <c r="C112" t="s">
        <v>94</v>
      </c>
      <c r="D112" t="s">
        <v>95</v>
      </c>
      <c r="E112" t="s">
        <v>49</v>
      </c>
      <c r="F112" t="s">
        <v>41</v>
      </c>
      <c r="G112" t="s">
        <v>41</v>
      </c>
      <c r="H112" t="s">
        <v>41</v>
      </c>
      <c r="I112" t="s">
        <v>41</v>
      </c>
      <c r="J112" t="s">
        <v>41</v>
      </c>
      <c r="K112" t="s">
        <v>41</v>
      </c>
      <c r="L112" t="s">
        <v>41</v>
      </c>
      <c r="M112" t="s">
        <v>41</v>
      </c>
      <c r="N112" t="s">
        <v>41</v>
      </c>
      <c r="O112" t="s">
        <v>41</v>
      </c>
      <c r="P112" t="s">
        <v>41</v>
      </c>
      <c r="Q112" t="s">
        <v>41</v>
      </c>
      <c r="R112" t="s">
        <v>41</v>
      </c>
      <c r="S112" t="s">
        <v>41</v>
      </c>
    </row>
    <row r="113" spans="1:19" x14ac:dyDescent="0.25">
      <c r="A113" t="s">
        <v>66</v>
      </c>
      <c r="B113" t="s">
        <v>67</v>
      </c>
      <c r="C113" t="s">
        <v>94</v>
      </c>
      <c r="D113" t="s">
        <v>95</v>
      </c>
      <c r="E113" t="s">
        <v>49</v>
      </c>
      <c r="F113" t="s">
        <v>41</v>
      </c>
      <c r="G113" t="s">
        <v>41</v>
      </c>
      <c r="H113">
        <v>1.375069976</v>
      </c>
      <c r="I113">
        <v>1.0821199420000001</v>
      </c>
      <c r="J113">
        <v>0.105435997</v>
      </c>
      <c r="K113" t="s">
        <v>41</v>
      </c>
      <c r="L113" t="s">
        <v>41</v>
      </c>
      <c r="M113" t="s">
        <v>41</v>
      </c>
      <c r="N113" t="s">
        <v>41</v>
      </c>
      <c r="O113">
        <v>1.375069976</v>
      </c>
      <c r="P113">
        <v>1.0821199420000001</v>
      </c>
      <c r="Q113">
        <v>0.105435997</v>
      </c>
      <c r="R113" t="s">
        <v>41</v>
      </c>
      <c r="S113" t="s">
        <v>41</v>
      </c>
    </row>
    <row r="114" spans="1:19" x14ac:dyDescent="0.25">
      <c r="A114" t="s">
        <v>68</v>
      </c>
      <c r="B114" t="s">
        <v>69</v>
      </c>
      <c r="C114" t="s">
        <v>94</v>
      </c>
      <c r="D114" t="s">
        <v>95</v>
      </c>
      <c r="E114" t="s">
        <v>49</v>
      </c>
      <c r="F114" t="s">
        <v>41</v>
      </c>
      <c r="G114" t="s">
        <v>41</v>
      </c>
      <c r="H114" t="s">
        <v>41</v>
      </c>
      <c r="I114" t="s">
        <v>41</v>
      </c>
      <c r="J114" t="s">
        <v>41</v>
      </c>
      <c r="K114" t="s">
        <v>41</v>
      </c>
      <c r="L114" t="s">
        <v>41</v>
      </c>
      <c r="M114" t="s">
        <v>41</v>
      </c>
      <c r="N114" t="s">
        <v>41</v>
      </c>
      <c r="O114" t="s">
        <v>41</v>
      </c>
      <c r="P114" t="s">
        <v>41</v>
      </c>
      <c r="Q114" t="s">
        <v>41</v>
      </c>
      <c r="R114" t="s">
        <v>41</v>
      </c>
      <c r="S114" t="s">
        <v>41</v>
      </c>
    </row>
    <row r="115" spans="1:19" x14ac:dyDescent="0.25">
      <c r="A115" t="s">
        <v>70</v>
      </c>
      <c r="B115" t="s">
        <v>71</v>
      </c>
      <c r="C115" t="s">
        <v>94</v>
      </c>
      <c r="D115" t="s">
        <v>95</v>
      </c>
      <c r="E115" t="s">
        <v>49</v>
      </c>
      <c r="F115">
        <v>2.1516699789999998</v>
      </c>
      <c r="G115">
        <v>2.3327898980000001</v>
      </c>
      <c r="H115">
        <v>1.4622999430000001</v>
      </c>
      <c r="I115">
        <v>1.1050100329999999</v>
      </c>
      <c r="J115">
        <v>0.94392198299999996</v>
      </c>
      <c r="K115">
        <v>0.65717202399999997</v>
      </c>
      <c r="L115">
        <v>0.80998998899999997</v>
      </c>
      <c r="M115">
        <v>2.1516699789999998</v>
      </c>
      <c r="N115">
        <v>2.3327898980000001</v>
      </c>
      <c r="O115">
        <v>1.4622999430000001</v>
      </c>
      <c r="P115">
        <v>1.1050100329999999</v>
      </c>
      <c r="Q115">
        <v>0.94392198299999996</v>
      </c>
      <c r="R115">
        <v>0.65717202399999997</v>
      </c>
      <c r="S115">
        <v>0.80998998899999997</v>
      </c>
    </row>
    <row r="116" spans="1:19" x14ac:dyDescent="0.25">
      <c r="A116" t="s">
        <v>72</v>
      </c>
      <c r="B116" t="s">
        <v>73</v>
      </c>
      <c r="C116" t="s">
        <v>94</v>
      </c>
      <c r="D116" t="s">
        <v>95</v>
      </c>
      <c r="E116" t="s">
        <v>49</v>
      </c>
      <c r="F116" t="s">
        <v>41</v>
      </c>
      <c r="G116" t="s">
        <v>41</v>
      </c>
      <c r="H116" t="s">
        <v>41</v>
      </c>
      <c r="I116" t="s">
        <v>41</v>
      </c>
      <c r="J116" t="s">
        <v>41</v>
      </c>
      <c r="K116" t="s">
        <v>41</v>
      </c>
      <c r="L116" t="s">
        <v>41</v>
      </c>
      <c r="M116" t="s">
        <v>41</v>
      </c>
      <c r="N116" t="s">
        <v>41</v>
      </c>
      <c r="O116" t="s">
        <v>41</v>
      </c>
      <c r="P116" t="s">
        <v>41</v>
      </c>
      <c r="Q116" t="s">
        <v>41</v>
      </c>
      <c r="R116" t="s">
        <v>41</v>
      </c>
      <c r="S116" t="s">
        <v>41</v>
      </c>
    </row>
    <row r="117" spans="1:19" x14ac:dyDescent="0.25">
      <c r="A117" t="s">
        <v>74</v>
      </c>
      <c r="B117" t="s">
        <v>75</v>
      </c>
      <c r="C117" t="s">
        <v>94</v>
      </c>
      <c r="D117" t="s">
        <v>95</v>
      </c>
      <c r="E117" t="s">
        <v>49</v>
      </c>
      <c r="F117" t="s">
        <v>41</v>
      </c>
      <c r="G117">
        <v>35.959999080000003</v>
      </c>
      <c r="H117">
        <v>38.36000061</v>
      </c>
      <c r="I117">
        <v>45.36000061</v>
      </c>
      <c r="J117">
        <v>56.229900360000002</v>
      </c>
      <c r="K117">
        <v>110.72899630000001</v>
      </c>
      <c r="L117">
        <v>72.51499939</v>
      </c>
      <c r="M117" t="s">
        <v>41</v>
      </c>
      <c r="N117">
        <v>35.959999080000003</v>
      </c>
      <c r="O117">
        <v>38.36000061</v>
      </c>
      <c r="P117">
        <v>45.36000061</v>
      </c>
      <c r="Q117">
        <v>56.229900360000002</v>
      </c>
      <c r="R117">
        <v>110.72899630000001</v>
      </c>
      <c r="S117">
        <v>72.51499939</v>
      </c>
    </row>
    <row r="118" spans="1:19" x14ac:dyDescent="0.25">
      <c r="A118" t="s">
        <v>76</v>
      </c>
      <c r="B118" t="s">
        <v>77</v>
      </c>
      <c r="C118" t="s">
        <v>94</v>
      </c>
      <c r="D118" t="s">
        <v>95</v>
      </c>
      <c r="E118" t="s">
        <v>49</v>
      </c>
      <c r="F118" t="s">
        <v>41</v>
      </c>
      <c r="G118" t="s">
        <v>41</v>
      </c>
      <c r="H118">
        <v>5.9450001720000003</v>
      </c>
      <c r="I118">
        <v>5.3020000459999999</v>
      </c>
      <c r="J118" t="s">
        <v>41</v>
      </c>
      <c r="K118" t="s">
        <v>41</v>
      </c>
      <c r="L118" t="s">
        <v>41</v>
      </c>
      <c r="M118" t="s">
        <v>41</v>
      </c>
      <c r="N118" t="s">
        <v>41</v>
      </c>
      <c r="O118">
        <v>5.9450001720000003</v>
      </c>
      <c r="P118">
        <v>5.3020000459999999</v>
      </c>
      <c r="Q118" t="s">
        <v>41</v>
      </c>
      <c r="R118" t="s">
        <v>41</v>
      </c>
      <c r="S118" t="s">
        <v>41</v>
      </c>
    </row>
    <row r="119" spans="1:19" x14ac:dyDescent="0.25">
      <c r="A119" t="s">
        <v>78</v>
      </c>
      <c r="B119" t="s">
        <v>79</v>
      </c>
      <c r="C119" t="s">
        <v>94</v>
      </c>
      <c r="D119" t="s">
        <v>95</v>
      </c>
      <c r="E119" t="s">
        <v>49</v>
      </c>
      <c r="F119" t="s">
        <v>41</v>
      </c>
      <c r="G119" t="s">
        <v>41</v>
      </c>
      <c r="H119">
        <v>0.90806001400000003</v>
      </c>
      <c r="I119">
        <v>0.84637999500000005</v>
      </c>
      <c r="J119">
        <v>0.64200002</v>
      </c>
      <c r="K119">
        <v>0.58300000399999996</v>
      </c>
      <c r="L119">
        <v>0.398999989</v>
      </c>
      <c r="M119" t="s">
        <v>41</v>
      </c>
      <c r="N119" t="s">
        <v>41</v>
      </c>
      <c r="O119">
        <v>0.90806001400000003</v>
      </c>
      <c r="P119">
        <v>0.84637999500000005</v>
      </c>
      <c r="Q119">
        <v>0.64200002</v>
      </c>
      <c r="R119">
        <v>0.58300000399999996</v>
      </c>
      <c r="S119">
        <v>0.398999989</v>
      </c>
    </row>
    <row r="120" spans="1:19" x14ac:dyDescent="0.25">
      <c r="A120" t="s">
        <v>80</v>
      </c>
      <c r="B120" t="s">
        <v>81</v>
      </c>
      <c r="C120" t="s">
        <v>94</v>
      </c>
      <c r="D120" t="s">
        <v>95</v>
      </c>
      <c r="E120" t="s">
        <v>49</v>
      </c>
      <c r="F120" t="s">
        <v>41</v>
      </c>
      <c r="G120">
        <v>6.204999924</v>
      </c>
      <c r="H120">
        <v>5.0060000420000001</v>
      </c>
      <c r="I120">
        <v>4.3379998210000004</v>
      </c>
      <c r="J120">
        <v>6.7039999960000003</v>
      </c>
      <c r="K120">
        <v>4.566999912</v>
      </c>
      <c r="L120">
        <v>3.704999924</v>
      </c>
      <c r="M120" t="s">
        <v>41</v>
      </c>
      <c r="N120">
        <v>6.204999924</v>
      </c>
      <c r="O120">
        <v>5.0060000420000001</v>
      </c>
      <c r="P120">
        <v>4.3379998210000004</v>
      </c>
      <c r="Q120">
        <v>6.7039999960000003</v>
      </c>
      <c r="R120">
        <v>4.566999912</v>
      </c>
      <c r="S120">
        <v>3.704999924</v>
      </c>
    </row>
    <row r="121" spans="1:19" x14ac:dyDescent="0.25">
      <c r="A121" t="s">
        <v>96</v>
      </c>
      <c r="B121" t="s">
        <v>41</v>
      </c>
      <c r="E121" t="s">
        <v>44</v>
      </c>
      <c r="F121">
        <v>1.2029999490000001</v>
      </c>
      <c r="G121">
        <v>18.017674924000001</v>
      </c>
      <c r="H121">
        <v>3.9662499430000002</v>
      </c>
      <c r="I121">
        <v>2.2430000305000002</v>
      </c>
      <c r="J121">
        <v>3.7446800469999997</v>
      </c>
      <c r="K121">
        <v>4.2203598019999999</v>
      </c>
      <c r="L121">
        <v>2.1748299599999998</v>
      </c>
      <c r="M121" t="s">
        <v>41</v>
      </c>
      <c r="N121">
        <v>18.017674920000001</v>
      </c>
      <c r="O121">
        <v>3.9662499430000002</v>
      </c>
      <c r="P121">
        <v>2.2430000309999998</v>
      </c>
      <c r="Q121">
        <v>3.7446800470000001</v>
      </c>
      <c r="R121">
        <v>4.2203598019999999</v>
      </c>
      <c r="S121">
        <v>2.1748299599999998</v>
      </c>
    </row>
    <row r="122" spans="1:19" x14ac:dyDescent="0.25">
      <c r="A122" t="s">
        <v>45</v>
      </c>
      <c r="B122" t="s">
        <v>46</v>
      </c>
      <c r="C122" t="s">
        <v>97</v>
      </c>
      <c r="D122" t="s">
        <v>98</v>
      </c>
      <c r="E122" t="s">
        <v>49</v>
      </c>
      <c r="F122" t="s">
        <v>41</v>
      </c>
      <c r="G122" t="s">
        <v>41</v>
      </c>
      <c r="H122" t="s">
        <v>41</v>
      </c>
      <c r="I122" t="s">
        <v>41</v>
      </c>
      <c r="J122" t="s">
        <v>41</v>
      </c>
      <c r="K122" t="s">
        <v>41</v>
      </c>
      <c r="L122" t="s">
        <v>41</v>
      </c>
      <c r="M122" t="s">
        <v>41</v>
      </c>
      <c r="N122" t="s">
        <v>41</v>
      </c>
      <c r="O122" t="s">
        <v>41</v>
      </c>
      <c r="P122" t="s">
        <v>41</v>
      </c>
      <c r="Q122" t="s">
        <v>41</v>
      </c>
      <c r="R122" t="s">
        <v>41</v>
      </c>
      <c r="S122" t="s">
        <v>41</v>
      </c>
    </row>
    <row r="123" spans="1:19" x14ac:dyDescent="0.25">
      <c r="A123" t="s">
        <v>50</v>
      </c>
      <c r="B123" t="s">
        <v>51</v>
      </c>
      <c r="C123" t="s">
        <v>97</v>
      </c>
      <c r="D123" t="s">
        <v>98</v>
      </c>
      <c r="E123" t="s">
        <v>49</v>
      </c>
      <c r="F123" t="s">
        <v>41</v>
      </c>
      <c r="G123" t="s">
        <v>41</v>
      </c>
      <c r="H123" t="s">
        <v>41</v>
      </c>
      <c r="I123" t="s">
        <v>41</v>
      </c>
      <c r="J123" t="s">
        <v>41</v>
      </c>
      <c r="K123" t="s">
        <v>41</v>
      </c>
      <c r="L123" t="s">
        <v>41</v>
      </c>
      <c r="M123" t="s">
        <v>41</v>
      </c>
      <c r="N123" t="s">
        <v>41</v>
      </c>
      <c r="O123" t="s">
        <v>41</v>
      </c>
      <c r="P123" t="s">
        <v>41</v>
      </c>
      <c r="Q123" t="s">
        <v>41</v>
      </c>
      <c r="R123" t="s">
        <v>41</v>
      </c>
      <c r="S123" t="s">
        <v>41</v>
      </c>
    </row>
    <row r="124" spans="1:19" x14ac:dyDescent="0.25">
      <c r="A124" t="s">
        <v>52</v>
      </c>
      <c r="B124" t="s">
        <v>53</v>
      </c>
      <c r="C124" t="s">
        <v>97</v>
      </c>
      <c r="D124" t="s">
        <v>98</v>
      </c>
      <c r="E124" t="s">
        <v>49</v>
      </c>
      <c r="F124" t="s">
        <v>41</v>
      </c>
      <c r="G124" t="s">
        <v>41</v>
      </c>
      <c r="H124" t="s">
        <v>41</v>
      </c>
      <c r="I124" t="s">
        <v>41</v>
      </c>
      <c r="J124" t="s">
        <v>41</v>
      </c>
      <c r="K124" t="s">
        <v>41</v>
      </c>
      <c r="L124" t="s">
        <v>41</v>
      </c>
      <c r="M124" t="s">
        <v>41</v>
      </c>
      <c r="N124" t="s">
        <v>41</v>
      </c>
      <c r="O124" t="s">
        <v>41</v>
      </c>
      <c r="P124" t="s">
        <v>41</v>
      </c>
      <c r="Q124" t="s">
        <v>41</v>
      </c>
      <c r="R124" t="s">
        <v>41</v>
      </c>
      <c r="S124" t="s">
        <v>41</v>
      </c>
    </row>
    <row r="125" spans="1:19" x14ac:dyDescent="0.25">
      <c r="A125" t="s">
        <v>54</v>
      </c>
      <c r="B125" t="s">
        <v>55</v>
      </c>
      <c r="C125" t="s">
        <v>97</v>
      </c>
      <c r="D125" t="s">
        <v>98</v>
      </c>
      <c r="E125" t="s">
        <v>49</v>
      </c>
      <c r="F125">
        <v>1.2029999490000001</v>
      </c>
      <c r="G125">
        <v>1.0420000549999999</v>
      </c>
      <c r="H125">
        <v>1.4060000180000001</v>
      </c>
      <c r="I125">
        <v>1.1080000400000001</v>
      </c>
      <c r="J125">
        <v>1.319000006</v>
      </c>
      <c r="K125" t="s">
        <v>41</v>
      </c>
      <c r="L125" t="s">
        <v>41</v>
      </c>
      <c r="M125">
        <v>1.2029999490000001</v>
      </c>
      <c r="N125">
        <v>1.0420000549999999</v>
      </c>
      <c r="O125">
        <v>1.4060000180000001</v>
      </c>
      <c r="P125">
        <v>1.1080000400000001</v>
      </c>
      <c r="Q125">
        <v>1.319000006</v>
      </c>
      <c r="R125" t="s">
        <v>41</v>
      </c>
      <c r="S125" t="s">
        <v>41</v>
      </c>
    </row>
    <row r="126" spans="1:19" x14ac:dyDescent="0.25">
      <c r="A126" t="s">
        <v>56</v>
      </c>
      <c r="B126" t="s">
        <v>57</v>
      </c>
      <c r="C126" t="s">
        <v>97</v>
      </c>
      <c r="D126" t="s">
        <v>98</v>
      </c>
      <c r="E126" t="s">
        <v>49</v>
      </c>
      <c r="F126" t="s">
        <v>41</v>
      </c>
      <c r="G126" t="s">
        <v>41</v>
      </c>
      <c r="H126" t="s">
        <v>41</v>
      </c>
      <c r="I126" t="s">
        <v>41</v>
      </c>
      <c r="J126" t="s">
        <v>41</v>
      </c>
      <c r="K126" t="s">
        <v>41</v>
      </c>
      <c r="L126" t="s">
        <v>41</v>
      </c>
      <c r="M126" t="s">
        <v>41</v>
      </c>
      <c r="N126" t="s">
        <v>41</v>
      </c>
      <c r="O126" t="s">
        <v>41</v>
      </c>
      <c r="P126" t="s">
        <v>41</v>
      </c>
      <c r="Q126" t="s">
        <v>41</v>
      </c>
      <c r="R126" t="s">
        <v>41</v>
      </c>
      <c r="S126" t="s">
        <v>41</v>
      </c>
    </row>
    <row r="127" spans="1:19" x14ac:dyDescent="0.25">
      <c r="A127" t="s">
        <v>58</v>
      </c>
      <c r="B127" t="s">
        <v>59</v>
      </c>
      <c r="C127" t="s">
        <v>97</v>
      </c>
      <c r="D127" t="s">
        <v>98</v>
      </c>
      <c r="E127" t="s">
        <v>49</v>
      </c>
      <c r="F127" t="s">
        <v>41</v>
      </c>
      <c r="G127" t="s">
        <v>41</v>
      </c>
      <c r="H127" t="s">
        <v>41</v>
      </c>
      <c r="I127">
        <v>0.32625600700000001</v>
      </c>
      <c r="J127">
        <v>0.38127899199999998</v>
      </c>
      <c r="K127">
        <v>0.31093600399999999</v>
      </c>
      <c r="L127">
        <v>0.231821001</v>
      </c>
      <c r="M127" t="s">
        <v>41</v>
      </c>
      <c r="N127" t="s">
        <v>41</v>
      </c>
      <c r="O127" t="s">
        <v>41</v>
      </c>
      <c r="P127">
        <v>0.32625600700000001</v>
      </c>
      <c r="Q127">
        <v>0.38127899199999998</v>
      </c>
      <c r="R127">
        <v>0.31093600399999999</v>
      </c>
      <c r="S127">
        <v>0.231821001</v>
      </c>
    </row>
    <row r="128" spans="1:19" x14ac:dyDescent="0.25">
      <c r="A128" t="s">
        <v>60</v>
      </c>
      <c r="B128" t="s">
        <v>61</v>
      </c>
      <c r="C128" t="s">
        <v>97</v>
      </c>
      <c r="D128" t="s">
        <v>98</v>
      </c>
      <c r="E128" t="s">
        <v>49</v>
      </c>
      <c r="F128" t="s">
        <v>41</v>
      </c>
      <c r="G128" t="s">
        <v>41</v>
      </c>
      <c r="H128" t="s">
        <v>41</v>
      </c>
      <c r="I128" t="s">
        <v>41</v>
      </c>
      <c r="J128" t="s">
        <v>41</v>
      </c>
      <c r="K128" t="s">
        <v>41</v>
      </c>
      <c r="L128" t="s">
        <v>41</v>
      </c>
      <c r="M128" t="s">
        <v>41</v>
      </c>
      <c r="N128" t="s">
        <v>41</v>
      </c>
      <c r="O128" t="s">
        <v>41</v>
      </c>
      <c r="P128" t="s">
        <v>41</v>
      </c>
      <c r="Q128" t="s">
        <v>41</v>
      </c>
      <c r="R128" t="s">
        <v>41</v>
      </c>
      <c r="S128" t="s">
        <v>41</v>
      </c>
    </row>
    <row r="129" spans="1:19" x14ac:dyDescent="0.25">
      <c r="A129" t="s">
        <v>62</v>
      </c>
      <c r="B129" t="s">
        <v>63</v>
      </c>
      <c r="C129" t="s">
        <v>97</v>
      </c>
      <c r="D129" t="s">
        <v>98</v>
      </c>
      <c r="E129" t="s">
        <v>49</v>
      </c>
      <c r="F129" t="s">
        <v>41</v>
      </c>
      <c r="G129">
        <v>3326.5</v>
      </c>
      <c r="H129" t="s">
        <v>41</v>
      </c>
      <c r="I129" t="s">
        <v>41</v>
      </c>
      <c r="J129" t="s">
        <v>41</v>
      </c>
      <c r="K129" t="s">
        <v>41</v>
      </c>
      <c r="L129" t="s">
        <v>41</v>
      </c>
      <c r="M129" t="s">
        <v>41</v>
      </c>
      <c r="N129">
        <v>3326.5</v>
      </c>
      <c r="O129" t="s">
        <v>41</v>
      </c>
      <c r="P129" t="s">
        <v>41</v>
      </c>
      <c r="Q129" t="s">
        <v>41</v>
      </c>
      <c r="R129" t="s">
        <v>41</v>
      </c>
      <c r="S129" t="s">
        <v>41</v>
      </c>
    </row>
    <row r="130" spans="1:19" x14ac:dyDescent="0.25">
      <c r="A130" t="s">
        <v>64</v>
      </c>
      <c r="B130" t="s">
        <v>65</v>
      </c>
      <c r="C130" t="s">
        <v>97</v>
      </c>
      <c r="D130" t="s">
        <v>98</v>
      </c>
      <c r="E130" t="s">
        <v>49</v>
      </c>
      <c r="F130" t="s">
        <v>41</v>
      </c>
      <c r="G130" t="s">
        <v>41</v>
      </c>
      <c r="H130" t="s">
        <v>41</v>
      </c>
      <c r="I130" t="s">
        <v>41</v>
      </c>
      <c r="J130" t="s">
        <v>41</v>
      </c>
      <c r="K130" t="s">
        <v>41</v>
      </c>
      <c r="L130" t="s">
        <v>41</v>
      </c>
      <c r="M130" t="s">
        <v>41</v>
      </c>
      <c r="N130" t="s">
        <v>41</v>
      </c>
      <c r="O130" t="s">
        <v>41</v>
      </c>
      <c r="P130" t="s">
        <v>41</v>
      </c>
      <c r="Q130" t="s">
        <v>41</v>
      </c>
      <c r="R130" t="s">
        <v>41</v>
      </c>
      <c r="S130" t="s">
        <v>41</v>
      </c>
    </row>
    <row r="131" spans="1:19" x14ac:dyDescent="0.25">
      <c r="A131" t="s">
        <v>66</v>
      </c>
      <c r="B131" t="s">
        <v>67</v>
      </c>
      <c r="C131" t="s">
        <v>97</v>
      </c>
      <c r="D131" t="s">
        <v>98</v>
      </c>
      <c r="E131" t="s">
        <v>49</v>
      </c>
      <c r="F131" t="s">
        <v>41</v>
      </c>
      <c r="G131" t="s">
        <v>41</v>
      </c>
      <c r="H131" t="s">
        <v>41</v>
      </c>
      <c r="I131" t="s">
        <v>41</v>
      </c>
      <c r="J131" t="s">
        <v>41</v>
      </c>
      <c r="K131" t="s">
        <v>41</v>
      </c>
      <c r="L131" t="s">
        <v>41</v>
      </c>
      <c r="M131" t="s">
        <v>41</v>
      </c>
      <c r="N131" t="s">
        <v>41</v>
      </c>
      <c r="O131" t="s">
        <v>41</v>
      </c>
      <c r="P131" t="s">
        <v>41</v>
      </c>
      <c r="Q131" t="s">
        <v>41</v>
      </c>
      <c r="R131" t="s">
        <v>41</v>
      </c>
      <c r="S131" t="s">
        <v>41</v>
      </c>
    </row>
    <row r="132" spans="1:19" x14ac:dyDescent="0.25">
      <c r="A132" t="s">
        <v>68</v>
      </c>
      <c r="B132" t="s">
        <v>69</v>
      </c>
      <c r="C132" t="s">
        <v>97</v>
      </c>
      <c r="D132" t="s">
        <v>98</v>
      </c>
      <c r="E132" t="s">
        <v>49</v>
      </c>
      <c r="F132" t="s">
        <v>41</v>
      </c>
      <c r="G132" t="s">
        <v>41</v>
      </c>
      <c r="H132" t="s">
        <v>41</v>
      </c>
      <c r="I132" t="s">
        <v>41</v>
      </c>
      <c r="J132" t="s">
        <v>41</v>
      </c>
      <c r="K132" t="s">
        <v>41</v>
      </c>
      <c r="L132" t="s">
        <v>41</v>
      </c>
      <c r="M132" t="s">
        <v>41</v>
      </c>
      <c r="N132" t="s">
        <v>41</v>
      </c>
      <c r="O132" t="s">
        <v>41</v>
      </c>
      <c r="P132" t="s">
        <v>41</v>
      </c>
      <c r="Q132" t="s">
        <v>41</v>
      </c>
      <c r="R132" t="s">
        <v>41</v>
      </c>
      <c r="S132" t="s">
        <v>41</v>
      </c>
    </row>
    <row r="133" spans="1:19" x14ac:dyDescent="0.25">
      <c r="A133" t="s">
        <v>70</v>
      </c>
      <c r="B133" t="s">
        <v>71</v>
      </c>
      <c r="C133" t="s">
        <v>97</v>
      </c>
      <c r="D133" t="s">
        <v>98</v>
      </c>
      <c r="E133" t="s">
        <v>49</v>
      </c>
      <c r="F133" t="s">
        <v>41</v>
      </c>
      <c r="G133" t="s">
        <v>41</v>
      </c>
      <c r="H133" t="s">
        <v>41</v>
      </c>
      <c r="I133" t="s">
        <v>41</v>
      </c>
      <c r="J133" t="s">
        <v>41</v>
      </c>
      <c r="K133" t="s">
        <v>41</v>
      </c>
      <c r="L133" t="s">
        <v>41</v>
      </c>
      <c r="M133" t="s">
        <v>41</v>
      </c>
      <c r="N133" t="s">
        <v>41</v>
      </c>
      <c r="O133" t="s">
        <v>41</v>
      </c>
      <c r="P133" t="s">
        <v>41</v>
      </c>
      <c r="Q133" t="s">
        <v>41</v>
      </c>
      <c r="R133" t="s">
        <v>41</v>
      </c>
      <c r="S133" t="s">
        <v>41</v>
      </c>
    </row>
    <row r="134" spans="1:19" x14ac:dyDescent="0.25">
      <c r="A134" t="s">
        <v>72</v>
      </c>
      <c r="B134" t="s">
        <v>73</v>
      </c>
      <c r="C134" t="s">
        <v>97</v>
      </c>
      <c r="D134" t="s">
        <v>98</v>
      </c>
      <c r="E134" t="s">
        <v>49</v>
      </c>
      <c r="F134" t="s">
        <v>41</v>
      </c>
      <c r="G134" t="s">
        <v>41</v>
      </c>
      <c r="H134" t="s">
        <v>41</v>
      </c>
      <c r="I134" t="s">
        <v>41</v>
      </c>
      <c r="J134" t="s">
        <v>41</v>
      </c>
      <c r="K134" t="s">
        <v>41</v>
      </c>
      <c r="L134" t="s">
        <v>41</v>
      </c>
      <c r="M134" t="s">
        <v>41</v>
      </c>
      <c r="N134" t="s">
        <v>41</v>
      </c>
      <c r="O134" t="s">
        <v>41</v>
      </c>
      <c r="P134" t="s">
        <v>41</v>
      </c>
      <c r="Q134" t="s">
        <v>41</v>
      </c>
      <c r="R134" t="s">
        <v>41</v>
      </c>
      <c r="S134" t="s">
        <v>41</v>
      </c>
    </row>
    <row r="135" spans="1:19" x14ac:dyDescent="0.25">
      <c r="A135" t="s">
        <v>74</v>
      </c>
      <c r="B135" t="s">
        <v>75</v>
      </c>
      <c r="C135" t="s">
        <v>97</v>
      </c>
      <c r="D135" t="s">
        <v>98</v>
      </c>
      <c r="E135" t="s">
        <v>49</v>
      </c>
      <c r="F135" t="s">
        <v>41</v>
      </c>
      <c r="G135">
        <v>31.51189995</v>
      </c>
      <c r="H135">
        <v>33.043498990000003</v>
      </c>
      <c r="I135">
        <v>38</v>
      </c>
      <c r="J135">
        <v>46.3207016</v>
      </c>
      <c r="K135">
        <v>83.807701109999996</v>
      </c>
      <c r="L135">
        <v>53.57419968</v>
      </c>
      <c r="M135" t="s">
        <v>41</v>
      </c>
      <c r="N135">
        <v>31.51189995</v>
      </c>
      <c r="O135">
        <v>33.043498990000003</v>
      </c>
      <c r="P135">
        <v>38</v>
      </c>
      <c r="Q135">
        <v>46.3207016</v>
      </c>
      <c r="R135">
        <v>83.807701109999996</v>
      </c>
      <c r="S135">
        <v>53.57419968</v>
      </c>
    </row>
    <row r="136" spans="1:19" x14ac:dyDescent="0.25">
      <c r="A136" t="s">
        <v>76</v>
      </c>
      <c r="B136" t="s">
        <v>77</v>
      </c>
      <c r="C136" t="s">
        <v>97</v>
      </c>
      <c r="D136" t="s">
        <v>98</v>
      </c>
      <c r="E136" t="s">
        <v>49</v>
      </c>
      <c r="F136" t="s">
        <v>41</v>
      </c>
      <c r="G136" t="s">
        <v>41</v>
      </c>
      <c r="H136" t="s">
        <v>41</v>
      </c>
      <c r="I136" t="s">
        <v>41</v>
      </c>
      <c r="J136" t="s">
        <v>41</v>
      </c>
      <c r="K136" t="s">
        <v>41</v>
      </c>
      <c r="L136" t="s">
        <v>41</v>
      </c>
      <c r="M136" t="s">
        <v>41</v>
      </c>
      <c r="N136" t="s">
        <v>41</v>
      </c>
      <c r="O136" t="s">
        <v>41</v>
      </c>
      <c r="P136" t="s">
        <v>41</v>
      </c>
      <c r="Q136" t="s">
        <v>41</v>
      </c>
      <c r="R136" t="s">
        <v>41</v>
      </c>
      <c r="S136" t="s">
        <v>41</v>
      </c>
    </row>
    <row r="137" spans="1:19" x14ac:dyDescent="0.25">
      <c r="A137" t="s">
        <v>78</v>
      </c>
      <c r="B137" t="s">
        <v>79</v>
      </c>
      <c r="C137" t="s">
        <v>97</v>
      </c>
      <c r="D137" t="s">
        <v>98</v>
      </c>
      <c r="E137" t="s">
        <v>49</v>
      </c>
      <c r="F137" t="s">
        <v>41</v>
      </c>
      <c r="G137" t="s">
        <v>41</v>
      </c>
      <c r="H137" t="s">
        <v>41</v>
      </c>
      <c r="I137" t="s">
        <v>41</v>
      </c>
      <c r="J137" t="s">
        <v>41</v>
      </c>
      <c r="K137" t="s">
        <v>41</v>
      </c>
      <c r="L137" t="s">
        <v>41</v>
      </c>
      <c r="M137" t="s">
        <v>41</v>
      </c>
      <c r="N137" t="s">
        <v>41</v>
      </c>
      <c r="O137" t="s">
        <v>41</v>
      </c>
      <c r="P137" t="s">
        <v>41</v>
      </c>
      <c r="Q137" t="s">
        <v>41</v>
      </c>
      <c r="R137" t="s">
        <v>41</v>
      </c>
      <c r="S137" t="s">
        <v>41</v>
      </c>
    </row>
    <row r="138" spans="1:19" x14ac:dyDescent="0.25">
      <c r="A138" t="s">
        <v>80</v>
      </c>
      <c r="B138" t="s">
        <v>81</v>
      </c>
      <c r="C138" t="s">
        <v>97</v>
      </c>
      <c r="D138" t="s">
        <v>98</v>
      </c>
      <c r="E138" t="s">
        <v>49</v>
      </c>
      <c r="F138" t="s">
        <v>41</v>
      </c>
      <c r="G138">
        <v>4.523449898</v>
      </c>
      <c r="H138">
        <v>3.9662499430000002</v>
      </c>
      <c r="I138">
        <v>3.3780000210000001</v>
      </c>
      <c r="J138">
        <v>6.1703600879999998</v>
      </c>
      <c r="K138">
        <v>4.2203598019999999</v>
      </c>
      <c r="L138">
        <v>2.1748299599999998</v>
      </c>
      <c r="M138" t="s">
        <v>41</v>
      </c>
      <c r="N138">
        <v>4.523449898</v>
      </c>
      <c r="O138">
        <v>3.9662499430000002</v>
      </c>
      <c r="P138">
        <v>3.3780000210000001</v>
      </c>
      <c r="Q138">
        <v>6.1703600879999998</v>
      </c>
      <c r="R138">
        <v>4.2203598019999999</v>
      </c>
      <c r="S138">
        <v>2.1748299599999998</v>
      </c>
    </row>
    <row r="139" spans="1:19" x14ac:dyDescent="0.25">
      <c r="M139" t="s">
        <v>41</v>
      </c>
      <c r="N139" t="s">
        <v>41</v>
      </c>
      <c r="O139" t="s">
        <v>41</v>
      </c>
      <c r="P139" t="s">
        <v>41</v>
      </c>
      <c r="Q139" t="s">
        <v>41</v>
      </c>
      <c r="R139" t="s">
        <v>41</v>
      </c>
      <c r="S139" t="s">
        <v>41</v>
      </c>
    </row>
    <row r="140" spans="1:19" x14ac:dyDescent="0.25">
      <c r="M140" t="s">
        <v>41</v>
      </c>
      <c r="N140" t="s">
        <v>41</v>
      </c>
      <c r="O140" t="s">
        <v>41</v>
      </c>
      <c r="P140" t="s">
        <v>41</v>
      </c>
      <c r="Q140" t="s">
        <v>41</v>
      </c>
      <c r="R140" t="s">
        <v>41</v>
      </c>
      <c r="S140" t="s">
        <v>41</v>
      </c>
    </row>
    <row r="141" spans="1:19" x14ac:dyDescent="0.25">
      <c r="M141" t="s">
        <v>41</v>
      </c>
      <c r="N141" t="s">
        <v>41</v>
      </c>
      <c r="O141" t="s">
        <v>41</v>
      </c>
      <c r="P141" t="s">
        <v>41</v>
      </c>
      <c r="Q141" t="s">
        <v>41</v>
      </c>
      <c r="R141" t="s">
        <v>41</v>
      </c>
      <c r="S141" t="s">
        <v>41</v>
      </c>
    </row>
    <row r="142" spans="1:19" x14ac:dyDescent="0.25">
      <c r="M142" t="s">
        <v>41</v>
      </c>
      <c r="N142" t="s">
        <v>41</v>
      </c>
      <c r="O142" t="s">
        <v>41</v>
      </c>
      <c r="P142" t="s">
        <v>41</v>
      </c>
      <c r="Q142" t="s">
        <v>41</v>
      </c>
      <c r="R142" t="s">
        <v>41</v>
      </c>
      <c r="S142" t="s">
        <v>41</v>
      </c>
    </row>
    <row r="143" spans="1:19" x14ac:dyDescent="0.25">
      <c r="M143" t="s">
        <v>41</v>
      </c>
      <c r="N143" t="s">
        <v>41</v>
      </c>
      <c r="O143" t="s">
        <v>41</v>
      </c>
      <c r="P143" t="s">
        <v>41</v>
      </c>
      <c r="Q143" t="s">
        <v>41</v>
      </c>
      <c r="R143" t="s">
        <v>41</v>
      </c>
      <c r="S143" t="s">
        <v>41</v>
      </c>
    </row>
    <row r="144" spans="1:19" x14ac:dyDescent="0.25">
      <c r="M144" t="s">
        <v>41</v>
      </c>
      <c r="N144" t="s">
        <v>41</v>
      </c>
      <c r="O144" t="s">
        <v>41</v>
      </c>
      <c r="P144" t="s">
        <v>41</v>
      </c>
      <c r="Q144" t="s">
        <v>41</v>
      </c>
      <c r="R144" t="s">
        <v>41</v>
      </c>
      <c r="S144" t="s">
        <v>41</v>
      </c>
    </row>
    <row r="145" spans="1:19" x14ac:dyDescent="0.25">
      <c r="M145" t="s">
        <v>41</v>
      </c>
      <c r="N145" t="s">
        <v>41</v>
      </c>
      <c r="O145" t="s">
        <v>41</v>
      </c>
      <c r="P145" t="s">
        <v>41</v>
      </c>
      <c r="Q145" t="s">
        <v>41</v>
      </c>
      <c r="R145" t="s">
        <v>41</v>
      </c>
      <c r="S145" t="s">
        <v>41</v>
      </c>
    </row>
    <row r="146" spans="1:19" x14ac:dyDescent="0.25">
      <c r="A146" t="s">
        <v>99</v>
      </c>
      <c r="B146" t="s">
        <v>99</v>
      </c>
      <c r="C146" t="s">
        <v>99</v>
      </c>
      <c r="D146" t="s">
        <v>99</v>
      </c>
      <c r="E146" t="s">
        <v>99</v>
      </c>
      <c r="F146" t="s">
        <v>99</v>
      </c>
      <c r="G146" t="s">
        <v>99</v>
      </c>
      <c r="H146" t="s">
        <v>99</v>
      </c>
      <c r="I146" t="s">
        <v>99</v>
      </c>
      <c r="J146" t="s">
        <v>99</v>
      </c>
      <c r="K146" t="s">
        <v>99</v>
      </c>
      <c r="L146" t="s">
        <v>99</v>
      </c>
      <c r="M146" t="s">
        <v>41</v>
      </c>
      <c r="N146" t="s">
        <v>41</v>
      </c>
      <c r="O146" t="s">
        <v>41</v>
      </c>
      <c r="P146" t="s">
        <v>41</v>
      </c>
      <c r="Q146" t="s">
        <v>41</v>
      </c>
      <c r="R146" t="s">
        <v>41</v>
      </c>
      <c r="S146" t="s">
        <v>41</v>
      </c>
    </row>
    <row r="147" spans="1:19" x14ac:dyDescent="0.25">
      <c r="A147" t="s">
        <v>100</v>
      </c>
      <c r="M147" t="s">
        <v>41</v>
      </c>
      <c r="N147" t="s">
        <v>41</v>
      </c>
      <c r="O147" t="s">
        <v>41</v>
      </c>
      <c r="P147" t="s">
        <v>41</v>
      </c>
      <c r="Q147" t="s">
        <v>41</v>
      </c>
      <c r="R147" t="s">
        <v>41</v>
      </c>
      <c r="S147" t="s">
        <v>41</v>
      </c>
    </row>
    <row r="148" spans="1:19" x14ac:dyDescent="0.25">
      <c r="A148">
        <v>0</v>
      </c>
      <c r="M148" t="s">
        <v>41</v>
      </c>
      <c r="N148" t="s">
        <v>41</v>
      </c>
      <c r="O148" t="s">
        <v>41</v>
      </c>
      <c r="P148" t="s">
        <v>41</v>
      </c>
      <c r="Q148" t="s">
        <v>41</v>
      </c>
      <c r="R148" t="s">
        <v>41</v>
      </c>
      <c r="S148" t="s">
        <v>41</v>
      </c>
    </row>
    <row r="149" spans="1:19" x14ac:dyDescent="0.25">
      <c r="A149" t="s">
        <v>101</v>
      </c>
      <c r="B149" t="s">
        <v>102</v>
      </c>
      <c r="M149" t="s">
        <v>41</v>
      </c>
      <c r="N149" t="s">
        <v>41</v>
      </c>
      <c r="O149" t="s">
        <v>41</v>
      </c>
      <c r="P149" t="s">
        <v>41</v>
      </c>
      <c r="Q149" t="s">
        <v>41</v>
      </c>
      <c r="R149" t="s">
        <v>41</v>
      </c>
      <c r="S149" t="s">
        <v>41</v>
      </c>
    </row>
    <row r="150" spans="1:19" x14ac:dyDescent="0.25">
      <c r="A150" t="s">
        <v>103</v>
      </c>
      <c r="B150" t="s">
        <v>104</v>
      </c>
      <c r="C150" t="s">
        <v>105</v>
      </c>
      <c r="M150" t="s">
        <v>41</v>
      </c>
      <c r="N150" t="s">
        <v>41</v>
      </c>
      <c r="O150" t="s">
        <v>41</v>
      </c>
      <c r="P150" t="s">
        <v>41</v>
      </c>
      <c r="Q150" t="s">
        <v>41</v>
      </c>
      <c r="R150" t="s">
        <v>41</v>
      </c>
      <c r="S150" t="s">
        <v>41</v>
      </c>
    </row>
    <row r="151" spans="1:19" x14ac:dyDescent="0.25">
      <c r="A151" t="s">
        <v>106</v>
      </c>
      <c r="B151">
        <v>7</v>
      </c>
      <c r="M151" t="s">
        <v>41</v>
      </c>
      <c r="N151" t="s">
        <v>41</v>
      </c>
      <c r="O151" t="s">
        <v>41</v>
      </c>
      <c r="P151" t="s">
        <v>41</v>
      </c>
      <c r="Q151" t="s">
        <v>41</v>
      </c>
      <c r="R151" t="s">
        <v>41</v>
      </c>
      <c r="S151" t="s">
        <v>41</v>
      </c>
    </row>
    <row r="152" spans="1:19" x14ac:dyDescent="0.25">
      <c r="A152" t="s">
        <v>107</v>
      </c>
      <c r="B152" t="s">
        <v>108</v>
      </c>
      <c r="C152" t="s">
        <v>109</v>
      </c>
      <c r="M152" t="s">
        <v>41</v>
      </c>
      <c r="N152" t="s">
        <v>41</v>
      </c>
      <c r="O152" t="s">
        <v>41</v>
      </c>
      <c r="P152" t="s">
        <v>41</v>
      </c>
      <c r="Q152" t="s">
        <v>41</v>
      </c>
      <c r="R152" t="s">
        <v>41</v>
      </c>
      <c r="S152" t="s">
        <v>41</v>
      </c>
    </row>
    <row r="153" spans="1:19" x14ac:dyDescent="0.25">
      <c r="A153" t="s">
        <v>110</v>
      </c>
      <c r="B153">
        <v>43999</v>
      </c>
      <c r="M153" t="s">
        <v>41</v>
      </c>
      <c r="N153" t="s">
        <v>41</v>
      </c>
      <c r="O153" t="s">
        <v>41</v>
      </c>
      <c r="P153" t="s">
        <v>41</v>
      </c>
      <c r="Q153" t="s">
        <v>41</v>
      </c>
      <c r="R153" t="s">
        <v>41</v>
      </c>
      <c r="S153" t="s">
        <v>41</v>
      </c>
    </row>
    <row r="154" spans="1:19" x14ac:dyDescent="0.25">
      <c r="A154" t="s">
        <v>111</v>
      </c>
      <c r="B154">
        <v>4</v>
      </c>
      <c r="M154" t="s">
        <v>41</v>
      </c>
      <c r="N154" t="s">
        <v>41</v>
      </c>
      <c r="O154" t="s">
        <v>41</v>
      </c>
      <c r="P154" t="s">
        <v>41</v>
      </c>
      <c r="Q154" t="s">
        <v>41</v>
      </c>
      <c r="R154" t="s">
        <v>41</v>
      </c>
      <c r="S154" t="s">
        <v>41</v>
      </c>
    </row>
    <row r="155" spans="1:19" x14ac:dyDescent="0.25">
      <c r="M155" t="s">
        <v>41</v>
      </c>
      <c r="N155" t="s">
        <v>41</v>
      </c>
      <c r="O155" t="s">
        <v>41</v>
      </c>
      <c r="P155" t="s">
        <v>41</v>
      </c>
      <c r="Q155" t="s">
        <v>41</v>
      </c>
      <c r="R155" t="s">
        <v>41</v>
      </c>
      <c r="S155" t="s">
        <v>41</v>
      </c>
    </row>
    <row r="156" spans="1:19" x14ac:dyDescent="0.25">
      <c r="B156" t="s">
        <v>46</v>
      </c>
      <c r="C156" t="s">
        <v>112</v>
      </c>
      <c r="D156" t="s">
        <v>113</v>
      </c>
      <c r="E156" t="s">
        <v>49</v>
      </c>
      <c r="F156" t="s">
        <v>41</v>
      </c>
      <c r="G156">
        <v>42</v>
      </c>
      <c r="H156">
        <v>41</v>
      </c>
      <c r="I156">
        <v>39</v>
      </c>
      <c r="J156">
        <v>38</v>
      </c>
      <c r="K156">
        <v>36</v>
      </c>
      <c r="L156">
        <v>36</v>
      </c>
      <c r="M156" t="s">
        <v>41</v>
      </c>
      <c r="N156" t="s">
        <v>41</v>
      </c>
      <c r="O156" t="s">
        <v>41</v>
      </c>
      <c r="P156" t="s">
        <v>41</v>
      </c>
      <c r="Q156" t="s">
        <v>41</v>
      </c>
      <c r="R156" t="s">
        <v>41</v>
      </c>
      <c r="S156" t="s">
        <v>41</v>
      </c>
    </row>
    <row r="157" spans="1:19" x14ac:dyDescent="0.25">
      <c r="B157" t="s">
        <v>46</v>
      </c>
      <c r="C157" t="s">
        <v>47</v>
      </c>
      <c r="D157" t="s">
        <v>48</v>
      </c>
      <c r="E157" t="s">
        <v>49</v>
      </c>
      <c r="F157">
        <v>492000</v>
      </c>
      <c r="G157">
        <v>459000</v>
      </c>
      <c r="H157">
        <v>459000</v>
      </c>
      <c r="I157">
        <v>384000</v>
      </c>
      <c r="J157">
        <v>358498</v>
      </c>
      <c r="K157">
        <v>305000</v>
      </c>
      <c r="L157">
        <v>275000</v>
      </c>
      <c r="M157" t="s">
        <v>41</v>
      </c>
      <c r="N157" t="s">
        <v>41</v>
      </c>
      <c r="O157" t="s">
        <v>41</v>
      </c>
      <c r="P157" t="s">
        <v>41</v>
      </c>
      <c r="Q157" t="s">
        <v>41</v>
      </c>
      <c r="R157" t="s">
        <v>41</v>
      </c>
      <c r="S157" t="s">
        <v>41</v>
      </c>
    </row>
    <row r="158" spans="1:19" x14ac:dyDescent="0.25">
      <c r="B158" t="s">
        <v>51</v>
      </c>
      <c r="C158" t="s">
        <v>112</v>
      </c>
      <c r="D158" t="s">
        <v>113</v>
      </c>
      <c r="E158" t="s">
        <v>49</v>
      </c>
      <c r="F158">
        <v>30.7</v>
      </c>
      <c r="H158">
        <v>30.2</v>
      </c>
      <c r="L158">
        <v>30</v>
      </c>
      <c r="M158" t="s">
        <v>41</v>
      </c>
      <c r="N158" t="s">
        <v>41</v>
      </c>
      <c r="O158" t="s">
        <v>41</v>
      </c>
      <c r="P158" t="s">
        <v>41</v>
      </c>
      <c r="Q158" t="s">
        <v>41</v>
      </c>
      <c r="R158" t="s">
        <v>41</v>
      </c>
      <c r="S158" t="s">
        <v>41</v>
      </c>
    </row>
    <row r="159" spans="1:19" x14ac:dyDescent="0.25">
      <c r="B159" t="s">
        <v>51</v>
      </c>
      <c r="C159" t="s">
        <v>47</v>
      </c>
      <c r="D159" t="s">
        <v>48</v>
      </c>
      <c r="E159" t="s">
        <v>49</v>
      </c>
      <c r="F159">
        <v>24516</v>
      </c>
      <c r="G159">
        <v>24381</v>
      </c>
      <c r="H159">
        <v>24670</v>
      </c>
      <c r="I159">
        <v>25561</v>
      </c>
      <c r="J159">
        <v>24950</v>
      </c>
      <c r="K159">
        <v>22546</v>
      </c>
      <c r="L159">
        <v>20774</v>
      </c>
      <c r="M159" t="s">
        <v>41</v>
      </c>
      <c r="N159" t="s">
        <v>41</v>
      </c>
      <c r="O159" t="s">
        <v>41</v>
      </c>
      <c r="P159" t="s">
        <v>41</v>
      </c>
      <c r="Q159" t="s">
        <v>41</v>
      </c>
      <c r="R159" t="s">
        <v>41</v>
      </c>
      <c r="S159" t="s">
        <v>41</v>
      </c>
    </row>
    <row r="160" spans="1:19" x14ac:dyDescent="0.25">
      <c r="B160" t="s">
        <v>53</v>
      </c>
      <c r="C160" t="s">
        <v>112</v>
      </c>
      <c r="D160" t="s">
        <v>113</v>
      </c>
      <c r="E160" t="s">
        <v>49</v>
      </c>
      <c r="F160">
        <v>30.92</v>
      </c>
      <c r="G160">
        <v>29.42</v>
      </c>
      <c r="H160">
        <v>29.17</v>
      </c>
      <c r="I160">
        <v>26.71</v>
      </c>
      <c r="J160">
        <v>27.088000000000001</v>
      </c>
      <c r="K160">
        <v>27.86</v>
      </c>
      <c r="L160">
        <v>27</v>
      </c>
      <c r="M160" t="s">
        <v>41</v>
      </c>
      <c r="N160" t="s">
        <v>41</v>
      </c>
      <c r="O160" t="s">
        <v>41</v>
      </c>
      <c r="P160" t="s">
        <v>41</v>
      </c>
      <c r="Q160" t="s">
        <v>41</v>
      </c>
      <c r="R160" t="s">
        <v>41</v>
      </c>
      <c r="S160" t="s">
        <v>41</v>
      </c>
    </row>
    <row r="161" spans="2:19" x14ac:dyDescent="0.25">
      <c r="B161" t="s">
        <v>53</v>
      </c>
      <c r="C161" t="s">
        <v>47</v>
      </c>
      <c r="D161" t="s">
        <v>48</v>
      </c>
      <c r="E161" t="s">
        <v>49</v>
      </c>
      <c r="F161">
        <v>108317</v>
      </c>
      <c r="G161">
        <v>122110</v>
      </c>
      <c r="H161">
        <v>97267</v>
      </c>
      <c r="I161">
        <v>100096</v>
      </c>
      <c r="J161">
        <v>91322</v>
      </c>
      <c r="K161">
        <v>85865</v>
      </c>
      <c r="L161">
        <v>76320</v>
      </c>
      <c r="M161" t="s">
        <v>41</v>
      </c>
      <c r="N161" t="s">
        <v>41</v>
      </c>
      <c r="O161" t="s">
        <v>41</v>
      </c>
      <c r="P161" t="s">
        <v>41</v>
      </c>
      <c r="Q161" t="s">
        <v>41</v>
      </c>
      <c r="R161" t="s">
        <v>41</v>
      </c>
      <c r="S161" t="s">
        <v>41</v>
      </c>
    </row>
    <row r="162" spans="2:19" x14ac:dyDescent="0.25">
      <c r="B162" t="s">
        <v>55</v>
      </c>
      <c r="C162" t="s">
        <v>112</v>
      </c>
      <c r="D162" t="s">
        <v>113</v>
      </c>
      <c r="E162" t="s">
        <v>49</v>
      </c>
      <c r="F162">
        <v>33</v>
      </c>
      <c r="G162">
        <v>31.9</v>
      </c>
      <c r="H162">
        <v>31.4</v>
      </c>
      <c r="I162">
        <v>30.3</v>
      </c>
      <c r="J162">
        <v>29.5</v>
      </c>
      <c r="K162">
        <v>28.8</v>
      </c>
      <c r="L162">
        <v>28.4</v>
      </c>
      <c r="M162" t="s">
        <v>41</v>
      </c>
      <c r="N162" t="s">
        <v>41</v>
      </c>
      <c r="O162" t="s">
        <v>41</v>
      </c>
      <c r="P162" t="s">
        <v>41</v>
      </c>
      <c r="Q162" t="s">
        <v>41</v>
      </c>
      <c r="R162" t="s">
        <v>41</v>
      </c>
      <c r="S162" t="s">
        <v>41</v>
      </c>
    </row>
    <row r="163" spans="2:19" x14ac:dyDescent="0.25">
      <c r="B163" t="s">
        <v>55</v>
      </c>
      <c r="C163" t="s">
        <v>47</v>
      </c>
      <c r="D163" t="s">
        <v>48</v>
      </c>
      <c r="E163" t="s">
        <v>49</v>
      </c>
      <c r="F163">
        <v>219300</v>
      </c>
      <c r="G163">
        <v>211313</v>
      </c>
      <c r="H163">
        <v>199698</v>
      </c>
      <c r="I163">
        <v>193077</v>
      </c>
      <c r="J163">
        <v>180639</v>
      </c>
      <c r="K163">
        <v>143643</v>
      </c>
      <c r="L163">
        <v>131430</v>
      </c>
      <c r="M163" t="s">
        <v>41</v>
      </c>
      <c r="N163" t="s">
        <v>41</v>
      </c>
      <c r="O163" t="s">
        <v>41</v>
      </c>
      <c r="P163" t="s">
        <v>41</v>
      </c>
      <c r="Q163" t="s">
        <v>41</v>
      </c>
      <c r="R163" t="s">
        <v>41</v>
      </c>
      <c r="S163" t="s">
        <v>41</v>
      </c>
    </row>
    <row r="164" spans="2:19" x14ac:dyDescent="0.25">
      <c r="B164" t="s">
        <v>57</v>
      </c>
      <c r="C164" t="s">
        <v>112</v>
      </c>
      <c r="D164" t="s">
        <v>113</v>
      </c>
      <c r="E164" t="s">
        <v>49</v>
      </c>
      <c r="F164" t="s">
        <v>41</v>
      </c>
      <c r="K164">
        <v>31</v>
      </c>
      <c r="L164">
        <v>30</v>
      </c>
      <c r="M164" t="s">
        <v>41</v>
      </c>
      <c r="N164" t="s">
        <v>41</v>
      </c>
      <c r="O164" t="s">
        <v>41</v>
      </c>
      <c r="P164" t="s">
        <v>41</v>
      </c>
      <c r="Q164" t="s">
        <v>41</v>
      </c>
      <c r="R164" t="s">
        <v>41</v>
      </c>
      <c r="S164" t="s">
        <v>41</v>
      </c>
    </row>
    <row r="165" spans="2:19" x14ac:dyDescent="0.25">
      <c r="B165" t="s">
        <v>57</v>
      </c>
      <c r="C165" t="s">
        <v>47</v>
      </c>
      <c r="D165" t="s">
        <v>48</v>
      </c>
      <c r="E165" t="s">
        <v>49</v>
      </c>
      <c r="F165">
        <v>77500</v>
      </c>
      <c r="G165">
        <v>74000</v>
      </c>
      <c r="H165">
        <v>71000</v>
      </c>
      <c r="I165">
        <v>68000</v>
      </c>
      <c r="J165">
        <v>65000</v>
      </c>
      <c r="K165">
        <v>68000</v>
      </c>
      <c r="L165">
        <v>68000</v>
      </c>
      <c r="M165" t="s">
        <v>41</v>
      </c>
      <c r="N165" t="s">
        <v>41</v>
      </c>
      <c r="O165" t="s">
        <v>41</v>
      </c>
      <c r="P165" t="s">
        <v>41</v>
      </c>
      <c r="Q165" t="s">
        <v>41</v>
      </c>
      <c r="R165" t="s">
        <v>41</v>
      </c>
      <c r="S165" t="s">
        <v>41</v>
      </c>
    </row>
    <row r="166" spans="2:19" x14ac:dyDescent="0.25">
      <c r="B166" t="s">
        <v>59</v>
      </c>
      <c r="C166" t="s">
        <v>112</v>
      </c>
      <c r="D166" t="s">
        <v>113</v>
      </c>
      <c r="E166" t="s">
        <v>49</v>
      </c>
      <c r="F166" t="s">
        <v>41</v>
      </c>
      <c r="I166">
        <v>33.299999999999997</v>
      </c>
      <c r="J166">
        <v>33</v>
      </c>
      <c r="K166">
        <v>32</v>
      </c>
      <c r="L166">
        <v>32</v>
      </c>
      <c r="M166" t="s">
        <v>41</v>
      </c>
      <c r="N166" t="s">
        <v>41</v>
      </c>
      <c r="O166" t="s">
        <v>41</v>
      </c>
      <c r="P166" t="s">
        <v>41</v>
      </c>
      <c r="Q166" t="s">
        <v>41</v>
      </c>
      <c r="R166" t="s">
        <v>41</v>
      </c>
      <c r="S166" t="s">
        <v>41</v>
      </c>
    </row>
    <row r="167" spans="2:19" x14ac:dyDescent="0.25">
      <c r="B167" t="s">
        <v>59</v>
      </c>
      <c r="C167" t="s">
        <v>47</v>
      </c>
      <c r="D167" t="s">
        <v>48</v>
      </c>
      <c r="E167" t="s">
        <v>49</v>
      </c>
      <c r="F167">
        <v>292500</v>
      </c>
      <c r="G167">
        <v>281600</v>
      </c>
      <c r="H167">
        <v>260000</v>
      </c>
      <c r="I167">
        <v>260200</v>
      </c>
      <c r="J167">
        <v>221700</v>
      </c>
      <c r="K167">
        <v>211500</v>
      </c>
      <c r="L167">
        <v>171400</v>
      </c>
      <c r="M167" t="s">
        <v>41</v>
      </c>
      <c r="N167" t="s">
        <v>41</v>
      </c>
      <c r="O167" t="s">
        <v>41</v>
      </c>
      <c r="P167" t="s">
        <v>41</v>
      </c>
      <c r="Q167" t="s">
        <v>41</v>
      </c>
      <c r="R167" t="s">
        <v>41</v>
      </c>
      <c r="S167" t="s">
        <v>41</v>
      </c>
    </row>
    <row r="168" spans="2:19" x14ac:dyDescent="0.25">
      <c r="B168" t="s">
        <v>61</v>
      </c>
      <c r="C168" t="s">
        <v>112</v>
      </c>
      <c r="D168" t="s">
        <v>113</v>
      </c>
      <c r="E168" t="s">
        <v>49</v>
      </c>
      <c r="F168" t="s">
        <v>41</v>
      </c>
      <c r="M168" t="s">
        <v>41</v>
      </c>
      <c r="N168" t="s">
        <v>41</v>
      </c>
      <c r="O168" t="s">
        <v>41</v>
      </c>
      <c r="P168" t="s">
        <v>41</v>
      </c>
      <c r="Q168" t="s">
        <v>41</v>
      </c>
      <c r="R168" t="s">
        <v>41</v>
      </c>
      <c r="S168" t="s">
        <v>41</v>
      </c>
    </row>
    <row r="169" spans="2:19" x14ac:dyDescent="0.25">
      <c r="B169" t="s">
        <v>61</v>
      </c>
      <c r="C169" t="s">
        <v>47</v>
      </c>
      <c r="D169" t="s">
        <v>48</v>
      </c>
      <c r="E169" t="s">
        <v>49</v>
      </c>
      <c r="F169">
        <v>67000</v>
      </c>
      <c r="G169">
        <v>82000</v>
      </c>
      <c r="H169">
        <v>90000</v>
      </c>
      <c r="I169">
        <v>96000</v>
      </c>
      <c r="M169" t="s">
        <v>41</v>
      </c>
      <c r="N169" t="s">
        <v>41</v>
      </c>
      <c r="O169" t="s">
        <v>41</v>
      </c>
      <c r="P169" t="s">
        <v>41</v>
      </c>
      <c r="Q169" t="s">
        <v>41</v>
      </c>
      <c r="R169" t="s">
        <v>41</v>
      </c>
      <c r="S169" t="s">
        <v>41</v>
      </c>
    </row>
    <row r="170" spans="2:19" x14ac:dyDescent="0.25">
      <c r="B170" t="s">
        <v>63</v>
      </c>
      <c r="C170" t="s">
        <v>112</v>
      </c>
      <c r="D170" t="s">
        <v>113</v>
      </c>
      <c r="E170" t="s">
        <v>49</v>
      </c>
      <c r="F170" t="s">
        <v>41</v>
      </c>
      <c r="G170">
        <v>33</v>
      </c>
      <c r="H170">
        <v>33</v>
      </c>
      <c r="M170" t="s">
        <v>41</v>
      </c>
      <c r="N170" t="s">
        <v>41</v>
      </c>
      <c r="O170" t="s">
        <v>41</v>
      </c>
      <c r="P170" t="s">
        <v>41</v>
      </c>
      <c r="Q170" t="s">
        <v>41</v>
      </c>
      <c r="R170" t="s">
        <v>41</v>
      </c>
      <c r="S170" t="s">
        <v>41</v>
      </c>
    </row>
    <row r="171" spans="2:19" x14ac:dyDescent="0.25">
      <c r="B171" t="s">
        <v>63</v>
      </c>
      <c r="C171" t="s">
        <v>47</v>
      </c>
      <c r="D171" t="s">
        <v>48</v>
      </c>
      <c r="E171" t="s">
        <v>49</v>
      </c>
      <c r="F171">
        <v>138000</v>
      </c>
      <c r="G171">
        <v>130000</v>
      </c>
      <c r="H171">
        <v>150000</v>
      </c>
      <c r="M171" t="s">
        <v>41</v>
      </c>
      <c r="N171" t="s">
        <v>41</v>
      </c>
      <c r="O171" t="s">
        <v>41</v>
      </c>
      <c r="P171" t="s">
        <v>41</v>
      </c>
      <c r="Q171" t="s">
        <v>41</v>
      </c>
      <c r="R171" t="s">
        <v>41</v>
      </c>
      <c r="S171" t="s">
        <v>41</v>
      </c>
    </row>
    <row r="172" spans="2:19" x14ac:dyDescent="0.25">
      <c r="B172" t="s">
        <v>65</v>
      </c>
      <c r="C172" t="s">
        <v>112</v>
      </c>
      <c r="D172" t="s">
        <v>113</v>
      </c>
      <c r="E172" t="s">
        <v>49</v>
      </c>
      <c r="F172" t="s">
        <v>41</v>
      </c>
      <c r="M172" t="s">
        <v>41</v>
      </c>
      <c r="N172" t="s">
        <v>41</v>
      </c>
      <c r="O172" t="s">
        <v>41</v>
      </c>
      <c r="P172" t="s">
        <v>41</v>
      </c>
      <c r="Q172" t="s">
        <v>41</v>
      </c>
      <c r="R172" t="s">
        <v>41</v>
      </c>
      <c r="S172" t="s">
        <v>41</v>
      </c>
    </row>
    <row r="173" spans="2:19" x14ac:dyDescent="0.25">
      <c r="B173" t="s">
        <v>65</v>
      </c>
      <c r="C173" t="s">
        <v>47</v>
      </c>
      <c r="D173" t="s">
        <v>48</v>
      </c>
      <c r="E173" t="s">
        <v>49</v>
      </c>
      <c r="F173">
        <v>36739</v>
      </c>
      <c r="G173">
        <v>30200</v>
      </c>
      <c r="H173">
        <v>25962</v>
      </c>
      <c r="I173">
        <v>22383</v>
      </c>
      <c r="J173">
        <v>18354</v>
      </c>
      <c r="K173">
        <v>14109</v>
      </c>
      <c r="M173" t="s">
        <v>41</v>
      </c>
      <c r="N173" t="s">
        <v>41</v>
      </c>
      <c r="O173" t="s">
        <v>41</v>
      </c>
      <c r="P173" t="s">
        <v>41</v>
      </c>
      <c r="Q173" t="s">
        <v>41</v>
      </c>
      <c r="R173" t="s">
        <v>41</v>
      </c>
      <c r="S173" t="s">
        <v>41</v>
      </c>
    </row>
    <row r="174" spans="2:19" x14ac:dyDescent="0.25">
      <c r="B174" t="s">
        <v>67</v>
      </c>
      <c r="C174" t="s">
        <v>112</v>
      </c>
      <c r="D174" t="s">
        <v>113</v>
      </c>
      <c r="E174" t="s">
        <v>49</v>
      </c>
      <c r="F174" t="s">
        <v>41</v>
      </c>
      <c r="H174">
        <v>39.134</v>
      </c>
      <c r="I174">
        <v>38.881</v>
      </c>
      <c r="J174">
        <v>38.231999999999999</v>
      </c>
      <c r="L174">
        <v>37.4</v>
      </c>
      <c r="M174" t="s">
        <v>41</v>
      </c>
      <c r="N174" t="s">
        <v>41</v>
      </c>
      <c r="O174" t="s">
        <v>41</v>
      </c>
      <c r="P174" t="s">
        <v>41</v>
      </c>
      <c r="Q174" t="s">
        <v>41</v>
      </c>
      <c r="R174" t="s">
        <v>41</v>
      </c>
      <c r="S174" t="s">
        <v>41</v>
      </c>
    </row>
    <row r="175" spans="2:19" x14ac:dyDescent="0.25">
      <c r="B175" t="s">
        <v>67</v>
      </c>
      <c r="C175" t="s">
        <v>47</v>
      </c>
      <c r="D175" t="s">
        <v>48</v>
      </c>
      <c r="E175" t="s">
        <v>49</v>
      </c>
      <c r="F175">
        <v>96500</v>
      </c>
      <c r="G175">
        <v>87000</v>
      </c>
      <c r="H175">
        <v>78000</v>
      </c>
      <c r="I175">
        <v>75000</v>
      </c>
      <c r="J175">
        <v>72000</v>
      </c>
      <c r="K175">
        <v>67900</v>
      </c>
      <c r="L175">
        <v>63600</v>
      </c>
      <c r="M175" t="s">
        <v>41</v>
      </c>
      <c r="N175" t="s">
        <v>41</v>
      </c>
      <c r="O175" t="s">
        <v>41</v>
      </c>
      <c r="P175" t="s">
        <v>41</v>
      </c>
      <c r="Q175" t="s">
        <v>41</v>
      </c>
      <c r="R175" t="s">
        <v>41</v>
      </c>
      <c r="S175" t="s">
        <v>41</v>
      </c>
    </row>
    <row r="176" spans="2:19" x14ac:dyDescent="0.25">
      <c r="B176" t="s">
        <v>69</v>
      </c>
      <c r="C176" t="s">
        <v>112</v>
      </c>
      <c r="D176" t="s">
        <v>113</v>
      </c>
      <c r="E176" t="s">
        <v>49</v>
      </c>
      <c r="F176" t="s">
        <v>41</v>
      </c>
      <c r="G176">
        <v>24.9</v>
      </c>
      <c r="H176">
        <v>24</v>
      </c>
      <c r="I176">
        <v>24</v>
      </c>
      <c r="J176">
        <v>23</v>
      </c>
      <c r="L176">
        <v>24</v>
      </c>
      <c r="M176" t="s">
        <v>41</v>
      </c>
      <c r="N176" t="s">
        <v>41</v>
      </c>
      <c r="O176" t="s">
        <v>41</v>
      </c>
      <c r="P176" t="s">
        <v>41</v>
      </c>
      <c r="Q176" t="s">
        <v>41</v>
      </c>
      <c r="R176" t="s">
        <v>41</v>
      </c>
      <c r="S176" t="s">
        <v>41</v>
      </c>
    </row>
    <row r="177" spans="2:19" x14ac:dyDescent="0.25">
      <c r="B177" t="s">
        <v>69</v>
      </c>
      <c r="C177" t="s">
        <v>47</v>
      </c>
      <c r="D177" t="s">
        <v>48</v>
      </c>
      <c r="E177" t="s">
        <v>49</v>
      </c>
      <c r="F177">
        <v>150423</v>
      </c>
      <c r="G177">
        <v>137965</v>
      </c>
      <c r="H177">
        <v>120081</v>
      </c>
      <c r="I177">
        <v>115973</v>
      </c>
      <c r="J177">
        <v>104896</v>
      </c>
      <c r="L177">
        <v>91691</v>
      </c>
      <c r="M177" t="s">
        <v>41</v>
      </c>
      <c r="N177" t="s">
        <v>41</v>
      </c>
      <c r="O177" t="s">
        <v>41</v>
      </c>
      <c r="P177" t="s">
        <v>41</v>
      </c>
      <c r="Q177" t="s">
        <v>41</v>
      </c>
      <c r="R177" t="s">
        <v>41</v>
      </c>
      <c r="S177" t="s">
        <v>41</v>
      </c>
    </row>
    <row r="178" spans="2:19" x14ac:dyDescent="0.25">
      <c r="B178" t="s">
        <v>71</v>
      </c>
      <c r="C178" t="s">
        <v>112</v>
      </c>
      <c r="D178" t="s">
        <v>113</v>
      </c>
      <c r="E178" t="s">
        <v>49</v>
      </c>
      <c r="F178">
        <v>35</v>
      </c>
      <c r="G178">
        <v>32.979999999999997</v>
      </c>
      <c r="H178">
        <v>34</v>
      </c>
      <c r="I178">
        <v>37</v>
      </c>
      <c r="J178">
        <v>37</v>
      </c>
      <c r="K178">
        <v>35.9</v>
      </c>
      <c r="L178">
        <v>36.14</v>
      </c>
      <c r="M178" t="s">
        <v>41</v>
      </c>
      <c r="N178" t="s">
        <v>41</v>
      </c>
      <c r="O178" t="s">
        <v>41</v>
      </c>
      <c r="P178" t="s">
        <v>41</v>
      </c>
      <c r="Q178" t="s">
        <v>41</v>
      </c>
      <c r="R178" t="s">
        <v>41</v>
      </c>
      <c r="S178" t="s">
        <v>41</v>
      </c>
    </row>
    <row r="179" spans="2:19" x14ac:dyDescent="0.25">
      <c r="B179" t="s">
        <v>71</v>
      </c>
      <c r="C179" t="s">
        <v>47</v>
      </c>
      <c r="D179" t="s">
        <v>48</v>
      </c>
      <c r="E179" t="s">
        <v>49</v>
      </c>
      <c r="F179">
        <v>47409</v>
      </c>
      <c r="G179">
        <v>41572</v>
      </c>
      <c r="H179">
        <v>40020</v>
      </c>
      <c r="I179">
        <v>35660</v>
      </c>
      <c r="J179">
        <v>37073</v>
      </c>
      <c r="K179">
        <v>38552</v>
      </c>
      <c r="L179">
        <v>38548</v>
      </c>
      <c r="M179" t="s">
        <v>41</v>
      </c>
      <c r="N179" t="s">
        <v>41</v>
      </c>
      <c r="O179" t="s">
        <v>41</v>
      </c>
      <c r="P179" t="s">
        <v>41</v>
      </c>
      <c r="Q179" t="s">
        <v>41</v>
      </c>
      <c r="R179" t="s">
        <v>41</v>
      </c>
      <c r="S179" t="s">
        <v>41</v>
      </c>
    </row>
    <row r="180" spans="2:19" x14ac:dyDescent="0.25">
      <c r="B180" t="s">
        <v>73</v>
      </c>
      <c r="C180" t="s">
        <v>112</v>
      </c>
      <c r="D180" t="s">
        <v>113</v>
      </c>
      <c r="E180" t="s">
        <v>49</v>
      </c>
      <c r="F180">
        <v>37.826000000000001</v>
      </c>
      <c r="G180">
        <v>36.67</v>
      </c>
      <c r="H180">
        <v>36.11</v>
      </c>
      <c r="I180">
        <v>36.049999999999997</v>
      </c>
      <c r="J180">
        <v>35.6</v>
      </c>
      <c r="K180">
        <v>35.088999999999999</v>
      </c>
      <c r="L180">
        <v>34.39</v>
      </c>
      <c r="M180" t="s">
        <v>41</v>
      </c>
      <c r="N180" t="s">
        <v>41</v>
      </c>
      <c r="O180" t="s">
        <v>41</v>
      </c>
      <c r="P180" t="s">
        <v>41</v>
      </c>
      <c r="Q180" t="s">
        <v>41</v>
      </c>
      <c r="R180" t="s">
        <v>41</v>
      </c>
      <c r="S180" t="s">
        <v>41</v>
      </c>
    </row>
    <row r="181" spans="2:19" x14ac:dyDescent="0.25">
      <c r="B181" t="s">
        <v>73</v>
      </c>
      <c r="C181" t="s">
        <v>47</v>
      </c>
      <c r="D181" t="s">
        <v>48</v>
      </c>
      <c r="E181" t="s">
        <v>49</v>
      </c>
      <c r="F181">
        <v>242371</v>
      </c>
      <c r="G181">
        <v>228123</v>
      </c>
      <c r="H181">
        <v>204107</v>
      </c>
      <c r="I181">
        <v>200364</v>
      </c>
      <c r="J181">
        <v>194044</v>
      </c>
      <c r="K181">
        <v>176187</v>
      </c>
      <c r="L181">
        <v>160405</v>
      </c>
      <c r="M181" t="s">
        <v>41</v>
      </c>
      <c r="N181" t="s">
        <v>41</v>
      </c>
      <c r="O181" t="s">
        <v>41</v>
      </c>
      <c r="P181" t="s">
        <v>41</v>
      </c>
      <c r="Q181" t="s">
        <v>41</v>
      </c>
      <c r="R181" t="s">
        <v>41</v>
      </c>
      <c r="S181" t="s">
        <v>41</v>
      </c>
    </row>
    <row r="182" spans="2:19" x14ac:dyDescent="0.25">
      <c r="B182" t="s">
        <v>75</v>
      </c>
      <c r="C182" t="s">
        <v>112</v>
      </c>
      <c r="D182" t="s">
        <v>113</v>
      </c>
      <c r="E182" t="s">
        <v>49</v>
      </c>
      <c r="F182" t="s">
        <v>41</v>
      </c>
      <c r="I182">
        <v>31.8</v>
      </c>
      <c r="J182">
        <v>31.4</v>
      </c>
      <c r="K182">
        <v>31.1</v>
      </c>
      <c r="L182">
        <v>30.1</v>
      </c>
      <c r="M182" t="s">
        <v>41</v>
      </c>
      <c r="N182" t="s">
        <v>41</v>
      </c>
      <c r="O182" t="s">
        <v>41</v>
      </c>
      <c r="P182" t="s">
        <v>41</v>
      </c>
      <c r="Q182" t="s">
        <v>41</v>
      </c>
      <c r="R182" t="s">
        <v>41</v>
      </c>
      <c r="S182" t="s">
        <v>41</v>
      </c>
    </row>
    <row r="183" spans="2:19" x14ac:dyDescent="0.25">
      <c r="B183" t="s">
        <v>75</v>
      </c>
      <c r="C183" t="s">
        <v>47</v>
      </c>
      <c r="D183" t="s">
        <v>48</v>
      </c>
      <c r="E183" t="s">
        <v>49</v>
      </c>
      <c r="F183">
        <v>350600</v>
      </c>
      <c r="G183">
        <v>350600</v>
      </c>
      <c r="H183">
        <v>366600</v>
      </c>
      <c r="I183">
        <v>380300</v>
      </c>
      <c r="J183">
        <v>377757</v>
      </c>
      <c r="K183">
        <v>379592</v>
      </c>
      <c r="L183">
        <v>431212</v>
      </c>
      <c r="M183" t="s">
        <v>41</v>
      </c>
      <c r="N183" t="s">
        <v>41</v>
      </c>
      <c r="O183" t="s">
        <v>41</v>
      </c>
      <c r="P183" t="s">
        <v>41</v>
      </c>
      <c r="Q183" t="s">
        <v>41</v>
      </c>
      <c r="R183" t="s">
        <v>41</v>
      </c>
      <c r="S183" t="s">
        <v>41</v>
      </c>
    </row>
    <row r="184" spans="2:19" x14ac:dyDescent="0.25">
      <c r="B184" t="s">
        <v>77</v>
      </c>
      <c r="C184" t="s">
        <v>112</v>
      </c>
      <c r="D184" t="s">
        <v>113</v>
      </c>
      <c r="E184" t="s">
        <v>49</v>
      </c>
      <c r="F184" t="s">
        <v>41</v>
      </c>
      <c r="G184">
        <v>35.9</v>
      </c>
      <c r="H184">
        <v>35.31</v>
      </c>
      <c r="I184">
        <v>34.700000000000003</v>
      </c>
      <c r="J184">
        <v>33.799999999999997</v>
      </c>
      <c r="K184">
        <v>33</v>
      </c>
      <c r="L184">
        <v>32.700000000000003</v>
      </c>
      <c r="M184" t="s">
        <v>41</v>
      </c>
      <c r="N184" t="s">
        <v>41</v>
      </c>
      <c r="O184" t="s">
        <v>41</v>
      </c>
      <c r="P184" t="s">
        <v>41</v>
      </c>
      <c r="Q184" t="s">
        <v>41</v>
      </c>
      <c r="R184" t="s">
        <v>41</v>
      </c>
      <c r="S184" t="s">
        <v>41</v>
      </c>
    </row>
    <row r="185" spans="2:19" x14ac:dyDescent="0.25">
      <c r="B185" t="s">
        <v>77</v>
      </c>
      <c r="C185" t="s">
        <v>47</v>
      </c>
      <c r="D185" t="s">
        <v>48</v>
      </c>
      <c r="E185" t="s">
        <v>49</v>
      </c>
      <c r="F185">
        <v>448464</v>
      </c>
      <c r="G185">
        <v>424285</v>
      </c>
      <c r="H185">
        <v>394998</v>
      </c>
      <c r="I185">
        <v>387223</v>
      </c>
      <c r="J185">
        <v>353843</v>
      </c>
      <c r="K185">
        <v>319656</v>
      </c>
      <c r="L185">
        <v>300464</v>
      </c>
      <c r="M185" t="s">
        <v>41</v>
      </c>
      <c r="N185" t="s">
        <v>41</v>
      </c>
      <c r="O185" t="s">
        <v>41</v>
      </c>
      <c r="P185" t="s">
        <v>41</v>
      </c>
      <c r="Q185" t="s">
        <v>41</v>
      </c>
      <c r="R185" t="s">
        <v>41</v>
      </c>
      <c r="S185" t="s">
        <v>41</v>
      </c>
    </row>
    <row r="186" spans="2:19" x14ac:dyDescent="0.25">
      <c r="B186" t="s">
        <v>79</v>
      </c>
      <c r="C186" t="s">
        <v>112</v>
      </c>
      <c r="D186" t="s">
        <v>113</v>
      </c>
      <c r="E186" t="s">
        <v>49</v>
      </c>
      <c r="F186" t="s">
        <v>41</v>
      </c>
      <c r="G186">
        <v>31.15</v>
      </c>
      <c r="H186">
        <v>30.17</v>
      </c>
      <c r="I186">
        <v>30.85</v>
      </c>
      <c r="J186">
        <v>30</v>
      </c>
      <c r="K186">
        <v>30.17</v>
      </c>
      <c r="M186" t="s">
        <v>41</v>
      </c>
      <c r="N186" t="s">
        <v>41</v>
      </c>
      <c r="O186" t="s">
        <v>41</v>
      </c>
      <c r="P186" t="s">
        <v>41</v>
      </c>
      <c r="Q186" t="s">
        <v>41</v>
      </c>
      <c r="R186" t="s">
        <v>41</v>
      </c>
      <c r="S186" t="s">
        <v>41</v>
      </c>
    </row>
    <row r="187" spans="2:19" x14ac:dyDescent="0.25">
      <c r="B187" t="s">
        <v>79</v>
      </c>
      <c r="C187" t="s">
        <v>47</v>
      </c>
      <c r="D187" t="s">
        <v>48</v>
      </c>
      <c r="E187" t="s">
        <v>49</v>
      </c>
      <c r="F187">
        <v>103822</v>
      </c>
      <c r="G187">
        <v>103822</v>
      </c>
      <c r="H187">
        <v>112807</v>
      </c>
      <c r="I187">
        <v>117693</v>
      </c>
      <c r="J187">
        <v>105432</v>
      </c>
      <c r="K187">
        <v>103281</v>
      </c>
      <c r="L187">
        <v>89441</v>
      </c>
      <c r="M187" t="s">
        <v>41</v>
      </c>
      <c r="N187" t="s">
        <v>41</v>
      </c>
      <c r="O187" t="s">
        <v>41</v>
      </c>
      <c r="P187" t="s">
        <v>41</v>
      </c>
      <c r="Q187" t="s">
        <v>41</v>
      </c>
      <c r="R187" t="s">
        <v>41</v>
      </c>
      <c r="S187" t="s">
        <v>41</v>
      </c>
    </row>
    <row r="188" spans="2:19" x14ac:dyDescent="0.25">
      <c r="B188" t="s">
        <v>81</v>
      </c>
      <c r="C188" t="s">
        <v>112</v>
      </c>
      <c r="D188" t="s">
        <v>113</v>
      </c>
      <c r="E188" t="s">
        <v>49</v>
      </c>
      <c r="F188" t="s">
        <v>41</v>
      </c>
      <c r="G188">
        <v>35.200000000000003</v>
      </c>
      <c r="H188">
        <v>35</v>
      </c>
      <c r="I188">
        <v>34</v>
      </c>
      <c r="J188">
        <v>32</v>
      </c>
      <c r="K188">
        <v>30.2</v>
      </c>
      <c r="L188">
        <v>31</v>
      </c>
      <c r="M188" t="s">
        <v>41</v>
      </c>
      <c r="N188" t="s">
        <v>41</v>
      </c>
      <c r="O188" t="s">
        <v>41</v>
      </c>
      <c r="P188" t="s">
        <v>41</v>
      </c>
      <c r="Q188" t="s">
        <v>41</v>
      </c>
      <c r="R188" t="s">
        <v>41</v>
      </c>
      <c r="S188" t="s">
        <v>41</v>
      </c>
    </row>
    <row r="189" spans="2:19" x14ac:dyDescent="0.25">
      <c r="B189" t="s">
        <v>81</v>
      </c>
      <c r="C189" t="s">
        <v>47</v>
      </c>
      <c r="D189" t="s">
        <v>48</v>
      </c>
      <c r="E189" t="s">
        <v>49</v>
      </c>
      <c r="F189">
        <v>182886</v>
      </c>
      <c r="G189">
        <v>171425</v>
      </c>
      <c r="H189">
        <v>163827</v>
      </c>
      <c r="I189">
        <v>181482</v>
      </c>
      <c r="J189">
        <v>172912</v>
      </c>
      <c r="K189">
        <v>158217</v>
      </c>
      <c r="L189">
        <v>146053</v>
      </c>
      <c r="M189" t="s">
        <v>41</v>
      </c>
      <c r="N189" t="s">
        <v>41</v>
      </c>
      <c r="O189" t="s">
        <v>41</v>
      </c>
      <c r="P189" t="s">
        <v>41</v>
      </c>
      <c r="Q189" t="s">
        <v>41</v>
      </c>
      <c r="R189" t="s">
        <v>41</v>
      </c>
      <c r="S189" t="s">
        <v>41</v>
      </c>
    </row>
    <row r="190" spans="2:19" x14ac:dyDescent="0.25">
      <c r="B190" t="s">
        <v>46</v>
      </c>
      <c r="C190" t="s">
        <v>114</v>
      </c>
      <c r="D190" t="s">
        <v>115</v>
      </c>
      <c r="E190" t="s">
        <v>49</v>
      </c>
      <c r="F190" t="s">
        <v>41</v>
      </c>
      <c r="G190">
        <v>0.30420000000000003</v>
      </c>
      <c r="H190">
        <v>0.3281</v>
      </c>
      <c r="I190">
        <v>0.2903</v>
      </c>
      <c r="J190">
        <v>0.26350000000000001</v>
      </c>
      <c r="K190">
        <v>0.25779999999999997</v>
      </c>
      <c r="L190">
        <v>0.2651</v>
      </c>
      <c r="M190" t="s">
        <v>41</v>
      </c>
      <c r="N190" t="s">
        <v>41</v>
      </c>
      <c r="O190" t="s">
        <v>41</v>
      </c>
      <c r="P190" t="s">
        <v>41</v>
      </c>
      <c r="Q190" t="s">
        <v>41</v>
      </c>
      <c r="R190" t="s">
        <v>41</v>
      </c>
      <c r="S190" t="s">
        <v>41</v>
      </c>
    </row>
    <row r="191" spans="2:19" x14ac:dyDescent="0.25">
      <c r="B191" t="s">
        <v>51</v>
      </c>
      <c r="C191" t="s">
        <v>114</v>
      </c>
      <c r="D191" t="s">
        <v>115</v>
      </c>
      <c r="E191" t="s">
        <v>49</v>
      </c>
      <c r="F191" t="s">
        <v>41</v>
      </c>
      <c r="H191">
        <v>6.7699999999999996E-2</v>
      </c>
      <c r="I191">
        <v>6.5299999999999997E-2</v>
      </c>
      <c r="L191">
        <v>9.7100000000000006E-2</v>
      </c>
      <c r="M191" t="s">
        <v>41</v>
      </c>
      <c r="N191" t="s">
        <v>41</v>
      </c>
      <c r="O191" t="s">
        <v>41</v>
      </c>
      <c r="P191" t="s">
        <v>41</v>
      </c>
      <c r="Q191" t="s">
        <v>41</v>
      </c>
      <c r="R191" t="s">
        <v>41</v>
      </c>
      <c r="S191" t="s">
        <v>41</v>
      </c>
    </row>
    <row r="192" spans="2:19" x14ac:dyDescent="0.25">
      <c r="B192" t="s">
        <v>53</v>
      </c>
      <c r="C192" t="s">
        <v>114</v>
      </c>
      <c r="D192" t="s">
        <v>115</v>
      </c>
      <c r="E192" t="s">
        <v>49</v>
      </c>
      <c r="F192">
        <v>0.1028</v>
      </c>
      <c r="G192">
        <v>9.4100000000000003E-2</v>
      </c>
      <c r="H192">
        <v>0.1188</v>
      </c>
      <c r="I192">
        <v>0.13039999999999999</v>
      </c>
      <c r="J192">
        <v>7.4999999999999997E-2</v>
      </c>
      <c r="K192">
        <v>6.7299999999999999E-2</v>
      </c>
      <c r="M192" t="s">
        <v>41</v>
      </c>
      <c r="N192" t="s">
        <v>41</v>
      </c>
      <c r="O192" t="s">
        <v>41</v>
      </c>
      <c r="P192" t="s">
        <v>41</v>
      </c>
      <c r="Q192" t="s">
        <v>41</v>
      </c>
      <c r="R192" t="s">
        <v>41</v>
      </c>
      <c r="S192" t="s">
        <v>41</v>
      </c>
    </row>
    <row r="193" spans="1:19" x14ac:dyDescent="0.25">
      <c r="B193" t="s">
        <v>55</v>
      </c>
      <c r="C193" t="s">
        <v>114</v>
      </c>
      <c r="D193" t="s">
        <v>115</v>
      </c>
      <c r="E193" t="s">
        <v>49</v>
      </c>
      <c r="F193">
        <v>0.155</v>
      </c>
      <c r="G193">
        <v>0.1628</v>
      </c>
      <c r="H193">
        <v>0.18490000000000001</v>
      </c>
      <c r="I193">
        <v>0.193</v>
      </c>
      <c r="J193">
        <v>0.1459</v>
      </c>
      <c r="K193">
        <v>0.1512</v>
      </c>
      <c r="L193">
        <v>0.15629999999999999</v>
      </c>
      <c r="M193" t="s">
        <v>41</v>
      </c>
      <c r="N193" t="s">
        <v>41</v>
      </c>
      <c r="O193" t="s">
        <v>41</v>
      </c>
      <c r="P193" t="s">
        <v>41</v>
      </c>
      <c r="Q193" t="s">
        <v>41</v>
      </c>
      <c r="R193" t="s">
        <v>41</v>
      </c>
      <c r="S193" t="s">
        <v>41</v>
      </c>
    </row>
    <row r="194" spans="1:19" x14ac:dyDescent="0.25">
      <c r="B194" t="s">
        <v>57</v>
      </c>
      <c r="C194" t="s">
        <v>114</v>
      </c>
      <c r="D194" t="s">
        <v>115</v>
      </c>
      <c r="E194" t="s">
        <v>49</v>
      </c>
      <c r="F194" t="s">
        <v>41</v>
      </c>
      <c r="K194">
        <v>8.4199999999999997E-2</v>
      </c>
      <c r="L194">
        <v>9.6100000000000005E-2</v>
      </c>
      <c r="M194" t="s">
        <v>41</v>
      </c>
      <c r="N194" t="s">
        <v>41</v>
      </c>
      <c r="O194" t="s">
        <v>41</v>
      </c>
      <c r="P194" t="s">
        <v>41</v>
      </c>
      <c r="Q194" t="s">
        <v>41</v>
      </c>
      <c r="R194" t="s">
        <v>41</v>
      </c>
      <c r="S194" t="s">
        <v>41</v>
      </c>
    </row>
    <row r="195" spans="1:19" x14ac:dyDescent="0.25">
      <c r="B195" t="s">
        <v>59</v>
      </c>
      <c r="C195" t="s">
        <v>114</v>
      </c>
      <c r="D195" t="s">
        <v>115</v>
      </c>
      <c r="E195" t="s">
        <v>49</v>
      </c>
      <c r="F195" t="s">
        <v>41</v>
      </c>
      <c r="I195">
        <v>0.255</v>
      </c>
      <c r="J195">
        <v>0.2576</v>
      </c>
      <c r="K195">
        <v>0.2039</v>
      </c>
      <c r="L195">
        <v>0.19309999999999999</v>
      </c>
      <c r="M195" t="s">
        <v>41</v>
      </c>
      <c r="N195" t="s">
        <v>41</v>
      </c>
      <c r="O195" t="s">
        <v>41</v>
      </c>
      <c r="P195" t="s">
        <v>41</v>
      </c>
      <c r="Q195" t="s">
        <v>41</v>
      </c>
      <c r="R195" t="s">
        <v>41</v>
      </c>
      <c r="S195" t="s">
        <v>41</v>
      </c>
    </row>
    <row r="196" spans="1:19" x14ac:dyDescent="0.25">
      <c r="B196" t="s">
        <v>61</v>
      </c>
      <c r="C196" t="s">
        <v>114</v>
      </c>
      <c r="D196" t="s">
        <v>115</v>
      </c>
      <c r="E196" t="s">
        <v>49</v>
      </c>
      <c r="F196" t="s">
        <v>41</v>
      </c>
      <c r="M196" t="s">
        <v>41</v>
      </c>
      <c r="N196" t="s">
        <v>41</v>
      </c>
      <c r="O196" t="s">
        <v>41</v>
      </c>
      <c r="P196" t="s">
        <v>41</v>
      </c>
      <c r="Q196" t="s">
        <v>41</v>
      </c>
      <c r="R196" t="s">
        <v>41</v>
      </c>
      <c r="S196" t="s">
        <v>41</v>
      </c>
    </row>
    <row r="197" spans="1:19" x14ac:dyDescent="0.25">
      <c r="B197" t="s">
        <v>63</v>
      </c>
      <c r="C197" t="s">
        <v>114</v>
      </c>
      <c r="D197" t="s">
        <v>115</v>
      </c>
      <c r="E197" t="s">
        <v>49</v>
      </c>
      <c r="F197" t="s">
        <v>41</v>
      </c>
      <c r="G197">
        <v>0.79559999999999997</v>
      </c>
      <c r="H197">
        <v>0.86829999999999996</v>
      </c>
      <c r="M197" t="s">
        <v>41</v>
      </c>
      <c r="N197" t="s">
        <v>41</v>
      </c>
      <c r="O197" t="s">
        <v>41</v>
      </c>
      <c r="P197" t="s">
        <v>41</v>
      </c>
      <c r="Q197" t="s">
        <v>41</v>
      </c>
      <c r="R197" t="s">
        <v>41</v>
      </c>
      <c r="S197" t="s">
        <v>41</v>
      </c>
    </row>
    <row r="198" spans="1:19" x14ac:dyDescent="0.25">
      <c r="B198" t="s">
        <v>65</v>
      </c>
      <c r="C198" t="s">
        <v>114</v>
      </c>
      <c r="D198" t="s">
        <v>115</v>
      </c>
      <c r="E198" t="s">
        <v>49</v>
      </c>
      <c r="F198" t="s">
        <v>41</v>
      </c>
      <c r="M198" t="s">
        <v>41</v>
      </c>
      <c r="N198" t="s">
        <v>41</v>
      </c>
      <c r="O198" t="s">
        <v>41</v>
      </c>
      <c r="P198" t="s">
        <v>41</v>
      </c>
      <c r="Q198" t="s">
        <v>41</v>
      </c>
      <c r="R198" t="s">
        <v>41</v>
      </c>
      <c r="S198" t="s">
        <v>41</v>
      </c>
    </row>
    <row r="199" spans="1:19" x14ac:dyDescent="0.25">
      <c r="B199" t="s">
        <v>67</v>
      </c>
      <c r="C199" t="s">
        <v>114</v>
      </c>
      <c r="D199" t="s">
        <v>115</v>
      </c>
      <c r="E199" t="s">
        <v>49</v>
      </c>
      <c r="F199" t="s">
        <v>41</v>
      </c>
      <c r="H199">
        <v>7.3599999999999999E-2</v>
      </c>
      <c r="I199">
        <v>7.2400000000000006E-2</v>
      </c>
      <c r="J199">
        <v>6.4500000000000002E-2</v>
      </c>
      <c r="L199">
        <v>6.4399999999999999E-2</v>
      </c>
      <c r="M199" t="s">
        <v>41</v>
      </c>
      <c r="N199" t="s">
        <v>41</v>
      </c>
      <c r="O199" t="s">
        <v>41</v>
      </c>
      <c r="P199" t="s">
        <v>41</v>
      </c>
      <c r="Q199" t="s">
        <v>41</v>
      </c>
      <c r="R199" t="s">
        <v>41</v>
      </c>
      <c r="S199" t="s">
        <v>41</v>
      </c>
    </row>
    <row r="200" spans="1:19" x14ac:dyDescent="0.25">
      <c r="B200" t="s">
        <v>69</v>
      </c>
      <c r="C200" t="s">
        <v>114</v>
      </c>
      <c r="D200" t="s">
        <v>115</v>
      </c>
      <c r="E200" t="s">
        <v>49</v>
      </c>
      <c r="F200" t="s">
        <v>41</v>
      </c>
      <c r="J200">
        <v>0.16059999999999999</v>
      </c>
      <c r="L200">
        <v>0.16839999999999999</v>
      </c>
      <c r="M200" t="s">
        <v>41</v>
      </c>
      <c r="N200" t="s">
        <v>41</v>
      </c>
      <c r="O200" t="s">
        <v>41</v>
      </c>
      <c r="P200" t="s">
        <v>41</v>
      </c>
      <c r="Q200" t="s">
        <v>41</v>
      </c>
      <c r="R200" t="s">
        <v>41</v>
      </c>
      <c r="S200" t="s">
        <v>41</v>
      </c>
    </row>
    <row r="201" spans="1:19" x14ac:dyDescent="0.25">
      <c r="B201" t="s">
        <v>71</v>
      </c>
      <c r="C201" t="s">
        <v>114</v>
      </c>
      <c r="D201" t="s">
        <v>115</v>
      </c>
      <c r="E201" t="s">
        <v>49</v>
      </c>
      <c r="F201">
        <v>0.01</v>
      </c>
      <c r="G201">
        <v>1.0500000000000001E-2</v>
      </c>
      <c r="H201">
        <v>1.21E-2</v>
      </c>
      <c r="I201">
        <v>2.2499999999999999E-2</v>
      </c>
      <c r="J201">
        <v>2.4500000000000001E-2</v>
      </c>
      <c r="K201">
        <v>2.9499999999999998E-2</v>
      </c>
      <c r="L201">
        <v>3.2300000000000002E-2</v>
      </c>
      <c r="M201" t="s">
        <v>41</v>
      </c>
      <c r="N201" t="s">
        <v>41</v>
      </c>
      <c r="O201" t="s">
        <v>41</v>
      </c>
      <c r="P201" t="s">
        <v>41</v>
      </c>
      <c r="Q201" t="s">
        <v>41</v>
      </c>
      <c r="R201" t="s">
        <v>41</v>
      </c>
      <c r="S201" t="s">
        <v>41</v>
      </c>
    </row>
    <row r="202" spans="1:19" x14ac:dyDescent="0.25">
      <c r="B202" t="s">
        <v>73</v>
      </c>
      <c r="C202" t="s">
        <v>114</v>
      </c>
      <c r="D202" t="s">
        <v>115</v>
      </c>
      <c r="E202" t="s">
        <v>49</v>
      </c>
      <c r="F202">
        <v>0.1394</v>
      </c>
      <c r="G202">
        <v>0.12479999999999999</v>
      </c>
      <c r="H202">
        <v>0.12609999999999999</v>
      </c>
      <c r="I202">
        <v>0.1338</v>
      </c>
      <c r="J202">
        <v>0.17130000000000001</v>
      </c>
      <c r="K202">
        <v>0.16389999999999999</v>
      </c>
      <c r="L202">
        <v>0.16170000000000001</v>
      </c>
      <c r="M202" t="s">
        <v>41</v>
      </c>
      <c r="N202" t="s">
        <v>41</v>
      </c>
      <c r="O202" t="s">
        <v>41</v>
      </c>
      <c r="P202" t="s">
        <v>41</v>
      </c>
      <c r="Q202" t="s">
        <v>41</v>
      </c>
      <c r="R202" t="s">
        <v>41</v>
      </c>
      <c r="S202" t="s">
        <v>41</v>
      </c>
    </row>
    <row r="203" spans="1:19" x14ac:dyDescent="0.25">
      <c r="B203" t="s">
        <v>75</v>
      </c>
      <c r="C203" t="s">
        <v>114</v>
      </c>
      <c r="D203" t="s">
        <v>115</v>
      </c>
      <c r="E203" t="s">
        <v>49</v>
      </c>
      <c r="F203" t="s">
        <v>41</v>
      </c>
      <c r="G203">
        <v>1.2577</v>
      </c>
      <c r="H203">
        <v>1.4964999999999999</v>
      </c>
      <c r="I203">
        <v>1.6191</v>
      </c>
      <c r="J203">
        <v>1.7875000000000001</v>
      </c>
      <c r="K203">
        <v>2.4386999999999999</v>
      </c>
      <c r="L203">
        <v>2.4931000000000001</v>
      </c>
      <c r="M203" t="s">
        <v>41</v>
      </c>
      <c r="N203" t="s">
        <v>41</v>
      </c>
      <c r="O203" t="s">
        <v>41</v>
      </c>
      <c r="P203" t="s">
        <v>41</v>
      </c>
      <c r="Q203" t="s">
        <v>41</v>
      </c>
      <c r="R203" t="s">
        <v>41</v>
      </c>
      <c r="S203" t="s">
        <v>41</v>
      </c>
    </row>
    <row r="204" spans="1:19" x14ac:dyDescent="0.25">
      <c r="B204" t="s">
        <v>77</v>
      </c>
      <c r="C204" t="s">
        <v>114</v>
      </c>
      <c r="D204" t="s">
        <v>115</v>
      </c>
      <c r="E204" t="s">
        <v>49</v>
      </c>
      <c r="F204" t="s">
        <v>41</v>
      </c>
      <c r="H204">
        <v>0.45529999999999998</v>
      </c>
      <c r="I204">
        <v>0.47049999999999997</v>
      </c>
      <c r="J204">
        <v>0.4713</v>
      </c>
      <c r="K204">
        <v>0.45800000000000002</v>
      </c>
      <c r="L204">
        <v>0.42259999999999998</v>
      </c>
      <c r="M204" t="s">
        <v>41</v>
      </c>
      <c r="N204" t="s">
        <v>41</v>
      </c>
      <c r="O204" t="s">
        <v>41</v>
      </c>
      <c r="P204" t="s">
        <v>41</v>
      </c>
      <c r="Q204" t="s">
        <v>41</v>
      </c>
      <c r="R204" t="s">
        <v>41</v>
      </c>
      <c r="S204" t="s">
        <v>41</v>
      </c>
    </row>
    <row r="205" spans="1:19" x14ac:dyDescent="0.25">
      <c r="B205" t="s">
        <v>79</v>
      </c>
      <c r="C205" t="s">
        <v>114</v>
      </c>
      <c r="D205" t="s">
        <v>115</v>
      </c>
      <c r="E205" t="s">
        <v>49</v>
      </c>
      <c r="F205" t="s">
        <v>41</v>
      </c>
      <c r="G205">
        <v>0.111</v>
      </c>
      <c r="H205">
        <v>0.1255</v>
      </c>
      <c r="I205">
        <v>0.1227</v>
      </c>
      <c r="J205">
        <v>0.1143</v>
      </c>
      <c r="K205">
        <v>0.1149</v>
      </c>
      <c r="L205">
        <v>0.10059999999999999</v>
      </c>
      <c r="M205" t="s">
        <v>41</v>
      </c>
      <c r="N205" t="s">
        <v>41</v>
      </c>
      <c r="O205" t="s">
        <v>41</v>
      </c>
      <c r="P205" t="s">
        <v>41</v>
      </c>
      <c r="Q205" t="s">
        <v>41</v>
      </c>
      <c r="R205" t="s">
        <v>41</v>
      </c>
      <c r="S205" t="s">
        <v>41</v>
      </c>
    </row>
    <row r="206" spans="1:19" x14ac:dyDescent="0.25">
      <c r="B206" t="s">
        <v>81</v>
      </c>
      <c r="C206" t="s">
        <v>114</v>
      </c>
      <c r="D206" t="s">
        <v>115</v>
      </c>
      <c r="E206" t="s">
        <v>49</v>
      </c>
      <c r="F206" t="s">
        <v>41</v>
      </c>
      <c r="H206">
        <v>0.28110000000000002</v>
      </c>
      <c r="I206">
        <v>0.3175</v>
      </c>
      <c r="J206">
        <v>0.45619999999999999</v>
      </c>
      <c r="K206">
        <v>0.47889999999999999</v>
      </c>
      <c r="L206">
        <v>0.25409999999999999</v>
      </c>
      <c r="M206" t="s">
        <v>41</v>
      </c>
      <c r="N206" t="s">
        <v>41</v>
      </c>
      <c r="O206" t="s">
        <v>41</v>
      </c>
      <c r="P206" t="s">
        <v>41</v>
      </c>
      <c r="Q206" t="s">
        <v>41</v>
      </c>
      <c r="R206" t="s">
        <v>41</v>
      </c>
      <c r="S206" t="s">
        <v>41</v>
      </c>
    </row>
    <row r="207" spans="1:19" x14ac:dyDescent="0.25">
      <c r="A207" t="s">
        <v>45</v>
      </c>
      <c r="B207" t="s">
        <v>46</v>
      </c>
      <c r="C207" t="s">
        <v>47</v>
      </c>
      <c r="D207" t="s">
        <v>48</v>
      </c>
      <c r="E207" t="s">
        <v>49</v>
      </c>
      <c r="F207">
        <v>492000</v>
      </c>
      <c r="G207">
        <v>459000</v>
      </c>
      <c r="H207">
        <v>459000</v>
      </c>
      <c r="I207">
        <v>384000</v>
      </c>
      <c r="J207">
        <v>358498</v>
      </c>
      <c r="K207">
        <v>305000</v>
      </c>
      <c r="L207">
        <v>275000</v>
      </c>
      <c r="M207" t="s">
        <v>41</v>
      </c>
      <c r="N207" t="s">
        <v>41</v>
      </c>
      <c r="O207" t="s">
        <v>41</v>
      </c>
      <c r="P207" t="s">
        <v>41</v>
      </c>
      <c r="Q207" t="s">
        <v>41</v>
      </c>
      <c r="R207" t="s">
        <v>41</v>
      </c>
      <c r="S207" t="s">
        <v>41</v>
      </c>
    </row>
    <row r="208" spans="1:19" x14ac:dyDescent="0.25">
      <c r="A208" t="s">
        <v>50</v>
      </c>
      <c r="B208" t="s">
        <v>51</v>
      </c>
      <c r="C208" t="s">
        <v>47</v>
      </c>
      <c r="D208" t="s">
        <v>48</v>
      </c>
      <c r="E208" t="s">
        <v>49</v>
      </c>
      <c r="F208">
        <v>24516</v>
      </c>
      <c r="G208">
        <v>24381</v>
      </c>
      <c r="H208">
        <v>24670</v>
      </c>
      <c r="I208">
        <v>25561</v>
      </c>
      <c r="J208">
        <v>24950</v>
      </c>
      <c r="K208">
        <v>22546</v>
      </c>
      <c r="L208">
        <v>20774</v>
      </c>
      <c r="M208" t="s">
        <v>41</v>
      </c>
      <c r="N208" t="s">
        <v>41</v>
      </c>
      <c r="O208" t="s">
        <v>41</v>
      </c>
      <c r="P208" t="s">
        <v>41</v>
      </c>
      <c r="Q208" t="s">
        <v>41</v>
      </c>
      <c r="R208" t="s">
        <v>41</v>
      </c>
      <c r="S208" t="s">
        <v>41</v>
      </c>
    </row>
    <row r="209" spans="1:19" x14ac:dyDescent="0.25">
      <c r="A209" t="s">
        <v>52</v>
      </c>
      <c r="B209" t="s">
        <v>53</v>
      </c>
      <c r="C209" t="s">
        <v>47</v>
      </c>
      <c r="D209" t="s">
        <v>48</v>
      </c>
      <c r="E209" t="s">
        <v>49</v>
      </c>
      <c r="F209">
        <v>108317</v>
      </c>
      <c r="G209">
        <v>122110</v>
      </c>
      <c r="H209">
        <v>97267</v>
      </c>
      <c r="I209">
        <v>100096</v>
      </c>
      <c r="J209">
        <v>91322</v>
      </c>
      <c r="K209">
        <v>85865</v>
      </c>
      <c r="L209">
        <v>76320</v>
      </c>
      <c r="M209" t="s">
        <v>41</v>
      </c>
      <c r="N209" t="s">
        <v>41</v>
      </c>
      <c r="O209" t="s">
        <v>41</v>
      </c>
      <c r="P209" t="s">
        <v>41</v>
      </c>
      <c r="Q209" t="s">
        <v>41</v>
      </c>
      <c r="R209" t="s">
        <v>41</v>
      </c>
      <c r="S209" t="s">
        <v>41</v>
      </c>
    </row>
    <row r="210" spans="1:19" x14ac:dyDescent="0.25">
      <c r="A210" t="s">
        <v>54</v>
      </c>
      <c r="B210" t="s">
        <v>55</v>
      </c>
      <c r="C210" t="s">
        <v>47</v>
      </c>
      <c r="D210" t="s">
        <v>48</v>
      </c>
      <c r="E210" t="s">
        <v>49</v>
      </c>
      <c r="F210">
        <v>219300</v>
      </c>
      <c r="G210">
        <v>211313</v>
      </c>
      <c r="H210">
        <v>199698</v>
      </c>
      <c r="I210">
        <v>193077</v>
      </c>
      <c r="J210">
        <v>180639</v>
      </c>
      <c r="K210">
        <v>143643</v>
      </c>
      <c r="L210">
        <v>131430</v>
      </c>
      <c r="M210" t="s">
        <v>41</v>
      </c>
      <c r="N210" t="s">
        <v>41</v>
      </c>
      <c r="O210" t="s">
        <v>41</v>
      </c>
      <c r="P210" t="s">
        <v>41</v>
      </c>
      <c r="Q210" t="s">
        <v>41</v>
      </c>
      <c r="R210" t="s">
        <v>41</v>
      </c>
      <c r="S210" t="s">
        <v>41</v>
      </c>
    </row>
    <row r="211" spans="1:19" x14ac:dyDescent="0.25">
      <c r="A211" t="s">
        <v>56</v>
      </c>
      <c r="B211" t="s">
        <v>57</v>
      </c>
      <c r="C211" t="s">
        <v>47</v>
      </c>
      <c r="D211" t="s">
        <v>48</v>
      </c>
      <c r="E211" t="s">
        <v>49</v>
      </c>
      <c r="F211">
        <v>77500</v>
      </c>
      <c r="G211">
        <v>74000</v>
      </c>
      <c r="H211">
        <v>71000</v>
      </c>
      <c r="I211">
        <v>68000</v>
      </c>
      <c r="J211">
        <v>65000</v>
      </c>
      <c r="K211">
        <v>68000</v>
      </c>
      <c r="L211">
        <v>68000</v>
      </c>
      <c r="M211" t="s">
        <v>41</v>
      </c>
      <c r="N211" t="s">
        <v>41</v>
      </c>
      <c r="O211" t="s">
        <v>41</v>
      </c>
      <c r="P211" t="s">
        <v>41</v>
      </c>
      <c r="Q211" t="s">
        <v>41</v>
      </c>
      <c r="R211" t="s">
        <v>41</v>
      </c>
      <c r="S211" t="s">
        <v>41</v>
      </c>
    </row>
    <row r="212" spans="1:19" x14ac:dyDescent="0.25">
      <c r="A212" t="s">
        <v>58</v>
      </c>
      <c r="B212" t="s">
        <v>59</v>
      </c>
      <c r="C212" t="s">
        <v>47</v>
      </c>
      <c r="D212" t="s">
        <v>48</v>
      </c>
      <c r="E212" t="s">
        <v>49</v>
      </c>
      <c r="F212">
        <v>292500</v>
      </c>
      <c r="G212">
        <v>281600</v>
      </c>
      <c r="H212">
        <v>260000</v>
      </c>
      <c r="I212">
        <v>260200</v>
      </c>
      <c r="J212">
        <v>221700</v>
      </c>
      <c r="K212">
        <v>211500</v>
      </c>
      <c r="L212">
        <v>171400</v>
      </c>
      <c r="M212" t="s">
        <v>41</v>
      </c>
      <c r="N212" t="s">
        <v>41</v>
      </c>
      <c r="O212" t="s">
        <v>41</v>
      </c>
      <c r="P212" t="s">
        <v>41</v>
      </c>
      <c r="Q212" t="s">
        <v>41</v>
      </c>
      <c r="R212" t="s">
        <v>41</v>
      </c>
      <c r="S212" t="s">
        <v>41</v>
      </c>
    </row>
    <row r="213" spans="1:19" x14ac:dyDescent="0.25">
      <c r="A213" t="s">
        <v>60</v>
      </c>
      <c r="B213" t="s">
        <v>61</v>
      </c>
      <c r="C213" t="s">
        <v>47</v>
      </c>
      <c r="D213" t="s">
        <v>48</v>
      </c>
      <c r="E213" t="s">
        <v>49</v>
      </c>
      <c r="F213">
        <v>67000</v>
      </c>
      <c r="G213">
        <v>82000</v>
      </c>
      <c r="H213">
        <v>90000</v>
      </c>
      <c r="I213">
        <v>96000</v>
      </c>
      <c r="M213" t="s">
        <v>41</v>
      </c>
      <c r="N213" t="s">
        <v>41</v>
      </c>
      <c r="O213" t="s">
        <v>41</v>
      </c>
      <c r="P213" t="s">
        <v>41</v>
      </c>
      <c r="Q213" t="s">
        <v>41</v>
      </c>
      <c r="R213" t="s">
        <v>41</v>
      </c>
      <c r="S213" t="s">
        <v>41</v>
      </c>
    </row>
    <row r="214" spans="1:19" x14ac:dyDescent="0.25">
      <c r="A214" t="s">
        <v>62</v>
      </c>
      <c r="B214" t="s">
        <v>63</v>
      </c>
      <c r="C214" t="s">
        <v>47</v>
      </c>
      <c r="D214" t="s">
        <v>48</v>
      </c>
      <c r="E214" t="s">
        <v>49</v>
      </c>
      <c r="F214">
        <v>138000</v>
      </c>
      <c r="G214">
        <v>130000</v>
      </c>
      <c r="H214">
        <v>150000</v>
      </c>
      <c r="M214" t="s">
        <v>41</v>
      </c>
      <c r="N214" t="s">
        <v>41</v>
      </c>
      <c r="O214" t="s">
        <v>41</v>
      </c>
      <c r="P214" t="s">
        <v>41</v>
      </c>
      <c r="Q214" t="s">
        <v>41</v>
      </c>
      <c r="R214" t="s">
        <v>41</v>
      </c>
      <c r="S214" t="s">
        <v>41</v>
      </c>
    </row>
    <row r="215" spans="1:19" x14ac:dyDescent="0.25">
      <c r="A215" t="s">
        <v>64</v>
      </c>
      <c r="B215" t="s">
        <v>65</v>
      </c>
      <c r="C215" t="s">
        <v>47</v>
      </c>
      <c r="D215" t="s">
        <v>48</v>
      </c>
      <c r="E215" t="s">
        <v>49</v>
      </c>
      <c r="F215">
        <v>36739</v>
      </c>
      <c r="G215">
        <v>30200</v>
      </c>
      <c r="H215">
        <v>25962</v>
      </c>
      <c r="I215">
        <v>22383</v>
      </c>
      <c r="J215">
        <v>18354</v>
      </c>
      <c r="K215">
        <v>14109</v>
      </c>
      <c r="M215" t="s">
        <v>41</v>
      </c>
      <c r="N215" t="s">
        <v>41</v>
      </c>
      <c r="O215" t="s">
        <v>41</v>
      </c>
      <c r="P215" t="s">
        <v>41</v>
      </c>
      <c r="Q215" t="s">
        <v>41</v>
      </c>
      <c r="R215" t="s">
        <v>41</v>
      </c>
      <c r="S215" t="s">
        <v>41</v>
      </c>
    </row>
    <row r="216" spans="1:19" x14ac:dyDescent="0.25">
      <c r="A216" t="s">
        <v>66</v>
      </c>
      <c r="B216" t="s">
        <v>67</v>
      </c>
      <c r="C216" t="s">
        <v>47</v>
      </c>
      <c r="D216" t="s">
        <v>48</v>
      </c>
      <c r="E216" t="s">
        <v>49</v>
      </c>
      <c r="F216">
        <v>96500</v>
      </c>
      <c r="G216">
        <v>87000</v>
      </c>
      <c r="H216">
        <v>78000</v>
      </c>
      <c r="I216">
        <v>75000</v>
      </c>
      <c r="J216">
        <v>72000</v>
      </c>
      <c r="K216">
        <v>67900</v>
      </c>
      <c r="L216">
        <v>63600</v>
      </c>
      <c r="M216" t="s">
        <v>41</v>
      </c>
      <c r="N216" t="s">
        <v>41</v>
      </c>
      <c r="O216" t="s">
        <v>41</v>
      </c>
      <c r="P216" t="s">
        <v>41</v>
      </c>
      <c r="Q216" t="s">
        <v>41</v>
      </c>
      <c r="R216" t="s">
        <v>41</v>
      </c>
      <c r="S216" t="s">
        <v>41</v>
      </c>
    </row>
    <row r="217" spans="1:19" x14ac:dyDescent="0.25">
      <c r="A217" t="s">
        <v>68</v>
      </c>
      <c r="B217" t="s">
        <v>69</v>
      </c>
      <c r="C217" t="s">
        <v>47</v>
      </c>
      <c r="D217" t="s">
        <v>48</v>
      </c>
      <c r="E217" t="s">
        <v>49</v>
      </c>
      <c r="F217">
        <v>150423</v>
      </c>
      <c r="G217">
        <v>137965</v>
      </c>
      <c r="H217">
        <v>120081</v>
      </c>
      <c r="I217">
        <v>115973</v>
      </c>
      <c r="J217">
        <v>104896</v>
      </c>
      <c r="L217">
        <v>91691</v>
      </c>
      <c r="M217" t="s">
        <v>41</v>
      </c>
      <c r="N217" t="s">
        <v>41</v>
      </c>
      <c r="O217" t="s">
        <v>41</v>
      </c>
      <c r="P217" t="s">
        <v>41</v>
      </c>
      <c r="Q217" t="s">
        <v>41</v>
      </c>
      <c r="R217" t="s">
        <v>41</v>
      </c>
      <c r="S217" t="s">
        <v>41</v>
      </c>
    </row>
    <row r="218" spans="1:19" x14ac:dyDescent="0.25">
      <c r="A218" t="s">
        <v>70</v>
      </c>
      <c r="B218" t="s">
        <v>71</v>
      </c>
      <c r="C218" t="s">
        <v>47</v>
      </c>
      <c r="D218" t="s">
        <v>48</v>
      </c>
      <c r="E218" t="s">
        <v>49</v>
      </c>
      <c r="F218">
        <v>47409</v>
      </c>
      <c r="G218">
        <v>41572</v>
      </c>
      <c r="H218">
        <v>40020</v>
      </c>
      <c r="I218">
        <v>35660</v>
      </c>
      <c r="J218">
        <v>37073</v>
      </c>
      <c r="K218">
        <v>38552</v>
      </c>
      <c r="L218">
        <v>38548</v>
      </c>
      <c r="M218" t="s">
        <v>41</v>
      </c>
      <c r="N218" t="s">
        <v>41</v>
      </c>
      <c r="O218" t="s">
        <v>41</v>
      </c>
      <c r="P218" t="s">
        <v>41</v>
      </c>
      <c r="Q218" t="s">
        <v>41</v>
      </c>
      <c r="R218" t="s">
        <v>41</v>
      </c>
      <c r="S218" t="s">
        <v>41</v>
      </c>
    </row>
    <row r="219" spans="1:19" x14ac:dyDescent="0.25">
      <c r="A219" t="s">
        <v>72</v>
      </c>
      <c r="B219" t="s">
        <v>73</v>
      </c>
      <c r="C219" t="s">
        <v>47</v>
      </c>
      <c r="D219" t="s">
        <v>48</v>
      </c>
      <c r="E219" t="s">
        <v>49</v>
      </c>
      <c r="F219">
        <v>242371</v>
      </c>
      <c r="G219">
        <v>228123</v>
      </c>
      <c r="H219">
        <v>204107</v>
      </c>
      <c r="I219">
        <v>200364</v>
      </c>
      <c r="J219">
        <v>194044</v>
      </c>
      <c r="K219">
        <v>176187</v>
      </c>
      <c r="L219">
        <v>160405</v>
      </c>
      <c r="M219" t="s">
        <v>41</v>
      </c>
      <c r="N219" t="s">
        <v>41</v>
      </c>
      <c r="O219" t="s">
        <v>41</v>
      </c>
      <c r="P219" t="s">
        <v>41</v>
      </c>
      <c r="Q219" t="s">
        <v>41</v>
      </c>
      <c r="R219" t="s">
        <v>41</v>
      </c>
      <c r="S219" t="s">
        <v>41</v>
      </c>
    </row>
    <row r="220" spans="1:19" x14ac:dyDescent="0.25">
      <c r="A220" t="s">
        <v>74</v>
      </c>
      <c r="B220" t="s">
        <v>75</v>
      </c>
      <c r="C220" t="s">
        <v>47</v>
      </c>
      <c r="D220" t="s">
        <v>48</v>
      </c>
      <c r="E220" t="s">
        <v>49</v>
      </c>
      <c r="F220">
        <v>350600</v>
      </c>
      <c r="G220">
        <v>350600</v>
      </c>
      <c r="H220">
        <v>366600</v>
      </c>
      <c r="I220">
        <v>380300</v>
      </c>
      <c r="J220">
        <v>377757</v>
      </c>
      <c r="K220">
        <v>379592</v>
      </c>
      <c r="L220">
        <v>431212</v>
      </c>
      <c r="M220" t="s">
        <v>41</v>
      </c>
      <c r="N220" t="s">
        <v>41</v>
      </c>
      <c r="O220" t="s">
        <v>41</v>
      </c>
      <c r="P220" t="s">
        <v>41</v>
      </c>
      <c r="Q220" t="s">
        <v>41</v>
      </c>
      <c r="R220" t="s">
        <v>41</v>
      </c>
      <c r="S220" t="s">
        <v>41</v>
      </c>
    </row>
    <row r="221" spans="1:19" x14ac:dyDescent="0.25">
      <c r="A221" t="s">
        <v>76</v>
      </c>
      <c r="B221" t="s">
        <v>77</v>
      </c>
      <c r="C221" t="s">
        <v>47</v>
      </c>
      <c r="D221" t="s">
        <v>48</v>
      </c>
      <c r="E221" t="s">
        <v>49</v>
      </c>
      <c r="F221">
        <v>448464</v>
      </c>
      <c r="G221">
        <v>424285</v>
      </c>
      <c r="H221">
        <v>394998</v>
      </c>
      <c r="I221">
        <v>387223</v>
      </c>
      <c r="J221">
        <v>353843</v>
      </c>
      <c r="K221">
        <v>319656</v>
      </c>
      <c r="L221">
        <v>300464</v>
      </c>
      <c r="M221" t="s">
        <v>41</v>
      </c>
      <c r="N221" t="s">
        <v>41</v>
      </c>
      <c r="O221" t="s">
        <v>41</v>
      </c>
      <c r="P221" t="s">
        <v>41</v>
      </c>
      <c r="Q221" t="s">
        <v>41</v>
      </c>
      <c r="R221" t="s">
        <v>41</v>
      </c>
      <c r="S221" t="s">
        <v>41</v>
      </c>
    </row>
    <row r="222" spans="1:19" x14ac:dyDescent="0.25">
      <c r="A222" t="s">
        <v>78</v>
      </c>
      <c r="B222" t="s">
        <v>79</v>
      </c>
      <c r="C222" t="s">
        <v>47</v>
      </c>
      <c r="D222" t="s">
        <v>48</v>
      </c>
      <c r="E222" t="s">
        <v>49</v>
      </c>
      <c r="F222">
        <v>103822</v>
      </c>
      <c r="G222">
        <v>103822</v>
      </c>
      <c r="H222">
        <v>112807</v>
      </c>
      <c r="I222">
        <v>117693</v>
      </c>
      <c r="J222">
        <v>105432</v>
      </c>
      <c r="K222">
        <v>103281</v>
      </c>
      <c r="L222">
        <v>89441</v>
      </c>
      <c r="M222" t="s">
        <v>41</v>
      </c>
      <c r="N222" t="s">
        <v>41</v>
      </c>
      <c r="O222" t="s">
        <v>41</v>
      </c>
      <c r="P222" t="s">
        <v>41</v>
      </c>
      <c r="Q222" t="s">
        <v>41</v>
      </c>
      <c r="R222" t="s">
        <v>41</v>
      </c>
      <c r="S222" t="s">
        <v>41</v>
      </c>
    </row>
    <row r="223" spans="1:19" x14ac:dyDescent="0.25">
      <c r="A223" t="s">
        <v>80</v>
      </c>
      <c r="B223" t="s">
        <v>81</v>
      </c>
      <c r="C223" t="s">
        <v>47</v>
      </c>
      <c r="D223" t="s">
        <v>48</v>
      </c>
      <c r="E223" t="s">
        <v>49</v>
      </c>
      <c r="F223">
        <v>182886</v>
      </c>
      <c r="G223">
        <v>171425</v>
      </c>
      <c r="H223">
        <v>163827</v>
      </c>
      <c r="I223">
        <v>181482</v>
      </c>
      <c r="J223">
        <v>172912</v>
      </c>
      <c r="K223">
        <v>158217</v>
      </c>
      <c r="L223">
        <v>146053</v>
      </c>
      <c r="M223" t="s">
        <v>41</v>
      </c>
      <c r="N223" t="s">
        <v>41</v>
      </c>
      <c r="O223" t="s">
        <v>41</v>
      </c>
      <c r="P223" t="s">
        <v>41</v>
      </c>
      <c r="Q223" t="s">
        <v>41</v>
      </c>
      <c r="R223" t="s">
        <v>41</v>
      </c>
      <c r="S223" t="s">
        <v>41</v>
      </c>
    </row>
    <row r="224" spans="1:19" x14ac:dyDescent="0.25">
      <c r="A224" t="s">
        <v>45</v>
      </c>
      <c r="B224" t="s">
        <v>46</v>
      </c>
      <c r="C224" t="s">
        <v>87</v>
      </c>
      <c r="D224" t="s">
        <v>88</v>
      </c>
      <c r="E224" t="s">
        <v>49</v>
      </c>
      <c r="F224" t="s">
        <v>41</v>
      </c>
      <c r="G224">
        <v>489.08</v>
      </c>
      <c r="H224">
        <v>499.048</v>
      </c>
      <c r="I224">
        <v>512.29</v>
      </c>
      <c r="J224">
        <v>469.30599999999998</v>
      </c>
      <c r="K224">
        <v>436.31599999999997</v>
      </c>
      <c r="L224">
        <v>413.30399999999997</v>
      </c>
      <c r="M224" t="s">
        <v>41</v>
      </c>
      <c r="N224" t="s">
        <v>41</v>
      </c>
      <c r="O224" t="s">
        <v>41</v>
      </c>
      <c r="P224" t="s">
        <v>41</v>
      </c>
      <c r="Q224" t="s">
        <v>41</v>
      </c>
      <c r="R224" t="s">
        <v>41</v>
      </c>
      <c r="S224" t="s">
        <v>41</v>
      </c>
    </row>
    <row r="225" spans="1:19" x14ac:dyDescent="0.25">
      <c r="A225" t="s">
        <v>50</v>
      </c>
      <c r="B225" t="s">
        <v>51</v>
      </c>
      <c r="C225" t="s">
        <v>87</v>
      </c>
      <c r="D225" t="s">
        <v>88</v>
      </c>
      <c r="E225" t="s">
        <v>49</v>
      </c>
      <c r="F225" t="s">
        <v>41</v>
      </c>
      <c r="M225" t="s">
        <v>41</v>
      </c>
      <c r="N225" t="s">
        <v>41</v>
      </c>
      <c r="O225" t="s">
        <v>41</v>
      </c>
      <c r="P225" t="s">
        <v>41</v>
      </c>
      <c r="Q225" t="s">
        <v>41</v>
      </c>
      <c r="R225" t="s">
        <v>41</v>
      </c>
      <c r="S225" t="s">
        <v>41</v>
      </c>
    </row>
    <row r="226" spans="1:19" x14ac:dyDescent="0.25">
      <c r="A226" t="s">
        <v>52</v>
      </c>
      <c r="B226" t="s">
        <v>53</v>
      </c>
      <c r="C226" t="s">
        <v>87</v>
      </c>
      <c r="D226" t="s">
        <v>88</v>
      </c>
      <c r="E226" t="s">
        <v>49</v>
      </c>
      <c r="F226">
        <v>702.39800000000002</v>
      </c>
      <c r="G226">
        <v>748.26800000000003</v>
      </c>
      <c r="H226">
        <v>774.88900000000001</v>
      </c>
      <c r="I226">
        <v>763.40200000000004</v>
      </c>
      <c r="J226">
        <v>622.42100000000005</v>
      </c>
      <c r="K226">
        <v>575.69000000000005</v>
      </c>
      <c r="L226">
        <v>611.28</v>
      </c>
      <c r="M226" t="s">
        <v>41</v>
      </c>
      <c r="N226" t="s">
        <v>41</v>
      </c>
      <c r="O226" t="s">
        <v>41</v>
      </c>
      <c r="P226" t="s">
        <v>41</v>
      </c>
      <c r="Q226" t="s">
        <v>41</v>
      </c>
      <c r="R226" t="s">
        <v>41</v>
      </c>
      <c r="S226" t="s">
        <v>41</v>
      </c>
    </row>
    <row r="227" spans="1:19" x14ac:dyDescent="0.25">
      <c r="A227" t="s">
        <v>54</v>
      </c>
      <c r="B227" t="s">
        <v>55</v>
      </c>
      <c r="C227" t="s">
        <v>87</v>
      </c>
      <c r="D227" t="s">
        <v>88</v>
      </c>
      <c r="E227" t="s">
        <v>49</v>
      </c>
      <c r="F227">
        <v>368.06799999999998</v>
      </c>
      <c r="G227">
        <v>380.15</v>
      </c>
      <c r="H227">
        <v>412.31299999999999</v>
      </c>
      <c r="I227">
        <v>418.43200000000002</v>
      </c>
      <c r="J227">
        <v>432.71600000000001</v>
      </c>
      <c r="K227">
        <v>376.66800000000001</v>
      </c>
      <c r="L227">
        <v>392.51100000000002</v>
      </c>
      <c r="M227" t="s">
        <v>41</v>
      </c>
      <c r="N227" t="s">
        <v>41</v>
      </c>
      <c r="O227" t="s">
        <v>41</v>
      </c>
      <c r="P227" t="s">
        <v>41</v>
      </c>
      <c r="Q227" t="s">
        <v>41</v>
      </c>
      <c r="R227" t="s">
        <v>41</v>
      </c>
      <c r="S227" t="s">
        <v>41</v>
      </c>
    </row>
    <row r="228" spans="1:19" x14ac:dyDescent="0.25">
      <c r="A228" t="s">
        <v>56</v>
      </c>
      <c r="B228" t="s">
        <v>57</v>
      </c>
      <c r="C228" t="s">
        <v>87</v>
      </c>
      <c r="D228" t="s">
        <v>88</v>
      </c>
      <c r="E228" t="s">
        <v>49</v>
      </c>
      <c r="F228" t="s">
        <v>41</v>
      </c>
      <c r="K228">
        <v>303.99299999999999</v>
      </c>
      <c r="L228">
        <v>325.30700000000002</v>
      </c>
      <c r="M228" t="s">
        <v>41</v>
      </c>
      <c r="N228" t="s">
        <v>41</v>
      </c>
      <c r="O228" t="s">
        <v>41</v>
      </c>
      <c r="P228" t="s">
        <v>41</v>
      </c>
      <c r="Q228" t="s">
        <v>41</v>
      </c>
      <c r="R228" t="s">
        <v>41</v>
      </c>
      <c r="S228" t="s">
        <v>41</v>
      </c>
    </row>
    <row r="229" spans="1:19" x14ac:dyDescent="0.25">
      <c r="A229" t="s">
        <v>58</v>
      </c>
      <c r="B229" t="s">
        <v>59</v>
      </c>
      <c r="C229" t="s">
        <v>87</v>
      </c>
      <c r="D229" t="s">
        <v>88</v>
      </c>
      <c r="E229" t="s">
        <v>49</v>
      </c>
      <c r="F229" t="s">
        <v>41</v>
      </c>
      <c r="I229">
        <v>67.454999999999998</v>
      </c>
      <c r="J229">
        <v>300.61399999999998</v>
      </c>
      <c r="K229">
        <v>301.017</v>
      </c>
      <c r="L229">
        <v>259.06200000000001</v>
      </c>
      <c r="M229" t="s">
        <v>41</v>
      </c>
      <c r="N229" t="s">
        <v>41</v>
      </c>
      <c r="O229" t="s">
        <v>41</v>
      </c>
      <c r="P229" t="s">
        <v>41</v>
      </c>
      <c r="Q229" t="s">
        <v>41</v>
      </c>
      <c r="R229" t="s">
        <v>41</v>
      </c>
      <c r="S229" t="s">
        <v>41</v>
      </c>
    </row>
    <row r="230" spans="1:19" x14ac:dyDescent="0.25">
      <c r="A230" t="s">
        <v>60</v>
      </c>
      <c r="B230" t="s">
        <v>61</v>
      </c>
      <c r="C230" t="s">
        <v>87</v>
      </c>
      <c r="D230" t="s">
        <v>88</v>
      </c>
      <c r="E230" t="s">
        <v>49</v>
      </c>
      <c r="F230" t="s">
        <v>41</v>
      </c>
      <c r="M230" t="s">
        <v>41</v>
      </c>
      <c r="N230" t="s">
        <v>41</v>
      </c>
      <c r="O230" t="s">
        <v>41</v>
      </c>
      <c r="P230" t="s">
        <v>41</v>
      </c>
      <c r="Q230" t="s">
        <v>41</v>
      </c>
      <c r="R230" t="s">
        <v>41</v>
      </c>
      <c r="S230" t="s">
        <v>41</v>
      </c>
    </row>
    <row r="231" spans="1:19" x14ac:dyDescent="0.25">
      <c r="A231" t="s">
        <v>62</v>
      </c>
      <c r="B231" t="s">
        <v>63</v>
      </c>
      <c r="C231" t="s">
        <v>87</v>
      </c>
      <c r="D231" t="s">
        <v>88</v>
      </c>
      <c r="E231" t="s">
        <v>49</v>
      </c>
      <c r="F231" t="s">
        <v>41</v>
      </c>
      <c r="G231">
        <v>1867.92</v>
      </c>
      <c r="H231">
        <v>2184.91</v>
      </c>
      <c r="M231" t="s">
        <v>41</v>
      </c>
      <c r="N231" t="s">
        <v>41</v>
      </c>
      <c r="O231" t="s">
        <v>41</v>
      </c>
      <c r="P231" t="s">
        <v>41</v>
      </c>
      <c r="Q231" t="s">
        <v>41</v>
      </c>
      <c r="R231" t="s">
        <v>41</v>
      </c>
      <c r="S231" t="s">
        <v>41</v>
      </c>
    </row>
    <row r="232" spans="1:19" x14ac:dyDescent="0.25">
      <c r="A232" t="s">
        <v>64</v>
      </c>
      <c r="B232" t="s">
        <v>65</v>
      </c>
      <c r="C232" t="s">
        <v>87</v>
      </c>
      <c r="D232" t="s">
        <v>88</v>
      </c>
      <c r="E232" t="s">
        <v>49</v>
      </c>
      <c r="F232" t="s">
        <v>41</v>
      </c>
      <c r="M232" t="s">
        <v>41</v>
      </c>
      <c r="N232" t="s">
        <v>41</v>
      </c>
      <c r="O232" t="s">
        <v>41</v>
      </c>
      <c r="P232" t="s">
        <v>41</v>
      </c>
      <c r="Q232" t="s">
        <v>41</v>
      </c>
      <c r="R232" t="s">
        <v>41</v>
      </c>
      <c r="S232" t="s">
        <v>41</v>
      </c>
    </row>
    <row r="233" spans="1:19" x14ac:dyDescent="0.25">
      <c r="A233" t="s">
        <v>66</v>
      </c>
      <c r="B233" t="s">
        <v>67</v>
      </c>
      <c r="C233" t="s">
        <v>87</v>
      </c>
      <c r="D233" t="s">
        <v>88</v>
      </c>
      <c r="E233" t="s">
        <v>49</v>
      </c>
      <c r="F233" t="s">
        <v>41</v>
      </c>
      <c r="H233">
        <v>102.736</v>
      </c>
      <c r="I233">
        <v>94.293000000000006</v>
      </c>
      <c r="J233">
        <v>98.903999999999996</v>
      </c>
      <c r="L233">
        <v>90.778000000000006</v>
      </c>
      <c r="M233" t="s">
        <v>41</v>
      </c>
      <c r="N233" t="s">
        <v>41</v>
      </c>
      <c r="O233" t="s">
        <v>41</v>
      </c>
      <c r="P233" t="s">
        <v>41</v>
      </c>
      <c r="Q233" t="s">
        <v>41</v>
      </c>
      <c r="R233" t="s">
        <v>41</v>
      </c>
      <c r="S233" t="s">
        <v>41</v>
      </c>
    </row>
    <row r="234" spans="1:19" x14ac:dyDescent="0.25">
      <c r="A234" t="s">
        <v>68</v>
      </c>
      <c r="B234" t="s">
        <v>69</v>
      </c>
      <c r="C234" t="s">
        <v>87</v>
      </c>
      <c r="D234" t="s">
        <v>88</v>
      </c>
      <c r="E234" t="s">
        <v>49</v>
      </c>
      <c r="F234" t="s">
        <v>41</v>
      </c>
      <c r="J234">
        <v>296.512</v>
      </c>
      <c r="L234">
        <v>309.26</v>
      </c>
      <c r="M234" t="s">
        <v>41</v>
      </c>
      <c r="N234" t="s">
        <v>41</v>
      </c>
      <c r="O234" t="s">
        <v>41</v>
      </c>
      <c r="P234" t="s">
        <v>41</v>
      </c>
      <c r="Q234" t="s">
        <v>41</v>
      </c>
      <c r="R234" t="s">
        <v>41</v>
      </c>
      <c r="S234" t="s">
        <v>41</v>
      </c>
    </row>
    <row r="235" spans="1:19" x14ac:dyDescent="0.25">
      <c r="A235" t="s">
        <v>70</v>
      </c>
      <c r="B235" t="s">
        <v>71</v>
      </c>
      <c r="C235" t="s">
        <v>87</v>
      </c>
      <c r="D235" t="s">
        <v>88</v>
      </c>
      <c r="E235" t="s">
        <v>49</v>
      </c>
      <c r="F235">
        <v>81.649000000000001</v>
      </c>
      <c r="G235">
        <v>82.207999999999998</v>
      </c>
      <c r="H235">
        <v>76.081999999999994</v>
      </c>
      <c r="I235">
        <v>77.637</v>
      </c>
      <c r="J235">
        <v>86.152000000000001</v>
      </c>
      <c r="K235">
        <v>91.710999999999999</v>
      </c>
      <c r="L235">
        <v>104.852</v>
      </c>
      <c r="M235" t="s">
        <v>41</v>
      </c>
      <c r="N235" t="s">
        <v>41</v>
      </c>
      <c r="O235" t="s">
        <v>41</v>
      </c>
      <c r="P235" t="s">
        <v>41</v>
      </c>
      <c r="Q235" t="s">
        <v>41</v>
      </c>
      <c r="R235" t="s">
        <v>41</v>
      </c>
      <c r="S235" t="s">
        <v>41</v>
      </c>
    </row>
    <row r="236" spans="1:19" x14ac:dyDescent="0.25">
      <c r="A236" t="s">
        <v>72</v>
      </c>
      <c r="B236" t="s">
        <v>73</v>
      </c>
      <c r="C236" t="s">
        <v>87</v>
      </c>
      <c r="D236" t="s">
        <v>88</v>
      </c>
      <c r="E236" t="s">
        <v>49</v>
      </c>
      <c r="F236">
        <v>286.04899999999998</v>
      </c>
      <c r="G236">
        <v>278.70400000000001</v>
      </c>
      <c r="H236">
        <v>263.48200000000003</v>
      </c>
      <c r="I236">
        <v>266.57299999999998</v>
      </c>
      <c r="J236">
        <v>265.89299999999997</v>
      </c>
      <c r="K236">
        <v>257.57600000000002</v>
      </c>
      <c r="L236">
        <v>284.41000000000003</v>
      </c>
      <c r="M236" t="s">
        <v>41</v>
      </c>
      <c r="N236" t="s">
        <v>41</v>
      </c>
      <c r="O236" t="s">
        <v>41</v>
      </c>
      <c r="P236" t="s">
        <v>41</v>
      </c>
      <c r="Q236" t="s">
        <v>41</v>
      </c>
      <c r="R236" t="s">
        <v>41</v>
      </c>
      <c r="S236" t="s">
        <v>41</v>
      </c>
    </row>
    <row r="237" spans="1:19" x14ac:dyDescent="0.25">
      <c r="A237" t="s">
        <v>74</v>
      </c>
      <c r="B237" t="s">
        <v>75</v>
      </c>
      <c r="C237" t="s">
        <v>87</v>
      </c>
      <c r="D237" t="s">
        <v>88</v>
      </c>
      <c r="E237" t="s">
        <v>49</v>
      </c>
      <c r="F237" t="s">
        <v>41</v>
      </c>
      <c r="G237">
        <v>4666.51</v>
      </c>
      <c r="H237">
        <v>4192.5200000000004</v>
      </c>
      <c r="I237">
        <v>4373.54</v>
      </c>
      <c r="J237">
        <v>5375.73</v>
      </c>
      <c r="K237">
        <v>6173.4</v>
      </c>
      <c r="L237">
        <v>6297.3</v>
      </c>
      <c r="M237" t="s">
        <v>41</v>
      </c>
      <c r="N237" t="s">
        <v>41</v>
      </c>
      <c r="O237" t="s">
        <v>41</v>
      </c>
      <c r="P237" t="s">
        <v>41</v>
      </c>
      <c r="Q237" t="s">
        <v>41</v>
      </c>
      <c r="R237" t="s">
        <v>41</v>
      </c>
      <c r="S237" t="s">
        <v>41</v>
      </c>
    </row>
    <row r="238" spans="1:19" x14ac:dyDescent="0.25">
      <c r="A238" t="s">
        <v>76</v>
      </c>
      <c r="B238" t="s">
        <v>77</v>
      </c>
      <c r="C238" t="s">
        <v>87</v>
      </c>
      <c r="D238" t="s">
        <v>88</v>
      </c>
      <c r="E238" t="s">
        <v>49</v>
      </c>
      <c r="F238" t="s">
        <v>41</v>
      </c>
      <c r="H238">
        <v>1206.1099999999999</v>
      </c>
      <c r="I238">
        <v>638.88900000000001</v>
      </c>
      <c r="J238">
        <v>669.37599999999998</v>
      </c>
      <c r="K238">
        <v>692.36800000000005</v>
      </c>
      <c r="L238">
        <v>610.78700000000003</v>
      </c>
      <c r="M238" t="s">
        <v>41</v>
      </c>
      <c r="N238" t="s">
        <v>41</v>
      </c>
      <c r="O238" t="s">
        <v>41</v>
      </c>
      <c r="P238" t="s">
        <v>41</v>
      </c>
      <c r="Q238" t="s">
        <v>41</v>
      </c>
      <c r="R238" t="s">
        <v>41</v>
      </c>
      <c r="S238" t="s">
        <v>41</v>
      </c>
    </row>
    <row r="239" spans="1:19" x14ac:dyDescent="0.25">
      <c r="A239" t="s">
        <v>78</v>
      </c>
      <c r="B239" t="s">
        <v>79</v>
      </c>
      <c r="C239" t="s">
        <v>87</v>
      </c>
      <c r="D239" t="s">
        <v>88</v>
      </c>
      <c r="E239" t="s">
        <v>49</v>
      </c>
      <c r="F239" t="s">
        <v>41</v>
      </c>
      <c r="G239">
        <v>166.49700000000001</v>
      </c>
      <c r="H239">
        <v>160.72999999999999</v>
      </c>
      <c r="I239">
        <v>160.40600000000001</v>
      </c>
      <c r="J239">
        <v>155.24299999999999</v>
      </c>
      <c r="K239">
        <v>167.607</v>
      </c>
      <c r="L239">
        <v>150.91399999999999</v>
      </c>
      <c r="M239" t="s">
        <v>41</v>
      </c>
      <c r="N239" t="s">
        <v>41</v>
      </c>
      <c r="O239" t="s">
        <v>41</v>
      </c>
      <c r="P239" t="s">
        <v>41</v>
      </c>
      <c r="Q239" t="s">
        <v>41</v>
      </c>
      <c r="R239" t="s">
        <v>41</v>
      </c>
      <c r="S239" t="s">
        <v>41</v>
      </c>
    </row>
    <row r="240" spans="1:19" x14ac:dyDescent="0.25">
      <c r="A240" t="s">
        <v>80</v>
      </c>
      <c r="B240" t="s">
        <v>81</v>
      </c>
      <c r="C240" t="s">
        <v>87</v>
      </c>
      <c r="D240" t="s">
        <v>88</v>
      </c>
      <c r="E240" t="s">
        <v>49</v>
      </c>
      <c r="F240" t="s">
        <v>41</v>
      </c>
      <c r="G240">
        <v>250.22200000000001</v>
      </c>
      <c r="H240">
        <v>358.29899999999998</v>
      </c>
      <c r="I240">
        <v>409.55099999999999</v>
      </c>
      <c r="J240">
        <v>423.30599999999998</v>
      </c>
      <c r="K240">
        <v>421.48700000000002</v>
      </c>
      <c r="L240">
        <v>412.279</v>
      </c>
      <c r="M240" t="s">
        <v>41</v>
      </c>
      <c r="N240" t="s">
        <v>41</v>
      </c>
      <c r="O240" t="s">
        <v>41</v>
      </c>
      <c r="P240" t="s">
        <v>41</v>
      </c>
      <c r="Q240" t="s">
        <v>41</v>
      </c>
      <c r="R240" t="s">
        <v>41</v>
      </c>
      <c r="S240" t="s">
        <v>41</v>
      </c>
    </row>
    <row r="241" spans="1:19" x14ac:dyDescent="0.25">
      <c r="A241" t="s">
        <v>45</v>
      </c>
      <c r="B241" t="s">
        <v>46</v>
      </c>
      <c r="C241" t="s">
        <v>90</v>
      </c>
      <c r="D241" t="s">
        <v>91</v>
      </c>
      <c r="E241" t="s">
        <v>49</v>
      </c>
      <c r="F241" t="s">
        <v>41</v>
      </c>
      <c r="G241">
        <v>111.574</v>
      </c>
      <c r="H241">
        <v>101.898</v>
      </c>
      <c r="M241" t="s">
        <v>41</v>
      </c>
      <c r="N241" t="s">
        <v>41</v>
      </c>
      <c r="O241" t="s">
        <v>41</v>
      </c>
      <c r="P241" t="s">
        <v>41</v>
      </c>
      <c r="Q241" t="s">
        <v>41</v>
      </c>
      <c r="R241" t="s">
        <v>41</v>
      </c>
      <c r="S241" t="s">
        <v>41</v>
      </c>
    </row>
    <row r="242" spans="1:19" x14ac:dyDescent="0.25">
      <c r="A242" t="s">
        <v>50</v>
      </c>
      <c r="B242" t="s">
        <v>51</v>
      </c>
      <c r="C242" t="s">
        <v>90</v>
      </c>
      <c r="D242" t="s">
        <v>91</v>
      </c>
      <c r="E242" t="s">
        <v>49</v>
      </c>
      <c r="F242" t="s">
        <v>41</v>
      </c>
      <c r="M242" t="s">
        <v>41</v>
      </c>
      <c r="N242" t="s">
        <v>41</v>
      </c>
      <c r="O242" t="s">
        <v>41</v>
      </c>
      <c r="P242" t="s">
        <v>41</v>
      </c>
      <c r="Q242" t="s">
        <v>41</v>
      </c>
      <c r="R242" t="s">
        <v>41</v>
      </c>
      <c r="S242" t="s">
        <v>41</v>
      </c>
    </row>
    <row r="243" spans="1:19" x14ac:dyDescent="0.25">
      <c r="A243" t="s">
        <v>52</v>
      </c>
      <c r="B243" t="s">
        <v>53</v>
      </c>
      <c r="C243" t="s">
        <v>90</v>
      </c>
      <c r="D243" t="s">
        <v>91</v>
      </c>
      <c r="E243" t="s">
        <v>49</v>
      </c>
      <c r="F243">
        <v>210.416</v>
      </c>
      <c r="G243">
        <v>243.74</v>
      </c>
      <c r="H243">
        <v>130.38900000000001</v>
      </c>
      <c r="I243">
        <v>102.431</v>
      </c>
      <c r="J243">
        <v>193.92400000000001</v>
      </c>
      <c r="K243">
        <v>0</v>
      </c>
      <c r="M243" t="s">
        <v>41</v>
      </c>
      <c r="N243" t="s">
        <v>41</v>
      </c>
      <c r="O243" t="s">
        <v>41</v>
      </c>
      <c r="P243" t="s">
        <v>41</v>
      </c>
      <c r="Q243" t="s">
        <v>41</v>
      </c>
      <c r="R243" t="s">
        <v>41</v>
      </c>
      <c r="S243" t="s">
        <v>41</v>
      </c>
    </row>
    <row r="244" spans="1:19" x14ac:dyDescent="0.25">
      <c r="A244" t="s">
        <v>54</v>
      </c>
      <c r="B244" t="s">
        <v>55</v>
      </c>
      <c r="C244" t="s">
        <v>90</v>
      </c>
      <c r="D244" t="s">
        <v>91</v>
      </c>
      <c r="E244" t="s">
        <v>49</v>
      </c>
      <c r="F244">
        <v>156.52500000000001</v>
      </c>
      <c r="G244">
        <v>82.078000000000003</v>
      </c>
      <c r="H244">
        <v>70.158000000000001</v>
      </c>
      <c r="I244">
        <v>87.864000000000004</v>
      </c>
      <c r="M244" t="s">
        <v>41</v>
      </c>
      <c r="N244" t="s">
        <v>41</v>
      </c>
      <c r="O244" t="s">
        <v>41</v>
      </c>
      <c r="P244" t="s">
        <v>41</v>
      </c>
      <c r="Q244" t="s">
        <v>41</v>
      </c>
      <c r="R244" t="s">
        <v>41</v>
      </c>
      <c r="S244" t="s">
        <v>41</v>
      </c>
    </row>
    <row r="245" spans="1:19" x14ac:dyDescent="0.25">
      <c r="A245" t="s">
        <v>56</v>
      </c>
      <c r="B245" t="s">
        <v>57</v>
      </c>
      <c r="C245" t="s">
        <v>90</v>
      </c>
      <c r="D245" t="s">
        <v>91</v>
      </c>
      <c r="E245" t="s">
        <v>49</v>
      </c>
      <c r="F245" t="s">
        <v>41</v>
      </c>
      <c r="M245" t="s">
        <v>41</v>
      </c>
      <c r="N245" t="s">
        <v>41</v>
      </c>
      <c r="O245" t="s">
        <v>41</v>
      </c>
      <c r="P245" t="s">
        <v>41</v>
      </c>
      <c r="Q245" t="s">
        <v>41</v>
      </c>
      <c r="R245" t="s">
        <v>41</v>
      </c>
      <c r="S245" t="s">
        <v>41</v>
      </c>
    </row>
    <row r="246" spans="1:19" x14ac:dyDescent="0.25">
      <c r="A246" t="s">
        <v>58</v>
      </c>
      <c r="B246" t="s">
        <v>59</v>
      </c>
      <c r="C246" t="s">
        <v>90</v>
      </c>
      <c r="D246" t="s">
        <v>91</v>
      </c>
      <c r="E246" t="s">
        <v>49</v>
      </c>
      <c r="F246" t="s">
        <v>41</v>
      </c>
      <c r="I246">
        <v>33.61</v>
      </c>
      <c r="J246">
        <v>21.469000000000001</v>
      </c>
      <c r="K246">
        <v>25.597999999999999</v>
      </c>
      <c r="L246">
        <v>23.638999999999999</v>
      </c>
      <c r="M246" t="s">
        <v>41</v>
      </c>
      <c r="N246" t="s">
        <v>41</v>
      </c>
      <c r="O246" t="s">
        <v>41</v>
      </c>
      <c r="P246" t="s">
        <v>41</v>
      </c>
      <c r="Q246" t="s">
        <v>41</v>
      </c>
      <c r="R246" t="s">
        <v>41</v>
      </c>
      <c r="S246" t="s">
        <v>41</v>
      </c>
    </row>
    <row r="247" spans="1:19" x14ac:dyDescent="0.25">
      <c r="A247" t="s">
        <v>60</v>
      </c>
      <c r="B247" t="s">
        <v>61</v>
      </c>
      <c r="C247" t="s">
        <v>90</v>
      </c>
      <c r="D247" t="s">
        <v>91</v>
      </c>
      <c r="E247" t="s">
        <v>49</v>
      </c>
      <c r="F247" t="s">
        <v>41</v>
      </c>
      <c r="M247" t="s">
        <v>41</v>
      </c>
      <c r="N247" t="s">
        <v>41</v>
      </c>
      <c r="O247" t="s">
        <v>41</v>
      </c>
      <c r="P247" t="s">
        <v>41</v>
      </c>
      <c r="Q247" t="s">
        <v>41</v>
      </c>
      <c r="R247" t="s">
        <v>41</v>
      </c>
      <c r="S247" t="s">
        <v>41</v>
      </c>
    </row>
    <row r="248" spans="1:19" x14ac:dyDescent="0.25">
      <c r="A248" t="s">
        <v>62</v>
      </c>
      <c r="B248" t="s">
        <v>63</v>
      </c>
      <c r="C248" t="s">
        <v>90</v>
      </c>
      <c r="D248" t="s">
        <v>91</v>
      </c>
      <c r="E248" t="s">
        <v>49</v>
      </c>
      <c r="F248" t="s">
        <v>41</v>
      </c>
      <c r="G248">
        <v>317.601</v>
      </c>
      <c r="H248">
        <v>238.18700000000001</v>
      </c>
      <c r="M248" t="s">
        <v>41</v>
      </c>
      <c r="N248" t="s">
        <v>41</v>
      </c>
      <c r="O248" t="s">
        <v>41</v>
      </c>
      <c r="P248" t="s">
        <v>41</v>
      </c>
      <c r="Q248" t="s">
        <v>41</v>
      </c>
      <c r="R248" t="s">
        <v>41</v>
      </c>
      <c r="S248" t="s">
        <v>41</v>
      </c>
    </row>
    <row r="249" spans="1:19" x14ac:dyDescent="0.25">
      <c r="A249" t="s">
        <v>64</v>
      </c>
      <c r="B249" t="s">
        <v>65</v>
      </c>
      <c r="C249" t="s">
        <v>90</v>
      </c>
      <c r="D249" t="s">
        <v>91</v>
      </c>
      <c r="E249" t="s">
        <v>49</v>
      </c>
      <c r="F249" t="s">
        <v>41</v>
      </c>
      <c r="M249" t="s">
        <v>41</v>
      </c>
      <c r="N249" t="s">
        <v>41</v>
      </c>
      <c r="O249" t="s">
        <v>41</v>
      </c>
      <c r="P249" t="s">
        <v>41</v>
      </c>
      <c r="Q249" t="s">
        <v>41</v>
      </c>
      <c r="R249" t="s">
        <v>41</v>
      </c>
      <c r="S249" t="s">
        <v>41</v>
      </c>
    </row>
    <row r="250" spans="1:19" x14ac:dyDescent="0.25">
      <c r="A250" t="s">
        <v>66</v>
      </c>
      <c r="B250" t="s">
        <v>67</v>
      </c>
      <c r="C250" t="s">
        <v>90</v>
      </c>
      <c r="D250" t="s">
        <v>91</v>
      </c>
      <c r="E250" t="s">
        <v>49</v>
      </c>
      <c r="F250" t="s">
        <v>41</v>
      </c>
      <c r="H250">
        <v>11.747999999999999</v>
      </c>
      <c r="I250">
        <v>4.5410000000000004</v>
      </c>
      <c r="M250" t="s">
        <v>41</v>
      </c>
      <c r="N250" t="s">
        <v>41</v>
      </c>
      <c r="O250" t="s">
        <v>41</v>
      </c>
      <c r="P250" t="s">
        <v>41</v>
      </c>
      <c r="Q250" t="s">
        <v>41</v>
      </c>
      <c r="R250" t="s">
        <v>41</v>
      </c>
      <c r="S250" t="s">
        <v>41</v>
      </c>
    </row>
    <row r="251" spans="1:19" x14ac:dyDescent="0.25">
      <c r="A251" t="s">
        <v>68</v>
      </c>
      <c r="B251" t="s">
        <v>69</v>
      </c>
      <c r="C251" t="s">
        <v>90</v>
      </c>
      <c r="D251" t="s">
        <v>91</v>
      </c>
      <c r="E251" t="s">
        <v>49</v>
      </c>
      <c r="F251" t="s">
        <v>41</v>
      </c>
      <c r="M251" t="s">
        <v>41</v>
      </c>
      <c r="N251" t="s">
        <v>41</v>
      </c>
      <c r="O251" t="s">
        <v>41</v>
      </c>
      <c r="P251" t="s">
        <v>41</v>
      </c>
      <c r="Q251" t="s">
        <v>41</v>
      </c>
      <c r="R251" t="s">
        <v>41</v>
      </c>
      <c r="S251" t="s">
        <v>41</v>
      </c>
    </row>
    <row r="252" spans="1:19" x14ac:dyDescent="0.25">
      <c r="A252" t="s">
        <v>70</v>
      </c>
      <c r="B252" t="s">
        <v>71</v>
      </c>
      <c r="C252" t="s">
        <v>90</v>
      </c>
      <c r="D252" t="s">
        <v>91</v>
      </c>
      <c r="E252" t="s">
        <v>49</v>
      </c>
      <c r="F252" t="s">
        <v>41</v>
      </c>
      <c r="M252" t="s">
        <v>41</v>
      </c>
      <c r="N252" t="s">
        <v>41</v>
      </c>
      <c r="O252" t="s">
        <v>41</v>
      </c>
      <c r="P252" t="s">
        <v>41</v>
      </c>
      <c r="Q252" t="s">
        <v>41</v>
      </c>
      <c r="R252" t="s">
        <v>41</v>
      </c>
      <c r="S252" t="s">
        <v>41</v>
      </c>
    </row>
    <row r="253" spans="1:19" x14ac:dyDescent="0.25">
      <c r="A253" t="s">
        <v>72</v>
      </c>
      <c r="B253" t="s">
        <v>73</v>
      </c>
      <c r="C253" t="s">
        <v>90</v>
      </c>
      <c r="D253" t="s">
        <v>91</v>
      </c>
      <c r="E253" t="s">
        <v>49</v>
      </c>
      <c r="F253">
        <v>124.822</v>
      </c>
      <c r="G253">
        <v>125.60899999999999</v>
      </c>
      <c r="H253">
        <v>113.07299999999999</v>
      </c>
      <c r="I253">
        <v>118.90300000000001</v>
      </c>
      <c r="J253">
        <v>69.802999999999997</v>
      </c>
      <c r="K253">
        <v>74.986000000000004</v>
      </c>
      <c r="L253">
        <v>75.674000000000007</v>
      </c>
      <c r="M253" t="s">
        <v>41</v>
      </c>
      <c r="N253" t="s">
        <v>41</v>
      </c>
      <c r="O253" t="s">
        <v>41</v>
      </c>
      <c r="P253" t="s">
        <v>41</v>
      </c>
      <c r="Q253" t="s">
        <v>41</v>
      </c>
      <c r="R253" t="s">
        <v>41</v>
      </c>
      <c r="S253" t="s">
        <v>41</v>
      </c>
    </row>
    <row r="254" spans="1:19" x14ac:dyDescent="0.25">
      <c r="A254" t="s">
        <v>74</v>
      </c>
      <c r="B254" t="s">
        <v>75</v>
      </c>
      <c r="C254" t="s">
        <v>90</v>
      </c>
      <c r="D254" t="s">
        <v>91</v>
      </c>
      <c r="E254" t="s">
        <v>49</v>
      </c>
      <c r="F254" t="s">
        <v>41</v>
      </c>
      <c r="G254">
        <v>1520.42</v>
      </c>
      <c r="H254">
        <v>778.85900000000004</v>
      </c>
      <c r="I254">
        <v>783</v>
      </c>
      <c r="J254">
        <v>679.23199999999997</v>
      </c>
      <c r="K254">
        <v>683.29399999999998</v>
      </c>
      <c r="L254">
        <v>579.67899999999997</v>
      </c>
      <c r="M254" t="s">
        <v>41</v>
      </c>
      <c r="N254" t="s">
        <v>41</v>
      </c>
      <c r="O254" t="s">
        <v>41</v>
      </c>
      <c r="P254" t="s">
        <v>41</v>
      </c>
      <c r="Q254" t="s">
        <v>41</v>
      </c>
      <c r="R254" t="s">
        <v>41</v>
      </c>
      <c r="S254" t="s">
        <v>41</v>
      </c>
    </row>
    <row r="255" spans="1:19" x14ac:dyDescent="0.25">
      <c r="A255" t="s">
        <v>76</v>
      </c>
      <c r="B255" t="s">
        <v>77</v>
      </c>
      <c r="C255" t="s">
        <v>90</v>
      </c>
      <c r="D255" t="s">
        <v>91</v>
      </c>
      <c r="E255" t="s">
        <v>49</v>
      </c>
      <c r="F255" t="s">
        <v>41</v>
      </c>
      <c r="H255">
        <v>50.277999999999999</v>
      </c>
      <c r="I255">
        <v>46.319000000000003</v>
      </c>
      <c r="J255">
        <v>18.599</v>
      </c>
      <c r="K255">
        <v>14.736000000000001</v>
      </c>
      <c r="L255">
        <v>11.456</v>
      </c>
      <c r="M255" t="s">
        <v>41</v>
      </c>
      <c r="N255" t="s">
        <v>41</v>
      </c>
      <c r="O255" t="s">
        <v>41</v>
      </c>
      <c r="P255" t="s">
        <v>41</v>
      </c>
      <c r="Q255" t="s">
        <v>41</v>
      </c>
      <c r="R255" t="s">
        <v>41</v>
      </c>
      <c r="S255" t="s">
        <v>41</v>
      </c>
    </row>
    <row r="256" spans="1:19" x14ac:dyDescent="0.25">
      <c r="A256" t="s">
        <v>78</v>
      </c>
      <c r="B256" t="s">
        <v>79</v>
      </c>
      <c r="C256" t="s">
        <v>90</v>
      </c>
      <c r="D256" t="s">
        <v>91</v>
      </c>
      <c r="E256" t="s">
        <v>49</v>
      </c>
      <c r="F256" t="s">
        <v>41</v>
      </c>
      <c r="G256">
        <v>24.045000000000002</v>
      </c>
      <c r="M256" t="s">
        <v>41</v>
      </c>
      <c r="N256" t="s">
        <v>41</v>
      </c>
      <c r="O256" t="s">
        <v>41</v>
      </c>
      <c r="P256" t="s">
        <v>41</v>
      </c>
      <c r="Q256" t="s">
        <v>41</v>
      </c>
      <c r="R256" t="s">
        <v>41</v>
      </c>
      <c r="S256" t="s">
        <v>41</v>
      </c>
    </row>
    <row r="257" spans="1:19" x14ac:dyDescent="0.25">
      <c r="A257" t="s">
        <v>80</v>
      </c>
      <c r="B257" t="s">
        <v>81</v>
      </c>
      <c r="C257" t="s">
        <v>90</v>
      </c>
      <c r="D257" t="s">
        <v>91</v>
      </c>
      <c r="E257" t="s">
        <v>49</v>
      </c>
      <c r="F257" t="s">
        <v>41</v>
      </c>
      <c r="H257">
        <v>93.335999999999999</v>
      </c>
      <c r="I257">
        <v>77.933000000000007</v>
      </c>
      <c r="J257">
        <v>77.447000000000003</v>
      </c>
      <c r="K257">
        <v>67.293999999999997</v>
      </c>
      <c r="L257">
        <v>70.933999999999997</v>
      </c>
      <c r="M257" t="s">
        <v>41</v>
      </c>
      <c r="N257" t="s">
        <v>41</v>
      </c>
      <c r="O257" t="s">
        <v>41</v>
      </c>
      <c r="P257" t="s">
        <v>41</v>
      </c>
      <c r="Q257" t="s">
        <v>41</v>
      </c>
      <c r="R257" t="s">
        <v>41</v>
      </c>
      <c r="S257" t="s">
        <v>41</v>
      </c>
    </row>
    <row r="258" spans="1:19" x14ac:dyDescent="0.25">
      <c r="A258" t="s">
        <v>45</v>
      </c>
      <c r="B258" t="s">
        <v>46</v>
      </c>
      <c r="C258" t="s">
        <v>87</v>
      </c>
      <c r="D258" t="s">
        <v>88</v>
      </c>
      <c r="E258" t="s">
        <v>49</v>
      </c>
      <c r="F258" t="s">
        <v>41</v>
      </c>
      <c r="G258">
        <v>489.08</v>
      </c>
      <c r="H258">
        <v>499.048</v>
      </c>
      <c r="I258">
        <v>512.29</v>
      </c>
      <c r="J258">
        <v>469.30599999999998</v>
      </c>
      <c r="K258">
        <v>436.31599999999997</v>
      </c>
      <c r="L258">
        <v>413.30399999999997</v>
      </c>
      <c r="M258" t="s">
        <v>41</v>
      </c>
      <c r="N258" t="s">
        <v>41</v>
      </c>
      <c r="O258" t="s">
        <v>41</v>
      </c>
      <c r="P258" t="s">
        <v>41</v>
      </c>
      <c r="Q258" t="s">
        <v>41</v>
      </c>
      <c r="R258" t="s">
        <v>41</v>
      </c>
      <c r="S258" t="s">
        <v>41</v>
      </c>
    </row>
    <row r="259" spans="1:19" x14ac:dyDescent="0.25">
      <c r="A259" t="s">
        <v>50</v>
      </c>
      <c r="B259" t="s">
        <v>51</v>
      </c>
      <c r="C259" t="s">
        <v>87</v>
      </c>
      <c r="D259" t="s">
        <v>88</v>
      </c>
      <c r="E259" t="s">
        <v>49</v>
      </c>
      <c r="F259" t="s">
        <v>41</v>
      </c>
      <c r="M259" t="s">
        <v>41</v>
      </c>
      <c r="N259" t="s">
        <v>41</v>
      </c>
      <c r="O259" t="s">
        <v>41</v>
      </c>
      <c r="P259" t="s">
        <v>41</v>
      </c>
      <c r="Q259" t="s">
        <v>41</v>
      </c>
      <c r="R259" t="s">
        <v>41</v>
      </c>
      <c r="S259" t="s">
        <v>41</v>
      </c>
    </row>
    <row r="260" spans="1:19" x14ac:dyDescent="0.25">
      <c r="A260" t="s">
        <v>52</v>
      </c>
      <c r="B260" t="s">
        <v>53</v>
      </c>
      <c r="C260" t="s">
        <v>87</v>
      </c>
      <c r="D260" t="s">
        <v>88</v>
      </c>
      <c r="E260" t="s">
        <v>49</v>
      </c>
      <c r="F260">
        <v>702.39800000000002</v>
      </c>
      <c r="G260">
        <v>748.26800000000003</v>
      </c>
      <c r="H260">
        <v>774.88900000000001</v>
      </c>
      <c r="I260">
        <v>763.40200000000004</v>
      </c>
      <c r="J260">
        <v>622.42100000000005</v>
      </c>
      <c r="K260">
        <v>575.69000000000005</v>
      </c>
      <c r="L260">
        <v>611.28</v>
      </c>
      <c r="M260" t="s">
        <v>41</v>
      </c>
      <c r="N260" t="s">
        <v>41</v>
      </c>
      <c r="O260" t="s">
        <v>41</v>
      </c>
      <c r="P260" t="s">
        <v>41</v>
      </c>
      <c r="Q260" t="s">
        <v>41</v>
      </c>
      <c r="R260" t="s">
        <v>41</v>
      </c>
      <c r="S260" t="s">
        <v>41</v>
      </c>
    </row>
    <row r="261" spans="1:19" x14ac:dyDescent="0.25">
      <c r="A261" t="s">
        <v>54</v>
      </c>
      <c r="B261" t="s">
        <v>55</v>
      </c>
      <c r="C261" t="s">
        <v>87</v>
      </c>
      <c r="D261" t="s">
        <v>88</v>
      </c>
      <c r="E261" t="s">
        <v>49</v>
      </c>
      <c r="F261">
        <v>368.06799999999998</v>
      </c>
      <c r="G261">
        <v>380.15</v>
      </c>
      <c r="H261">
        <v>412.31299999999999</v>
      </c>
      <c r="I261">
        <v>418.43200000000002</v>
      </c>
      <c r="J261">
        <v>432.71600000000001</v>
      </c>
      <c r="K261">
        <v>376.66800000000001</v>
      </c>
      <c r="L261">
        <v>392.51100000000002</v>
      </c>
      <c r="M261" t="s">
        <v>41</v>
      </c>
      <c r="N261" t="s">
        <v>41</v>
      </c>
      <c r="O261" t="s">
        <v>41</v>
      </c>
      <c r="P261" t="s">
        <v>41</v>
      </c>
      <c r="Q261" t="s">
        <v>41</v>
      </c>
      <c r="R261" t="s">
        <v>41</v>
      </c>
      <c r="S261" t="s">
        <v>41</v>
      </c>
    </row>
    <row r="262" spans="1:19" x14ac:dyDescent="0.25">
      <c r="A262" t="s">
        <v>56</v>
      </c>
      <c r="B262" t="s">
        <v>57</v>
      </c>
      <c r="C262" t="s">
        <v>87</v>
      </c>
      <c r="D262" t="s">
        <v>88</v>
      </c>
      <c r="E262" t="s">
        <v>49</v>
      </c>
      <c r="F262" t="s">
        <v>41</v>
      </c>
      <c r="K262">
        <v>303.99299999999999</v>
      </c>
      <c r="L262">
        <v>325.30700000000002</v>
      </c>
      <c r="M262" t="s">
        <v>41</v>
      </c>
      <c r="N262" t="s">
        <v>41</v>
      </c>
      <c r="O262" t="s">
        <v>41</v>
      </c>
      <c r="P262" t="s">
        <v>41</v>
      </c>
      <c r="Q262" t="s">
        <v>41</v>
      </c>
      <c r="R262" t="s">
        <v>41</v>
      </c>
      <c r="S262" t="s">
        <v>41</v>
      </c>
    </row>
    <row r="263" spans="1:19" x14ac:dyDescent="0.25">
      <c r="A263" t="s">
        <v>58</v>
      </c>
      <c r="B263" t="s">
        <v>59</v>
      </c>
      <c r="C263" t="s">
        <v>87</v>
      </c>
      <c r="D263" t="s">
        <v>88</v>
      </c>
      <c r="E263" t="s">
        <v>49</v>
      </c>
      <c r="F263" t="s">
        <v>41</v>
      </c>
      <c r="I263">
        <v>67.454999999999998</v>
      </c>
      <c r="J263">
        <v>300.61399999999998</v>
      </c>
      <c r="K263">
        <v>301.017</v>
      </c>
      <c r="L263">
        <v>259.06200000000001</v>
      </c>
      <c r="M263" t="s">
        <v>41</v>
      </c>
      <c r="N263" t="s">
        <v>41</v>
      </c>
      <c r="O263" t="s">
        <v>41</v>
      </c>
      <c r="P263" t="s">
        <v>41</v>
      </c>
      <c r="Q263" t="s">
        <v>41</v>
      </c>
      <c r="R263" t="s">
        <v>41</v>
      </c>
      <c r="S263" t="s">
        <v>41</v>
      </c>
    </row>
    <row r="264" spans="1:19" x14ac:dyDescent="0.25">
      <c r="A264" t="s">
        <v>60</v>
      </c>
      <c r="B264" t="s">
        <v>61</v>
      </c>
      <c r="C264" t="s">
        <v>87</v>
      </c>
      <c r="D264" t="s">
        <v>88</v>
      </c>
      <c r="E264" t="s">
        <v>49</v>
      </c>
      <c r="F264" t="s">
        <v>41</v>
      </c>
      <c r="M264" t="s">
        <v>41</v>
      </c>
      <c r="N264" t="s">
        <v>41</v>
      </c>
      <c r="O264" t="s">
        <v>41</v>
      </c>
      <c r="P264" t="s">
        <v>41</v>
      </c>
      <c r="Q264" t="s">
        <v>41</v>
      </c>
      <c r="R264" t="s">
        <v>41</v>
      </c>
      <c r="S264" t="s">
        <v>41</v>
      </c>
    </row>
    <row r="265" spans="1:19" x14ac:dyDescent="0.25">
      <c r="A265" t="s">
        <v>62</v>
      </c>
      <c r="B265" t="s">
        <v>63</v>
      </c>
      <c r="C265" t="s">
        <v>87</v>
      </c>
      <c r="D265" t="s">
        <v>88</v>
      </c>
      <c r="E265" t="s">
        <v>49</v>
      </c>
      <c r="F265" t="s">
        <v>41</v>
      </c>
      <c r="G265">
        <v>1867.92</v>
      </c>
      <c r="H265">
        <v>2184.91</v>
      </c>
      <c r="M265" t="s">
        <v>41</v>
      </c>
      <c r="N265" t="s">
        <v>41</v>
      </c>
      <c r="O265" t="s">
        <v>41</v>
      </c>
      <c r="P265" t="s">
        <v>41</v>
      </c>
      <c r="Q265" t="s">
        <v>41</v>
      </c>
      <c r="R265" t="s">
        <v>41</v>
      </c>
      <c r="S265" t="s">
        <v>41</v>
      </c>
    </row>
    <row r="266" spans="1:19" x14ac:dyDescent="0.25">
      <c r="A266" t="s">
        <v>64</v>
      </c>
      <c r="B266" t="s">
        <v>65</v>
      </c>
      <c r="C266" t="s">
        <v>87</v>
      </c>
      <c r="D266" t="s">
        <v>88</v>
      </c>
      <c r="E266" t="s">
        <v>49</v>
      </c>
      <c r="F266" t="s">
        <v>41</v>
      </c>
      <c r="M266" t="s">
        <v>41</v>
      </c>
      <c r="N266" t="s">
        <v>41</v>
      </c>
      <c r="O266" t="s">
        <v>41</v>
      </c>
      <c r="P266" t="s">
        <v>41</v>
      </c>
      <c r="Q266" t="s">
        <v>41</v>
      </c>
      <c r="R266" t="s">
        <v>41</v>
      </c>
      <c r="S266" t="s">
        <v>41</v>
      </c>
    </row>
    <row r="267" spans="1:19" x14ac:dyDescent="0.25">
      <c r="A267" t="s">
        <v>66</v>
      </c>
      <c r="B267" t="s">
        <v>67</v>
      </c>
      <c r="C267" t="s">
        <v>87</v>
      </c>
      <c r="D267" t="s">
        <v>88</v>
      </c>
      <c r="E267" t="s">
        <v>49</v>
      </c>
      <c r="F267" t="s">
        <v>41</v>
      </c>
      <c r="H267">
        <v>102.736</v>
      </c>
      <c r="I267">
        <v>94.293000000000006</v>
      </c>
      <c r="J267">
        <v>98.903999999999996</v>
      </c>
      <c r="L267">
        <v>90.778000000000006</v>
      </c>
      <c r="M267" t="s">
        <v>41</v>
      </c>
      <c r="N267" t="s">
        <v>41</v>
      </c>
      <c r="O267" t="s">
        <v>41</v>
      </c>
      <c r="P267" t="s">
        <v>41</v>
      </c>
      <c r="Q267" t="s">
        <v>41</v>
      </c>
      <c r="R267" t="s">
        <v>41</v>
      </c>
      <c r="S267" t="s">
        <v>41</v>
      </c>
    </row>
    <row r="268" spans="1:19" x14ac:dyDescent="0.25">
      <c r="A268" t="s">
        <v>68</v>
      </c>
      <c r="B268" t="s">
        <v>69</v>
      </c>
      <c r="C268" t="s">
        <v>87</v>
      </c>
      <c r="D268" t="s">
        <v>88</v>
      </c>
      <c r="E268" t="s">
        <v>49</v>
      </c>
      <c r="F268" t="s">
        <v>41</v>
      </c>
      <c r="J268">
        <v>296.512</v>
      </c>
      <c r="L268">
        <v>309.26</v>
      </c>
      <c r="M268" t="s">
        <v>41</v>
      </c>
      <c r="N268" t="s">
        <v>41</v>
      </c>
      <c r="O268" t="s">
        <v>41</v>
      </c>
      <c r="P268" t="s">
        <v>41</v>
      </c>
      <c r="Q268" t="s">
        <v>41</v>
      </c>
      <c r="R268" t="s">
        <v>41</v>
      </c>
      <c r="S268" t="s">
        <v>41</v>
      </c>
    </row>
    <row r="269" spans="1:19" x14ac:dyDescent="0.25">
      <c r="A269" t="s">
        <v>70</v>
      </c>
      <c r="B269" t="s">
        <v>71</v>
      </c>
      <c r="C269" t="s">
        <v>87</v>
      </c>
      <c r="D269" t="s">
        <v>88</v>
      </c>
      <c r="E269" t="s">
        <v>49</v>
      </c>
      <c r="F269">
        <v>81.649000000000001</v>
      </c>
      <c r="G269">
        <v>82.207999999999998</v>
      </c>
      <c r="H269">
        <v>76.081999999999994</v>
      </c>
      <c r="I269">
        <v>77.637</v>
      </c>
      <c r="J269">
        <v>86.152000000000001</v>
      </c>
      <c r="K269">
        <v>91.710999999999999</v>
      </c>
      <c r="L269">
        <v>104.852</v>
      </c>
      <c r="M269" t="s">
        <v>41</v>
      </c>
      <c r="N269" t="s">
        <v>41</v>
      </c>
      <c r="O269" t="s">
        <v>41</v>
      </c>
      <c r="P269" t="s">
        <v>41</v>
      </c>
      <c r="Q269" t="s">
        <v>41</v>
      </c>
      <c r="R269" t="s">
        <v>41</v>
      </c>
      <c r="S269" t="s">
        <v>41</v>
      </c>
    </row>
    <row r="270" spans="1:19" x14ac:dyDescent="0.25">
      <c r="A270" t="s">
        <v>72</v>
      </c>
      <c r="B270" t="s">
        <v>73</v>
      </c>
      <c r="C270" t="s">
        <v>87</v>
      </c>
      <c r="D270" t="s">
        <v>88</v>
      </c>
      <c r="E270" t="s">
        <v>49</v>
      </c>
      <c r="F270">
        <v>286.04899999999998</v>
      </c>
      <c r="G270">
        <v>278.70400000000001</v>
      </c>
      <c r="H270">
        <v>263.48200000000003</v>
      </c>
      <c r="I270">
        <v>266.57299999999998</v>
      </c>
      <c r="J270">
        <v>265.89299999999997</v>
      </c>
      <c r="K270">
        <v>257.57600000000002</v>
      </c>
      <c r="L270">
        <v>284.41000000000003</v>
      </c>
      <c r="M270" t="s">
        <v>41</v>
      </c>
      <c r="N270" t="s">
        <v>41</v>
      </c>
      <c r="O270" t="s">
        <v>41</v>
      </c>
      <c r="P270" t="s">
        <v>41</v>
      </c>
      <c r="Q270" t="s">
        <v>41</v>
      </c>
      <c r="R270" t="s">
        <v>41</v>
      </c>
      <c r="S270" t="s">
        <v>41</v>
      </c>
    </row>
    <row r="271" spans="1:19" x14ac:dyDescent="0.25">
      <c r="A271" t="s">
        <v>74</v>
      </c>
      <c r="B271" t="s">
        <v>75</v>
      </c>
      <c r="C271" t="s">
        <v>87</v>
      </c>
      <c r="D271" t="s">
        <v>88</v>
      </c>
      <c r="E271" t="s">
        <v>49</v>
      </c>
      <c r="F271" t="s">
        <v>41</v>
      </c>
      <c r="G271">
        <v>4666.51</v>
      </c>
      <c r="H271">
        <v>4192.5200000000004</v>
      </c>
      <c r="I271">
        <v>4373.54</v>
      </c>
      <c r="J271">
        <v>5375.73</v>
      </c>
      <c r="K271">
        <v>6173.4</v>
      </c>
      <c r="L271">
        <v>6297.3</v>
      </c>
      <c r="M271" t="s">
        <v>41</v>
      </c>
      <c r="N271" t="s">
        <v>41</v>
      </c>
      <c r="O271" t="s">
        <v>41</v>
      </c>
      <c r="P271" t="s">
        <v>41</v>
      </c>
      <c r="Q271" t="s">
        <v>41</v>
      </c>
      <c r="R271" t="s">
        <v>41</v>
      </c>
      <c r="S271" t="s">
        <v>41</v>
      </c>
    </row>
    <row r="272" spans="1:19" x14ac:dyDescent="0.25">
      <c r="A272" t="s">
        <v>76</v>
      </c>
      <c r="B272" t="s">
        <v>77</v>
      </c>
      <c r="C272" t="s">
        <v>87</v>
      </c>
      <c r="D272" t="s">
        <v>88</v>
      </c>
      <c r="E272" t="s">
        <v>49</v>
      </c>
      <c r="F272" t="s">
        <v>41</v>
      </c>
      <c r="H272">
        <v>1206.1099999999999</v>
      </c>
      <c r="I272">
        <v>638.88900000000001</v>
      </c>
      <c r="J272">
        <v>669.37599999999998</v>
      </c>
      <c r="K272">
        <v>692.36800000000005</v>
      </c>
      <c r="L272">
        <v>610.78700000000003</v>
      </c>
      <c r="M272" t="s">
        <v>41</v>
      </c>
      <c r="N272" t="s">
        <v>41</v>
      </c>
      <c r="O272" t="s">
        <v>41</v>
      </c>
      <c r="P272" t="s">
        <v>41</v>
      </c>
      <c r="Q272" t="s">
        <v>41</v>
      </c>
      <c r="R272" t="s">
        <v>41</v>
      </c>
      <c r="S272" t="s">
        <v>41</v>
      </c>
    </row>
    <row r="273" spans="1:19" x14ac:dyDescent="0.25">
      <c r="A273" t="s">
        <v>78</v>
      </c>
      <c r="B273" t="s">
        <v>79</v>
      </c>
      <c r="C273" t="s">
        <v>87</v>
      </c>
      <c r="D273" t="s">
        <v>88</v>
      </c>
      <c r="E273" t="s">
        <v>49</v>
      </c>
      <c r="F273" t="s">
        <v>41</v>
      </c>
      <c r="G273">
        <v>166.49700000000001</v>
      </c>
      <c r="H273">
        <v>160.72999999999999</v>
      </c>
      <c r="I273">
        <v>160.40600000000001</v>
      </c>
      <c r="J273">
        <v>155.24299999999999</v>
      </c>
      <c r="K273">
        <v>167.607</v>
      </c>
      <c r="L273">
        <v>150.91399999999999</v>
      </c>
      <c r="M273" t="s">
        <v>41</v>
      </c>
      <c r="N273" t="s">
        <v>41</v>
      </c>
      <c r="O273" t="s">
        <v>41</v>
      </c>
      <c r="P273" t="s">
        <v>41</v>
      </c>
      <c r="Q273" t="s">
        <v>41</v>
      </c>
      <c r="R273" t="s">
        <v>41</v>
      </c>
      <c r="S273" t="s">
        <v>41</v>
      </c>
    </row>
    <row r="274" spans="1:19" x14ac:dyDescent="0.25">
      <c r="A274" t="s">
        <v>80</v>
      </c>
      <c r="B274" t="s">
        <v>81</v>
      </c>
      <c r="C274" t="s">
        <v>87</v>
      </c>
      <c r="D274" t="s">
        <v>88</v>
      </c>
      <c r="E274" t="s">
        <v>49</v>
      </c>
      <c r="F274" t="s">
        <v>41</v>
      </c>
      <c r="G274">
        <v>250.22200000000001</v>
      </c>
      <c r="H274">
        <v>358.29899999999998</v>
      </c>
      <c r="I274">
        <v>409.55099999999999</v>
      </c>
      <c r="J274">
        <v>423.30599999999998</v>
      </c>
      <c r="K274">
        <v>421.48700000000002</v>
      </c>
      <c r="L274">
        <v>412.279</v>
      </c>
      <c r="M274" t="s">
        <v>41</v>
      </c>
      <c r="N274" t="s">
        <v>41</v>
      </c>
      <c r="O274" t="s">
        <v>41</v>
      </c>
      <c r="P274" t="s">
        <v>41</v>
      </c>
      <c r="Q274" t="s">
        <v>41</v>
      </c>
      <c r="R274" t="s">
        <v>41</v>
      </c>
      <c r="S274" t="s">
        <v>41</v>
      </c>
    </row>
    <row r="275" spans="1:19" x14ac:dyDescent="0.25">
      <c r="A275" t="s">
        <v>45</v>
      </c>
      <c r="B275" t="s">
        <v>46</v>
      </c>
      <c r="C275" t="s">
        <v>94</v>
      </c>
      <c r="D275" t="s">
        <v>95</v>
      </c>
      <c r="E275" t="s">
        <v>49</v>
      </c>
      <c r="F275" t="s">
        <v>41</v>
      </c>
      <c r="G275">
        <v>0.58299999999999996</v>
      </c>
      <c r="H275">
        <v>0.30199999999999999</v>
      </c>
      <c r="I275">
        <v>0.36</v>
      </c>
      <c r="M275" t="s">
        <v>41</v>
      </c>
      <c r="N275" t="s">
        <v>41</v>
      </c>
      <c r="O275" t="s">
        <v>41</v>
      </c>
      <c r="P275" t="s">
        <v>41</v>
      </c>
      <c r="Q275" t="s">
        <v>41</v>
      </c>
      <c r="R275" t="s">
        <v>41</v>
      </c>
      <c r="S275" t="s">
        <v>41</v>
      </c>
    </row>
    <row r="276" spans="1:19" x14ac:dyDescent="0.25">
      <c r="A276" t="s">
        <v>50</v>
      </c>
      <c r="B276" t="s">
        <v>51</v>
      </c>
      <c r="C276" t="s">
        <v>94</v>
      </c>
      <c r="D276" t="s">
        <v>95</v>
      </c>
      <c r="E276" t="s">
        <v>49</v>
      </c>
      <c r="F276" t="s">
        <v>41</v>
      </c>
      <c r="M276" t="s">
        <v>41</v>
      </c>
      <c r="N276" t="s">
        <v>41</v>
      </c>
      <c r="O276" t="s">
        <v>41</v>
      </c>
      <c r="P276" t="s">
        <v>41</v>
      </c>
      <c r="Q276" t="s">
        <v>41</v>
      </c>
      <c r="R276" t="s">
        <v>41</v>
      </c>
      <c r="S276" t="s">
        <v>41</v>
      </c>
    </row>
    <row r="277" spans="1:19" x14ac:dyDescent="0.25">
      <c r="A277" t="s">
        <v>52</v>
      </c>
      <c r="B277" t="s">
        <v>53</v>
      </c>
      <c r="C277" t="s">
        <v>94</v>
      </c>
      <c r="D277" t="s">
        <v>95</v>
      </c>
      <c r="E277" t="s">
        <v>49</v>
      </c>
      <c r="F277" t="s">
        <v>41</v>
      </c>
      <c r="M277" t="s">
        <v>41</v>
      </c>
      <c r="N277" t="s">
        <v>41</v>
      </c>
      <c r="O277" t="s">
        <v>41</v>
      </c>
      <c r="P277" t="s">
        <v>41</v>
      </c>
      <c r="Q277" t="s">
        <v>41</v>
      </c>
      <c r="R277" t="s">
        <v>41</v>
      </c>
      <c r="S277" t="s">
        <v>41</v>
      </c>
    </row>
    <row r="278" spans="1:19" x14ac:dyDescent="0.25">
      <c r="A278" t="s">
        <v>54</v>
      </c>
      <c r="B278" t="s">
        <v>55</v>
      </c>
      <c r="C278" t="s">
        <v>94</v>
      </c>
      <c r="D278" t="s">
        <v>95</v>
      </c>
      <c r="E278" t="s">
        <v>49</v>
      </c>
      <c r="F278">
        <v>5.2009999999999996</v>
      </c>
      <c r="G278">
        <v>4.16</v>
      </c>
      <c r="H278">
        <v>4.68</v>
      </c>
      <c r="I278">
        <v>4.601</v>
      </c>
      <c r="J278">
        <v>5.093</v>
      </c>
      <c r="K278">
        <v>4.3319999999999999</v>
      </c>
      <c r="L278">
        <v>3.718</v>
      </c>
      <c r="M278" t="s">
        <v>41</v>
      </c>
      <c r="N278" t="s">
        <v>41</v>
      </c>
      <c r="O278" t="s">
        <v>41</v>
      </c>
      <c r="P278" t="s">
        <v>41</v>
      </c>
      <c r="Q278" t="s">
        <v>41</v>
      </c>
      <c r="R278" t="s">
        <v>41</v>
      </c>
      <c r="S278" t="s">
        <v>41</v>
      </c>
    </row>
    <row r="279" spans="1:19" x14ac:dyDescent="0.25">
      <c r="A279" t="s">
        <v>56</v>
      </c>
      <c r="B279" t="s">
        <v>57</v>
      </c>
      <c r="C279" t="s">
        <v>94</v>
      </c>
      <c r="D279" t="s">
        <v>95</v>
      </c>
      <c r="E279" t="s">
        <v>49</v>
      </c>
      <c r="F279" t="s">
        <v>41</v>
      </c>
      <c r="M279" t="s">
        <v>41</v>
      </c>
      <c r="N279" t="s">
        <v>41</v>
      </c>
      <c r="O279" t="s">
        <v>41</v>
      </c>
      <c r="P279" t="s">
        <v>41</v>
      </c>
      <c r="Q279" t="s">
        <v>41</v>
      </c>
      <c r="R279" t="s">
        <v>41</v>
      </c>
      <c r="S279" t="s">
        <v>41</v>
      </c>
    </row>
    <row r="280" spans="1:19" x14ac:dyDescent="0.25">
      <c r="A280" t="s">
        <v>58</v>
      </c>
      <c r="B280" t="s">
        <v>59</v>
      </c>
      <c r="C280" t="s">
        <v>94</v>
      </c>
      <c r="D280" t="s">
        <v>95</v>
      </c>
      <c r="E280" t="s">
        <v>49</v>
      </c>
      <c r="F280" t="s">
        <v>41</v>
      </c>
      <c r="I280">
        <v>1.706</v>
      </c>
      <c r="J280">
        <v>1.6659999999999999</v>
      </c>
      <c r="K280">
        <v>1.3120000000000001</v>
      </c>
      <c r="L280">
        <v>1.0189999999999999</v>
      </c>
      <c r="M280" t="s">
        <v>41</v>
      </c>
      <c r="N280" t="s">
        <v>41</v>
      </c>
      <c r="O280" t="s">
        <v>41</v>
      </c>
      <c r="P280" t="s">
        <v>41</v>
      </c>
      <c r="Q280" t="s">
        <v>41</v>
      </c>
      <c r="R280" t="s">
        <v>41</v>
      </c>
      <c r="S280" t="s">
        <v>41</v>
      </c>
    </row>
    <row r="281" spans="1:19" x14ac:dyDescent="0.25">
      <c r="A281" t="s">
        <v>60</v>
      </c>
      <c r="B281" t="s">
        <v>61</v>
      </c>
      <c r="C281" t="s">
        <v>94</v>
      </c>
      <c r="D281" t="s">
        <v>95</v>
      </c>
      <c r="E281" t="s">
        <v>49</v>
      </c>
      <c r="F281" t="s">
        <v>41</v>
      </c>
      <c r="M281" t="s">
        <v>41</v>
      </c>
      <c r="N281" t="s">
        <v>41</v>
      </c>
      <c r="O281" t="s">
        <v>41</v>
      </c>
      <c r="P281" t="s">
        <v>41</v>
      </c>
      <c r="Q281" t="s">
        <v>41</v>
      </c>
      <c r="R281" t="s">
        <v>41</v>
      </c>
      <c r="S281" t="s">
        <v>41</v>
      </c>
    </row>
    <row r="282" spans="1:19" x14ac:dyDescent="0.25">
      <c r="A282" t="s">
        <v>62</v>
      </c>
      <c r="B282" t="s">
        <v>63</v>
      </c>
      <c r="C282" t="s">
        <v>94</v>
      </c>
      <c r="D282" t="s">
        <v>95</v>
      </c>
      <c r="E282" t="s">
        <v>49</v>
      </c>
      <c r="F282" t="s">
        <v>41</v>
      </c>
      <c r="G282">
        <v>7920.23</v>
      </c>
      <c r="M282" t="s">
        <v>41</v>
      </c>
      <c r="N282" t="s">
        <v>41</v>
      </c>
      <c r="O282" t="s">
        <v>41</v>
      </c>
      <c r="P282" t="s">
        <v>41</v>
      </c>
      <c r="Q282" t="s">
        <v>41</v>
      </c>
      <c r="R282" t="s">
        <v>41</v>
      </c>
      <c r="S282" t="s">
        <v>41</v>
      </c>
    </row>
    <row r="283" spans="1:19" x14ac:dyDescent="0.25">
      <c r="A283" t="s">
        <v>64</v>
      </c>
      <c r="B283" t="s">
        <v>65</v>
      </c>
      <c r="C283" t="s">
        <v>94</v>
      </c>
      <c r="D283" t="s">
        <v>95</v>
      </c>
      <c r="E283" t="s">
        <v>49</v>
      </c>
      <c r="F283" t="s">
        <v>41</v>
      </c>
      <c r="M283" t="s">
        <v>41</v>
      </c>
      <c r="N283" t="s">
        <v>41</v>
      </c>
      <c r="O283" t="s">
        <v>41</v>
      </c>
      <c r="P283" t="s">
        <v>41</v>
      </c>
      <c r="Q283" t="s">
        <v>41</v>
      </c>
      <c r="R283" t="s">
        <v>41</v>
      </c>
      <c r="S283" t="s">
        <v>41</v>
      </c>
    </row>
    <row r="284" spans="1:19" x14ac:dyDescent="0.25">
      <c r="A284" t="s">
        <v>66</v>
      </c>
      <c r="B284" t="s">
        <v>67</v>
      </c>
      <c r="C284" t="s">
        <v>94</v>
      </c>
      <c r="D284" t="s">
        <v>95</v>
      </c>
      <c r="E284" t="s">
        <v>49</v>
      </c>
      <c r="F284" t="s">
        <v>41</v>
      </c>
      <c r="H284">
        <v>1.375</v>
      </c>
      <c r="I284">
        <v>1.0820000000000001</v>
      </c>
      <c r="J284">
        <v>0.105</v>
      </c>
      <c r="M284" t="s">
        <v>41</v>
      </c>
      <c r="N284" t="s">
        <v>41</v>
      </c>
      <c r="O284" t="s">
        <v>41</v>
      </c>
      <c r="P284" t="s">
        <v>41</v>
      </c>
      <c r="Q284" t="s">
        <v>41</v>
      </c>
      <c r="R284" t="s">
        <v>41</v>
      </c>
      <c r="S284" t="s">
        <v>41</v>
      </c>
    </row>
    <row r="285" spans="1:19" x14ac:dyDescent="0.25">
      <c r="A285" t="s">
        <v>68</v>
      </c>
      <c r="B285" t="s">
        <v>69</v>
      </c>
      <c r="C285" t="s">
        <v>94</v>
      </c>
      <c r="D285" t="s">
        <v>95</v>
      </c>
      <c r="E285" t="s">
        <v>49</v>
      </c>
      <c r="F285" t="s">
        <v>41</v>
      </c>
      <c r="M285" t="s">
        <v>41</v>
      </c>
      <c r="N285" t="s">
        <v>41</v>
      </c>
      <c r="O285" t="s">
        <v>41</v>
      </c>
      <c r="P285" t="s">
        <v>41</v>
      </c>
      <c r="Q285" t="s">
        <v>41</v>
      </c>
      <c r="R285" t="s">
        <v>41</v>
      </c>
      <c r="S285" t="s">
        <v>41</v>
      </c>
    </row>
    <row r="286" spans="1:19" x14ac:dyDescent="0.25">
      <c r="A286" t="s">
        <v>70</v>
      </c>
      <c r="B286" t="s">
        <v>71</v>
      </c>
      <c r="C286" t="s">
        <v>94</v>
      </c>
      <c r="D286" t="s">
        <v>95</v>
      </c>
      <c r="E286" t="s">
        <v>49</v>
      </c>
      <c r="F286">
        <v>2.1520000000000001</v>
      </c>
      <c r="G286">
        <v>2.3330000000000002</v>
      </c>
      <c r="H286">
        <v>1.462</v>
      </c>
      <c r="I286">
        <v>1.105</v>
      </c>
      <c r="J286">
        <v>0.94399999999999995</v>
      </c>
      <c r="K286">
        <v>0.65700000000000003</v>
      </c>
      <c r="L286">
        <v>0.81</v>
      </c>
      <c r="M286" t="s">
        <v>41</v>
      </c>
      <c r="N286" t="s">
        <v>41</v>
      </c>
      <c r="O286" t="s">
        <v>41</v>
      </c>
      <c r="P286" t="s">
        <v>41</v>
      </c>
      <c r="Q286" t="s">
        <v>41</v>
      </c>
      <c r="R286" t="s">
        <v>41</v>
      </c>
      <c r="S286" t="s">
        <v>41</v>
      </c>
    </row>
    <row r="287" spans="1:19" x14ac:dyDescent="0.25">
      <c r="A287" t="s">
        <v>72</v>
      </c>
      <c r="B287" t="s">
        <v>73</v>
      </c>
      <c r="C287" t="s">
        <v>94</v>
      </c>
      <c r="D287" t="s">
        <v>95</v>
      </c>
      <c r="E287" t="s">
        <v>49</v>
      </c>
      <c r="F287" t="s">
        <v>41</v>
      </c>
      <c r="M287" t="s">
        <v>41</v>
      </c>
      <c r="N287" t="s">
        <v>41</v>
      </c>
      <c r="O287" t="s">
        <v>41</v>
      </c>
      <c r="P287" t="s">
        <v>41</v>
      </c>
      <c r="Q287" t="s">
        <v>41</v>
      </c>
      <c r="R287" t="s">
        <v>41</v>
      </c>
      <c r="S287" t="s">
        <v>41</v>
      </c>
    </row>
    <row r="288" spans="1:19" x14ac:dyDescent="0.25">
      <c r="A288" t="s">
        <v>74</v>
      </c>
      <c r="B288" t="s">
        <v>75</v>
      </c>
      <c r="C288" t="s">
        <v>94</v>
      </c>
      <c r="D288" t="s">
        <v>95</v>
      </c>
      <c r="E288" t="s">
        <v>49</v>
      </c>
      <c r="F288" t="s">
        <v>41</v>
      </c>
      <c r="G288">
        <v>35.96</v>
      </c>
      <c r="H288">
        <v>38.36</v>
      </c>
      <c r="I288">
        <v>45.36</v>
      </c>
      <c r="J288">
        <v>56.23</v>
      </c>
      <c r="K288">
        <v>110.729</v>
      </c>
      <c r="L288">
        <v>72.515000000000001</v>
      </c>
      <c r="M288" t="s">
        <v>41</v>
      </c>
      <c r="N288" t="s">
        <v>41</v>
      </c>
      <c r="O288" t="s">
        <v>41</v>
      </c>
      <c r="P288" t="s">
        <v>41</v>
      </c>
      <c r="Q288" t="s">
        <v>41</v>
      </c>
      <c r="R288" t="s">
        <v>41</v>
      </c>
      <c r="S288" t="s">
        <v>41</v>
      </c>
    </row>
    <row r="289" spans="1:19" x14ac:dyDescent="0.25">
      <c r="A289" t="s">
        <v>76</v>
      </c>
      <c r="B289" t="s">
        <v>77</v>
      </c>
      <c r="C289" t="s">
        <v>94</v>
      </c>
      <c r="D289" t="s">
        <v>95</v>
      </c>
      <c r="E289" t="s">
        <v>49</v>
      </c>
      <c r="F289" t="s">
        <v>41</v>
      </c>
      <c r="H289">
        <v>5.9450000000000003</v>
      </c>
      <c r="I289">
        <v>5.3019999999999996</v>
      </c>
      <c r="M289" t="s">
        <v>41</v>
      </c>
      <c r="N289" t="s">
        <v>41</v>
      </c>
      <c r="O289" t="s">
        <v>41</v>
      </c>
      <c r="P289" t="s">
        <v>41</v>
      </c>
      <c r="Q289" t="s">
        <v>41</v>
      </c>
      <c r="R289" t="s">
        <v>41</v>
      </c>
      <c r="S289" t="s">
        <v>41</v>
      </c>
    </row>
    <row r="290" spans="1:19" x14ac:dyDescent="0.25">
      <c r="A290" t="s">
        <v>78</v>
      </c>
      <c r="B290" t="s">
        <v>79</v>
      </c>
      <c r="C290" t="s">
        <v>94</v>
      </c>
      <c r="D290" t="s">
        <v>95</v>
      </c>
      <c r="E290" t="s">
        <v>49</v>
      </c>
      <c r="F290" t="s">
        <v>41</v>
      </c>
      <c r="G290">
        <v>0.84099999999999997</v>
      </c>
      <c r="H290">
        <v>0.90800000000000003</v>
      </c>
      <c r="I290">
        <v>0.84599999999999997</v>
      </c>
      <c r="J290">
        <v>0.64200000000000002</v>
      </c>
      <c r="K290">
        <v>0.58299999999999996</v>
      </c>
      <c r="L290">
        <v>0.39900000000000002</v>
      </c>
      <c r="M290" t="s">
        <v>41</v>
      </c>
      <c r="N290" t="s">
        <v>41</v>
      </c>
      <c r="O290" t="s">
        <v>41</v>
      </c>
      <c r="P290" t="s">
        <v>41</v>
      </c>
      <c r="Q290" t="s">
        <v>41</v>
      </c>
      <c r="R290" t="s">
        <v>41</v>
      </c>
      <c r="S290" t="s">
        <v>41</v>
      </c>
    </row>
    <row r="291" spans="1:19" x14ac:dyDescent="0.25">
      <c r="A291" t="s">
        <v>80</v>
      </c>
      <c r="B291" t="s">
        <v>81</v>
      </c>
      <c r="C291" t="s">
        <v>94</v>
      </c>
      <c r="D291" t="s">
        <v>95</v>
      </c>
      <c r="E291" t="s">
        <v>49</v>
      </c>
      <c r="F291" t="s">
        <v>41</v>
      </c>
      <c r="G291">
        <v>6.2050000000000001</v>
      </c>
      <c r="H291">
        <v>5.0060000000000002</v>
      </c>
      <c r="I291">
        <v>4.3380000000000001</v>
      </c>
      <c r="J291">
        <v>6.7039999999999997</v>
      </c>
      <c r="K291">
        <v>4.5670000000000002</v>
      </c>
      <c r="L291">
        <v>3.7050000000000001</v>
      </c>
      <c r="M291" t="s">
        <v>41</v>
      </c>
      <c r="N291" t="s">
        <v>41</v>
      </c>
      <c r="O291" t="s">
        <v>41</v>
      </c>
      <c r="P291" t="s">
        <v>41</v>
      </c>
      <c r="Q291" t="s">
        <v>41</v>
      </c>
      <c r="R291" t="s">
        <v>41</v>
      </c>
      <c r="S291" t="s">
        <v>41</v>
      </c>
    </row>
    <row r="292" spans="1:19" x14ac:dyDescent="0.25">
      <c r="A292" t="s">
        <v>45</v>
      </c>
      <c r="B292" t="s">
        <v>46</v>
      </c>
      <c r="C292" t="s">
        <v>97</v>
      </c>
      <c r="D292" t="s">
        <v>98</v>
      </c>
      <c r="E292" t="s">
        <v>49</v>
      </c>
      <c r="F292" t="s">
        <v>41</v>
      </c>
      <c r="M292" t="s">
        <v>41</v>
      </c>
      <c r="N292" t="s">
        <v>41</v>
      </c>
      <c r="O292" t="s">
        <v>41</v>
      </c>
      <c r="P292" t="s">
        <v>41</v>
      </c>
      <c r="Q292" t="s">
        <v>41</v>
      </c>
      <c r="R292" t="s">
        <v>41</v>
      </c>
      <c r="S292" t="s">
        <v>41</v>
      </c>
    </row>
    <row r="293" spans="1:19" x14ac:dyDescent="0.25">
      <c r="A293" t="s">
        <v>50</v>
      </c>
      <c r="B293" t="s">
        <v>51</v>
      </c>
      <c r="C293" t="s">
        <v>97</v>
      </c>
      <c r="D293" t="s">
        <v>98</v>
      </c>
      <c r="E293" t="s">
        <v>49</v>
      </c>
      <c r="F293" t="s">
        <v>41</v>
      </c>
      <c r="M293" t="s">
        <v>41</v>
      </c>
      <c r="N293" t="s">
        <v>41</v>
      </c>
      <c r="O293" t="s">
        <v>41</v>
      </c>
      <c r="P293" t="s">
        <v>41</v>
      </c>
      <c r="Q293" t="s">
        <v>41</v>
      </c>
      <c r="R293" t="s">
        <v>41</v>
      </c>
      <c r="S293" t="s">
        <v>41</v>
      </c>
    </row>
    <row r="294" spans="1:19" x14ac:dyDescent="0.25">
      <c r="A294" t="s">
        <v>52</v>
      </c>
      <c r="B294" t="s">
        <v>53</v>
      </c>
      <c r="C294" t="s">
        <v>97</v>
      </c>
      <c r="D294" t="s">
        <v>98</v>
      </c>
      <c r="E294" t="s">
        <v>49</v>
      </c>
      <c r="F294" t="s">
        <v>41</v>
      </c>
      <c r="M294" t="s">
        <v>41</v>
      </c>
      <c r="N294" t="s">
        <v>41</v>
      </c>
      <c r="O294" t="s">
        <v>41</v>
      </c>
      <c r="P294" t="s">
        <v>41</v>
      </c>
      <c r="Q294" t="s">
        <v>41</v>
      </c>
      <c r="R294" t="s">
        <v>41</v>
      </c>
      <c r="S294" t="s">
        <v>41</v>
      </c>
    </row>
    <row r="295" spans="1:19" x14ac:dyDescent="0.25">
      <c r="A295" t="s">
        <v>54</v>
      </c>
      <c r="B295" t="s">
        <v>55</v>
      </c>
      <c r="C295" t="s">
        <v>97</v>
      </c>
      <c r="D295" t="s">
        <v>98</v>
      </c>
      <c r="E295" t="s">
        <v>49</v>
      </c>
      <c r="F295">
        <v>1.2030000000000001</v>
      </c>
      <c r="G295">
        <v>1.042</v>
      </c>
      <c r="H295">
        <v>1.4060000000000001</v>
      </c>
      <c r="I295">
        <v>1.1080000000000001</v>
      </c>
      <c r="J295">
        <v>1.319</v>
      </c>
      <c r="M295" t="s">
        <v>41</v>
      </c>
      <c r="N295" t="s">
        <v>41</v>
      </c>
      <c r="O295" t="s">
        <v>41</v>
      </c>
      <c r="P295" t="s">
        <v>41</v>
      </c>
      <c r="Q295" t="s">
        <v>41</v>
      </c>
      <c r="R295" t="s">
        <v>41</v>
      </c>
      <c r="S295" t="s">
        <v>41</v>
      </c>
    </row>
    <row r="296" spans="1:19" x14ac:dyDescent="0.25">
      <c r="A296" t="s">
        <v>56</v>
      </c>
      <c r="B296" t="s">
        <v>57</v>
      </c>
      <c r="C296" t="s">
        <v>97</v>
      </c>
      <c r="D296" t="s">
        <v>98</v>
      </c>
      <c r="E296" t="s">
        <v>49</v>
      </c>
      <c r="F296" t="s">
        <v>41</v>
      </c>
      <c r="M296" t="s">
        <v>41</v>
      </c>
      <c r="N296" t="s">
        <v>41</v>
      </c>
      <c r="O296" t="s">
        <v>41</v>
      </c>
      <c r="P296" t="s">
        <v>41</v>
      </c>
      <c r="Q296" t="s">
        <v>41</v>
      </c>
      <c r="R296" t="s">
        <v>41</v>
      </c>
      <c r="S296" t="s">
        <v>41</v>
      </c>
    </row>
    <row r="297" spans="1:19" x14ac:dyDescent="0.25">
      <c r="A297" t="s">
        <v>58</v>
      </c>
      <c r="B297" t="s">
        <v>59</v>
      </c>
      <c r="C297" t="s">
        <v>97</v>
      </c>
      <c r="D297" t="s">
        <v>98</v>
      </c>
      <c r="E297" t="s">
        <v>49</v>
      </c>
      <c r="F297" t="s">
        <v>41</v>
      </c>
      <c r="I297">
        <v>0.32600000000000001</v>
      </c>
      <c r="J297">
        <v>0.38100000000000001</v>
      </c>
      <c r="K297">
        <v>0.311</v>
      </c>
      <c r="L297">
        <v>0.23200000000000001</v>
      </c>
      <c r="M297" t="s">
        <v>41</v>
      </c>
      <c r="N297" t="s">
        <v>41</v>
      </c>
      <c r="O297" t="s">
        <v>41</v>
      </c>
      <c r="P297" t="s">
        <v>41</v>
      </c>
      <c r="Q297" t="s">
        <v>41</v>
      </c>
      <c r="R297" t="s">
        <v>41</v>
      </c>
      <c r="S297" t="s">
        <v>41</v>
      </c>
    </row>
    <row r="298" spans="1:19" x14ac:dyDescent="0.25">
      <c r="A298" t="s">
        <v>60</v>
      </c>
      <c r="B298" t="s">
        <v>61</v>
      </c>
      <c r="C298" t="s">
        <v>97</v>
      </c>
      <c r="D298" t="s">
        <v>98</v>
      </c>
      <c r="E298" t="s">
        <v>49</v>
      </c>
      <c r="F298" t="s">
        <v>41</v>
      </c>
      <c r="M298" t="s">
        <v>41</v>
      </c>
      <c r="N298" t="s">
        <v>41</v>
      </c>
      <c r="O298" t="s">
        <v>41</v>
      </c>
      <c r="P298" t="s">
        <v>41</v>
      </c>
      <c r="Q298" t="s">
        <v>41</v>
      </c>
      <c r="R298" t="s">
        <v>41</v>
      </c>
      <c r="S298" t="s">
        <v>41</v>
      </c>
    </row>
    <row r="299" spans="1:19" x14ac:dyDescent="0.25">
      <c r="A299" t="s">
        <v>62</v>
      </c>
      <c r="B299" t="s">
        <v>63</v>
      </c>
      <c r="C299" t="s">
        <v>97</v>
      </c>
      <c r="D299" t="s">
        <v>98</v>
      </c>
      <c r="E299" t="s">
        <v>49</v>
      </c>
      <c r="F299" t="s">
        <v>41</v>
      </c>
      <c r="G299">
        <v>3326.5</v>
      </c>
      <c r="M299" t="s">
        <v>41</v>
      </c>
      <c r="N299" t="s">
        <v>41</v>
      </c>
      <c r="O299" t="s">
        <v>41</v>
      </c>
      <c r="P299" t="s">
        <v>41</v>
      </c>
      <c r="Q299" t="s">
        <v>41</v>
      </c>
      <c r="R299" t="s">
        <v>41</v>
      </c>
      <c r="S299" t="s">
        <v>41</v>
      </c>
    </row>
    <row r="300" spans="1:19" x14ac:dyDescent="0.25">
      <c r="A300" t="s">
        <v>64</v>
      </c>
      <c r="B300" t="s">
        <v>65</v>
      </c>
      <c r="C300" t="s">
        <v>97</v>
      </c>
      <c r="D300" t="s">
        <v>98</v>
      </c>
      <c r="E300" t="s">
        <v>49</v>
      </c>
      <c r="F300" t="s">
        <v>41</v>
      </c>
      <c r="M300" t="s">
        <v>41</v>
      </c>
      <c r="N300" t="s">
        <v>41</v>
      </c>
      <c r="O300" t="s">
        <v>41</v>
      </c>
      <c r="P300" t="s">
        <v>41</v>
      </c>
      <c r="Q300" t="s">
        <v>41</v>
      </c>
      <c r="R300" t="s">
        <v>41</v>
      </c>
      <c r="S300" t="s">
        <v>41</v>
      </c>
    </row>
    <row r="301" spans="1:19" x14ac:dyDescent="0.25">
      <c r="A301" t="s">
        <v>66</v>
      </c>
      <c r="B301" t="s">
        <v>67</v>
      </c>
      <c r="C301" t="s">
        <v>97</v>
      </c>
      <c r="D301" t="s">
        <v>98</v>
      </c>
      <c r="E301" t="s">
        <v>49</v>
      </c>
      <c r="F301" t="s">
        <v>41</v>
      </c>
      <c r="M301" t="s">
        <v>41</v>
      </c>
      <c r="N301" t="s">
        <v>41</v>
      </c>
      <c r="O301" t="s">
        <v>41</v>
      </c>
      <c r="P301" t="s">
        <v>41</v>
      </c>
      <c r="Q301" t="s">
        <v>41</v>
      </c>
      <c r="R301" t="s">
        <v>41</v>
      </c>
      <c r="S301" t="s">
        <v>41</v>
      </c>
    </row>
    <row r="302" spans="1:19" x14ac:dyDescent="0.25">
      <c r="A302" t="s">
        <v>68</v>
      </c>
      <c r="B302" t="s">
        <v>69</v>
      </c>
      <c r="C302" t="s">
        <v>97</v>
      </c>
      <c r="D302" t="s">
        <v>98</v>
      </c>
      <c r="E302" t="s">
        <v>49</v>
      </c>
      <c r="F302" t="s">
        <v>41</v>
      </c>
      <c r="M302" t="s">
        <v>41</v>
      </c>
      <c r="N302" t="s">
        <v>41</v>
      </c>
      <c r="O302" t="s">
        <v>41</v>
      </c>
      <c r="P302" t="s">
        <v>41</v>
      </c>
      <c r="Q302" t="s">
        <v>41</v>
      </c>
      <c r="R302" t="s">
        <v>41</v>
      </c>
      <c r="S302" t="s">
        <v>41</v>
      </c>
    </row>
    <row r="303" spans="1:19" x14ac:dyDescent="0.25">
      <c r="A303" t="s">
        <v>70</v>
      </c>
      <c r="B303" t="s">
        <v>71</v>
      </c>
      <c r="C303" t="s">
        <v>97</v>
      </c>
      <c r="D303" t="s">
        <v>98</v>
      </c>
      <c r="E303" t="s">
        <v>49</v>
      </c>
      <c r="F303" t="s">
        <v>41</v>
      </c>
      <c r="M303" t="s">
        <v>41</v>
      </c>
      <c r="N303" t="s">
        <v>41</v>
      </c>
      <c r="O303" t="s">
        <v>41</v>
      </c>
      <c r="P303" t="s">
        <v>41</v>
      </c>
      <c r="Q303" t="s">
        <v>41</v>
      </c>
      <c r="R303" t="s">
        <v>41</v>
      </c>
      <c r="S303" t="s">
        <v>41</v>
      </c>
    </row>
    <row r="304" spans="1:19" x14ac:dyDescent="0.25">
      <c r="A304" t="s">
        <v>72</v>
      </c>
      <c r="B304" t="s">
        <v>73</v>
      </c>
      <c r="C304" t="s">
        <v>97</v>
      </c>
      <c r="D304" t="s">
        <v>98</v>
      </c>
      <c r="E304" t="s">
        <v>49</v>
      </c>
      <c r="F304" t="s">
        <v>41</v>
      </c>
      <c r="M304" t="s">
        <v>41</v>
      </c>
      <c r="N304" t="s">
        <v>41</v>
      </c>
      <c r="O304" t="s">
        <v>41</v>
      </c>
      <c r="P304" t="s">
        <v>41</v>
      </c>
      <c r="Q304" t="s">
        <v>41</v>
      </c>
      <c r="R304" t="s">
        <v>41</v>
      </c>
      <c r="S304" t="s">
        <v>41</v>
      </c>
    </row>
    <row r="305" spans="1:19" x14ac:dyDescent="0.25">
      <c r="A305" t="s">
        <v>74</v>
      </c>
      <c r="B305" t="s">
        <v>75</v>
      </c>
      <c r="C305" t="s">
        <v>97</v>
      </c>
      <c r="D305" t="s">
        <v>98</v>
      </c>
      <c r="E305" t="s">
        <v>49</v>
      </c>
      <c r="F305" t="s">
        <v>41</v>
      </c>
      <c r="G305">
        <v>31.512</v>
      </c>
      <c r="H305">
        <v>33.042999999999999</v>
      </c>
      <c r="I305">
        <v>38</v>
      </c>
      <c r="J305">
        <v>46.320999999999998</v>
      </c>
      <c r="K305">
        <v>83.808000000000007</v>
      </c>
      <c r="L305">
        <v>53.573999999999998</v>
      </c>
      <c r="M305" t="s">
        <v>41</v>
      </c>
      <c r="N305" t="s">
        <v>41</v>
      </c>
      <c r="O305" t="s">
        <v>41</v>
      </c>
      <c r="P305" t="s">
        <v>41</v>
      </c>
      <c r="Q305" t="s">
        <v>41</v>
      </c>
      <c r="R305" t="s">
        <v>41</v>
      </c>
      <c r="S305" t="s">
        <v>41</v>
      </c>
    </row>
    <row r="306" spans="1:19" x14ac:dyDescent="0.25">
      <c r="A306" t="s">
        <v>76</v>
      </c>
      <c r="B306" t="s">
        <v>77</v>
      </c>
      <c r="C306" t="s">
        <v>97</v>
      </c>
      <c r="D306" t="s">
        <v>98</v>
      </c>
      <c r="E306" t="s">
        <v>49</v>
      </c>
      <c r="F306" t="s">
        <v>41</v>
      </c>
      <c r="M306" t="s">
        <v>41</v>
      </c>
      <c r="N306" t="s">
        <v>41</v>
      </c>
      <c r="O306" t="s">
        <v>41</v>
      </c>
      <c r="P306" t="s">
        <v>41</v>
      </c>
      <c r="Q306" t="s">
        <v>41</v>
      </c>
      <c r="R306" t="s">
        <v>41</v>
      </c>
      <c r="S306" t="s">
        <v>41</v>
      </c>
    </row>
    <row r="307" spans="1:19" x14ac:dyDescent="0.25">
      <c r="A307" t="s">
        <v>78</v>
      </c>
      <c r="B307" t="s">
        <v>79</v>
      </c>
      <c r="C307" t="s">
        <v>97</v>
      </c>
      <c r="D307" t="s">
        <v>98</v>
      </c>
      <c r="E307" t="s">
        <v>49</v>
      </c>
      <c r="F307" t="s">
        <v>41</v>
      </c>
      <c r="G307">
        <v>0.78800000000000003</v>
      </c>
      <c r="M307" t="s">
        <v>41</v>
      </c>
      <c r="N307" t="s">
        <v>41</v>
      </c>
      <c r="O307" t="s">
        <v>41</v>
      </c>
      <c r="P307" t="s">
        <v>41</v>
      </c>
      <c r="Q307" t="s">
        <v>41</v>
      </c>
      <c r="R307" t="s">
        <v>41</v>
      </c>
      <c r="S307" t="s">
        <v>41</v>
      </c>
    </row>
    <row r="308" spans="1:19" x14ac:dyDescent="0.25">
      <c r="A308" t="s">
        <v>80</v>
      </c>
      <c r="B308" t="s">
        <v>81</v>
      </c>
      <c r="C308" t="s">
        <v>97</v>
      </c>
      <c r="D308" t="s">
        <v>98</v>
      </c>
      <c r="E308" t="s">
        <v>49</v>
      </c>
      <c r="F308" t="s">
        <v>41</v>
      </c>
      <c r="G308">
        <v>4.5229999999999997</v>
      </c>
      <c r="H308">
        <v>3.9660000000000002</v>
      </c>
      <c r="I308">
        <v>3.3780000000000001</v>
      </c>
      <c r="J308">
        <v>6.17</v>
      </c>
      <c r="K308">
        <v>4.22</v>
      </c>
      <c r="L308">
        <v>2.1749999999999998</v>
      </c>
      <c r="M308" t="s">
        <v>41</v>
      </c>
      <c r="N308" t="s">
        <v>41</v>
      </c>
      <c r="O308" t="s">
        <v>41</v>
      </c>
      <c r="P308" t="s">
        <v>41</v>
      </c>
      <c r="Q308" t="s">
        <v>41</v>
      </c>
      <c r="R308" t="s">
        <v>41</v>
      </c>
      <c r="S308" t="s">
        <v>41</v>
      </c>
    </row>
    <row r="309" spans="1:19" x14ac:dyDescent="0.25">
      <c r="A309" t="s">
        <v>41</v>
      </c>
      <c r="B309" t="s">
        <v>41</v>
      </c>
      <c r="C309" t="s">
        <v>41</v>
      </c>
      <c r="D309" t="s">
        <v>41</v>
      </c>
      <c r="E309" t="s">
        <v>41</v>
      </c>
      <c r="M309" t="s">
        <v>41</v>
      </c>
      <c r="N309" t="s">
        <v>41</v>
      </c>
      <c r="O309" t="s">
        <v>41</v>
      </c>
      <c r="P309" t="s">
        <v>41</v>
      </c>
      <c r="Q309" t="s">
        <v>41</v>
      </c>
      <c r="R309" t="s">
        <v>41</v>
      </c>
      <c r="S309" t="s">
        <v>41</v>
      </c>
    </row>
    <row r="310" spans="1:19" x14ac:dyDescent="0.25">
      <c r="A310" t="s">
        <v>41</v>
      </c>
      <c r="B310" t="s">
        <v>41</v>
      </c>
      <c r="C310" t="s">
        <v>41</v>
      </c>
      <c r="D310" t="s">
        <v>41</v>
      </c>
      <c r="E310" t="s">
        <v>41</v>
      </c>
      <c r="M310" t="s">
        <v>41</v>
      </c>
      <c r="N310" t="s">
        <v>41</v>
      </c>
      <c r="O310" t="s">
        <v>41</v>
      </c>
      <c r="P310" t="s">
        <v>41</v>
      </c>
      <c r="Q310" t="s">
        <v>41</v>
      </c>
      <c r="R310" t="s">
        <v>41</v>
      </c>
      <c r="S310" t="s">
        <v>41</v>
      </c>
    </row>
    <row r="311" spans="1:19" x14ac:dyDescent="0.25">
      <c r="A311" t="s">
        <v>41</v>
      </c>
      <c r="B311" t="s">
        <v>41</v>
      </c>
      <c r="C311" t="s">
        <v>41</v>
      </c>
      <c r="D311" t="s">
        <v>41</v>
      </c>
      <c r="E311" t="s">
        <v>41</v>
      </c>
      <c r="M311" t="s">
        <v>41</v>
      </c>
      <c r="N311" t="s">
        <v>41</v>
      </c>
      <c r="O311" t="s">
        <v>41</v>
      </c>
      <c r="P311" t="s">
        <v>41</v>
      </c>
      <c r="Q311" t="s">
        <v>41</v>
      </c>
      <c r="R311" t="s">
        <v>41</v>
      </c>
      <c r="S311" t="s">
        <v>41</v>
      </c>
    </row>
    <row r="312" spans="1:19" x14ac:dyDescent="0.25">
      <c r="A312" t="s">
        <v>41</v>
      </c>
      <c r="B312" t="s">
        <v>41</v>
      </c>
      <c r="C312" t="s">
        <v>41</v>
      </c>
      <c r="D312" t="s">
        <v>41</v>
      </c>
      <c r="E312" t="s">
        <v>41</v>
      </c>
      <c r="M312" t="s">
        <v>41</v>
      </c>
      <c r="N312" t="s">
        <v>41</v>
      </c>
      <c r="O312" t="s">
        <v>41</v>
      </c>
      <c r="P312" t="s">
        <v>41</v>
      </c>
      <c r="Q312" t="s">
        <v>41</v>
      </c>
      <c r="R312" t="s">
        <v>41</v>
      </c>
      <c r="S312" t="s">
        <v>41</v>
      </c>
    </row>
    <row r="313" spans="1:19" x14ac:dyDescent="0.25">
      <c r="A313" t="s">
        <v>41</v>
      </c>
      <c r="B313" t="s">
        <v>41</v>
      </c>
      <c r="C313" t="s">
        <v>41</v>
      </c>
      <c r="D313" t="s">
        <v>41</v>
      </c>
      <c r="E313" t="s">
        <v>41</v>
      </c>
      <c r="M313" t="s">
        <v>41</v>
      </c>
      <c r="N313" t="s">
        <v>41</v>
      </c>
      <c r="O313" t="s">
        <v>41</v>
      </c>
      <c r="P313" t="s">
        <v>41</v>
      </c>
      <c r="Q313" t="s">
        <v>41</v>
      </c>
      <c r="R313" t="s">
        <v>41</v>
      </c>
      <c r="S313" t="s">
        <v>41</v>
      </c>
    </row>
    <row r="314" spans="1:19" x14ac:dyDescent="0.25">
      <c r="A314" t="s">
        <v>116</v>
      </c>
      <c r="B314" t="s">
        <v>116</v>
      </c>
      <c r="C314" t="s">
        <v>116</v>
      </c>
      <c r="D314" t="s">
        <v>116</v>
      </c>
      <c r="E314" t="s">
        <v>116</v>
      </c>
      <c r="M314" t="s">
        <v>41</v>
      </c>
      <c r="N314" t="s">
        <v>41</v>
      </c>
      <c r="O314" t="s">
        <v>41</v>
      </c>
      <c r="P314" t="s">
        <v>41</v>
      </c>
      <c r="Q314" t="s">
        <v>41</v>
      </c>
      <c r="R314" t="s">
        <v>41</v>
      </c>
      <c r="S314" t="s">
        <v>41</v>
      </c>
    </row>
    <row r="315" spans="1:19" x14ac:dyDescent="0.25">
      <c r="A315" t="s">
        <v>117</v>
      </c>
      <c r="M315" t="s">
        <v>41</v>
      </c>
      <c r="N315" t="s">
        <v>41</v>
      </c>
      <c r="O315" t="s">
        <v>41</v>
      </c>
      <c r="P315" t="s">
        <v>41</v>
      </c>
      <c r="Q315" t="s">
        <v>41</v>
      </c>
      <c r="R315" t="s">
        <v>41</v>
      </c>
      <c r="S315" t="s">
        <v>41</v>
      </c>
    </row>
    <row r="316" spans="1:19" x14ac:dyDescent="0.25">
      <c r="A316" t="s">
        <v>118</v>
      </c>
      <c r="B316">
        <v>43999</v>
      </c>
      <c r="C316" t="s">
        <v>41</v>
      </c>
      <c r="D316" t="s">
        <v>41</v>
      </c>
      <c r="E316" t="s">
        <v>41</v>
      </c>
      <c r="M316" t="s">
        <v>41</v>
      </c>
      <c r="N316" t="s">
        <v>41</v>
      </c>
      <c r="O316" t="s">
        <v>41</v>
      </c>
      <c r="P316" t="s">
        <v>41</v>
      </c>
      <c r="Q316" t="s">
        <v>41</v>
      </c>
      <c r="R316" t="s">
        <v>41</v>
      </c>
      <c r="S316" t="s">
        <v>41</v>
      </c>
    </row>
    <row r="317" spans="1:19" x14ac:dyDescent="0.25">
      <c r="A317" t="s">
        <v>119</v>
      </c>
      <c r="B317">
        <v>43999</v>
      </c>
      <c r="C317" t="s">
        <v>41</v>
      </c>
      <c r="D317" t="s">
        <v>41</v>
      </c>
      <c r="E317" t="s">
        <v>41</v>
      </c>
      <c r="M317" t="s">
        <v>41</v>
      </c>
      <c r="N317" t="s">
        <v>41</v>
      </c>
      <c r="O317" t="s">
        <v>41</v>
      </c>
      <c r="P317" t="s">
        <v>41</v>
      </c>
      <c r="Q317" t="s">
        <v>41</v>
      </c>
      <c r="R317" t="s">
        <v>41</v>
      </c>
      <c r="S317" t="s">
        <v>41</v>
      </c>
    </row>
    <row r="318" spans="1:19" x14ac:dyDescent="0.25">
      <c r="A318" t="s">
        <v>28</v>
      </c>
      <c r="B318" t="s">
        <v>29</v>
      </c>
      <c r="C318" t="s">
        <v>30</v>
      </c>
      <c r="D318" t="s">
        <v>31</v>
      </c>
      <c r="E318" t="s">
        <v>32</v>
      </c>
      <c r="M318" t="s">
        <v>41</v>
      </c>
      <c r="N318" t="s">
        <v>41</v>
      </c>
      <c r="O318" t="s">
        <v>41</v>
      </c>
      <c r="P318" t="s">
        <v>41</v>
      </c>
      <c r="Q318" t="s">
        <v>41</v>
      </c>
      <c r="R318" t="s">
        <v>41</v>
      </c>
      <c r="S318" t="s">
        <v>41</v>
      </c>
    </row>
    <row r="319" spans="1:19" x14ac:dyDescent="0.25">
      <c r="A319" t="s">
        <v>120</v>
      </c>
      <c r="B319">
        <v>43999</v>
      </c>
      <c r="C319" t="s">
        <v>41</v>
      </c>
      <c r="D319" t="s">
        <v>41</v>
      </c>
      <c r="E319" t="s">
        <v>41</v>
      </c>
      <c r="M319" t="s">
        <v>41</v>
      </c>
      <c r="N319" t="s">
        <v>41</v>
      </c>
      <c r="O319" t="s">
        <v>41</v>
      </c>
      <c r="P319" t="s">
        <v>41</v>
      </c>
      <c r="Q319" t="s">
        <v>41</v>
      </c>
      <c r="R319" t="s">
        <v>41</v>
      </c>
      <c r="S319" t="s">
        <v>41</v>
      </c>
    </row>
    <row r="320" spans="1:19" x14ac:dyDescent="0.25">
      <c r="A320" t="s">
        <v>121</v>
      </c>
      <c r="B320">
        <v>2</v>
      </c>
      <c r="C320" t="s">
        <v>39</v>
      </c>
      <c r="D320" t="s">
        <v>38</v>
      </c>
      <c r="E320" t="s">
        <v>37</v>
      </c>
      <c r="F320" t="s">
        <v>36</v>
      </c>
      <c r="G320" t="s">
        <v>35</v>
      </c>
      <c r="H320" t="s">
        <v>34</v>
      </c>
      <c r="I320" t="s">
        <v>33</v>
      </c>
      <c r="M320" t="s">
        <v>41</v>
      </c>
      <c r="N320" t="s">
        <v>41</v>
      </c>
      <c r="O320" t="s">
        <v>41</v>
      </c>
      <c r="P320" t="s">
        <v>41</v>
      </c>
      <c r="Q320" t="s">
        <v>41</v>
      </c>
      <c r="R320" t="s">
        <v>41</v>
      </c>
      <c r="S320" t="s">
        <v>41</v>
      </c>
    </row>
    <row r="321" spans="1:19" x14ac:dyDescent="0.25">
      <c r="A321" t="s">
        <v>122</v>
      </c>
      <c r="B321">
        <v>0</v>
      </c>
      <c r="C321" t="s">
        <v>123</v>
      </c>
      <c r="M321" t="s">
        <v>41</v>
      </c>
      <c r="N321" t="s">
        <v>41</v>
      </c>
      <c r="O321" t="s">
        <v>41</v>
      </c>
      <c r="P321" t="s">
        <v>41</v>
      </c>
      <c r="Q321" t="s">
        <v>41</v>
      </c>
      <c r="R321" t="s">
        <v>41</v>
      </c>
      <c r="S321" t="s">
        <v>41</v>
      </c>
    </row>
    <row r="322" spans="1:19" x14ac:dyDescent="0.25">
      <c r="A322" t="s">
        <v>124</v>
      </c>
      <c r="M322" t="s">
        <v>41</v>
      </c>
      <c r="N322" t="s">
        <v>41</v>
      </c>
      <c r="O322" t="s">
        <v>41</v>
      </c>
      <c r="P322" t="s">
        <v>41</v>
      </c>
      <c r="Q322" t="s">
        <v>41</v>
      </c>
      <c r="R322" t="s">
        <v>41</v>
      </c>
      <c r="S322" t="s">
        <v>41</v>
      </c>
    </row>
    <row r="323" spans="1:19" x14ac:dyDescent="0.25">
      <c r="A323" t="s">
        <v>125</v>
      </c>
      <c r="B323">
        <v>0</v>
      </c>
      <c r="C323" t="s">
        <v>123</v>
      </c>
      <c r="M323" t="s">
        <v>41</v>
      </c>
      <c r="N323" t="s">
        <v>41</v>
      </c>
      <c r="O323" t="s">
        <v>41</v>
      </c>
      <c r="P323" t="s">
        <v>41</v>
      </c>
      <c r="Q323" t="s">
        <v>41</v>
      </c>
      <c r="R323" t="s">
        <v>41</v>
      </c>
      <c r="S323" t="s">
        <v>41</v>
      </c>
    </row>
    <row r="324" spans="1:19" x14ac:dyDescent="0.25">
      <c r="A324" t="s">
        <v>126</v>
      </c>
      <c r="M324" t="s">
        <v>41</v>
      </c>
      <c r="N324" t="s">
        <v>41</v>
      </c>
      <c r="O324" t="s">
        <v>41</v>
      </c>
      <c r="P324" t="s">
        <v>41</v>
      </c>
      <c r="Q324" t="s">
        <v>41</v>
      </c>
      <c r="R324" t="s">
        <v>41</v>
      </c>
      <c r="S324" t="s">
        <v>41</v>
      </c>
    </row>
    <row r="325" spans="1:19" x14ac:dyDescent="0.25">
      <c r="A325" t="s">
        <v>127</v>
      </c>
      <c r="B325">
        <v>0</v>
      </c>
      <c r="C325" t="s">
        <v>123</v>
      </c>
      <c r="M325" t="s">
        <v>41</v>
      </c>
      <c r="N325" t="s">
        <v>41</v>
      </c>
      <c r="O325" t="s">
        <v>41</v>
      </c>
      <c r="P325" t="s">
        <v>41</v>
      </c>
      <c r="Q325" t="s">
        <v>41</v>
      </c>
      <c r="R325" t="s">
        <v>41</v>
      </c>
      <c r="S325" t="s">
        <v>41</v>
      </c>
    </row>
    <row r="326" spans="1:19" x14ac:dyDescent="0.25">
      <c r="A326" t="s">
        <v>128</v>
      </c>
      <c r="M326" t="s">
        <v>41</v>
      </c>
      <c r="N326" t="s">
        <v>41</v>
      </c>
      <c r="O326" t="s">
        <v>41</v>
      </c>
      <c r="P326" t="s">
        <v>41</v>
      </c>
      <c r="Q326" t="s">
        <v>41</v>
      </c>
      <c r="R326" t="s">
        <v>41</v>
      </c>
      <c r="S326" t="s">
        <v>41</v>
      </c>
    </row>
    <row r="327" spans="1:19" x14ac:dyDescent="0.25">
      <c r="A327" t="s">
        <v>129</v>
      </c>
      <c r="B327">
        <v>2</v>
      </c>
      <c r="C327" t="s">
        <v>39</v>
      </c>
      <c r="D327" t="s">
        <v>38</v>
      </c>
      <c r="E327" t="s">
        <v>37</v>
      </c>
      <c r="F327" t="s">
        <v>36</v>
      </c>
      <c r="G327" t="s">
        <v>35</v>
      </c>
      <c r="H327" t="s">
        <v>34</v>
      </c>
      <c r="I327" t="s">
        <v>33</v>
      </c>
      <c r="M327" t="s">
        <v>41</v>
      </c>
      <c r="N327" t="s">
        <v>41</v>
      </c>
      <c r="O327" t="s">
        <v>41</v>
      </c>
      <c r="P327" t="s">
        <v>41</v>
      </c>
      <c r="Q327" t="s">
        <v>41</v>
      </c>
      <c r="R327" t="s">
        <v>41</v>
      </c>
      <c r="S327" t="s">
        <v>41</v>
      </c>
    </row>
    <row r="328" spans="1:19" x14ac:dyDescent="0.25">
      <c r="A328" t="s">
        <v>130</v>
      </c>
      <c r="B328">
        <v>2</v>
      </c>
      <c r="C328" t="s">
        <v>39</v>
      </c>
      <c r="D328" t="s">
        <v>38</v>
      </c>
      <c r="E328" t="s">
        <v>37</v>
      </c>
      <c r="F328" t="s">
        <v>36</v>
      </c>
      <c r="G328" t="s">
        <v>35</v>
      </c>
      <c r="H328" t="s">
        <v>34</v>
      </c>
      <c r="I328" t="s">
        <v>33</v>
      </c>
      <c r="M328" t="s">
        <v>41</v>
      </c>
      <c r="N328" t="s">
        <v>41</v>
      </c>
      <c r="O328" t="s">
        <v>41</v>
      </c>
      <c r="P328" t="s">
        <v>41</v>
      </c>
      <c r="Q328" t="s">
        <v>41</v>
      </c>
      <c r="R328" t="s">
        <v>41</v>
      </c>
      <c r="S328" t="s">
        <v>41</v>
      </c>
    </row>
    <row r="329" spans="1:19" x14ac:dyDescent="0.25">
      <c r="A329" t="s">
        <v>131</v>
      </c>
      <c r="B329">
        <v>0</v>
      </c>
      <c r="C329" t="s">
        <v>123</v>
      </c>
      <c r="M329" t="s">
        <v>41</v>
      </c>
      <c r="N329" t="s">
        <v>41</v>
      </c>
      <c r="O329" t="s">
        <v>41</v>
      </c>
      <c r="P329" t="s">
        <v>41</v>
      </c>
      <c r="Q329" t="s">
        <v>41</v>
      </c>
      <c r="R329" t="s">
        <v>41</v>
      </c>
      <c r="S329" t="s">
        <v>41</v>
      </c>
    </row>
    <row r="330" spans="1:19" x14ac:dyDescent="0.25">
      <c r="A330" t="s">
        <v>132</v>
      </c>
      <c r="M330" t="s">
        <v>41</v>
      </c>
      <c r="N330" t="s">
        <v>41</v>
      </c>
      <c r="O330" t="s">
        <v>41</v>
      </c>
      <c r="P330" t="s">
        <v>41</v>
      </c>
      <c r="Q330" t="s">
        <v>41</v>
      </c>
      <c r="R330" t="s">
        <v>41</v>
      </c>
      <c r="S330" t="s">
        <v>41</v>
      </c>
    </row>
    <row r="331" spans="1:19" x14ac:dyDescent="0.25">
      <c r="A331" t="s">
        <v>133</v>
      </c>
      <c r="B331">
        <v>0</v>
      </c>
      <c r="C331" t="s">
        <v>123</v>
      </c>
      <c r="M331" t="s">
        <v>41</v>
      </c>
      <c r="N331" t="s">
        <v>41</v>
      </c>
      <c r="O331" t="s">
        <v>41</v>
      </c>
      <c r="P331" t="s">
        <v>41</v>
      </c>
      <c r="Q331" t="s">
        <v>41</v>
      </c>
      <c r="R331" t="s">
        <v>41</v>
      </c>
      <c r="S331" t="s">
        <v>41</v>
      </c>
    </row>
    <row r="332" spans="1:19" x14ac:dyDescent="0.25">
      <c r="A332" t="s">
        <v>134</v>
      </c>
      <c r="M332" t="s">
        <v>41</v>
      </c>
      <c r="N332" t="s">
        <v>41</v>
      </c>
      <c r="O332" t="s">
        <v>41</v>
      </c>
      <c r="P332" t="s">
        <v>41</v>
      </c>
      <c r="Q332" t="s">
        <v>41</v>
      </c>
      <c r="R332" t="s">
        <v>41</v>
      </c>
      <c r="S332" t="s">
        <v>41</v>
      </c>
    </row>
    <row r="333" spans="1:19" x14ac:dyDescent="0.25">
      <c r="A333" t="s">
        <v>135</v>
      </c>
      <c r="B333">
        <v>0</v>
      </c>
      <c r="C333" t="s">
        <v>123</v>
      </c>
      <c r="M333" t="s">
        <v>41</v>
      </c>
      <c r="N333" t="s">
        <v>41</v>
      </c>
      <c r="O333" t="s">
        <v>41</v>
      </c>
      <c r="P333" t="s">
        <v>41</v>
      </c>
      <c r="Q333" t="s">
        <v>41</v>
      </c>
      <c r="R333" t="s">
        <v>41</v>
      </c>
      <c r="S333" t="s">
        <v>41</v>
      </c>
    </row>
    <row r="334" spans="1:19" x14ac:dyDescent="0.25">
      <c r="A334" t="s">
        <v>136</v>
      </c>
      <c r="M334" t="s">
        <v>41</v>
      </c>
      <c r="N334" t="s">
        <v>41</v>
      </c>
      <c r="O334" t="s">
        <v>41</v>
      </c>
      <c r="P334" t="s">
        <v>41</v>
      </c>
      <c r="Q334" t="s">
        <v>41</v>
      </c>
      <c r="R334" t="s">
        <v>41</v>
      </c>
      <c r="S334" t="s">
        <v>41</v>
      </c>
    </row>
    <row r="335" spans="1:19" x14ac:dyDescent="0.25">
      <c r="A335" t="s">
        <v>137</v>
      </c>
      <c r="B335">
        <v>2</v>
      </c>
      <c r="C335" t="s">
        <v>39</v>
      </c>
      <c r="D335" t="s">
        <v>38</v>
      </c>
      <c r="E335" t="s">
        <v>37</v>
      </c>
      <c r="F335" t="s">
        <v>36</v>
      </c>
      <c r="G335" t="s">
        <v>35</v>
      </c>
      <c r="H335" t="s">
        <v>34</v>
      </c>
      <c r="I335" t="s">
        <v>33</v>
      </c>
      <c r="M335" t="s">
        <v>41</v>
      </c>
      <c r="N335" t="s">
        <v>41</v>
      </c>
      <c r="O335" t="s">
        <v>41</v>
      </c>
      <c r="P335" t="s">
        <v>41</v>
      </c>
      <c r="Q335" t="s">
        <v>41</v>
      </c>
      <c r="R335" t="s">
        <v>41</v>
      </c>
      <c r="S335" t="s">
        <v>41</v>
      </c>
    </row>
    <row r="336" spans="1:19" x14ac:dyDescent="0.25">
      <c r="A336" t="s">
        <v>138</v>
      </c>
      <c r="B336">
        <v>2</v>
      </c>
      <c r="C336" t="s">
        <v>39</v>
      </c>
      <c r="D336" t="s">
        <v>38</v>
      </c>
      <c r="E336" t="s">
        <v>37</v>
      </c>
      <c r="F336" t="s">
        <v>36</v>
      </c>
      <c r="G336" t="s">
        <v>35</v>
      </c>
      <c r="H336" t="s">
        <v>34</v>
      </c>
      <c r="I336" t="s">
        <v>33</v>
      </c>
      <c r="M336" t="s">
        <v>41</v>
      </c>
      <c r="N336" t="s">
        <v>41</v>
      </c>
      <c r="O336" t="s">
        <v>41</v>
      </c>
      <c r="P336" t="s">
        <v>41</v>
      </c>
      <c r="Q336" t="s">
        <v>41</v>
      </c>
      <c r="R336" t="s">
        <v>41</v>
      </c>
      <c r="S336" t="s">
        <v>41</v>
      </c>
    </row>
    <row r="337" spans="1:19" x14ac:dyDescent="0.25">
      <c r="A337" t="s">
        <v>139</v>
      </c>
      <c r="B337" t="s">
        <v>41</v>
      </c>
      <c r="C337" t="s">
        <v>41</v>
      </c>
      <c r="D337" t="s">
        <v>41</v>
      </c>
      <c r="E337" t="s">
        <v>41</v>
      </c>
      <c r="M337" t="s">
        <v>41</v>
      </c>
      <c r="N337" t="s">
        <v>41</v>
      </c>
      <c r="O337" t="s">
        <v>41</v>
      </c>
      <c r="P337" t="s">
        <v>41</v>
      </c>
      <c r="Q337" t="s">
        <v>41</v>
      </c>
      <c r="R337" t="s">
        <v>41</v>
      </c>
      <c r="S337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BIData</vt:lpstr>
      <vt:lpstr>Sheet1</vt:lpstr>
      <vt:lpstr>ReferenceData</vt:lpstr>
      <vt:lpstr>Sheet2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Sarthak Dalmia</cp:lastModifiedBy>
  <dcterms:created xsi:type="dcterms:W3CDTF">2013-04-03T15:49:21Z</dcterms:created>
  <dcterms:modified xsi:type="dcterms:W3CDTF">2020-06-22T14:21:45Z</dcterms:modified>
</cp:coreProperties>
</file>