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76BB3AA7-0133-4399-980B-CF8F29CDAB39}" xr6:coauthVersionLast="36" xr6:coauthVersionMax="36" xr10:uidLastSave="{00000000-0000-0000-0000-000000000000}"/>
  <bookViews>
    <workbookView xWindow="10395" yWindow="-105" windowWidth="14850" windowHeight="12735" activeTab="3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C390" i="3" l="1"/>
  <c r="C386" i="3"/>
  <c r="C388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E402" i="3"/>
  <c r="D402" i="3"/>
  <c r="C402" i="3"/>
  <c r="B402" i="3"/>
  <c r="A402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A401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A400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A399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A398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A397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A396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A395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A394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A393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A392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A391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A390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A389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A388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A387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A386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E384" i="3"/>
  <c r="D384" i="3"/>
  <c r="C384" i="3"/>
  <c r="B384" i="3"/>
  <c r="A384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E383" i="3"/>
  <c r="D383" i="3"/>
  <c r="C383" i="3"/>
  <c r="B383" i="3"/>
  <c r="A383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E382" i="3"/>
  <c r="D382" i="3"/>
  <c r="C382" i="3"/>
  <c r="A382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E381" i="3"/>
  <c r="D381" i="3"/>
  <c r="C381" i="3"/>
  <c r="B381" i="3"/>
  <c r="A381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A380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E379" i="3"/>
  <c r="D379" i="3"/>
  <c r="C379" i="3"/>
  <c r="B379" i="3"/>
  <c r="A379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E378" i="3"/>
  <c r="D378" i="3"/>
  <c r="C378" i="3"/>
  <c r="B378" i="3"/>
  <c r="A378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E377" i="3"/>
  <c r="D377" i="3"/>
  <c r="C377" i="3"/>
  <c r="B377" i="3"/>
  <c r="A37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E376" i="3"/>
  <c r="D376" i="3"/>
  <c r="C376" i="3"/>
  <c r="B376" i="3"/>
  <c r="A376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E375" i="3"/>
  <c r="D375" i="3"/>
  <c r="C375" i="3"/>
  <c r="B375" i="3"/>
  <c r="A375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E374" i="3"/>
  <c r="D374" i="3"/>
  <c r="C374" i="3"/>
  <c r="B374" i="3"/>
  <c r="A374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B373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C366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E363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A359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B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E303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B244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A202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B201" i="3"/>
  <c r="A201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B200" i="3"/>
  <c r="A200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B199" i="3"/>
  <c r="A199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C198" i="3"/>
  <c r="C200" i="3" s="1"/>
  <c r="B198" i="3"/>
  <c r="A198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B197" i="3"/>
  <c r="A197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A195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E186" i="3"/>
  <c r="B186" i="3"/>
  <c r="A186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E185" i="3"/>
  <c r="E373" i="3" s="1"/>
  <c r="D185" i="3"/>
  <c r="D373" i="3" s="1"/>
  <c r="C185" i="3"/>
  <c r="C373" i="3" s="1"/>
  <c r="B185" i="3"/>
  <c r="A185" i="3"/>
  <c r="A373" i="3" s="1"/>
  <c r="AC184" i="3"/>
  <c r="AB184" i="3"/>
  <c r="AA184" i="3"/>
  <c r="Z184" i="3"/>
  <c r="Y184" i="3"/>
  <c r="X184" i="3"/>
  <c r="W184" i="3"/>
  <c r="V184" i="3"/>
  <c r="U184" i="3"/>
  <c r="T184" i="3"/>
  <c r="S184" i="3"/>
  <c r="R184" i="3"/>
  <c r="E184" i="3"/>
  <c r="E372" i="3" s="1"/>
  <c r="D184" i="3"/>
  <c r="D372" i="3" s="1"/>
  <c r="C184" i="3"/>
  <c r="C372" i="3" s="1"/>
  <c r="B184" i="3"/>
  <c r="B372" i="3" s="1"/>
  <c r="A184" i="3"/>
  <c r="A372" i="3" s="1"/>
  <c r="AC183" i="3"/>
  <c r="AB183" i="3"/>
  <c r="AA183" i="3"/>
  <c r="Z183" i="3"/>
  <c r="Y183" i="3"/>
  <c r="X183" i="3"/>
  <c r="W183" i="3"/>
  <c r="V183" i="3"/>
  <c r="U183" i="3"/>
  <c r="T183" i="3"/>
  <c r="S183" i="3"/>
  <c r="R183" i="3"/>
  <c r="E183" i="3"/>
  <c r="E371" i="3" s="1"/>
  <c r="D183" i="3"/>
  <c r="D371" i="3" s="1"/>
  <c r="C183" i="3"/>
  <c r="C371" i="3" s="1"/>
  <c r="B183" i="3"/>
  <c r="B371" i="3" s="1"/>
  <c r="A183" i="3"/>
  <c r="A371" i="3" s="1"/>
  <c r="AC182" i="3"/>
  <c r="AB182" i="3"/>
  <c r="AA182" i="3"/>
  <c r="Z182" i="3"/>
  <c r="Y182" i="3"/>
  <c r="X182" i="3"/>
  <c r="W182" i="3"/>
  <c r="V182" i="3"/>
  <c r="U182" i="3"/>
  <c r="T182" i="3"/>
  <c r="S182" i="3"/>
  <c r="R182" i="3"/>
  <c r="E182" i="3"/>
  <c r="E370" i="3" s="1"/>
  <c r="D182" i="3"/>
  <c r="D370" i="3" s="1"/>
  <c r="C182" i="3"/>
  <c r="C370" i="3" s="1"/>
  <c r="B182" i="3"/>
  <c r="B370" i="3" s="1"/>
  <c r="A182" i="3"/>
  <c r="A370" i="3" s="1"/>
  <c r="AC181" i="3"/>
  <c r="AB181" i="3"/>
  <c r="AA181" i="3"/>
  <c r="Z181" i="3"/>
  <c r="Y181" i="3"/>
  <c r="X181" i="3"/>
  <c r="W181" i="3"/>
  <c r="V181" i="3"/>
  <c r="U181" i="3"/>
  <c r="T181" i="3"/>
  <c r="S181" i="3"/>
  <c r="R181" i="3"/>
  <c r="E181" i="3"/>
  <c r="E369" i="3" s="1"/>
  <c r="D181" i="3"/>
  <c r="D369" i="3" s="1"/>
  <c r="C181" i="3"/>
  <c r="C369" i="3" s="1"/>
  <c r="B181" i="3"/>
  <c r="B369" i="3" s="1"/>
  <c r="A181" i="3"/>
  <c r="A369" i="3" s="1"/>
  <c r="AC180" i="3"/>
  <c r="AB180" i="3"/>
  <c r="AA180" i="3"/>
  <c r="Z180" i="3"/>
  <c r="Y180" i="3"/>
  <c r="X180" i="3"/>
  <c r="W180" i="3"/>
  <c r="V180" i="3"/>
  <c r="U180" i="3"/>
  <c r="T180" i="3"/>
  <c r="S180" i="3"/>
  <c r="R180" i="3"/>
  <c r="E180" i="3"/>
  <c r="E368" i="3" s="1"/>
  <c r="D180" i="3"/>
  <c r="C180" i="3"/>
  <c r="C368" i="3" s="1"/>
  <c r="B180" i="3"/>
  <c r="B368" i="3" s="1"/>
  <c r="A180" i="3"/>
  <c r="A368" i="3" s="1"/>
  <c r="AC179" i="3"/>
  <c r="AB179" i="3"/>
  <c r="AA179" i="3"/>
  <c r="Z179" i="3"/>
  <c r="Y179" i="3"/>
  <c r="X179" i="3"/>
  <c r="W179" i="3"/>
  <c r="V179" i="3"/>
  <c r="U179" i="3"/>
  <c r="T179" i="3"/>
  <c r="S179" i="3"/>
  <c r="R179" i="3"/>
  <c r="E179" i="3"/>
  <c r="E367" i="3" s="1"/>
  <c r="D179" i="3"/>
  <c r="D367" i="3" s="1"/>
  <c r="C179" i="3"/>
  <c r="C367" i="3" s="1"/>
  <c r="B179" i="3"/>
  <c r="B367" i="3" s="1"/>
  <c r="A179" i="3"/>
  <c r="A367" i="3" s="1"/>
  <c r="AC178" i="3"/>
  <c r="AB178" i="3"/>
  <c r="AA178" i="3"/>
  <c r="Z178" i="3"/>
  <c r="Y178" i="3"/>
  <c r="X178" i="3"/>
  <c r="W178" i="3"/>
  <c r="V178" i="3"/>
  <c r="U178" i="3"/>
  <c r="T178" i="3"/>
  <c r="S178" i="3"/>
  <c r="R178" i="3"/>
  <c r="E178" i="3"/>
  <c r="E366" i="3" s="1"/>
  <c r="D178" i="3"/>
  <c r="D366" i="3" s="1"/>
  <c r="C178" i="3"/>
  <c r="B178" i="3"/>
  <c r="B366" i="3" s="1"/>
  <c r="A178" i="3"/>
  <c r="A366" i="3" s="1"/>
  <c r="AC177" i="3"/>
  <c r="AB177" i="3"/>
  <c r="AA177" i="3"/>
  <c r="Z177" i="3"/>
  <c r="Y177" i="3"/>
  <c r="X177" i="3"/>
  <c r="W177" i="3"/>
  <c r="V177" i="3"/>
  <c r="U177" i="3"/>
  <c r="T177" i="3"/>
  <c r="S177" i="3"/>
  <c r="R177" i="3"/>
  <c r="E177" i="3"/>
  <c r="E365" i="3" s="1"/>
  <c r="D177" i="3"/>
  <c r="D365" i="3" s="1"/>
  <c r="C177" i="3"/>
  <c r="C365" i="3" s="1"/>
  <c r="B177" i="3"/>
  <c r="B365" i="3" s="1"/>
  <c r="A177" i="3"/>
  <c r="A365" i="3" s="1"/>
  <c r="AC176" i="3"/>
  <c r="AB176" i="3"/>
  <c r="AA176" i="3"/>
  <c r="Z176" i="3"/>
  <c r="Y176" i="3"/>
  <c r="X176" i="3"/>
  <c r="W176" i="3"/>
  <c r="V176" i="3"/>
  <c r="U176" i="3"/>
  <c r="T176" i="3"/>
  <c r="S176" i="3"/>
  <c r="R176" i="3"/>
  <c r="E176" i="3"/>
  <c r="E364" i="3" s="1"/>
  <c r="D176" i="3"/>
  <c r="D364" i="3" s="1"/>
  <c r="C176" i="3"/>
  <c r="C364" i="3" s="1"/>
  <c r="B176" i="3"/>
  <c r="B364" i="3" s="1"/>
  <c r="A176" i="3"/>
  <c r="A364" i="3" s="1"/>
  <c r="AC175" i="3"/>
  <c r="AB175" i="3"/>
  <c r="AA175" i="3"/>
  <c r="Z175" i="3"/>
  <c r="Y175" i="3"/>
  <c r="X175" i="3"/>
  <c r="W175" i="3"/>
  <c r="V175" i="3"/>
  <c r="U175" i="3"/>
  <c r="T175" i="3"/>
  <c r="S175" i="3"/>
  <c r="R175" i="3"/>
  <c r="E175" i="3"/>
  <c r="D175" i="3"/>
  <c r="D363" i="3" s="1"/>
  <c r="C175" i="3"/>
  <c r="C363" i="3" s="1"/>
  <c r="B175" i="3"/>
  <c r="B363" i="3" s="1"/>
  <c r="A175" i="3"/>
  <c r="A363" i="3" s="1"/>
  <c r="AC174" i="3"/>
  <c r="AB174" i="3"/>
  <c r="AA174" i="3"/>
  <c r="Z174" i="3"/>
  <c r="Y174" i="3"/>
  <c r="X174" i="3"/>
  <c r="W174" i="3"/>
  <c r="V174" i="3"/>
  <c r="U174" i="3"/>
  <c r="T174" i="3"/>
  <c r="S174" i="3"/>
  <c r="R174" i="3"/>
  <c r="E174" i="3"/>
  <c r="E362" i="3" s="1"/>
  <c r="D174" i="3"/>
  <c r="D362" i="3" s="1"/>
  <c r="C174" i="3"/>
  <c r="C362" i="3" s="1"/>
  <c r="B174" i="3"/>
  <c r="B362" i="3" s="1"/>
  <c r="A174" i="3"/>
  <c r="A362" i="3" s="1"/>
  <c r="AC173" i="3"/>
  <c r="AB173" i="3"/>
  <c r="AA173" i="3"/>
  <c r="Z173" i="3"/>
  <c r="Y173" i="3"/>
  <c r="X173" i="3"/>
  <c r="W173" i="3"/>
  <c r="V173" i="3"/>
  <c r="U173" i="3"/>
  <c r="T173" i="3"/>
  <c r="S173" i="3"/>
  <c r="R173" i="3"/>
  <c r="E173" i="3"/>
  <c r="E361" i="3" s="1"/>
  <c r="D173" i="3"/>
  <c r="D361" i="3" s="1"/>
  <c r="C173" i="3"/>
  <c r="C361" i="3" s="1"/>
  <c r="B173" i="3"/>
  <c r="B361" i="3" s="1"/>
  <c r="A173" i="3"/>
  <c r="A361" i="3" s="1"/>
  <c r="AC172" i="3"/>
  <c r="AB172" i="3"/>
  <c r="AA172" i="3"/>
  <c r="Z172" i="3"/>
  <c r="Y172" i="3"/>
  <c r="X172" i="3"/>
  <c r="W172" i="3"/>
  <c r="V172" i="3"/>
  <c r="U172" i="3"/>
  <c r="T172" i="3"/>
  <c r="S172" i="3"/>
  <c r="R172" i="3"/>
  <c r="E172" i="3"/>
  <c r="E360" i="3" s="1"/>
  <c r="D172" i="3"/>
  <c r="D360" i="3" s="1"/>
  <c r="C172" i="3"/>
  <c r="C360" i="3" s="1"/>
  <c r="B172" i="3"/>
  <c r="B360" i="3" s="1"/>
  <c r="A172" i="3"/>
  <c r="A360" i="3" s="1"/>
  <c r="AC171" i="3"/>
  <c r="AB171" i="3"/>
  <c r="AA171" i="3"/>
  <c r="Z171" i="3"/>
  <c r="Y171" i="3"/>
  <c r="X171" i="3"/>
  <c r="W171" i="3"/>
  <c r="V171" i="3"/>
  <c r="U171" i="3"/>
  <c r="T171" i="3"/>
  <c r="S171" i="3"/>
  <c r="R171" i="3"/>
  <c r="E171" i="3"/>
  <c r="E359" i="3" s="1"/>
  <c r="D171" i="3"/>
  <c r="D359" i="3" s="1"/>
  <c r="C171" i="3"/>
  <c r="C359" i="3" s="1"/>
  <c r="B171" i="3"/>
  <c r="B359" i="3" s="1"/>
  <c r="A171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E170" i="3"/>
  <c r="E358" i="3" s="1"/>
  <c r="D170" i="3"/>
  <c r="D358" i="3" s="1"/>
  <c r="C170" i="3"/>
  <c r="C358" i="3" s="1"/>
  <c r="B170" i="3"/>
  <c r="B358" i="3" s="1"/>
  <c r="A170" i="3"/>
  <c r="A358" i="3" s="1"/>
  <c r="AC169" i="3"/>
  <c r="AB169" i="3"/>
  <c r="AA169" i="3"/>
  <c r="Z169" i="3"/>
  <c r="Y169" i="3"/>
  <c r="X169" i="3"/>
  <c r="W169" i="3"/>
  <c r="V169" i="3"/>
  <c r="U169" i="3"/>
  <c r="T169" i="3"/>
  <c r="S169" i="3"/>
  <c r="R169" i="3"/>
  <c r="E169" i="3"/>
  <c r="E357" i="3" s="1"/>
  <c r="D169" i="3"/>
  <c r="D357" i="3" s="1"/>
  <c r="C169" i="3"/>
  <c r="C357" i="3" s="1"/>
  <c r="B169" i="3"/>
  <c r="B357" i="3" s="1"/>
  <c r="A169" i="3"/>
  <c r="A357" i="3" s="1"/>
  <c r="AC168" i="3"/>
  <c r="AB168" i="3"/>
  <c r="AA168" i="3"/>
  <c r="Z168" i="3"/>
  <c r="Y168" i="3"/>
  <c r="X168" i="3"/>
  <c r="W168" i="3"/>
  <c r="V168" i="3"/>
  <c r="U168" i="3"/>
  <c r="T168" i="3"/>
  <c r="S168" i="3"/>
  <c r="R168" i="3"/>
  <c r="E168" i="3"/>
  <c r="B168" i="3"/>
  <c r="A168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E167" i="3"/>
  <c r="E356" i="3" s="1"/>
  <c r="D167" i="3"/>
  <c r="D356" i="3" s="1"/>
  <c r="C167" i="3"/>
  <c r="C356" i="3" s="1"/>
  <c r="B167" i="3"/>
  <c r="B356" i="3" s="1"/>
  <c r="A167" i="3"/>
  <c r="A356" i="3" s="1"/>
  <c r="AC166" i="3"/>
  <c r="AB166" i="3"/>
  <c r="AA166" i="3"/>
  <c r="Z166" i="3"/>
  <c r="Y166" i="3"/>
  <c r="X166" i="3"/>
  <c r="W166" i="3"/>
  <c r="V166" i="3"/>
  <c r="U166" i="3"/>
  <c r="T166" i="3"/>
  <c r="S166" i="3"/>
  <c r="R166" i="3"/>
  <c r="E166" i="3"/>
  <c r="E355" i="3" s="1"/>
  <c r="D166" i="3"/>
  <c r="D355" i="3" s="1"/>
  <c r="C166" i="3"/>
  <c r="C355" i="3" s="1"/>
  <c r="B166" i="3"/>
  <c r="B355" i="3" s="1"/>
  <c r="A166" i="3"/>
  <c r="A355" i="3" s="1"/>
  <c r="AC165" i="3"/>
  <c r="AB165" i="3"/>
  <c r="AA165" i="3"/>
  <c r="Z165" i="3"/>
  <c r="Y165" i="3"/>
  <c r="X165" i="3"/>
  <c r="W165" i="3"/>
  <c r="V165" i="3"/>
  <c r="U165" i="3"/>
  <c r="T165" i="3"/>
  <c r="S165" i="3"/>
  <c r="R165" i="3"/>
  <c r="E165" i="3"/>
  <c r="E354" i="3" s="1"/>
  <c r="D165" i="3"/>
  <c r="D354" i="3" s="1"/>
  <c r="C165" i="3"/>
  <c r="C354" i="3" s="1"/>
  <c r="B165" i="3"/>
  <c r="B354" i="3" s="1"/>
  <c r="A165" i="3"/>
  <c r="A354" i="3" s="1"/>
  <c r="AC164" i="3"/>
  <c r="AB164" i="3"/>
  <c r="AA164" i="3"/>
  <c r="Z164" i="3"/>
  <c r="Y164" i="3"/>
  <c r="X164" i="3"/>
  <c r="W164" i="3"/>
  <c r="V164" i="3"/>
  <c r="U164" i="3"/>
  <c r="T164" i="3"/>
  <c r="S164" i="3"/>
  <c r="R164" i="3"/>
  <c r="E164" i="3"/>
  <c r="E353" i="3" s="1"/>
  <c r="D164" i="3"/>
  <c r="D353" i="3" s="1"/>
  <c r="C164" i="3"/>
  <c r="C353" i="3" s="1"/>
  <c r="B164" i="3"/>
  <c r="B353" i="3" s="1"/>
  <c r="A164" i="3"/>
  <c r="A353" i="3" s="1"/>
  <c r="AC163" i="3"/>
  <c r="AB163" i="3"/>
  <c r="AA163" i="3"/>
  <c r="Z163" i="3"/>
  <c r="Y163" i="3"/>
  <c r="X163" i="3"/>
  <c r="W163" i="3"/>
  <c r="V163" i="3"/>
  <c r="U163" i="3"/>
  <c r="T163" i="3"/>
  <c r="S163" i="3"/>
  <c r="R163" i="3"/>
  <c r="E163" i="3"/>
  <c r="E352" i="3" s="1"/>
  <c r="D163" i="3"/>
  <c r="D352" i="3" s="1"/>
  <c r="C163" i="3"/>
  <c r="C352" i="3" s="1"/>
  <c r="B163" i="3"/>
  <c r="B352" i="3" s="1"/>
  <c r="A163" i="3"/>
  <c r="A352" i="3" s="1"/>
  <c r="AC162" i="3"/>
  <c r="AB162" i="3"/>
  <c r="AA162" i="3"/>
  <c r="Z162" i="3"/>
  <c r="Y162" i="3"/>
  <c r="X162" i="3"/>
  <c r="W162" i="3"/>
  <c r="V162" i="3"/>
  <c r="U162" i="3"/>
  <c r="T162" i="3"/>
  <c r="S162" i="3"/>
  <c r="R162" i="3"/>
  <c r="E162" i="3"/>
  <c r="E351" i="3" s="1"/>
  <c r="D162" i="3"/>
  <c r="D351" i="3" s="1"/>
  <c r="C162" i="3"/>
  <c r="C351" i="3" s="1"/>
  <c r="B162" i="3"/>
  <c r="B351" i="3" s="1"/>
  <c r="A162" i="3"/>
  <c r="A351" i="3" s="1"/>
  <c r="AC161" i="3"/>
  <c r="AB161" i="3"/>
  <c r="AA161" i="3"/>
  <c r="Z161" i="3"/>
  <c r="Y161" i="3"/>
  <c r="X161" i="3"/>
  <c r="W161" i="3"/>
  <c r="V161" i="3"/>
  <c r="U161" i="3"/>
  <c r="T161" i="3"/>
  <c r="S161" i="3"/>
  <c r="R161" i="3"/>
  <c r="E161" i="3"/>
  <c r="E350" i="3" s="1"/>
  <c r="D161" i="3"/>
  <c r="D350" i="3" s="1"/>
  <c r="C161" i="3"/>
  <c r="C350" i="3" s="1"/>
  <c r="B161" i="3"/>
  <c r="B350" i="3" s="1"/>
  <c r="A161" i="3"/>
  <c r="A350" i="3" s="1"/>
  <c r="AC160" i="3"/>
  <c r="AB160" i="3"/>
  <c r="AA160" i="3"/>
  <c r="Z160" i="3"/>
  <c r="Y160" i="3"/>
  <c r="X160" i="3"/>
  <c r="W160" i="3"/>
  <c r="V160" i="3"/>
  <c r="U160" i="3"/>
  <c r="T160" i="3"/>
  <c r="S160" i="3"/>
  <c r="R160" i="3"/>
  <c r="E160" i="3"/>
  <c r="E349" i="3" s="1"/>
  <c r="D160" i="3"/>
  <c r="D349" i="3" s="1"/>
  <c r="C160" i="3"/>
  <c r="C349" i="3" s="1"/>
  <c r="B160" i="3"/>
  <c r="B349" i="3" s="1"/>
  <c r="A160" i="3"/>
  <c r="A349" i="3" s="1"/>
  <c r="AC159" i="3"/>
  <c r="AB159" i="3"/>
  <c r="AA159" i="3"/>
  <c r="Z159" i="3"/>
  <c r="Y159" i="3"/>
  <c r="X159" i="3"/>
  <c r="W159" i="3"/>
  <c r="V159" i="3"/>
  <c r="U159" i="3"/>
  <c r="T159" i="3"/>
  <c r="S159" i="3"/>
  <c r="R159" i="3"/>
  <c r="E159" i="3"/>
  <c r="E348" i="3" s="1"/>
  <c r="D159" i="3"/>
  <c r="D348" i="3" s="1"/>
  <c r="C159" i="3"/>
  <c r="C348" i="3" s="1"/>
  <c r="B159" i="3"/>
  <c r="B348" i="3" s="1"/>
  <c r="A159" i="3"/>
  <c r="A348" i="3" s="1"/>
  <c r="AC158" i="3"/>
  <c r="AB158" i="3"/>
  <c r="AA158" i="3"/>
  <c r="Z158" i="3"/>
  <c r="Y158" i="3"/>
  <c r="X158" i="3"/>
  <c r="W158" i="3"/>
  <c r="V158" i="3"/>
  <c r="U158" i="3"/>
  <c r="T158" i="3"/>
  <c r="S158" i="3"/>
  <c r="R158" i="3"/>
  <c r="E158" i="3"/>
  <c r="E347" i="3" s="1"/>
  <c r="D158" i="3"/>
  <c r="D347" i="3" s="1"/>
  <c r="C158" i="3"/>
  <c r="C347" i="3" s="1"/>
  <c r="B158" i="3"/>
  <c r="B347" i="3" s="1"/>
  <c r="A158" i="3"/>
  <c r="A347" i="3" s="1"/>
  <c r="AC157" i="3"/>
  <c r="AB157" i="3"/>
  <c r="AA157" i="3"/>
  <c r="Z157" i="3"/>
  <c r="Y157" i="3"/>
  <c r="X157" i="3"/>
  <c r="W157" i="3"/>
  <c r="V157" i="3"/>
  <c r="U157" i="3"/>
  <c r="T157" i="3"/>
  <c r="S157" i="3"/>
  <c r="R157" i="3"/>
  <c r="E157" i="3"/>
  <c r="E346" i="3" s="1"/>
  <c r="D157" i="3"/>
  <c r="D346" i="3" s="1"/>
  <c r="C157" i="3"/>
  <c r="C346" i="3" s="1"/>
  <c r="B157" i="3"/>
  <c r="B346" i="3" s="1"/>
  <c r="A157" i="3"/>
  <c r="A346" i="3" s="1"/>
  <c r="AC156" i="3"/>
  <c r="AB156" i="3"/>
  <c r="AA156" i="3"/>
  <c r="Z156" i="3"/>
  <c r="Y156" i="3"/>
  <c r="X156" i="3"/>
  <c r="W156" i="3"/>
  <c r="V156" i="3"/>
  <c r="U156" i="3"/>
  <c r="T156" i="3"/>
  <c r="S156" i="3"/>
  <c r="R156" i="3"/>
  <c r="E156" i="3"/>
  <c r="E345" i="3" s="1"/>
  <c r="D156" i="3"/>
  <c r="D345" i="3" s="1"/>
  <c r="C156" i="3"/>
  <c r="C345" i="3" s="1"/>
  <c r="B156" i="3"/>
  <c r="B345" i="3" s="1"/>
  <c r="A156" i="3"/>
  <c r="A345" i="3" s="1"/>
  <c r="AC155" i="3"/>
  <c r="AB155" i="3"/>
  <c r="AA155" i="3"/>
  <c r="Z155" i="3"/>
  <c r="Y155" i="3"/>
  <c r="X155" i="3"/>
  <c r="W155" i="3"/>
  <c r="V155" i="3"/>
  <c r="U155" i="3"/>
  <c r="T155" i="3"/>
  <c r="S155" i="3"/>
  <c r="R155" i="3"/>
  <c r="E155" i="3"/>
  <c r="E344" i="3" s="1"/>
  <c r="D155" i="3"/>
  <c r="D344" i="3" s="1"/>
  <c r="C155" i="3"/>
  <c r="C344" i="3" s="1"/>
  <c r="B155" i="3"/>
  <c r="B344" i="3" s="1"/>
  <c r="A155" i="3"/>
  <c r="A344" i="3" s="1"/>
  <c r="AC154" i="3"/>
  <c r="AB154" i="3"/>
  <c r="AA154" i="3"/>
  <c r="Z154" i="3"/>
  <c r="Y154" i="3"/>
  <c r="X154" i="3"/>
  <c r="W154" i="3"/>
  <c r="V154" i="3"/>
  <c r="U154" i="3"/>
  <c r="T154" i="3"/>
  <c r="S154" i="3"/>
  <c r="R154" i="3"/>
  <c r="E154" i="3"/>
  <c r="E343" i="3" s="1"/>
  <c r="D154" i="3"/>
  <c r="D343" i="3" s="1"/>
  <c r="C154" i="3"/>
  <c r="C343" i="3" s="1"/>
  <c r="B154" i="3"/>
  <c r="B343" i="3" s="1"/>
  <c r="A154" i="3"/>
  <c r="A343" i="3" s="1"/>
  <c r="AC153" i="3"/>
  <c r="AB153" i="3"/>
  <c r="AA153" i="3"/>
  <c r="Z153" i="3"/>
  <c r="Y153" i="3"/>
  <c r="X153" i="3"/>
  <c r="W153" i="3"/>
  <c r="V153" i="3"/>
  <c r="U153" i="3"/>
  <c r="T153" i="3"/>
  <c r="S153" i="3"/>
  <c r="R153" i="3"/>
  <c r="E153" i="3"/>
  <c r="E342" i="3" s="1"/>
  <c r="D153" i="3"/>
  <c r="D342" i="3" s="1"/>
  <c r="C153" i="3"/>
  <c r="C342" i="3" s="1"/>
  <c r="B153" i="3"/>
  <c r="B342" i="3" s="1"/>
  <c r="A153" i="3"/>
  <c r="A342" i="3" s="1"/>
  <c r="AC152" i="3"/>
  <c r="AB152" i="3"/>
  <c r="AA152" i="3"/>
  <c r="Z152" i="3"/>
  <c r="Y152" i="3"/>
  <c r="X152" i="3"/>
  <c r="W152" i="3"/>
  <c r="V152" i="3"/>
  <c r="U152" i="3"/>
  <c r="T152" i="3"/>
  <c r="S152" i="3"/>
  <c r="R152" i="3"/>
  <c r="E152" i="3"/>
  <c r="E341" i="3" s="1"/>
  <c r="D152" i="3"/>
  <c r="D341" i="3" s="1"/>
  <c r="C152" i="3"/>
  <c r="C341" i="3" s="1"/>
  <c r="B152" i="3"/>
  <c r="B341" i="3" s="1"/>
  <c r="A152" i="3"/>
  <c r="A341" i="3" s="1"/>
  <c r="AC151" i="3"/>
  <c r="AB151" i="3"/>
  <c r="AA151" i="3"/>
  <c r="Z151" i="3"/>
  <c r="Y151" i="3"/>
  <c r="X151" i="3"/>
  <c r="W151" i="3"/>
  <c r="V151" i="3"/>
  <c r="U151" i="3"/>
  <c r="T151" i="3"/>
  <c r="S151" i="3"/>
  <c r="R151" i="3"/>
  <c r="E151" i="3"/>
  <c r="E340" i="3" s="1"/>
  <c r="D151" i="3"/>
  <c r="D340" i="3" s="1"/>
  <c r="C151" i="3"/>
  <c r="C340" i="3" s="1"/>
  <c r="B151" i="3"/>
  <c r="B340" i="3" s="1"/>
  <c r="A151" i="3"/>
  <c r="A340" i="3" s="1"/>
  <c r="AC150" i="3"/>
  <c r="AB150" i="3"/>
  <c r="AA150" i="3"/>
  <c r="Z150" i="3"/>
  <c r="Y150" i="3"/>
  <c r="X150" i="3"/>
  <c r="W150" i="3"/>
  <c r="V150" i="3"/>
  <c r="U150" i="3"/>
  <c r="T150" i="3"/>
  <c r="S150" i="3"/>
  <c r="R150" i="3"/>
  <c r="E150" i="3"/>
  <c r="B150" i="3"/>
  <c r="A150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E149" i="3"/>
  <c r="B149" i="3"/>
  <c r="A149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E148" i="3"/>
  <c r="E339" i="3" s="1"/>
  <c r="D148" i="3"/>
  <c r="D339" i="3" s="1"/>
  <c r="C148" i="3"/>
  <c r="C339" i="3" s="1"/>
  <c r="B148" i="3"/>
  <c r="B339" i="3" s="1"/>
  <c r="A148" i="3"/>
  <c r="A339" i="3" s="1"/>
  <c r="AC147" i="3"/>
  <c r="AB147" i="3"/>
  <c r="AA147" i="3"/>
  <c r="Z147" i="3"/>
  <c r="Y147" i="3"/>
  <c r="X147" i="3"/>
  <c r="W147" i="3"/>
  <c r="V147" i="3"/>
  <c r="U147" i="3"/>
  <c r="T147" i="3"/>
  <c r="S147" i="3"/>
  <c r="R147" i="3"/>
  <c r="E147" i="3"/>
  <c r="E338" i="3" s="1"/>
  <c r="D147" i="3"/>
  <c r="D338" i="3" s="1"/>
  <c r="C147" i="3"/>
  <c r="C338" i="3" s="1"/>
  <c r="B147" i="3"/>
  <c r="B338" i="3" s="1"/>
  <c r="A147" i="3"/>
  <c r="A338" i="3" s="1"/>
  <c r="AC146" i="3"/>
  <c r="AB146" i="3"/>
  <c r="AA146" i="3"/>
  <c r="Z146" i="3"/>
  <c r="Y146" i="3"/>
  <c r="X146" i="3"/>
  <c r="W146" i="3"/>
  <c r="V146" i="3"/>
  <c r="U146" i="3"/>
  <c r="T146" i="3"/>
  <c r="S146" i="3"/>
  <c r="R146" i="3"/>
  <c r="E146" i="3"/>
  <c r="E337" i="3" s="1"/>
  <c r="D146" i="3"/>
  <c r="D337" i="3" s="1"/>
  <c r="C146" i="3"/>
  <c r="C337" i="3" s="1"/>
  <c r="B146" i="3"/>
  <c r="B337" i="3" s="1"/>
  <c r="A146" i="3"/>
  <c r="A337" i="3" s="1"/>
  <c r="AC145" i="3"/>
  <c r="AB145" i="3"/>
  <c r="AA145" i="3"/>
  <c r="Z145" i="3"/>
  <c r="Y145" i="3"/>
  <c r="X145" i="3"/>
  <c r="W145" i="3"/>
  <c r="V145" i="3"/>
  <c r="U145" i="3"/>
  <c r="T145" i="3"/>
  <c r="S145" i="3"/>
  <c r="R145" i="3"/>
  <c r="E145" i="3"/>
  <c r="E336" i="3" s="1"/>
  <c r="D145" i="3"/>
  <c r="D336" i="3" s="1"/>
  <c r="C145" i="3"/>
  <c r="C336" i="3" s="1"/>
  <c r="B145" i="3"/>
  <c r="B336" i="3" s="1"/>
  <c r="A145" i="3"/>
  <c r="A336" i="3" s="1"/>
  <c r="AC144" i="3"/>
  <c r="AB144" i="3"/>
  <c r="AA144" i="3"/>
  <c r="Z144" i="3"/>
  <c r="Y144" i="3"/>
  <c r="X144" i="3"/>
  <c r="W144" i="3"/>
  <c r="V144" i="3"/>
  <c r="U144" i="3"/>
  <c r="T144" i="3"/>
  <c r="S144" i="3"/>
  <c r="R144" i="3"/>
  <c r="E144" i="3"/>
  <c r="E335" i="3" s="1"/>
  <c r="D144" i="3"/>
  <c r="D335" i="3" s="1"/>
  <c r="C144" i="3"/>
  <c r="C335" i="3" s="1"/>
  <c r="B144" i="3"/>
  <c r="B335" i="3" s="1"/>
  <c r="A144" i="3"/>
  <c r="A335" i="3" s="1"/>
  <c r="AC143" i="3"/>
  <c r="AB143" i="3"/>
  <c r="AA143" i="3"/>
  <c r="Z143" i="3"/>
  <c r="Y143" i="3"/>
  <c r="X143" i="3"/>
  <c r="W143" i="3"/>
  <c r="V143" i="3"/>
  <c r="U143" i="3"/>
  <c r="T143" i="3"/>
  <c r="S143" i="3"/>
  <c r="R143" i="3"/>
  <c r="E143" i="3"/>
  <c r="E334" i="3" s="1"/>
  <c r="D143" i="3"/>
  <c r="D334" i="3" s="1"/>
  <c r="C143" i="3"/>
  <c r="C334" i="3" s="1"/>
  <c r="B143" i="3"/>
  <c r="B334" i="3" s="1"/>
  <c r="A143" i="3"/>
  <c r="A334" i="3" s="1"/>
  <c r="AC142" i="3"/>
  <c r="AB142" i="3"/>
  <c r="AA142" i="3"/>
  <c r="Z142" i="3"/>
  <c r="Y142" i="3"/>
  <c r="X142" i="3"/>
  <c r="W142" i="3"/>
  <c r="V142" i="3"/>
  <c r="U142" i="3"/>
  <c r="T142" i="3"/>
  <c r="S142" i="3"/>
  <c r="R142" i="3"/>
  <c r="E142" i="3"/>
  <c r="E333" i="3" s="1"/>
  <c r="D142" i="3"/>
  <c r="D333" i="3" s="1"/>
  <c r="C142" i="3"/>
  <c r="C333" i="3" s="1"/>
  <c r="B142" i="3"/>
  <c r="B333" i="3" s="1"/>
  <c r="A142" i="3"/>
  <c r="A333" i="3" s="1"/>
  <c r="AC141" i="3"/>
  <c r="AB141" i="3"/>
  <c r="AA141" i="3"/>
  <c r="Z141" i="3"/>
  <c r="Y141" i="3"/>
  <c r="X141" i="3"/>
  <c r="W141" i="3"/>
  <c r="V141" i="3"/>
  <c r="U141" i="3"/>
  <c r="T141" i="3"/>
  <c r="S141" i="3"/>
  <c r="R141" i="3"/>
  <c r="E141" i="3"/>
  <c r="E332" i="3" s="1"/>
  <c r="D141" i="3"/>
  <c r="D332" i="3" s="1"/>
  <c r="C141" i="3"/>
  <c r="C332" i="3" s="1"/>
  <c r="B141" i="3"/>
  <c r="B332" i="3" s="1"/>
  <c r="A141" i="3"/>
  <c r="A332" i="3" s="1"/>
  <c r="AC140" i="3"/>
  <c r="AB140" i="3"/>
  <c r="AA140" i="3"/>
  <c r="Z140" i="3"/>
  <c r="Y140" i="3"/>
  <c r="X140" i="3"/>
  <c r="W140" i="3"/>
  <c r="V140" i="3"/>
  <c r="U140" i="3"/>
  <c r="T140" i="3"/>
  <c r="S140" i="3"/>
  <c r="R140" i="3"/>
  <c r="E140" i="3"/>
  <c r="E331" i="3" s="1"/>
  <c r="D140" i="3"/>
  <c r="D331" i="3" s="1"/>
  <c r="C140" i="3"/>
  <c r="C331" i="3" s="1"/>
  <c r="B140" i="3"/>
  <c r="B331" i="3" s="1"/>
  <c r="A140" i="3"/>
  <c r="A331" i="3" s="1"/>
  <c r="AC139" i="3"/>
  <c r="AB139" i="3"/>
  <c r="AA139" i="3"/>
  <c r="Z139" i="3"/>
  <c r="Y139" i="3"/>
  <c r="X139" i="3"/>
  <c r="W139" i="3"/>
  <c r="V139" i="3"/>
  <c r="U139" i="3"/>
  <c r="T139" i="3"/>
  <c r="S139" i="3"/>
  <c r="R139" i="3"/>
  <c r="E139" i="3"/>
  <c r="E330" i="3" s="1"/>
  <c r="D139" i="3"/>
  <c r="D330" i="3" s="1"/>
  <c r="C139" i="3"/>
  <c r="C330" i="3" s="1"/>
  <c r="B139" i="3"/>
  <c r="B330" i="3" s="1"/>
  <c r="A139" i="3"/>
  <c r="A330" i="3" s="1"/>
  <c r="AC138" i="3"/>
  <c r="AB138" i="3"/>
  <c r="AA138" i="3"/>
  <c r="Z138" i="3"/>
  <c r="Y138" i="3"/>
  <c r="X138" i="3"/>
  <c r="W138" i="3"/>
  <c r="V138" i="3"/>
  <c r="U138" i="3"/>
  <c r="T138" i="3"/>
  <c r="S138" i="3"/>
  <c r="R138" i="3"/>
  <c r="E138" i="3"/>
  <c r="E329" i="3" s="1"/>
  <c r="D138" i="3"/>
  <c r="D329" i="3" s="1"/>
  <c r="C138" i="3"/>
  <c r="C329" i="3" s="1"/>
  <c r="B138" i="3"/>
  <c r="B329" i="3" s="1"/>
  <c r="A138" i="3"/>
  <c r="A329" i="3" s="1"/>
  <c r="AC137" i="3"/>
  <c r="AB137" i="3"/>
  <c r="AA137" i="3"/>
  <c r="Z137" i="3"/>
  <c r="Y137" i="3"/>
  <c r="X137" i="3"/>
  <c r="W137" i="3"/>
  <c r="V137" i="3"/>
  <c r="U137" i="3"/>
  <c r="T137" i="3"/>
  <c r="S137" i="3"/>
  <c r="R137" i="3"/>
  <c r="E137" i="3"/>
  <c r="E328" i="3" s="1"/>
  <c r="D137" i="3"/>
  <c r="D328" i="3" s="1"/>
  <c r="C137" i="3"/>
  <c r="C328" i="3" s="1"/>
  <c r="B137" i="3"/>
  <c r="B328" i="3" s="1"/>
  <c r="A137" i="3"/>
  <c r="A328" i="3" s="1"/>
  <c r="AC136" i="3"/>
  <c r="AB136" i="3"/>
  <c r="AA136" i="3"/>
  <c r="Z136" i="3"/>
  <c r="Y136" i="3"/>
  <c r="X136" i="3"/>
  <c r="W136" i="3"/>
  <c r="V136" i="3"/>
  <c r="U136" i="3"/>
  <c r="T136" i="3"/>
  <c r="S136" i="3"/>
  <c r="R136" i="3"/>
  <c r="E136" i="3"/>
  <c r="E327" i="3" s="1"/>
  <c r="D136" i="3"/>
  <c r="D327" i="3" s="1"/>
  <c r="C136" i="3"/>
  <c r="C327" i="3" s="1"/>
  <c r="B136" i="3"/>
  <c r="B327" i="3" s="1"/>
  <c r="A136" i="3"/>
  <c r="A327" i="3" s="1"/>
  <c r="AC135" i="3"/>
  <c r="AB135" i="3"/>
  <c r="AA135" i="3"/>
  <c r="Z135" i="3"/>
  <c r="Y135" i="3"/>
  <c r="X135" i="3"/>
  <c r="W135" i="3"/>
  <c r="V135" i="3"/>
  <c r="U135" i="3"/>
  <c r="T135" i="3"/>
  <c r="S135" i="3"/>
  <c r="R135" i="3"/>
  <c r="E135" i="3"/>
  <c r="E326" i="3" s="1"/>
  <c r="D135" i="3"/>
  <c r="D326" i="3" s="1"/>
  <c r="C135" i="3"/>
  <c r="C326" i="3" s="1"/>
  <c r="B135" i="3"/>
  <c r="B326" i="3" s="1"/>
  <c r="A135" i="3"/>
  <c r="A326" i="3" s="1"/>
  <c r="AC134" i="3"/>
  <c r="AB134" i="3"/>
  <c r="AA134" i="3"/>
  <c r="Z134" i="3"/>
  <c r="Y134" i="3"/>
  <c r="X134" i="3"/>
  <c r="W134" i="3"/>
  <c r="V134" i="3"/>
  <c r="U134" i="3"/>
  <c r="T134" i="3"/>
  <c r="S134" i="3"/>
  <c r="R134" i="3"/>
  <c r="E134" i="3"/>
  <c r="E325" i="3" s="1"/>
  <c r="D134" i="3"/>
  <c r="D325" i="3" s="1"/>
  <c r="C134" i="3"/>
  <c r="C325" i="3" s="1"/>
  <c r="B134" i="3"/>
  <c r="B325" i="3" s="1"/>
  <c r="A134" i="3"/>
  <c r="A325" i="3" s="1"/>
  <c r="AC133" i="3"/>
  <c r="AB133" i="3"/>
  <c r="AA133" i="3"/>
  <c r="Z133" i="3"/>
  <c r="Y133" i="3"/>
  <c r="X133" i="3"/>
  <c r="W133" i="3"/>
  <c r="V133" i="3"/>
  <c r="U133" i="3"/>
  <c r="T133" i="3"/>
  <c r="S133" i="3"/>
  <c r="R133" i="3"/>
  <c r="E133" i="3"/>
  <c r="E324" i="3" s="1"/>
  <c r="D133" i="3"/>
  <c r="D324" i="3" s="1"/>
  <c r="C133" i="3"/>
  <c r="C324" i="3" s="1"/>
  <c r="B133" i="3"/>
  <c r="A133" i="3"/>
  <c r="A324" i="3" s="1"/>
  <c r="AC132" i="3"/>
  <c r="AB132" i="3"/>
  <c r="AA132" i="3"/>
  <c r="Z132" i="3"/>
  <c r="Y132" i="3"/>
  <c r="X132" i="3"/>
  <c r="W132" i="3"/>
  <c r="V132" i="3"/>
  <c r="U132" i="3"/>
  <c r="T132" i="3"/>
  <c r="S132" i="3"/>
  <c r="R132" i="3"/>
  <c r="E132" i="3"/>
  <c r="E323" i="3" s="1"/>
  <c r="D132" i="3"/>
  <c r="D323" i="3" s="1"/>
  <c r="C132" i="3"/>
  <c r="C323" i="3" s="1"/>
  <c r="B132" i="3"/>
  <c r="B323" i="3" s="1"/>
  <c r="A132" i="3"/>
  <c r="A323" i="3" s="1"/>
  <c r="AC131" i="3"/>
  <c r="AB131" i="3"/>
  <c r="AA131" i="3"/>
  <c r="Z131" i="3"/>
  <c r="Y131" i="3"/>
  <c r="X131" i="3"/>
  <c r="W131" i="3"/>
  <c r="V131" i="3"/>
  <c r="U131" i="3"/>
  <c r="T131" i="3"/>
  <c r="S131" i="3"/>
  <c r="R131" i="3"/>
  <c r="E131" i="3"/>
  <c r="B131" i="3"/>
  <c r="A131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E130" i="3"/>
  <c r="E322" i="3" s="1"/>
  <c r="D130" i="3"/>
  <c r="D322" i="3" s="1"/>
  <c r="C130" i="3"/>
  <c r="C322" i="3" s="1"/>
  <c r="B130" i="3"/>
  <c r="B322" i="3" s="1"/>
  <c r="A130" i="3"/>
  <c r="A322" i="3" s="1"/>
  <c r="AC129" i="3"/>
  <c r="AB129" i="3"/>
  <c r="AA129" i="3"/>
  <c r="Z129" i="3"/>
  <c r="Y129" i="3"/>
  <c r="X129" i="3"/>
  <c r="W129" i="3"/>
  <c r="V129" i="3"/>
  <c r="U129" i="3"/>
  <c r="T129" i="3"/>
  <c r="S129" i="3"/>
  <c r="R129" i="3"/>
  <c r="E129" i="3"/>
  <c r="E321" i="3" s="1"/>
  <c r="D129" i="3"/>
  <c r="D321" i="3" s="1"/>
  <c r="C129" i="3"/>
  <c r="C321" i="3" s="1"/>
  <c r="B129" i="3"/>
  <c r="B321" i="3" s="1"/>
  <c r="A129" i="3"/>
  <c r="A321" i="3" s="1"/>
  <c r="AC128" i="3"/>
  <c r="AB128" i="3"/>
  <c r="AA128" i="3"/>
  <c r="Z128" i="3"/>
  <c r="Y128" i="3"/>
  <c r="X128" i="3"/>
  <c r="W128" i="3"/>
  <c r="V128" i="3"/>
  <c r="U128" i="3"/>
  <c r="T128" i="3"/>
  <c r="S128" i="3"/>
  <c r="R128" i="3"/>
  <c r="E128" i="3"/>
  <c r="E320" i="3" s="1"/>
  <c r="D128" i="3"/>
  <c r="D320" i="3" s="1"/>
  <c r="C128" i="3"/>
  <c r="C320" i="3" s="1"/>
  <c r="B128" i="3"/>
  <c r="B320" i="3" s="1"/>
  <c r="A128" i="3"/>
  <c r="A320" i="3" s="1"/>
  <c r="AC127" i="3"/>
  <c r="AB127" i="3"/>
  <c r="AA127" i="3"/>
  <c r="Z127" i="3"/>
  <c r="Y127" i="3"/>
  <c r="X127" i="3"/>
  <c r="W127" i="3"/>
  <c r="V127" i="3"/>
  <c r="U127" i="3"/>
  <c r="T127" i="3"/>
  <c r="S127" i="3"/>
  <c r="R127" i="3"/>
  <c r="E127" i="3"/>
  <c r="E319" i="3" s="1"/>
  <c r="D127" i="3"/>
  <c r="D319" i="3" s="1"/>
  <c r="C127" i="3"/>
  <c r="C319" i="3" s="1"/>
  <c r="B127" i="3"/>
  <c r="B319" i="3" s="1"/>
  <c r="A127" i="3"/>
  <c r="A319" i="3" s="1"/>
  <c r="AC126" i="3"/>
  <c r="AB126" i="3"/>
  <c r="AA126" i="3"/>
  <c r="Z126" i="3"/>
  <c r="Y126" i="3"/>
  <c r="X126" i="3"/>
  <c r="W126" i="3"/>
  <c r="V126" i="3"/>
  <c r="U126" i="3"/>
  <c r="T126" i="3"/>
  <c r="S126" i="3"/>
  <c r="R126" i="3"/>
  <c r="E126" i="3"/>
  <c r="E318" i="3" s="1"/>
  <c r="D126" i="3"/>
  <c r="D318" i="3" s="1"/>
  <c r="C126" i="3"/>
  <c r="C318" i="3" s="1"/>
  <c r="B126" i="3"/>
  <c r="B318" i="3" s="1"/>
  <c r="A126" i="3"/>
  <c r="A318" i="3" s="1"/>
  <c r="AC125" i="3"/>
  <c r="AB125" i="3"/>
  <c r="AA125" i="3"/>
  <c r="Z125" i="3"/>
  <c r="Y125" i="3"/>
  <c r="X125" i="3"/>
  <c r="W125" i="3"/>
  <c r="V125" i="3"/>
  <c r="U125" i="3"/>
  <c r="T125" i="3"/>
  <c r="S125" i="3"/>
  <c r="R125" i="3"/>
  <c r="E125" i="3"/>
  <c r="E317" i="3" s="1"/>
  <c r="D125" i="3"/>
  <c r="D317" i="3" s="1"/>
  <c r="C125" i="3"/>
  <c r="C317" i="3" s="1"/>
  <c r="B125" i="3"/>
  <c r="B317" i="3" s="1"/>
  <c r="A125" i="3"/>
  <c r="A317" i="3" s="1"/>
  <c r="AC124" i="3"/>
  <c r="AB124" i="3"/>
  <c r="AA124" i="3"/>
  <c r="Z124" i="3"/>
  <c r="Y124" i="3"/>
  <c r="X124" i="3"/>
  <c r="W124" i="3"/>
  <c r="V124" i="3"/>
  <c r="U124" i="3"/>
  <c r="T124" i="3"/>
  <c r="S124" i="3"/>
  <c r="R124" i="3"/>
  <c r="E124" i="3"/>
  <c r="E316" i="3" s="1"/>
  <c r="D124" i="3"/>
  <c r="D316" i="3" s="1"/>
  <c r="C124" i="3"/>
  <c r="C316" i="3" s="1"/>
  <c r="B124" i="3"/>
  <c r="B316" i="3" s="1"/>
  <c r="A124" i="3"/>
  <c r="A316" i="3" s="1"/>
  <c r="AC123" i="3"/>
  <c r="AB123" i="3"/>
  <c r="AA123" i="3"/>
  <c r="Z123" i="3"/>
  <c r="Y123" i="3"/>
  <c r="X123" i="3"/>
  <c r="W123" i="3"/>
  <c r="V123" i="3"/>
  <c r="U123" i="3"/>
  <c r="T123" i="3"/>
  <c r="S123" i="3"/>
  <c r="R123" i="3"/>
  <c r="E123" i="3"/>
  <c r="E315" i="3" s="1"/>
  <c r="D123" i="3"/>
  <c r="D315" i="3" s="1"/>
  <c r="C123" i="3"/>
  <c r="C315" i="3" s="1"/>
  <c r="B123" i="3"/>
  <c r="B315" i="3" s="1"/>
  <c r="A123" i="3"/>
  <c r="A315" i="3" s="1"/>
  <c r="AC122" i="3"/>
  <c r="AB122" i="3"/>
  <c r="AA122" i="3"/>
  <c r="Z122" i="3"/>
  <c r="Y122" i="3"/>
  <c r="X122" i="3"/>
  <c r="W122" i="3"/>
  <c r="V122" i="3"/>
  <c r="U122" i="3"/>
  <c r="T122" i="3"/>
  <c r="S122" i="3"/>
  <c r="R122" i="3"/>
  <c r="E122" i="3"/>
  <c r="E314" i="3" s="1"/>
  <c r="D122" i="3"/>
  <c r="D314" i="3" s="1"/>
  <c r="C122" i="3"/>
  <c r="C314" i="3" s="1"/>
  <c r="B122" i="3"/>
  <c r="B314" i="3" s="1"/>
  <c r="A122" i="3"/>
  <c r="A314" i="3" s="1"/>
  <c r="AC121" i="3"/>
  <c r="AB121" i="3"/>
  <c r="AA121" i="3"/>
  <c r="Z121" i="3"/>
  <c r="Y121" i="3"/>
  <c r="X121" i="3"/>
  <c r="W121" i="3"/>
  <c r="V121" i="3"/>
  <c r="U121" i="3"/>
  <c r="T121" i="3"/>
  <c r="S121" i="3"/>
  <c r="R121" i="3"/>
  <c r="E121" i="3"/>
  <c r="E313" i="3" s="1"/>
  <c r="D121" i="3"/>
  <c r="D313" i="3" s="1"/>
  <c r="C121" i="3"/>
  <c r="C313" i="3" s="1"/>
  <c r="B121" i="3"/>
  <c r="B313" i="3" s="1"/>
  <c r="A121" i="3"/>
  <c r="A313" i="3" s="1"/>
  <c r="AC120" i="3"/>
  <c r="AB120" i="3"/>
  <c r="AA120" i="3"/>
  <c r="Z120" i="3"/>
  <c r="Y120" i="3"/>
  <c r="X120" i="3"/>
  <c r="W120" i="3"/>
  <c r="V120" i="3"/>
  <c r="U120" i="3"/>
  <c r="T120" i="3"/>
  <c r="S120" i="3"/>
  <c r="R120" i="3"/>
  <c r="E120" i="3"/>
  <c r="E312" i="3" s="1"/>
  <c r="D120" i="3"/>
  <c r="D312" i="3" s="1"/>
  <c r="C120" i="3"/>
  <c r="C312" i="3" s="1"/>
  <c r="B120" i="3"/>
  <c r="B312" i="3" s="1"/>
  <c r="A120" i="3"/>
  <c r="A312" i="3" s="1"/>
  <c r="AC119" i="3"/>
  <c r="AB119" i="3"/>
  <c r="AA119" i="3"/>
  <c r="Z119" i="3"/>
  <c r="Y119" i="3"/>
  <c r="X119" i="3"/>
  <c r="W119" i="3"/>
  <c r="V119" i="3"/>
  <c r="U119" i="3"/>
  <c r="T119" i="3"/>
  <c r="S119" i="3"/>
  <c r="R119" i="3"/>
  <c r="E119" i="3"/>
  <c r="E311" i="3" s="1"/>
  <c r="D119" i="3"/>
  <c r="D311" i="3" s="1"/>
  <c r="C119" i="3"/>
  <c r="C311" i="3" s="1"/>
  <c r="B119" i="3"/>
  <c r="B311" i="3" s="1"/>
  <c r="A119" i="3"/>
  <c r="A311" i="3" s="1"/>
  <c r="AC118" i="3"/>
  <c r="AB118" i="3"/>
  <c r="AA118" i="3"/>
  <c r="Z118" i="3"/>
  <c r="Y118" i="3"/>
  <c r="X118" i="3"/>
  <c r="W118" i="3"/>
  <c r="V118" i="3"/>
  <c r="U118" i="3"/>
  <c r="T118" i="3"/>
  <c r="S118" i="3"/>
  <c r="R118" i="3"/>
  <c r="E118" i="3"/>
  <c r="E310" i="3" s="1"/>
  <c r="D118" i="3"/>
  <c r="D310" i="3" s="1"/>
  <c r="C118" i="3"/>
  <c r="C310" i="3" s="1"/>
  <c r="B118" i="3"/>
  <c r="B310" i="3" s="1"/>
  <c r="A118" i="3"/>
  <c r="A310" i="3" s="1"/>
  <c r="AC117" i="3"/>
  <c r="AB117" i="3"/>
  <c r="AA117" i="3"/>
  <c r="Z117" i="3"/>
  <c r="Y117" i="3"/>
  <c r="X117" i="3"/>
  <c r="W117" i="3"/>
  <c r="V117" i="3"/>
  <c r="U117" i="3"/>
  <c r="T117" i="3"/>
  <c r="S117" i="3"/>
  <c r="R117" i="3"/>
  <c r="E117" i="3"/>
  <c r="E309" i="3" s="1"/>
  <c r="D117" i="3"/>
  <c r="D309" i="3" s="1"/>
  <c r="C117" i="3"/>
  <c r="C309" i="3" s="1"/>
  <c r="B117" i="3"/>
  <c r="B309" i="3" s="1"/>
  <c r="A117" i="3"/>
  <c r="A309" i="3" s="1"/>
  <c r="AC116" i="3"/>
  <c r="AB116" i="3"/>
  <c r="AA116" i="3"/>
  <c r="Z116" i="3"/>
  <c r="Y116" i="3"/>
  <c r="X116" i="3"/>
  <c r="W116" i="3"/>
  <c r="V116" i="3"/>
  <c r="U116" i="3"/>
  <c r="T116" i="3"/>
  <c r="S116" i="3"/>
  <c r="R116" i="3"/>
  <c r="E116" i="3"/>
  <c r="E308" i="3" s="1"/>
  <c r="D116" i="3"/>
  <c r="D308" i="3" s="1"/>
  <c r="C116" i="3"/>
  <c r="C308" i="3" s="1"/>
  <c r="B116" i="3"/>
  <c r="B308" i="3" s="1"/>
  <c r="A116" i="3"/>
  <c r="A308" i="3" s="1"/>
  <c r="AC115" i="3"/>
  <c r="AB115" i="3"/>
  <c r="AA115" i="3"/>
  <c r="Z115" i="3"/>
  <c r="Y115" i="3"/>
  <c r="X115" i="3"/>
  <c r="W115" i="3"/>
  <c r="V115" i="3"/>
  <c r="U115" i="3"/>
  <c r="T115" i="3"/>
  <c r="S115" i="3"/>
  <c r="R115" i="3"/>
  <c r="E115" i="3"/>
  <c r="E307" i="3" s="1"/>
  <c r="D115" i="3"/>
  <c r="D307" i="3" s="1"/>
  <c r="C115" i="3"/>
  <c r="C307" i="3" s="1"/>
  <c r="B115" i="3"/>
  <c r="B307" i="3" s="1"/>
  <c r="A115" i="3"/>
  <c r="A307" i="3" s="1"/>
  <c r="AC114" i="3"/>
  <c r="AB114" i="3"/>
  <c r="AA114" i="3"/>
  <c r="Z114" i="3"/>
  <c r="Y114" i="3"/>
  <c r="X114" i="3"/>
  <c r="W114" i="3"/>
  <c r="V114" i="3"/>
  <c r="U114" i="3"/>
  <c r="T114" i="3"/>
  <c r="S114" i="3"/>
  <c r="R114" i="3"/>
  <c r="E114" i="3"/>
  <c r="E306" i="3" s="1"/>
  <c r="D114" i="3"/>
  <c r="D306" i="3" s="1"/>
  <c r="C114" i="3"/>
  <c r="C306" i="3" s="1"/>
  <c r="B114" i="3"/>
  <c r="B306" i="3" s="1"/>
  <c r="A114" i="3"/>
  <c r="A306" i="3" s="1"/>
  <c r="AC113" i="3"/>
  <c r="AB113" i="3"/>
  <c r="AA113" i="3"/>
  <c r="Z113" i="3"/>
  <c r="Y113" i="3"/>
  <c r="X113" i="3"/>
  <c r="W113" i="3"/>
  <c r="V113" i="3"/>
  <c r="U113" i="3"/>
  <c r="T113" i="3"/>
  <c r="S113" i="3"/>
  <c r="R113" i="3"/>
  <c r="E113" i="3"/>
  <c r="B113" i="3"/>
  <c r="A113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E112" i="3"/>
  <c r="E305" i="3" s="1"/>
  <c r="D112" i="3"/>
  <c r="D305" i="3" s="1"/>
  <c r="C112" i="3"/>
  <c r="C305" i="3" s="1"/>
  <c r="B112" i="3"/>
  <c r="B305" i="3" s="1"/>
  <c r="A112" i="3"/>
  <c r="A305" i="3" s="1"/>
  <c r="AC111" i="3"/>
  <c r="AB111" i="3"/>
  <c r="AA111" i="3"/>
  <c r="Z111" i="3"/>
  <c r="Y111" i="3"/>
  <c r="X111" i="3"/>
  <c r="W111" i="3"/>
  <c r="V111" i="3"/>
  <c r="U111" i="3"/>
  <c r="T111" i="3"/>
  <c r="S111" i="3"/>
  <c r="R111" i="3"/>
  <c r="E111" i="3"/>
  <c r="E304" i="3" s="1"/>
  <c r="D111" i="3"/>
  <c r="D304" i="3" s="1"/>
  <c r="C111" i="3"/>
  <c r="C304" i="3" s="1"/>
  <c r="B111" i="3"/>
  <c r="B304" i="3" s="1"/>
  <c r="A111" i="3"/>
  <c r="A304" i="3" s="1"/>
  <c r="AC110" i="3"/>
  <c r="AB110" i="3"/>
  <c r="AA110" i="3"/>
  <c r="Z110" i="3"/>
  <c r="Y110" i="3"/>
  <c r="X110" i="3"/>
  <c r="W110" i="3"/>
  <c r="V110" i="3"/>
  <c r="U110" i="3"/>
  <c r="T110" i="3"/>
  <c r="S110" i="3"/>
  <c r="R110" i="3"/>
  <c r="E110" i="3"/>
  <c r="D110" i="3"/>
  <c r="D303" i="3" s="1"/>
  <c r="C110" i="3"/>
  <c r="C303" i="3" s="1"/>
  <c r="B110" i="3"/>
  <c r="B303" i="3" s="1"/>
  <c r="A110" i="3"/>
  <c r="A303" i="3" s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E109" i="3"/>
  <c r="E302" i="3" s="1"/>
  <c r="D109" i="3"/>
  <c r="D302" i="3" s="1"/>
  <c r="C109" i="3"/>
  <c r="C302" i="3" s="1"/>
  <c r="B109" i="3"/>
  <c r="B302" i="3" s="1"/>
  <c r="A109" i="3"/>
  <c r="A302" i="3" s="1"/>
  <c r="AC108" i="3"/>
  <c r="AB108" i="3"/>
  <c r="AA108" i="3"/>
  <c r="Z108" i="3"/>
  <c r="Y108" i="3"/>
  <c r="X108" i="3"/>
  <c r="W108" i="3"/>
  <c r="V108" i="3"/>
  <c r="U108" i="3"/>
  <c r="T108" i="3"/>
  <c r="S108" i="3"/>
  <c r="R108" i="3"/>
  <c r="E108" i="3"/>
  <c r="E301" i="3" s="1"/>
  <c r="D108" i="3"/>
  <c r="D301" i="3" s="1"/>
  <c r="C108" i="3"/>
  <c r="C301" i="3" s="1"/>
  <c r="B108" i="3"/>
  <c r="B301" i="3" s="1"/>
  <c r="A108" i="3"/>
  <c r="A301" i="3" s="1"/>
  <c r="AC107" i="3"/>
  <c r="AB107" i="3"/>
  <c r="AA107" i="3"/>
  <c r="Z107" i="3"/>
  <c r="Y107" i="3"/>
  <c r="X107" i="3"/>
  <c r="W107" i="3"/>
  <c r="V107" i="3"/>
  <c r="U107" i="3"/>
  <c r="T107" i="3"/>
  <c r="S107" i="3"/>
  <c r="R107" i="3"/>
  <c r="E107" i="3"/>
  <c r="E300" i="3" s="1"/>
  <c r="D107" i="3"/>
  <c r="D300" i="3" s="1"/>
  <c r="C107" i="3"/>
  <c r="C300" i="3" s="1"/>
  <c r="B107" i="3"/>
  <c r="B300" i="3" s="1"/>
  <c r="A107" i="3"/>
  <c r="A300" i="3" s="1"/>
  <c r="AC106" i="3"/>
  <c r="AB106" i="3"/>
  <c r="AA106" i="3"/>
  <c r="Z106" i="3"/>
  <c r="Y106" i="3"/>
  <c r="X106" i="3"/>
  <c r="W106" i="3"/>
  <c r="V106" i="3"/>
  <c r="U106" i="3"/>
  <c r="T106" i="3"/>
  <c r="S106" i="3"/>
  <c r="R106" i="3"/>
  <c r="E106" i="3"/>
  <c r="E299" i="3" s="1"/>
  <c r="D106" i="3"/>
  <c r="D299" i="3" s="1"/>
  <c r="C106" i="3"/>
  <c r="C299" i="3" s="1"/>
  <c r="B106" i="3"/>
  <c r="B299" i="3" s="1"/>
  <c r="A106" i="3"/>
  <c r="A299" i="3" s="1"/>
  <c r="AC105" i="3"/>
  <c r="AB105" i="3"/>
  <c r="AA105" i="3"/>
  <c r="Z105" i="3"/>
  <c r="Y105" i="3"/>
  <c r="X105" i="3"/>
  <c r="W105" i="3"/>
  <c r="V105" i="3"/>
  <c r="U105" i="3"/>
  <c r="T105" i="3"/>
  <c r="S105" i="3"/>
  <c r="R105" i="3"/>
  <c r="E105" i="3"/>
  <c r="E298" i="3" s="1"/>
  <c r="D105" i="3"/>
  <c r="D298" i="3" s="1"/>
  <c r="C105" i="3"/>
  <c r="C298" i="3" s="1"/>
  <c r="B105" i="3"/>
  <c r="B298" i="3" s="1"/>
  <c r="A105" i="3"/>
  <c r="A298" i="3" s="1"/>
  <c r="AC104" i="3"/>
  <c r="AB104" i="3"/>
  <c r="AA104" i="3"/>
  <c r="Z104" i="3"/>
  <c r="Y104" i="3"/>
  <c r="X104" i="3"/>
  <c r="W104" i="3"/>
  <c r="V104" i="3"/>
  <c r="U104" i="3"/>
  <c r="T104" i="3"/>
  <c r="S104" i="3"/>
  <c r="R104" i="3"/>
  <c r="E104" i="3"/>
  <c r="E297" i="3" s="1"/>
  <c r="D104" i="3"/>
  <c r="C104" i="3"/>
  <c r="C297" i="3" s="1"/>
  <c r="B104" i="3"/>
  <c r="B297" i="3" s="1"/>
  <c r="A104" i="3"/>
  <c r="A297" i="3" s="1"/>
  <c r="AC103" i="3"/>
  <c r="AB103" i="3"/>
  <c r="AA103" i="3"/>
  <c r="Z103" i="3"/>
  <c r="Y103" i="3"/>
  <c r="X103" i="3"/>
  <c r="W103" i="3"/>
  <c r="V103" i="3"/>
  <c r="U103" i="3"/>
  <c r="T103" i="3"/>
  <c r="S103" i="3"/>
  <c r="R103" i="3"/>
  <c r="E103" i="3"/>
  <c r="E296" i="3" s="1"/>
  <c r="D103" i="3"/>
  <c r="D296" i="3" s="1"/>
  <c r="C103" i="3"/>
  <c r="C296" i="3" s="1"/>
  <c r="B103" i="3"/>
  <c r="B296" i="3" s="1"/>
  <c r="A103" i="3"/>
  <c r="A296" i="3" s="1"/>
  <c r="AC102" i="3"/>
  <c r="AB102" i="3"/>
  <c r="AA102" i="3"/>
  <c r="Z102" i="3"/>
  <c r="Y102" i="3"/>
  <c r="X102" i="3"/>
  <c r="W102" i="3"/>
  <c r="V102" i="3"/>
  <c r="U102" i="3"/>
  <c r="T102" i="3"/>
  <c r="S102" i="3"/>
  <c r="R102" i="3"/>
  <c r="E102" i="3"/>
  <c r="E295" i="3" s="1"/>
  <c r="D102" i="3"/>
  <c r="D295" i="3" s="1"/>
  <c r="C102" i="3"/>
  <c r="C295" i="3" s="1"/>
  <c r="B102" i="3"/>
  <c r="B295" i="3" s="1"/>
  <c r="A102" i="3"/>
  <c r="A295" i="3" s="1"/>
  <c r="AC101" i="3"/>
  <c r="AB101" i="3"/>
  <c r="AA101" i="3"/>
  <c r="Z101" i="3"/>
  <c r="Y101" i="3"/>
  <c r="X101" i="3"/>
  <c r="W101" i="3"/>
  <c r="V101" i="3"/>
  <c r="U101" i="3"/>
  <c r="T101" i="3"/>
  <c r="S101" i="3"/>
  <c r="R101" i="3"/>
  <c r="E101" i="3"/>
  <c r="E294" i="3" s="1"/>
  <c r="D101" i="3"/>
  <c r="D294" i="3" s="1"/>
  <c r="C101" i="3"/>
  <c r="C294" i="3" s="1"/>
  <c r="B101" i="3"/>
  <c r="B294" i="3" s="1"/>
  <c r="A101" i="3"/>
  <c r="A294" i="3" s="1"/>
  <c r="AC100" i="3"/>
  <c r="AB100" i="3"/>
  <c r="AA100" i="3"/>
  <c r="Z100" i="3"/>
  <c r="Y100" i="3"/>
  <c r="X100" i="3"/>
  <c r="W100" i="3"/>
  <c r="V100" i="3"/>
  <c r="U100" i="3"/>
  <c r="T100" i="3"/>
  <c r="S100" i="3"/>
  <c r="R100" i="3"/>
  <c r="E100" i="3"/>
  <c r="E293" i="3" s="1"/>
  <c r="D100" i="3"/>
  <c r="D293" i="3" s="1"/>
  <c r="C100" i="3"/>
  <c r="C293" i="3" s="1"/>
  <c r="B100" i="3"/>
  <c r="B293" i="3" s="1"/>
  <c r="A100" i="3"/>
  <c r="A293" i="3" s="1"/>
  <c r="AC99" i="3"/>
  <c r="AB99" i="3"/>
  <c r="AA99" i="3"/>
  <c r="Z99" i="3"/>
  <c r="Y99" i="3"/>
  <c r="X99" i="3"/>
  <c r="W99" i="3"/>
  <c r="V99" i="3"/>
  <c r="U99" i="3"/>
  <c r="T99" i="3"/>
  <c r="S99" i="3"/>
  <c r="R99" i="3"/>
  <c r="E99" i="3"/>
  <c r="E292" i="3" s="1"/>
  <c r="D99" i="3"/>
  <c r="D292" i="3" s="1"/>
  <c r="C99" i="3"/>
  <c r="C292" i="3" s="1"/>
  <c r="B99" i="3"/>
  <c r="B292" i="3" s="1"/>
  <c r="A99" i="3"/>
  <c r="A292" i="3" s="1"/>
  <c r="AC98" i="3"/>
  <c r="AB98" i="3"/>
  <c r="AA98" i="3"/>
  <c r="Z98" i="3"/>
  <c r="Y98" i="3"/>
  <c r="X98" i="3"/>
  <c r="W98" i="3"/>
  <c r="V98" i="3"/>
  <c r="U98" i="3"/>
  <c r="T98" i="3"/>
  <c r="S98" i="3"/>
  <c r="R98" i="3"/>
  <c r="E98" i="3"/>
  <c r="E291" i="3" s="1"/>
  <c r="D98" i="3"/>
  <c r="D291" i="3" s="1"/>
  <c r="C98" i="3"/>
  <c r="C291" i="3" s="1"/>
  <c r="B98" i="3"/>
  <c r="B291" i="3" s="1"/>
  <c r="A98" i="3"/>
  <c r="A291" i="3" s="1"/>
  <c r="AC97" i="3"/>
  <c r="AB97" i="3"/>
  <c r="AA97" i="3"/>
  <c r="Z97" i="3"/>
  <c r="Y97" i="3"/>
  <c r="X97" i="3"/>
  <c r="W97" i="3"/>
  <c r="V97" i="3"/>
  <c r="U97" i="3"/>
  <c r="T97" i="3"/>
  <c r="S97" i="3"/>
  <c r="R97" i="3"/>
  <c r="E97" i="3"/>
  <c r="E290" i="3" s="1"/>
  <c r="D97" i="3"/>
  <c r="D290" i="3" s="1"/>
  <c r="C97" i="3"/>
  <c r="C290" i="3" s="1"/>
  <c r="B97" i="3"/>
  <c r="B290" i="3" s="1"/>
  <c r="A97" i="3"/>
  <c r="A290" i="3" s="1"/>
  <c r="AC96" i="3"/>
  <c r="AB96" i="3"/>
  <c r="AA96" i="3"/>
  <c r="Z96" i="3"/>
  <c r="Y96" i="3"/>
  <c r="X96" i="3"/>
  <c r="W96" i="3"/>
  <c r="V96" i="3"/>
  <c r="U96" i="3"/>
  <c r="T96" i="3"/>
  <c r="S96" i="3"/>
  <c r="R96" i="3"/>
  <c r="E96" i="3"/>
  <c r="E289" i="3" s="1"/>
  <c r="D96" i="3"/>
  <c r="D289" i="3" s="1"/>
  <c r="C96" i="3"/>
  <c r="C289" i="3" s="1"/>
  <c r="B96" i="3"/>
  <c r="B289" i="3" s="1"/>
  <c r="A96" i="3"/>
  <c r="A289" i="3" s="1"/>
  <c r="AC95" i="3"/>
  <c r="AB95" i="3"/>
  <c r="AA95" i="3"/>
  <c r="Z95" i="3"/>
  <c r="Y95" i="3"/>
  <c r="X95" i="3"/>
  <c r="W95" i="3"/>
  <c r="V95" i="3"/>
  <c r="U95" i="3"/>
  <c r="T95" i="3"/>
  <c r="S95" i="3"/>
  <c r="R95" i="3"/>
  <c r="E95" i="3"/>
  <c r="B95" i="3"/>
  <c r="A95" i="3"/>
  <c r="AC94" i="3"/>
  <c r="AB94" i="3"/>
  <c r="AA94" i="3"/>
  <c r="Z94" i="3"/>
  <c r="Y94" i="3"/>
  <c r="X94" i="3"/>
  <c r="W94" i="3"/>
  <c r="V94" i="3"/>
  <c r="U94" i="3"/>
  <c r="T94" i="3"/>
  <c r="S94" i="3"/>
  <c r="R94" i="3"/>
  <c r="E94" i="3"/>
  <c r="E288" i="3" s="1"/>
  <c r="D94" i="3"/>
  <c r="D288" i="3" s="1"/>
  <c r="C94" i="3"/>
  <c r="C288" i="3" s="1"/>
  <c r="B94" i="3"/>
  <c r="B288" i="3" s="1"/>
  <c r="A94" i="3"/>
  <c r="A288" i="3" s="1"/>
  <c r="AC93" i="3"/>
  <c r="AB93" i="3"/>
  <c r="AA93" i="3"/>
  <c r="Z93" i="3"/>
  <c r="Y93" i="3"/>
  <c r="X93" i="3"/>
  <c r="W93" i="3"/>
  <c r="V93" i="3"/>
  <c r="U93" i="3"/>
  <c r="T93" i="3"/>
  <c r="S93" i="3"/>
  <c r="R93" i="3"/>
  <c r="E93" i="3"/>
  <c r="E287" i="3" s="1"/>
  <c r="D93" i="3"/>
  <c r="D287" i="3" s="1"/>
  <c r="C93" i="3"/>
  <c r="C287" i="3" s="1"/>
  <c r="B93" i="3"/>
  <c r="A93" i="3"/>
  <c r="A287" i="3" s="1"/>
  <c r="AC92" i="3"/>
  <c r="AB92" i="3"/>
  <c r="AA92" i="3"/>
  <c r="Z92" i="3"/>
  <c r="Y92" i="3"/>
  <c r="X92" i="3"/>
  <c r="W92" i="3"/>
  <c r="V92" i="3"/>
  <c r="U92" i="3"/>
  <c r="T92" i="3"/>
  <c r="S92" i="3"/>
  <c r="R92" i="3"/>
  <c r="E92" i="3"/>
  <c r="E286" i="3" s="1"/>
  <c r="D92" i="3"/>
  <c r="D286" i="3" s="1"/>
  <c r="C92" i="3"/>
  <c r="C286" i="3" s="1"/>
  <c r="B92" i="3"/>
  <c r="B286" i="3" s="1"/>
  <c r="A92" i="3"/>
  <c r="A286" i="3" s="1"/>
  <c r="AC91" i="3"/>
  <c r="AB91" i="3"/>
  <c r="AA91" i="3"/>
  <c r="Z91" i="3"/>
  <c r="Y91" i="3"/>
  <c r="X91" i="3"/>
  <c r="W91" i="3"/>
  <c r="V91" i="3"/>
  <c r="U91" i="3"/>
  <c r="T91" i="3"/>
  <c r="S91" i="3"/>
  <c r="R91" i="3"/>
  <c r="E91" i="3"/>
  <c r="E285" i="3" s="1"/>
  <c r="D91" i="3"/>
  <c r="D285" i="3" s="1"/>
  <c r="C91" i="3"/>
  <c r="C285" i="3" s="1"/>
  <c r="B91" i="3"/>
  <c r="B285" i="3" s="1"/>
  <c r="A91" i="3"/>
  <c r="A285" i="3" s="1"/>
  <c r="AC90" i="3"/>
  <c r="AB90" i="3"/>
  <c r="AA90" i="3"/>
  <c r="Z90" i="3"/>
  <c r="Y90" i="3"/>
  <c r="X90" i="3"/>
  <c r="W90" i="3"/>
  <c r="V90" i="3"/>
  <c r="U90" i="3"/>
  <c r="T90" i="3"/>
  <c r="S90" i="3"/>
  <c r="R90" i="3"/>
  <c r="E90" i="3"/>
  <c r="E284" i="3" s="1"/>
  <c r="D90" i="3"/>
  <c r="D284" i="3" s="1"/>
  <c r="C90" i="3"/>
  <c r="C284" i="3" s="1"/>
  <c r="B90" i="3"/>
  <c r="B284" i="3" s="1"/>
  <c r="A90" i="3"/>
  <c r="A284" i="3" s="1"/>
  <c r="AC89" i="3"/>
  <c r="AB89" i="3"/>
  <c r="AA89" i="3"/>
  <c r="Z89" i="3"/>
  <c r="Y89" i="3"/>
  <c r="X89" i="3"/>
  <c r="W89" i="3"/>
  <c r="V89" i="3"/>
  <c r="U89" i="3"/>
  <c r="T89" i="3"/>
  <c r="S89" i="3"/>
  <c r="R89" i="3"/>
  <c r="E89" i="3"/>
  <c r="E283" i="3" s="1"/>
  <c r="D89" i="3"/>
  <c r="D283" i="3" s="1"/>
  <c r="C89" i="3"/>
  <c r="C283" i="3" s="1"/>
  <c r="B89" i="3"/>
  <c r="B283" i="3" s="1"/>
  <c r="A89" i="3"/>
  <c r="A283" i="3" s="1"/>
  <c r="AC88" i="3"/>
  <c r="AB88" i="3"/>
  <c r="AA88" i="3"/>
  <c r="Z88" i="3"/>
  <c r="Y88" i="3"/>
  <c r="X88" i="3"/>
  <c r="W88" i="3"/>
  <c r="V88" i="3"/>
  <c r="U88" i="3"/>
  <c r="T88" i="3"/>
  <c r="S88" i="3"/>
  <c r="R88" i="3"/>
  <c r="E88" i="3"/>
  <c r="E282" i="3" s="1"/>
  <c r="D88" i="3"/>
  <c r="D282" i="3" s="1"/>
  <c r="C88" i="3"/>
  <c r="C282" i="3" s="1"/>
  <c r="B88" i="3"/>
  <c r="B282" i="3" s="1"/>
  <c r="A88" i="3"/>
  <c r="A282" i="3" s="1"/>
  <c r="AC87" i="3"/>
  <c r="AB87" i="3"/>
  <c r="AA87" i="3"/>
  <c r="Z87" i="3"/>
  <c r="Y87" i="3"/>
  <c r="X87" i="3"/>
  <c r="W87" i="3"/>
  <c r="V87" i="3"/>
  <c r="U87" i="3"/>
  <c r="T87" i="3"/>
  <c r="S87" i="3"/>
  <c r="R87" i="3"/>
  <c r="E87" i="3"/>
  <c r="E281" i="3" s="1"/>
  <c r="D87" i="3"/>
  <c r="D281" i="3" s="1"/>
  <c r="C87" i="3"/>
  <c r="C281" i="3" s="1"/>
  <c r="B87" i="3"/>
  <c r="B281" i="3" s="1"/>
  <c r="A87" i="3"/>
  <c r="A281" i="3" s="1"/>
  <c r="AC86" i="3"/>
  <c r="AB86" i="3"/>
  <c r="AA86" i="3"/>
  <c r="Z86" i="3"/>
  <c r="Y86" i="3"/>
  <c r="X86" i="3"/>
  <c r="W86" i="3"/>
  <c r="V86" i="3"/>
  <c r="U86" i="3"/>
  <c r="T86" i="3"/>
  <c r="S86" i="3"/>
  <c r="R86" i="3"/>
  <c r="E86" i="3"/>
  <c r="E280" i="3" s="1"/>
  <c r="D86" i="3"/>
  <c r="D280" i="3" s="1"/>
  <c r="C86" i="3"/>
  <c r="C280" i="3" s="1"/>
  <c r="B86" i="3"/>
  <c r="B280" i="3" s="1"/>
  <c r="A86" i="3"/>
  <c r="A280" i="3" s="1"/>
  <c r="AC85" i="3"/>
  <c r="AB85" i="3"/>
  <c r="AA85" i="3"/>
  <c r="Z85" i="3"/>
  <c r="Y85" i="3"/>
  <c r="X85" i="3"/>
  <c r="W85" i="3"/>
  <c r="V85" i="3"/>
  <c r="U85" i="3"/>
  <c r="T85" i="3"/>
  <c r="S85" i="3"/>
  <c r="R85" i="3"/>
  <c r="E85" i="3"/>
  <c r="E279" i="3" s="1"/>
  <c r="D85" i="3"/>
  <c r="D279" i="3" s="1"/>
  <c r="C85" i="3"/>
  <c r="C279" i="3" s="1"/>
  <c r="B85" i="3"/>
  <c r="B279" i="3" s="1"/>
  <c r="A85" i="3"/>
  <c r="A279" i="3" s="1"/>
  <c r="AC84" i="3"/>
  <c r="AB84" i="3"/>
  <c r="AA84" i="3"/>
  <c r="Z84" i="3"/>
  <c r="Y84" i="3"/>
  <c r="X84" i="3"/>
  <c r="W84" i="3"/>
  <c r="V84" i="3"/>
  <c r="U84" i="3"/>
  <c r="T84" i="3"/>
  <c r="S84" i="3"/>
  <c r="R84" i="3"/>
  <c r="E84" i="3"/>
  <c r="E278" i="3" s="1"/>
  <c r="D84" i="3"/>
  <c r="D278" i="3" s="1"/>
  <c r="C84" i="3"/>
  <c r="C278" i="3" s="1"/>
  <c r="B84" i="3"/>
  <c r="B278" i="3" s="1"/>
  <c r="A84" i="3"/>
  <c r="A278" i="3" s="1"/>
  <c r="AC83" i="3"/>
  <c r="AB83" i="3"/>
  <c r="AA83" i="3"/>
  <c r="Z83" i="3"/>
  <c r="Y83" i="3"/>
  <c r="X83" i="3"/>
  <c r="W83" i="3"/>
  <c r="V83" i="3"/>
  <c r="U83" i="3"/>
  <c r="T83" i="3"/>
  <c r="S83" i="3"/>
  <c r="R83" i="3"/>
  <c r="E83" i="3"/>
  <c r="E277" i="3" s="1"/>
  <c r="D83" i="3"/>
  <c r="D277" i="3" s="1"/>
  <c r="C83" i="3"/>
  <c r="C277" i="3" s="1"/>
  <c r="B83" i="3"/>
  <c r="B277" i="3" s="1"/>
  <c r="A83" i="3"/>
  <c r="A277" i="3" s="1"/>
  <c r="AC82" i="3"/>
  <c r="AB82" i="3"/>
  <c r="AA82" i="3"/>
  <c r="Z82" i="3"/>
  <c r="Y82" i="3"/>
  <c r="X82" i="3"/>
  <c r="W82" i="3"/>
  <c r="V82" i="3"/>
  <c r="U82" i="3"/>
  <c r="T82" i="3"/>
  <c r="S82" i="3"/>
  <c r="R82" i="3"/>
  <c r="E82" i="3"/>
  <c r="E276" i="3" s="1"/>
  <c r="D82" i="3"/>
  <c r="D276" i="3" s="1"/>
  <c r="C82" i="3"/>
  <c r="C276" i="3" s="1"/>
  <c r="B82" i="3"/>
  <c r="B276" i="3" s="1"/>
  <c r="A82" i="3"/>
  <c r="A276" i="3" s="1"/>
  <c r="AC81" i="3"/>
  <c r="AB81" i="3"/>
  <c r="AA81" i="3"/>
  <c r="Z81" i="3"/>
  <c r="Y81" i="3"/>
  <c r="X81" i="3"/>
  <c r="W81" i="3"/>
  <c r="V81" i="3"/>
  <c r="U81" i="3"/>
  <c r="T81" i="3"/>
  <c r="S81" i="3"/>
  <c r="R81" i="3"/>
  <c r="E81" i="3"/>
  <c r="E275" i="3" s="1"/>
  <c r="D81" i="3"/>
  <c r="D275" i="3" s="1"/>
  <c r="C81" i="3"/>
  <c r="C275" i="3" s="1"/>
  <c r="B81" i="3"/>
  <c r="B275" i="3" s="1"/>
  <c r="A81" i="3"/>
  <c r="A275" i="3" s="1"/>
  <c r="AC80" i="3"/>
  <c r="AB80" i="3"/>
  <c r="AA80" i="3"/>
  <c r="Z80" i="3"/>
  <c r="Y80" i="3"/>
  <c r="X80" i="3"/>
  <c r="W80" i="3"/>
  <c r="V80" i="3"/>
  <c r="U80" i="3"/>
  <c r="T80" i="3"/>
  <c r="S80" i="3"/>
  <c r="R80" i="3"/>
  <c r="E80" i="3"/>
  <c r="E274" i="3" s="1"/>
  <c r="D80" i="3"/>
  <c r="D274" i="3" s="1"/>
  <c r="C80" i="3"/>
  <c r="C274" i="3" s="1"/>
  <c r="B80" i="3"/>
  <c r="B274" i="3" s="1"/>
  <c r="A80" i="3"/>
  <c r="A274" i="3" s="1"/>
  <c r="AC79" i="3"/>
  <c r="AB79" i="3"/>
  <c r="AA79" i="3"/>
  <c r="Z79" i="3"/>
  <c r="Y79" i="3"/>
  <c r="X79" i="3"/>
  <c r="W79" i="3"/>
  <c r="V79" i="3"/>
  <c r="U79" i="3"/>
  <c r="T79" i="3"/>
  <c r="S79" i="3"/>
  <c r="R79" i="3"/>
  <c r="E79" i="3"/>
  <c r="E273" i="3" s="1"/>
  <c r="D79" i="3"/>
  <c r="D273" i="3" s="1"/>
  <c r="C79" i="3"/>
  <c r="C273" i="3" s="1"/>
  <c r="B79" i="3"/>
  <c r="B273" i="3" s="1"/>
  <c r="A79" i="3"/>
  <c r="A273" i="3" s="1"/>
  <c r="AC78" i="3"/>
  <c r="AB78" i="3"/>
  <c r="AA78" i="3"/>
  <c r="Z78" i="3"/>
  <c r="Y78" i="3"/>
  <c r="X78" i="3"/>
  <c r="W78" i="3"/>
  <c r="V78" i="3"/>
  <c r="U78" i="3"/>
  <c r="T78" i="3"/>
  <c r="S78" i="3"/>
  <c r="R78" i="3"/>
  <c r="E78" i="3"/>
  <c r="E272" i="3" s="1"/>
  <c r="D78" i="3"/>
  <c r="D272" i="3" s="1"/>
  <c r="C78" i="3"/>
  <c r="C272" i="3" s="1"/>
  <c r="B78" i="3"/>
  <c r="B272" i="3" s="1"/>
  <c r="A78" i="3"/>
  <c r="A272" i="3" s="1"/>
  <c r="AC77" i="3"/>
  <c r="AB77" i="3"/>
  <c r="AA77" i="3"/>
  <c r="Z77" i="3"/>
  <c r="Y77" i="3"/>
  <c r="X77" i="3"/>
  <c r="W77" i="3"/>
  <c r="V77" i="3"/>
  <c r="U77" i="3"/>
  <c r="T77" i="3"/>
  <c r="S77" i="3"/>
  <c r="R77" i="3"/>
  <c r="E77" i="3"/>
  <c r="B77" i="3"/>
  <c r="A77" i="3"/>
  <c r="AC76" i="3"/>
  <c r="AB76" i="3"/>
  <c r="AA76" i="3"/>
  <c r="Z76" i="3"/>
  <c r="Y76" i="3"/>
  <c r="X76" i="3"/>
  <c r="W76" i="3"/>
  <c r="V76" i="3"/>
  <c r="U76" i="3"/>
  <c r="T76" i="3"/>
  <c r="S76" i="3"/>
  <c r="R76" i="3"/>
  <c r="E76" i="3"/>
  <c r="B76" i="3"/>
  <c r="A76" i="3"/>
  <c r="AC75" i="3"/>
  <c r="AB75" i="3"/>
  <c r="AA75" i="3"/>
  <c r="Z75" i="3"/>
  <c r="Y75" i="3"/>
  <c r="X75" i="3"/>
  <c r="W75" i="3"/>
  <c r="V75" i="3"/>
  <c r="U75" i="3"/>
  <c r="T75" i="3"/>
  <c r="S75" i="3"/>
  <c r="R75" i="3"/>
  <c r="E75" i="3"/>
  <c r="E271" i="3" s="1"/>
  <c r="D75" i="3"/>
  <c r="D271" i="3" s="1"/>
  <c r="C75" i="3"/>
  <c r="C271" i="3" s="1"/>
  <c r="B75" i="3"/>
  <c r="B271" i="3" s="1"/>
  <c r="A75" i="3"/>
  <c r="A271" i="3" s="1"/>
  <c r="AC74" i="3"/>
  <c r="AB74" i="3"/>
  <c r="AA74" i="3"/>
  <c r="Z74" i="3"/>
  <c r="Y74" i="3"/>
  <c r="X74" i="3"/>
  <c r="W74" i="3"/>
  <c r="V74" i="3"/>
  <c r="U74" i="3"/>
  <c r="T74" i="3"/>
  <c r="S74" i="3"/>
  <c r="R74" i="3"/>
  <c r="E74" i="3"/>
  <c r="E270" i="3" s="1"/>
  <c r="D74" i="3"/>
  <c r="D270" i="3" s="1"/>
  <c r="C74" i="3"/>
  <c r="C270" i="3" s="1"/>
  <c r="B74" i="3"/>
  <c r="B270" i="3" s="1"/>
  <c r="A74" i="3"/>
  <c r="A270" i="3" s="1"/>
  <c r="AC73" i="3"/>
  <c r="AB73" i="3"/>
  <c r="AA73" i="3"/>
  <c r="Z73" i="3"/>
  <c r="Y73" i="3"/>
  <c r="X73" i="3"/>
  <c r="W73" i="3"/>
  <c r="V73" i="3"/>
  <c r="U73" i="3"/>
  <c r="T73" i="3"/>
  <c r="S73" i="3"/>
  <c r="R73" i="3"/>
  <c r="E73" i="3"/>
  <c r="E269" i="3" s="1"/>
  <c r="D73" i="3"/>
  <c r="D269" i="3" s="1"/>
  <c r="C73" i="3"/>
  <c r="C269" i="3" s="1"/>
  <c r="B73" i="3"/>
  <c r="B269" i="3" s="1"/>
  <c r="A73" i="3"/>
  <c r="A269" i="3" s="1"/>
  <c r="AC72" i="3"/>
  <c r="AB72" i="3"/>
  <c r="AA72" i="3"/>
  <c r="Z72" i="3"/>
  <c r="Y72" i="3"/>
  <c r="X72" i="3"/>
  <c r="W72" i="3"/>
  <c r="V72" i="3"/>
  <c r="U72" i="3"/>
  <c r="T72" i="3"/>
  <c r="S72" i="3"/>
  <c r="R72" i="3"/>
  <c r="E72" i="3"/>
  <c r="E268" i="3" s="1"/>
  <c r="D72" i="3"/>
  <c r="D268" i="3" s="1"/>
  <c r="C72" i="3"/>
  <c r="C268" i="3" s="1"/>
  <c r="B72" i="3"/>
  <c r="B268" i="3" s="1"/>
  <c r="A72" i="3"/>
  <c r="A268" i="3" s="1"/>
  <c r="AC71" i="3"/>
  <c r="AB71" i="3"/>
  <c r="AA71" i="3"/>
  <c r="Z71" i="3"/>
  <c r="Y71" i="3"/>
  <c r="X71" i="3"/>
  <c r="W71" i="3"/>
  <c r="V71" i="3"/>
  <c r="U71" i="3"/>
  <c r="T71" i="3"/>
  <c r="S71" i="3"/>
  <c r="R71" i="3"/>
  <c r="E71" i="3"/>
  <c r="E267" i="3" s="1"/>
  <c r="D71" i="3"/>
  <c r="D267" i="3" s="1"/>
  <c r="C71" i="3"/>
  <c r="C267" i="3" s="1"/>
  <c r="B71" i="3"/>
  <c r="B267" i="3" s="1"/>
  <c r="A71" i="3"/>
  <c r="A267" i="3" s="1"/>
  <c r="AC70" i="3"/>
  <c r="AB70" i="3"/>
  <c r="AA70" i="3"/>
  <c r="Z70" i="3"/>
  <c r="Y70" i="3"/>
  <c r="X70" i="3"/>
  <c r="W70" i="3"/>
  <c r="V70" i="3"/>
  <c r="U70" i="3"/>
  <c r="T70" i="3"/>
  <c r="S70" i="3"/>
  <c r="R70" i="3"/>
  <c r="E70" i="3"/>
  <c r="E266" i="3" s="1"/>
  <c r="D70" i="3"/>
  <c r="D266" i="3" s="1"/>
  <c r="C70" i="3"/>
  <c r="C266" i="3" s="1"/>
  <c r="B70" i="3"/>
  <c r="B266" i="3" s="1"/>
  <c r="A70" i="3"/>
  <c r="A266" i="3" s="1"/>
  <c r="AC69" i="3"/>
  <c r="AB69" i="3"/>
  <c r="AA69" i="3"/>
  <c r="Z69" i="3"/>
  <c r="Y69" i="3"/>
  <c r="X69" i="3"/>
  <c r="W69" i="3"/>
  <c r="V69" i="3"/>
  <c r="U69" i="3"/>
  <c r="T69" i="3"/>
  <c r="S69" i="3"/>
  <c r="R69" i="3"/>
  <c r="E69" i="3"/>
  <c r="E265" i="3" s="1"/>
  <c r="D69" i="3"/>
  <c r="D265" i="3" s="1"/>
  <c r="C69" i="3"/>
  <c r="C265" i="3" s="1"/>
  <c r="B69" i="3"/>
  <c r="B265" i="3" s="1"/>
  <c r="A69" i="3"/>
  <c r="A265" i="3" s="1"/>
  <c r="AC68" i="3"/>
  <c r="AB68" i="3"/>
  <c r="AA68" i="3"/>
  <c r="Z68" i="3"/>
  <c r="Y68" i="3"/>
  <c r="X68" i="3"/>
  <c r="W68" i="3"/>
  <c r="V68" i="3"/>
  <c r="U68" i="3"/>
  <c r="T68" i="3"/>
  <c r="S68" i="3"/>
  <c r="R68" i="3"/>
  <c r="E68" i="3"/>
  <c r="E264" i="3" s="1"/>
  <c r="D68" i="3"/>
  <c r="D264" i="3" s="1"/>
  <c r="C68" i="3"/>
  <c r="C264" i="3" s="1"/>
  <c r="B68" i="3"/>
  <c r="B264" i="3" s="1"/>
  <c r="A68" i="3"/>
  <c r="A264" i="3" s="1"/>
  <c r="AC67" i="3"/>
  <c r="AB67" i="3"/>
  <c r="AA67" i="3"/>
  <c r="Z67" i="3"/>
  <c r="Y67" i="3"/>
  <c r="X67" i="3"/>
  <c r="W67" i="3"/>
  <c r="V67" i="3"/>
  <c r="U67" i="3"/>
  <c r="T67" i="3"/>
  <c r="S67" i="3"/>
  <c r="R67" i="3"/>
  <c r="E67" i="3"/>
  <c r="E263" i="3" s="1"/>
  <c r="D67" i="3"/>
  <c r="D263" i="3" s="1"/>
  <c r="C67" i="3"/>
  <c r="C263" i="3" s="1"/>
  <c r="B67" i="3"/>
  <c r="B263" i="3" s="1"/>
  <c r="A67" i="3"/>
  <c r="A263" i="3" s="1"/>
  <c r="AC66" i="3"/>
  <c r="AB66" i="3"/>
  <c r="AA66" i="3"/>
  <c r="Z66" i="3"/>
  <c r="Y66" i="3"/>
  <c r="X66" i="3"/>
  <c r="W66" i="3"/>
  <c r="V66" i="3"/>
  <c r="U66" i="3"/>
  <c r="T66" i="3"/>
  <c r="S66" i="3"/>
  <c r="R66" i="3"/>
  <c r="E66" i="3"/>
  <c r="E262" i="3" s="1"/>
  <c r="D66" i="3"/>
  <c r="D262" i="3" s="1"/>
  <c r="C66" i="3"/>
  <c r="C262" i="3" s="1"/>
  <c r="B66" i="3"/>
  <c r="B262" i="3" s="1"/>
  <c r="A66" i="3"/>
  <c r="A262" i="3" s="1"/>
  <c r="AC65" i="3"/>
  <c r="AB65" i="3"/>
  <c r="AA65" i="3"/>
  <c r="Z65" i="3"/>
  <c r="Y65" i="3"/>
  <c r="X65" i="3"/>
  <c r="W65" i="3"/>
  <c r="V65" i="3"/>
  <c r="U65" i="3"/>
  <c r="T65" i="3"/>
  <c r="S65" i="3"/>
  <c r="R65" i="3"/>
  <c r="E65" i="3"/>
  <c r="E261" i="3" s="1"/>
  <c r="D65" i="3"/>
  <c r="D261" i="3" s="1"/>
  <c r="C65" i="3"/>
  <c r="C261" i="3" s="1"/>
  <c r="B65" i="3"/>
  <c r="B261" i="3" s="1"/>
  <c r="A65" i="3"/>
  <c r="A261" i="3" s="1"/>
  <c r="AC64" i="3"/>
  <c r="AB64" i="3"/>
  <c r="AA64" i="3"/>
  <c r="Z64" i="3"/>
  <c r="Y64" i="3"/>
  <c r="X64" i="3"/>
  <c r="W64" i="3"/>
  <c r="V64" i="3"/>
  <c r="U64" i="3"/>
  <c r="T64" i="3"/>
  <c r="S64" i="3"/>
  <c r="R64" i="3"/>
  <c r="E64" i="3"/>
  <c r="E260" i="3" s="1"/>
  <c r="D64" i="3"/>
  <c r="D260" i="3" s="1"/>
  <c r="C64" i="3"/>
  <c r="C260" i="3" s="1"/>
  <c r="B64" i="3"/>
  <c r="B260" i="3" s="1"/>
  <c r="A64" i="3"/>
  <c r="A260" i="3" s="1"/>
  <c r="AC63" i="3"/>
  <c r="AB63" i="3"/>
  <c r="AA63" i="3"/>
  <c r="Z63" i="3"/>
  <c r="Y63" i="3"/>
  <c r="X63" i="3"/>
  <c r="W63" i="3"/>
  <c r="V63" i="3"/>
  <c r="U63" i="3"/>
  <c r="T63" i="3"/>
  <c r="S63" i="3"/>
  <c r="R63" i="3"/>
  <c r="E63" i="3"/>
  <c r="E259" i="3" s="1"/>
  <c r="D63" i="3"/>
  <c r="D259" i="3" s="1"/>
  <c r="C63" i="3"/>
  <c r="C259" i="3" s="1"/>
  <c r="B63" i="3"/>
  <c r="B259" i="3" s="1"/>
  <c r="A63" i="3"/>
  <c r="A259" i="3" s="1"/>
  <c r="AC62" i="3"/>
  <c r="AB62" i="3"/>
  <c r="AA62" i="3"/>
  <c r="Z62" i="3"/>
  <c r="Y62" i="3"/>
  <c r="X62" i="3"/>
  <c r="W62" i="3"/>
  <c r="V62" i="3"/>
  <c r="U62" i="3"/>
  <c r="T62" i="3"/>
  <c r="S62" i="3"/>
  <c r="R62" i="3"/>
  <c r="E62" i="3"/>
  <c r="E258" i="3" s="1"/>
  <c r="D62" i="3"/>
  <c r="D258" i="3" s="1"/>
  <c r="C62" i="3"/>
  <c r="C258" i="3" s="1"/>
  <c r="B62" i="3"/>
  <c r="B258" i="3" s="1"/>
  <c r="A62" i="3"/>
  <c r="A258" i="3" s="1"/>
  <c r="AC61" i="3"/>
  <c r="AB61" i="3"/>
  <c r="AA61" i="3"/>
  <c r="Z61" i="3"/>
  <c r="Y61" i="3"/>
  <c r="X61" i="3"/>
  <c r="W61" i="3"/>
  <c r="V61" i="3"/>
  <c r="U61" i="3"/>
  <c r="T61" i="3"/>
  <c r="S61" i="3"/>
  <c r="R61" i="3"/>
  <c r="E61" i="3"/>
  <c r="E257" i="3" s="1"/>
  <c r="D61" i="3"/>
  <c r="D257" i="3" s="1"/>
  <c r="C61" i="3"/>
  <c r="C257" i="3" s="1"/>
  <c r="B61" i="3"/>
  <c r="B257" i="3" s="1"/>
  <c r="A61" i="3"/>
  <c r="A257" i="3" s="1"/>
  <c r="AC60" i="3"/>
  <c r="AB60" i="3"/>
  <c r="AA60" i="3"/>
  <c r="Z60" i="3"/>
  <c r="Y60" i="3"/>
  <c r="X60" i="3"/>
  <c r="W60" i="3"/>
  <c r="V60" i="3"/>
  <c r="U60" i="3"/>
  <c r="T60" i="3"/>
  <c r="S60" i="3"/>
  <c r="R60" i="3"/>
  <c r="E60" i="3"/>
  <c r="E256" i="3" s="1"/>
  <c r="D60" i="3"/>
  <c r="D256" i="3" s="1"/>
  <c r="C60" i="3"/>
  <c r="C256" i="3" s="1"/>
  <c r="B60" i="3"/>
  <c r="B256" i="3" s="1"/>
  <c r="A60" i="3"/>
  <c r="A256" i="3" s="1"/>
  <c r="AC59" i="3"/>
  <c r="AB59" i="3"/>
  <c r="AA59" i="3"/>
  <c r="Z59" i="3"/>
  <c r="Y59" i="3"/>
  <c r="X59" i="3"/>
  <c r="W59" i="3"/>
  <c r="V59" i="3"/>
  <c r="U59" i="3"/>
  <c r="T59" i="3"/>
  <c r="S59" i="3"/>
  <c r="R59" i="3"/>
  <c r="E59" i="3"/>
  <c r="E255" i="3" s="1"/>
  <c r="D59" i="3"/>
  <c r="D255" i="3" s="1"/>
  <c r="C59" i="3"/>
  <c r="C255" i="3" s="1"/>
  <c r="B59" i="3"/>
  <c r="B255" i="3" s="1"/>
  <c r="A59" i="3"/>
  <c r="A255" i="3" s="1"/>
  <c r="AC58" i="3"/>
  <c r="AB58" i="3"/>
  <c r="AA58" i="3"/>
  <c r="Z58" i="3"/>
  <c r="Y58" i="3"/>
  <c r="X58" i="3"/>
  <c r="W58" i="3"/>
  <c r="V58" i="3"/>
  <c r="U58" i="3"/>
  <c r="T58" i="3"/>
  <c r="S58" i="3"/>
  <c r="R58" i="3"/>
  <c r="E58" i="3"/>
  <c r="B58" i="3"/>
  <c r="A58" i="3"/>
  <c r="AC57" i="3"/>
  <c r="AB57" i="3"/>
  <c r="AA57" i="3"/>
  <c r="Z57" i="3"/>
  <c r="Y57" i="3"/>
  <c r="X57" i="3"/>
  <c r="W57" i="3"/>
  <c r="V57" i="3"/>
  <c r="U57" i="3"/>
  <c r="T57" i="3"/>
  <c r="S57" i="3"/>
  <c r="R57" i="3"/>
  <c r="E57" i="3"/>
  <c r="E254" i="3" s="1"/>
  <c r="D57" i="3"/>
  <c r="D254" i="3" s="1"/>
  <c r="C57" i="3"/>
  <c r="C254" i="3" s="1"/>
  <c r="B57" i="3"/>
  <c r="B254" i="3" s="1"/>
  <c r="A57" i="3"/>
  <c r="A254" i="3" s="1"/>
  <c r="AC56" i="3"/>
  <c r="AB56" i="3"/>
  <c r="AA56" i="3"/>
  <c r="Z56" i="3"/>
  <c r="Y56" i="3"/>
  <c r="X56" i="3"/>
  <c r="W56" i="3"/>
  <c r="V56" i="3"/>
  <c r="U56" i="3"/>
  <c r="T56" i="3"/>
  <c r="S56" i="3"/>
  <c r="R56" i="3"/>
  <c r="E56" i="3"/>
  <c r="E253" i="3" s="1"/>
  <c r="D56" i="3"/>
  <c r="D253" i="3" s="1"/>
  <c r="C56" i="3"/>
  <c r="C253" i="3" s="1"/>
  <c r="B56" i="3"/>
  <c r="B253" i="3" s="1"/>
  <c r="A56" i="3"/>
  <c r="A253" i="3" s="1"/>
  <c r="AC55" i="3"/>
  <c r="AB55" i="3"/>
  <c r="AA55" i="3"/>
  <c r="Z55" i="3"/>
  <c r="Y55" i="3"/>
  <c r="X55" i="3"/>
  <c r="W55" i="3"/>
  <c r="V55" i="3"/>
  <c r="U55" i="3"/>
  <c r="T55" i="3"/>
  <c r="S55" i="3"/>
  <c r="R55" i="3"/>
  <c r="E55" i="3"/>
  <c r="E252" i="3" s="1"/>
  <c r="D55" i="3"/>
  <c r="D252" i="3" s="1"/>
  <c r="C55" i="3"/>
  <c r="C252" i="3" s="1"/>
  <c r="B55" i="3"/>
  <c r="B252" i="3" s="1"/>
  <c r="A55" i="3"/>
  <c r="A252" i="3" s="1"/>
  <c r="AC54" i="3"/>
  <c r="AB54" i="3"/>
  <c r="AA54" i="3"/>
  <c r="Z54" i="3"/>
  <c r="Y54" i="3"/>
  <c r="X54" i="3"/>
  <c r="W54" i="3"/>
  <c r="V54" i="3"/>
  <c r="U54" i="3"/>
  <c r="T54" i="3"/>
  <c r="S54" i="3"/>
  <c r="R54" i="3"/>
  <c r="E54" i="3"/>
  <c r="E251" i="3" s="1"/>
  <c r="D54" i="3"/>
  <c r="D251" i="3" s="1"/>
  <c r="C54" i="3"/>
  <c r="C251" i="3" s="1"/>
  <c r="B54" i="3"/>
  <c r="B251" i="3" s="1"/>
  <c r="A54" i="3"/>
  <c r="A251" i="3" s="1"/>
  <c r="AC53" i="3"/>
  <c r="AB53" i="3"/>
  <c r="AA53" i="3"/>
  <c r="Z53" i="3"/>
  <c r="Y53" i="3"/>
  <c r="X53" i="3"/>
  <c r="W53" i="3"/>
  <c r="V53" i="3"/>
  <c r="U53" i="3"/>
  <c r="T53" i="3"/>
  <c r="S53" i="3"/>
  <c r="R53" i="3"/>
  <c r="E53" i="3"/>
  <c r="E250" i="3" s="1"/>
  <c r="D53" i="3"/>
  <c r="D250" i="3" s="1"/>
  <c r="C53" i="3"/>
  <c r="C250" i="3" s="1"/>
  <c r="B53" i="3"/>
  <c r="B250" i="3" s="1"/>
  <c r="A53" i="3"/>
  <c r="A250" i="3" s="1"/>
  <c r="AC52" i="3"/>
  <c r="AB52" i="3"/>
  <c r="AA52" i="3"/>
  <c r="Z52" i="3"/>
  <c r="Y52" i="3"/>
  <c r="X52" i="3"/>
  <c r="W52" i="3"/>
  <c r="V52" i="3"/>
  <c r="U52" i="3"/>
  <c r="T52" i="3"/>
  <c r="S52" i="3"/>
  <c r="R52" i="3"/>
  <c r="E52" i="3"/>
  <c r="E249" i="3" s="1"/>
  <c r="D52" i="3"/>
  <c r="D249" i="3" s="1"/>
  <c r="C52" i="3"/>
  <c r="C249" i="3" s="1"/>
  <c r="B52" i="3"/>
  <c r="B249" i="3" s="1"/>
  <c r="A52" i="3"/>
  <c r="A249" i="3" s="1"/>
  <c r="AC51" i="3"/>
  <c r="AB51" i="3"/>
  <c r="AA51" i="3"/>
  <c r="Z51" i="3"/>
  <c r="Y51" i="3"/>
  <c r="X51" i="3"/>
  <c r="W51" i="3"/>
  <c r="V51" i="3"/>
  <c r="U51" i="3"/>
  <c r="T51" i="3"/>
  <c r="S51" i="3"/>
  <c r="R51" i="3"/>
  <c r="E51" i="3"/>
  <c r="E248" i="3" s="1"/>
  <c r="D51" i="3"/>
  <c r="D248" i="3" s="1"/>
  <c r="C51" i="3"/>
  <c r="C248" i="3" s="1"/>
  <c r="B51" i="3"/>
  <c r="B248" i="3" s="1"/>
  <c r="A51" i="3"/>
  <c r="A248" i="3" s="1"/>
  <c r="AC50" i="3"/>
  <c r="AB50" i="3"/>
  <c r="AA50" i="3"/>
  <c r="Z50" i="3"/>
  <c r="Y50" i="3"/>
  <c r="X50" i="3"/>
  <c r="W50" i="3"/>
  <c r="V50" i="3"/>
  <c r="U50" i="3"/>
  <c r="T50" i="3"/>
  <c r="S50" i="3"/>
  <c r="R50" i="3"/>
  <c r="E50" i="3"/>
  <c r="E247" i="3" s="1"/>
  <c r="D50" i="3"/>
  <c r="D247" i="3" s="1"/>
  <c r="C50" i="3"/>
  <c r="C247" i="3" s="1"/>
  <c r="B50" i="3"/>
  <c r="B247" i="3" s="1"/>
  <c r="A50" i="3"/>
  <c r="A247" i="3" s="1"/>
  <c r="AC49" i="3"/>
  <c r="AB49" i="3"/>
  <c r="AA49" i="3"/>
  <c r="Z49" i="3"/>
  <c r="Y49" i="3"/>
  <c r="X49" i="3"/>
  <c r="W49" i="3"/>
  <c r="V49" i="3"/>
  <c r="U49" i="3"/>
  <c r="T49" i="3"/>
  <c r="S49" i="3"/>
  <c r="R49" i="3"/>
  <c r="E49" i="3"/>
  <c r="E246" i="3" s="1"/>
  <c r="D49" i="3"/>
  <c r="D246" i="3" s="1"/>
  <c r="C49" i="3"/>
  <c r="C246" i="3" s="1"/>
  <c r="B49" i="3"/>
  <c r="B246" i="3" s="1"/>
  <c r="A49" i="3"/>
  <c r="A246" i="3" s="1"/>
  <c r="AC48" i="3"/>
  <c r="AB48" i="3"/>
  <c r="AA48" i="3"/>
  <c r="Z48" i="3"/>
  <c r="Y48" i="3"/>
  <c r="X48" i="3"/>
  <c r="W48" i="3"/>
  <c r="V48" i="3"/>
  <c r="U48" i="3"/>
  <c r="T48" i="3"/>
  <c r="S48" i="3"/>
  <c r="R48" i="3"/>
  <c r="E48" i="3"/>
  <c r="E245" i="3" s="1"/>
  <c r="D48" i="3"/>
  <c r="D245" i="3" s="1"/>
  <c r="C48" i="3"/>
  <c r="C245" i="3" s="1"/>
  <c r="B48" i="3"/>
  <c r="B245" i="3" s="1"/>
  <c r="A48" i="3"/>
  <c r="A245" i="3" s="1"/>
  <c r="AC47" i="3"/>
  <c r="AB47" i="3"/>
  <c r="AA47" i="3"/>
  <c r="Z47" i="3"/>
  <c r="Y47" i="3"/>
  <c r="X47" i="3"/>
  <c r="W47" i="3"/>
  <c r="V47" i="3"/>
  <c r="U47" i="3"/>
  <c r="T47" i="3"/>
  <c r="S47" i="3"/>
  <c r="R47" i="3"/>
  <c r="E47" i="3"/>
  <c r="E244" i="3" s="1"/>
  <c r="D47" i="3"/>
  <c r="D244" i="3" s="1"/>
  <c r="C47" i="3"/>
  <c r="C244" i="3" s="1"/>
  <c r="B47" i="3"/>
  <c r="A47" i="3"/>
  <c r="A244" i="3" s="1"/>
  <c r="AC46" i="3"/>
  <c r="AB46" i="3"/>
  <c r="AA46" i="3"/>
  <c r="Z46" i="3"/>
  <c r="Y46" i="3"/>
  <c r="X46" i="3"/>
  <c r="W46" i="3"/>
  <c r="V46" i="3"/>
  <c r="U46" i="3"/>
  <c r="T46" i="3"/>
  <c r="S46" i="3"/>
  <c r="R46" i="3"/>
  <c r="E46" i="3"/>
  <c r="E243" i="3" s="1"/>
  <c r="D46" i="3"/>
  <c r="D243" i="3" s="1"/>
  <c r="C46" i="3"/>
  <c r="C243" i="3" s="1"/>
  <c r="B46" i="3"/>
  <c r="B243" i="3" s="1"/>
  <c r="A46" i="3"/>
  <c r="A243" i="3" s="1"/>
  <c r="AC45" i="3"/>
  <c r="AB45" i="3"/>
  <c r="AA45" i="3"/>
  <c r="Z45" i="3"/>
  <c r="Y45" i="3"/>
  <c r="X45" i="3"/>
  <c r="W45" i="3"/>
  <c r="V45" i="3"/>
  <c r="U45" i="3"/>
  <c r="T45" i="3"/>
  <c r="S45" i="3"/>
  <c r="R45" i="3"/>
  <c r="E45" i="3"/>
  <c r="E242" i="3" s="1"/>
  <c r="D45" i="3"/>
  <c r="D242" i="3" s="1"/>
  <c r="C45" i="3"/>
  <c r="C242" i="3" s="1"/>
  <c r="B45" i="3"/>
  <c r="B242" i="3" s="1"/>
  <c r="A45" i="3"/>
  <c r="A242" i="3" s="1"/>
  <c r="AC44" i="3"/>
  <c r="AB44" i="3"/>
  <c r="AA44" i="3"/>
  <c r="Z44" i="3"/>
  <c r="Y44" i="3"/>
  <c r="X44" i="3"/>
  <c r="W44" i="3"/>
  <c r="V44" i="3"/>
  <c r="U44" i="3"/>
  <c r="T44" i="3"/>
  <c r="S44" i="3"/>
  <c r="R44" i="3"/>
  <c r="E44" i="3"/>
  <c r="E241" i="3" s="1"/>
  <c r="D44" i="3"/>
  <c r="D241" i="3" s="1"/>
  <c r="C44" i="3"/>
  <c r="C241" i="3" s="1"/>
  <c r="B44" i="3"/>
  <c r="B241" i="3" s="1"/>
  <c r="A44" i="3"/>
  <c r="A241" i="3" s="1"/>
  <c r="AC43" i="3"/>
  <c r="AB43" i="3"/>
  <c r="AA43" i="3"/>
  <c r="Z43" i="3"/>
  <c r="Y43" i="3"/>
  <c r="X43" i="3"/>
  <c r="W43" i="3"/>
  <c r="V43" i="3"/>
  <c r="U43" i="3"/>
  <c r="T43" i="3"/>
  <c r="S43" i="3"/>
  <c r="R43" i="3"/>
  <c r="E43" i="3"/>
  <c r="E240" i="3" s="1"/>
  <c r="D43" i="3"/>
  <c r="D240" i="3" s="1"/>
  <c r="C43" i="3"/>
  <c r="C240" i="3" s="1"/>
  <c r="B43" i="3"/>
  <c r="B240" i="3" s="1"/>
  <c r="A43" i="3"/>
  <c r="A240" i="3" s="1"/>
  <c r="AC42" i="3"/>
  <c r="AB42" i="3"/>
  <c r="AA42" i="3"/>
  <c r="Z42" i="3"/>
  <c r="Y42" i="3"/>
  <c r="X42" i="3"/>
  <c r="W42" i="3"/>
  <c r="V42" i="3"/>
  <c r="U42" i="3"/>
  <c r="T42" i="3"/>
  <c r="S42" i="3"/>
  <c r="R42" i="3"/>
  <c r="E42" i="3"/>
  <c r="E239" i="3" s="1"/>
  <c r="D42" i="3"/>
  <c r="D239" i="3" s="1"/>
  <c r="C42" i="3"/>
  <c r="C239" i="3" s="1"/>
  <c r="B42" i="3"/>
  <c r="B239" i="3" s="1"/>
  <c r="A42" i="3"/>
  <c r="A239" i="3" s="1"/>
  <c r="AC41" i="3"/>
  <c r="AB41" i="3"/>
  <c r="AA41" i="3"/>
  <c r="Z41" i="3"/>
  <c r="Y41" i="3"/>
  <c r="X41" i="3"/>
  <c r="W41" i="3"/>
  <c r="V41" i="3"/>
  <c r="U41" i="3"/>
  <c r="T41" i="3"/>
  <c r="S41" i="3"/>
  <c r="R41" i="3"/>
  <c r="E41" i="3"/>
  <c r="E238" i="3" s="1"/>
  <c r="D41" i="3"/>
  <c r="D238" i="3" s="1"/>
  <c r="C41" i="3"/>
  <c r="C238" i="3" s="1"/>
  <c r="B41" i="3"/>
  <c r="B238" i="3" s="1"/>
  <c r="A41" i="3"/>
  <c r="A238" i="3" s="1"/>
  <c r="AC40" i="3"/>
  <c r="AB40" i="3"/>
  <c r="AA40" i="3"/>
  <c r="Z40" i="3"/>
  <c r="Y40" i="3"/>
  <c r="X40" i="3"/>
  <c r="W40" i="3"/>
  <c r="V40" i="3"/>
  <c r="U40" i="3"/>
  <c r="T40" i="3"/>
  <c r="S40" i="3"/>
  <c r="R40" i="3"/>
  <c r="E40" i="3"/>
  <c r="B40" i="3"/>
  <c r="A40" i="3"/>
  <c r="AC39" i="3"/>
  <c r="AB39" i="3"/>
  <c r="AA39" i="3"/>
  <c r="Z39" i="3"/>
  <c r="Y39" i="3"/>
  <c r="X39" i="3"/>
  <c r="W39" i="3"/>
  <c r="V39" i="3"/>
  <c r="U39" i="3"/>
  <c r="T39" i="3"/>
  <c r="S39" i="3"/>
  <c r="R39" i="3"/>
  <c r="E39" i="3"/>
  <c r="E237" i="3" s="1"/>
  <c r="D39" i="3"/>
  <c r="D237" i="3" s="1"/>
  <c r="C39" i="3"/>
  <c r="C237" i="3" s="1"/>
  <c r="B39" i="3"/>
  <c r="B237" i="3" s="1"/>
  <c r="A39" i="3"/>
  <c r="A237" i="3" s="1"/>
  <c r="AC38" i="3"/>
  <c r="AB38" i="3"/>
  <c r="AA38" i="3"/>
  <c r="Z38" i="3"/>
  <c r="Y38" i="3"/>
  <c r="X38" i="3"/>
  <c r="W38" i="3"/>
  <c r="V38" i="3"/>
  <c r="U38" i="3"/>
  <c r="T38" i="3"/>
  <c r="S38" i="3"/>
  <c r="R38" i="3"/>
  <c r="E38" i="3"/>
  <c r="E236" i="3" s="1"/>
  <c r="D38" i="3"/>
  <c r="D236" i="3" s="1"/>
  <c r="C38" i="3"/>
  <c r="C236" i="3" s="1"/>
  <c r="B38" i="3"/>
  <c r="B236" i="3" s="1"/>
  <c r="A38" i="3"/>
  <c r="A236" i="3" s="1"/>
  <c r="AC37" i="3"/>
  <c r="AB37" i="3"/>
  <c r="AA37" i="3"/>
  <c r="Z37" i="3"/>
  <c r="Y37" i="3"/>
  <c r="X37" i="3"/>
  <c r="W37" i="3"/>
  <c r="V37" i="3"/>
  <c r="U37" i="3"/>
  <c r="T37" i="3"/>
  <c r="S37" i="3"/>
  <c r="R37" i="3"/>
  <c r="E37" i="3"/>
  <c r="E235" i="3" s="1"/>
  <c r="D37" i="3"/>
  <c r="D235" i="3" s="1"/>
  <c r="C37" i="3"/>
  <c r="C235" i="3" s="1"/>
  <c r="B37" i="3"/>
  <c r="B235" i="3" s="1"/>
  <c r="A37" i="3"/>
  <c r="A235" i="3" s="1"/>
  <c r="AC36" i="3"/>
  <c r="AB36" i="3"/>
  <c r="AA36" i="3"/>
  <c r="Z36" i="3"/>
  <c r="Y36" i="3"/>
  <c r="X36" i="3"/>
  <c r="W36" i="3"/>
  <c r="V36" i="3"/>
  <c r="U36" i="3"/>
  <c r="T36" i="3"/>
  <c r="S36" i="3"/>
  <c r="R36" i="3"/>
  <c r="E36" i="3"/>
  <c r="E234" i="3" s="1"/>
  <c r="D36" i="3"/>
  <c r="D234" i="3" s="1"/>
  <c r="C36" i="3"/>
  <c r="C234" i="3" s="1"/>
  <c r="B36" i="3"/>
  <c r="B234" i="3" s="1"/>
  <c r="A36" i="3"/>
  <c r="A234" i="3" s="1"/>
  <c r="AC35" i="3"/>
  <c r="AB35" i="3"/>
  <c r="AA35" i="3"/>
  <c r="Z35" i="3"/>
  <c r="Y35" i="3"/>
  <c r="X35" i="3"/>
  <c r="W35" i="3"/>
  <c r="V35" i="3"/>
  <c r="U35" i="3"/>
  <c r="T35" i="3"/>
  <c r="S35" i="3"/>
  <c r="R35" i="3"/>
  <c r="E35" i="3"/>
  <c r="E233" i="3" s="1"/>
  <c r="D35" i="3"/>
  <c r="D233" i="3" s="1"/>
  <c r="C35" i="3"/>
  <c r="C233" i="3" s="1"/>
  <c r="B35" i="3"/>
  <c r="B233" i="3" s="1"/>
  <c r="A35" i="3"/>
  <c r="A233" i="3" s="1"/>
  <c r="AC34" i="3"/>
  <c r="AB34" i="3"/>
  <c r="AA34" i="3"/>
  <c r="Z34" i="3"/>
  <c r="Y34" i="3"/>
  <c r="X34" i="3"/>
  <c r="W34" i="3"/>
  <c r="V34" i="3"/>
  <c r="U34" i="3"/>
  <c r="T34" i="3"/>
  <c r="S34" i="3"/>
  <c r="R34" i="3"/>
  <c r="E34" i="3"/>
  <c r="E232" i="3" s="1"/>
  <c r="D34" i="3"/>
  <c r="D232" i="3" s="1"/>
  <c r="C34" i="3"/>
  <c r="C232" i="3" s="1"/>
  <c r="B34" i="3"/>
  <c r="B232" i="3" s="1"/>
  <c r="A34" i="3"/>
  <c r="A232" i="3" s="1"/>
  <c r="AC33" i="3"/>
  <c r="AB33" i="3"/>
  <c r="AA33" i="3"/>
  <c r="Z33" i="3"/>
  <c r="Y33" i="3"/>
  <c r="X33" i="3"/>
  <c r="W33" i="3"/>
  <c r="V33" i="3"/>
  <c r="U33" i="3"/>
  <c r="T33" i="3"/>
  <c r="S33" i="3"/>
  <c r="R33" i="3"/>
  <c r="E33" i="3"/>
  <c r="E231" i="3" s="1"/>
  <c r="D33" i="3"/>
  <c r="D231" i="3" s="1"/>
  <c r="C33" i="3"/>
  <c r="C231" i="3" s="1"/>
  <c r="B33" i="3"/>
  <c r="B231" i="3" s="1"/>
  <c r="A33" i="3"/>
  <c r="A231" i="3" s="1"/>
  <c r="AC32" i="3"/>
  <c r="AB32" i="3"/>
  <c r="AA32" i="3"/>
  <c r="Z32" i="3"/>
  <c r="Y32" i="3"/>
  <c r="X32" i="3"/>
  <c r="W32" i="3"/>
  <c r="V32" i="3"/>
  <c r="U32" i="3"/>
  <c r="T32" i="3"/>
  <c r="S32" i="3"/>
  <c r="R32" i="3"/>
  <c r="E32" i="3"/>
  <c r="E230" i="3" s="1"/>
  <c r="D32" i="3"/>
  <c r="D230" i="3" s="1"/>
  <c r="C32" i="3"/>
  <c r="C230" i="3" s="1"/>
  <c r="B32" i="3"/>
  <c r="B230" i="3" s="1"/>
  <c r="A32" i="3"/>
  <c r="A230" i="3" s="1"/>
  <c r="AC31" i="3"/>
  <c r="AB31" i="3"/>
  <c r="AA31" i="3"/>
  <c r="Z31" i="3"/>
  <c r="Y31" i="3"/>
  <c r="X31" i="3"/>
  <c r="W31" i="3"/>
  <c r="V31" i="3"/>
  <c r="U31" i="3"/>
  <c r="T31" i="3"/>
  <c r="S31" i="3"/>
  <c r="R31" i="3"/>
  <c r="E31" i="3"/>
  <c r="E229" i="3" s="1"/>
  <c r="D31" i="3"/>
  <c r="D229" i="3" s="1"/>
  <c r="C31" i="3"/>
  <c r="C229" i="3" s="1"/>
  <c r="B31" i="3"/>
  <c r="B229" i="3" s="1"/>
  <c r="A31" i="3"/>
  <c r="A229" i="3" s="1"/>
  <c r="AC30" i="3"/>
  <c r="AB30" i="3"/>
  <c r="AA30" i="3"/>
  <c r="Z30" i="3"/>
  <c r="Y30" i="3"/>
  <c r="X30" i="3"/>
  <c r="W30" i="3"/>
  <c r="V30" i="3"/>
  <c r="U30" i="3"/>
  <c r="T30" i="3"/>
  <c r="S30" i="3"/>
  <c r="R30" i="3"/>
  <c r="E30" i="3"/>
  <c r="E228" i="3" s="1"/>
  <c r="D30" i="3"/>
  <c r="D228" i="3" s="1"/>
  <c r="C30" i="3"/>
  <c r="C228" i="3" s="1"/>
  <c r="B30" i="3"/>
  <c r="B228" i="3" s="1"/>
  <c r="A30" i="3"/>
  <c r="A228" i="3" s="1"/>
  <c r="AC29" i="3"/>
  <c r="AB29" i="3"/>
  <c r="AA29" i="3"/>
  <c r="Z29" i="3"/>
  <c r="Y29" i="3"/>
  <c r="X29" i="3"/>
  <c r="W29" i="3"/>
  <c r="V29" i="3"/>
  <c r="U29" i="3"/>
  <c r="T29" i="3"/>
  <c r="S29" i="3"/>
  <c r="R29" i="3"/>
  <c r="E29" i="3"/>
  <c r="E227" i="3" s="1"/>
  <c r="D29" i="3"/>
  <c r="D227" i="3" s="1"/>
  <c r="C29" i="3"/>
  <c r="C227" i="3" s="1"/>
  <c r="B29" i="3"/>
  <c r="B227" i="3" s="1"/>
  <c r="A29" i="3"/>
  <c r="A227" i="3" s="1"/>
  <c r="AC28" i="3"/>
  <c r="AB28" i="3"/>
  <c r="AA28" i="3"/>
  <c r="Z28" i="3"/>
  <c r="Y28" i="3"/>
  <c r="X28" i="3"/>
  <c r="W28" i="3"/>
  <c r="V28" i="3"/>
  <c r="U28" i="3"/>
  <c r="T28" i="3"/>
  <c r="S28" i="3"/>
  <c r="R28" i="3"/>
  <c r="E28" i="3"/>
  <c r="E226" i="3" s="1"/>
  <c r="D28" i="3"/>
  <c r="D226" i="3" s="1"/>
  <c r="C28" i="3"/>
  <c r="C226" i="3" s="1"/>
  <c r="B28" i="3"/>
  <c r="B226" i="3" s="1"/>
  <c r="A28" i="3"/>
  <c r="A226" i="3" s="1"/>
  <c r="AC27" i="3"/>
  <c r="AB27" i="3"/>
  <c r="AA27" i="3"/>
  <c r="Z27" i="3"/>
  <c r="Y27" i="3"/>
  <c r="X27" i="3"/>
  <c r="W27" i="3"/>
  <c r="V27" i="3"/>
  <c r="U27" i="3"/>
  <c r="T27" i="3"/>
  <c r="S27" i="3"/>
  <c r="R27" i="3"/>
  <c r="E27" i="3"/>
  <c r="E225" i="3" s="1"/>
  <c r="D27" i="3"/>
  <c r="D225" i="3" s="1"/>
  <c r="C27" i="3"/>
  <c r="C225" i="3" s="1"/>
  <c r="B27" i="3"/>
  <c r="B225" i="3" s="1"/>
  <c r="A27" i="3"/>
  <c r="A225" i="3" s="1"/>
  <c r="AC26" i="3"/>
  <c r="AB26" i="3"/>
  <c r="AA26" i="3"/>
  <c r="Z26" i="3"/>
  <c r="Y26" i="3"/>
  <c r="X26" i="3"/>
  <c r="W26" i="3"/>
  <c r="V26" i="3"/>
  <c r="U26" i="3"/>
  <c r="T26" i="3"/>
  <c r="S26" i="3"/>
  <c r="R26" i="3"/>
  <c r="E26" i="3"/>
  <c r="E224" i="3" s="1"/>
  <c r="D26" i="3"/>
  <c r="D224" i="3" s="1"/>
  <c r="C26" i="3"/>
  <c r="C224" i="3" s="1"/>
  <c r="B26" i="3"/>
  <c r="B224" i="3" s="1"/>
  <c r="A26" i="3"/>
  <c r="A224" i="3" s="1"/>
  <c r="AC25" i="3"/>
  <c r="AB25" i="3"/>
  <c r="AA25" i="3"/>
  <c r="Z25" i="3"/>
  <c r="Y25" i="3"/>
  <c r="X25" i="3"/>
  <c r="W25" i="3"/>
  <c r="V25" i="3"/>
  <c r="U25" i="3"/>
  <c r="T25" i="3"/>
  <c r="S25" i="3"/>
  <c r="R25" i="3"/>
  <c r="E25" i="3"/>
  <c r="E223" i="3" s="1"/>
  <c r="D25" i="3"/>
  <c r="D223" i="3" s="1"/>
  <c r="C25" i="3"/>
  <c r="C223" i="3" s="1"/>
  <c r="B25" i="3"/>
  <c r="B223" i="3" s="1"/>
  <c r="A25" i="3"/>
  <c r="A223" i="3" s="1"/>
  <c r="AC24" i="3"/>
  <c r="AB24" i="3"/>
  <c r="AA24" i="3"/>
  <c r="Z24" i="3"/>
  <c r="Y24" i="3"/>
  <c r="X24" i="3"/>
  <c r="W24" i="3"/>
  <c r="V24" i="3"/>
  <c r="U24" i="3"/>
  <c r="T24" i="3"/>
  <c r="S24" i="3"/>
  <c r="R24" i="3"/>
  <c r="E24" i="3"/>
  <c r="E222" i="3" s="1"/>
  <c r="D24" i="3"/>
  <c r="D222" i="3" s="1"/>
  <c r="C24" i="3"/>
  <c r="C222" i="3" s="1"/>
  <c r="B24" i="3"/>
  <c r="B222" i="3" s="1"/>
  <c r="A24" i="3"/>
  <c r="A222" i="3" s="1"/>
  <c r="AC23" i="3"/>
  <c r="AB23" i="3"/>
  <c r="AA23" i="3"/>
  <c r="Z23" i="3"/>
  <c r="Y23" i="3"/>
  <c r="X23" i="3"/>
  <c r="W23" i="3"/>
  <c r="V23" i="3"/>
  <c r="U23" i="3"/>
  <c r="T23" i="3"/>
  <c r="S23" i="3"/>
  <c r="R23" i="3"/>
  <c r="E23" i="3"/>
  <c r="E221" i="3" s="1"/>
  <c r="D23" i="3"/>
  <c r="D221" i="3" s="1"/>
  <c r="C23" i="3"/>
  <c r="C221" i="3" s="1"/>
  <c r="B23" i="3"/>
  <c r="B221" i="3" s="1"/>
  <c r="A23" i="3"/>
  <c r="A221" i="3" s="1"/>
  <c r="AC22" i="3"/>
  <c r="AB22" i="3"/>
  <c r="AA22" i="3"/>
  <c r="Z22" i="3"/>
  <c r="Y22" i="3"/>
  <c r="X22" i="3"/>
  <c r="W22" i="3"/>
  <c r="V22" i="3"/>
  <c r="U22" i="3"/>
  <c r="T22" i="3"/>
  <c r="S22" i="3"/>
  <c r="R22" i="3"/>
  <c r="E22" i="3"/>
  <c r="B22" i="3"/>
  <c r="A22" i="3"/>
  <c r="A22" i="2" s="1"/>
  <c r="AC21" i="3"/>
  <c r="AB21" i="3"/>
  <c r="AA21" i="3"/>
  <c r="Z21" i="3"/>
  <c r="Y21" i="3"/>
  <c r="X21" i="3"/>
  <c r="W21" i="3"/>
  <c r="V21" i="3"/>
  <c r="U21" i="3"/>
  <c r="T21" i="3"/>
  <c r="S21" i="3"/>
  <c r="R21" i="3"/>
  <c r="E21" i="3"/>
  <c r="E220" i="3" s="1"/>
  <c r="D21" i="3"/>
  <c r="D220" i="3" s="1"/>
  <c r="C21" i="3"/>
  <c r="C220" i="3" s="1"/>
  <c r="B21" i="3"/>
  <c r="B220" i="3" s="1"/>
  <c r="A21" i="3"/>
  <c r="A220" i="3" s="1"/>
  <c r="AC20" i="3"/>
  <c r="AB20" i="3"/>
  <c r="AA20" i="3"/>
  <c r="Z20" i="3"/>
  <c r="Y20" i="3"/>
  <c r="X20" i="3"/>
  <c r="W20" i="3"/>
  <c r="V20" i="3"/>
  <c r="U20" i="3"/>
  <c r="T20" i="3"/>
  <c r="S20" i="3"/>
  <c r="R20" i="3"/>
  <c r="E20" i="3"/>
  <c r="E219" i="3" s="1"/>
  <c r="D20" i="3"/>
  <c r="D219" i="3" s="1"/>
  <c r="C20" i="3"/>
  <c r="C219" i="3" s="1"/>
  <c r="B20" i="3"/>
  <c r="B219" i="3" s="1"/>
  <c r="A20" i="3"/>
  <c r="A219" i="3" s="1"/>
  <c r="AC19" i="3"/>
  <c r="AB19" i="3"/>
  <c r="AA19" i="3"/>
  <c r="Z19" i="3"/>
  <c r="Y19" i="3"/>
  <c r="X19" i="3"/>
  <c r="W19" i="3"/>
  <c r="V19" i="3"/>
  <c r="U19" i="3"/>
  <c r="T19" i="3"/>
  <c r="S19" i="3"/>
  <c r="R19" i="3"/>
  <c r="E19" i="3"/>
  <c r="E218" i="3" s="1"/>
  <c r="D19" i="3"/>
  <c r="D218" i="3" s="1"/>
  <c r="C19" i="3"/>
  <c r="C218" i="3" s="1"/>
  <c r="B19" i="3"/>
  <c r="B218" i="3" s="1"/>
  <c r="A19" i="3"/>
  <c r="A218" i="3" s="1"/>
  <c r="AC18" i="3"/>
  <c r="AB18" i="3"/>
  <c r="AA18" i="3"/>
  <c r="Z18" i="3"/>
  <c r="Y18" i="3"/>
  <c r="X18" i="3"/>
  <c r="W18" i="3"/>
  <c r="V18" i="3"/>
  <c r="U18" i="3"/>
  <c r="T18" i="3"/>
  <c r="S18" i="3"/>
  <c r="R18" i="3"/>
  <c r="E18" i="3"/>
  <c r="E217" i="3" s="1"/>
  <c r="D18" i="3"/>
  <c r="D217" i="3" s="1"/>
  <c r="C18" i="3"/>
  <c r="C217" i="3" s="1"/>
  <c r="B18" i="3"/>
  <c r="B217" i="3" s="1"/>
  <c r="A18" i="3"/>
  <c r="A217" i="3" s="1"/>
  <c r="AC17" i="3"/>
  <c r="AB17" i="3"/>
  <c r="AA17" i="3"/>
  <c r="Z17" i="3"/>
  <c r="Y17" i="3"/>
  <c r="X17" i="3"/>
  <c r="W17" i="3"/>
  <c r="V17" i="3"/>
  <c r="U17" i="3"/>
  <c r="T17" i="3"/>
  <c r="S17" i="3"/>
  <c r="R17" i="3"/>
  <c r="E17" i="3"/>
  <c r="E216" i="3" s="1"/>
  <c r="D17" i="3"/>
  <c r="D216" i="3" s="1"/>
  <c r="C17" i="3"/>
  <c r="C216" i="3" s="1"/>
  <c r="B17" i="3"/>
  <c r="B216" i="3" s="1"/>
  <c r="A17" i="3"/>
  <c r="A216" i="3" s="1"/>
  <c r="AC16" i="3"/>
  <c r="AB16" i="3"/>
  <c r="AA16" i="3"/>
  <c r="Z16" i="3"/>
  <c r="Y16" i="3"/>
  <c r="X16" i="3"/>
  <c r="W16" i="3"/>
  <c r="V16" i="3"/>
  <c r="U16" i="3"/>
  <c r="T16" i="3"/>
  <c r="S16" i="3"/>
  <c r="R16" i="3"/>
  <c r="E16" i="3"/>
  <c r="E215" i="3" s="1"/>
  <c r="D16" i="3"/>
  <c r="D215" i="3" s="1"/>
  <c r="C16" i="3"/>
  <c r="C215" i="3" s="1"/>
  <c r="B16" i="3"/>
  <c r="B215" i="3" s="1"/>
  <c r="A16" i="3"/>
  <c r="A215" i="3" s="1"/>
  <c r="AC15" i="3"/>
  <c r="AB15" i="3"/>
  <c r="AA15" i="3"/>
  <c r="Z15" i="3"/>
  <c r="Y15" i="3"/>
  <c r="X15" i="3"/>
  <c r="W15" i="3"/>
  <c r="V15" i="3"/>
  <c r="U15" i="3"/>
  <c r="T15" i="3"/>
  <c r="S15" i="3"/>
  <c r="R15" i="3"/>
  <c r="E15" i="3"/>
  <c r="E214" i="3" s="1"/>
  <c r="D15" i="3"/>
  <c r="D214" i="3" s="1"/>
  <c r="C15" i="3"/>
  <c r="C214" i="3" s="1"/>
  <c r="B15" i="3"/>
  <c r="B214" i="3" s="1"/>
  <c r="A15" i="3"/>
  <c r="A214" i="3" s="1"/>
  <c r="AC14" i="3"/>
  <c r="AB14" i="3"/>
  <c r="AA14" i="3"/>
  <c r="Z14" i="3"/>
  <c r="Y14" i="3"/>
  <c r="X14" i="3"/>
  <c r="W14" i="3"/>
  <c r="V14" i="3"/>
  <c r="U14" i="3"/>
  <c r="T14" i="3"/>
  <c r="S14" i="3"/>
  <c r="R14" i="3"/>
  <c r="E14" i="3"/>
  <c r="E213" i="3" s="1"/>
  <c r="D14" i="3"/>
  <c r="D213" i="3" s="1"/>
  <c r="C14" i="3"/>
  <c r="C213" i="3" s="1"/>
  <c r="B14" i="3"/>
  <c r="B213" i="3" s="1"/>
  <c r="A14" i="3"/>
  <c r="A213" i="3" s="1"/>
  <c r="AC13" i="3"/>
  <c r="AB13" i="3"/>
  <c r="AA13" i="3"/>
  <c r="Z13" i="3"/>
  <c r="Y13" i="3"/>
  <c r="X13" i="3"/>
  <c r="W13" i="3"/>
  <c r="V13" i="3"/>
  <c r="U13" i="3"/>
  <c r="T13" i="3"/>
  <c r="S13" i="3"/>
  <c r="R13" i="3"/>
  <c r="E13" i="3"/>
  <c r="E212" i="3" s="1"/>
  <c r="D13" i="3"/>
  <c r="D212" i="3" s="1"/>
  <c r="C13" i="3"/>
  <c r="C212" i="3" s="1"/>
  <c r="B13" i="3"/>
  <c r="B212" i="3" s="1"/>
  <c r="A13" i="3"/>
  <c r="A212" i="3" s="1"/>
  <c r="AC12" i="3"/>
  <c r="AB12" i="3"/>
  <c r="AA12" i="3"/>
  <c r="Z12" i="3"/>
  <c r="Y12" i="3"/>
  <c r="X12" i="3"/>
  <c r="W12" i="3"/>
  <c r="V12" i="3"/>
  <c r="U12" i="3"/>
  <c r="T12" i="3"/>
  <c r="S12" i="3"/>
  <c r="R12" i="3"/>
  <c r="E12" i="3"/>
  <c r="E211" i="3" s="1"/>
  <c r="D12" i="3"/>
  <c r="D211" i="3" s="1"/>
  <c r="C12" i="3"/>
  <c r="C211" i="3" s="1"/>
  <c r="B12" i="3"/>
  <c r="B211" i="3" s="1"/>
  <c r="A12" i="3"/>
  <c r="A211" i="3" s="1"/>
  <c r="AC11" i="3"/>
  <c r="AB11" i="3"/>
  <c r="AA11" i="3"/>
  <c r="Z11" i="3"/>
  <c r="Y11" i="3"/>
  <c r="X11" i="3"/>
  <c r="W11" i="3"/>
  <c r="V11" i="3"/>
  <c r="U11" i="3"/>
  <c r="T11" i="3"/>
  <c r="S11" i="3"/>
  <c r="R11" i="3"/>
  <c r="E11" i="3"/>
  <c r="E210" i="3" s="1"/>
  <c r="D11" i="3"/>
  <c r="D210" i="3" s="1"/>
  <c r="C11" i="3"/>
  <c r="C210" i="3" s="1"/>
  <c r="B11" i="3"/>
  <c r="B210" i="3" s="1"/>
  <c r="A11" i="3"/>
  <c r="A210" i="3" s="1"/>
  <c r="AC10" i="3"/>
  <c r="AB10" i="3"/>
  <c r="AA10" i="3"/>
  <c r="Z10" i="3"/>
  <c r="Y10" i="3"/>
  <c r="X10" i="3"/>
  <c r="W10" i="3"/>
  <c r="V10" i="3"/>
  <c r="U10" i="3"/>
  <c r="T10" i="3"/>
  <c r="S10" i="3"/>
  <c r="R10" i="3"/>
  <c r="E10" i="3"/>
  <c r="E209" i="3" s="1"/>
  <c r="D10" i="3"/>
  <c r="D209" i="3" s="1"/>
  <c r="C10" i="3"/>
  <c r="C209" i="3" s="1"/>
  <c r="B10" i="3"/>
  <c r="B209" i="3" s="1"/>
  <c r="A10" i="3"/>
  <c r="A209" i="3" s="1"/>
  <c r="AC9" i="3"/>
  <c r="AB9" i="3"/>
  <c r="AA9" i="3"/>
  <c r="Z9" i="3"/>
  <c r="Y9" i="3"/>
  <c r="X9" i="3"/>
  <c r="W9" i="3"/>
  <c r="V9" i="3"/>
  <c r="U9" i="3"/>
  <c r="T9" i="3"/>
  <c r="S9" i="3"/>
  <c r="R9" i="3"/>
  <c r="E9" i="3"/>
  <c r="E208" i="3" s="1"/>
  <c r="D9" i="3"/>
  <c r="D208" i="3" s="1"/>
  <c r="C9" i="3"/>
  <c r="C208" i="3" s="1"/>
  <c r="B9" i="3"/>
  <c r="B208" i="3" s="1"/>
  <c r="A9" i="3"/>
  <c r="A208" i="3" s="1"/>
  <c r="AC8" i="3"/>
  <c r="AB8" i="3"/>
  <c r="AA8" i="3"/>
  <c r="Z8" i="3"/>
  <c r="Y8" i="3"/>
  <c r="X8" i="3"/>
  <c r="W8" i="3"/>
  <c r="V8" i="3"/>
  <c r="U8" i="3"/>
  <c r="T8" i="3"/>
  <c r="S8" i="3"/>
  <c r="R8" i="3"/>
  <c r="E8" i="3"/>
  <c r="E207" i="3" s="1"/>
  <c r="D8" i="3"/>
  <c r="D207" i="3" s="1"/>
  <c r="C8" i="3"/>
  <c r="C207" i="3" s="1"/>
  <c r="B8" i="3"/>
  <c r="B207" i="3" s="1"/>
  <c r="A8" i="3"/>
  <c r="A207" i="3" s="1"/>
  <c r="AC7" i="3"/>
  <c r="AB7" i="3"/>
  <c r="AA7" i="3"/>
  <c r="Z7" i="3"/>
  <c r="Y7" i="3"/>
  <c r="X7" i="3"/>
  <c r="W7" i="3"/>
  <c r="V7" i="3"/>
  <c r="U7" i="3"/>
  <c r="T7" i="3"/>
  <c r="S7" i="3"/>
  <c r="R7" i="3"/>
  <c r="E7" i="3"/>
  <c r="E206" i="3" s="1"/>
  <c r="D7" i="3"/>
  <c r="D206" i="3" s="1"/>
  <c r="C7" i="3"/>
  <c r="C206" i="3" s="1"/>
  <c r="B7" i="3"/>
  <c r="B206" i="3" s="1"/>
  <c r="A7" i="3"/>
  <c r="A206" i="3" s="1"/>
  <c r="AC6" i="3"/>
  <c r="AB6" i="3"/>
  <c r="AA6" i="3"/>
  <c r="Z6" i="3"/>
  <c r="Y6" i="3"/>
  <c r="X6" i="3"/>
  <c r="W6" i="3"/>
  <c r="V6" i="3"/>
  <c r="U6" i="3"/>
  <c r="T6" i="3"/>
  <c r="S6" i="3"/>
  <c r="R6" i="3"/>
  <c r="E6" i="3"/>
  <c r="E205" i="3" s="1"/>
  <c r="D6" i="3"/>
  <c r="D205" i="3" s="1"/>
  <c r="C6" i="3"/>
  <c r="C205" i="3" s="1"/>
  <c r="B6" i="3"/>
  <c r="B205" i="3" s="1"/>
  <c r="A6" i="3"/>
  <c r="A205" i="3" s="1"/>
  <c r="AC5" i="3"/>
  <c r="AB5" i="3"/>
  <c r="AA5" i="3"/>
  <c r="Z5" i="3"/>
  <c r="Y5" i="3"/>
  <c r="X5" i="3"/>
  <c r="W5" i="3"/>
  <c r="V5" i="3"/>
  <c r="U5" i="3"/>
  <c r="T5" i="3"/>
  <c r="S5" i="3"/>
  <c r="R5" i="3"/>
  <c r="E5" i="3"/>
  <c r="E204" i="3" s="1"/>
  <c r="D5" i="3"/>
  <c r="D204" i="3" s="1"/>
  <c r="C5" i="3"/>
  <c r="C204" i="3" s="1"/>
  <c r="B5" i="3"/>
  <c r="B204" i="3" s="1"/>
  <c r="A5" i="3"/>
  <c r="A204" i="3" s="1"/>
  <c r="AC4" i="3"/>
  <c r="AB4" i="3"/>
  <c r="AA4" i="3"/>
  <c r="Z4" i="3"/>
  <c r="Y4" i="3"/>
  <c r="X4" i="3"/>
  <c r="W4" i="3"/>
  <c r="V4" i="3"/>
  <c r="U4" i="3"/>
  <c r="T4" i="3"/>
  <c r="S4" i="3"/>
  <c r="R4" i="3"/>
  <c r="E4" i="3"/>
  <c r="B4" i="3"/>
  <c r="A4" i="3"/>
  <c r="AC3" i="3"/>
  <c r="AB3" i="3"/>
  <c r="AA3" i="3"/>
  <c r="Z3" i="3"/>
  <c r="Y3" i="3"/>
  <c r="X3" i="3"/>
  <c r="W3" i="3"/>
  <c r="V3" i="3"/>
  <c r="U3" i="3"/>
  <c r="T3" i="3"/>
  <c r="S3" i="3"/>
  <c r="R3" i="3"/>
  <c r="E3" i="3"/>
  <c r="B3" i="3"/>
  <c r="A3" i="3"/>
  <c r="E2" i="3"/>
  <c r="D2" i="3"/>
  <c r="C2" i="3"/>
  <c r="B2" i="3"/>
  <c r="A2" i="3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D18" i="2"/>
  <c r="C18" i="2"/>
  <c r="B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D14" i="2"/>
  <c r="C14" i="2"/>
  <c r="B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D10" i="2"/>
  <c r="C10" i="2"/>
  <c r="B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D6" i="2"/>
  <c r="C6" i="2"/>
  <c r="B6" i="2"/>
  <c r="E5" i="2"/>
  <c r="D5" i="2"/>
  <c r="C5" i="2"/>
  <c r="B5" i="2"/>
  <c r="A5" i="2"/>
  <c r="E4" i="2"/>
  <c r="D4" i="2"/>
  <c r="C4" i="2"/>
  <c r="B4" i="2"/>
  <c r="A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F292" i="3"/>
  <c r="F280" i="3"/>
  <c r="F208" i="3"/>
  <c r="F264" i="3"/>
  <c r="F232" i="3"/>
  <c r="F296" i="3"/>
  <c r="F248" i="3"/>
  <c r="F216" i="3"/>
  <c r="F316" i="3"/>
  <c r="F247" i="3"/>
  <c r="F239" i="3"/>
  <c r="F231" i="3"/>
  <c r="F223" i="3"/>
  <c r="F317" i="3"/>
  <c r="F295" i="3"/>
  <c r="F369" i="3"/>
  <c r="F319" i="3"/>
  <c r="F279" i="3"/>
  <c r="F271" i="3"/>
  <c r="F287" i="3"/>
  <c r="F255" i="3"/>
  <c r="F263" i="3"/>
  <c r="F315" i="3"/>
  <c r="F307" i="3"/>
  <c r="F335" i="3"/>
  <c r="F333" i="3"/>
  <c r="F355" i="3"/>
  <c r="F357" i="3"/>
  <c r="F352" i="3"/>
  <c r="F336" i="3"/>
  <c r="F344" i="3"/>
  <c r="F373" i="3"/>
  <c r="F328" i="3"/>
  <c r="F234" i="3"/>
  <c r="F215" i="3"/>
  <c r="F368" i="3"/>
  <c r="F298" i="3"/>
  <c r="F360" i="3"/>
  <c r="F308" i="3"/>
  <c r="F228" i="3"/>
  <c r="F225" i="3"/>
  <c r="F214" i="3"/>
  <c r="F244" i="3"/>
  <c r="F266" i="3"/>
  <c r="F260" i="3"/>
  <c r="F265" i="3"/>
  <c r="F249" i="3"/>
  <c r="F241" i="3"/>
  <c r="F233" i="3"/>
  <c r="F206" i="3"/>
  <c r="F281" i="3"/>
  <c r="F297" i="3"/>
  <c r="F318" i="3"/>
  <c r="F304" i="3"/>
  <c r="F289" i="3"/>
  <c r="F273" i="3"/>
  <c r="F257" i="3"/>
  <c r="F353" i="3"/>
  <c r="F320" i="3"/>
  <c r="F341" i="3"/>
  <c r="F301" i="3"/>
  <c r="F309" i="3"/>
  <c r="F330" i="3"/>
  <c r="F322" i="3"/>
  <c r="F363" i="3"/>
  <c r="F331" i="3"/>
  <c r="F354" i="3"/>
  <c r="F226" i="3"/>
  <c r="F362" i="3"/>
  <c r="F370" i="3"/>
  <c r="F346" i="3"/>
  <c r="F211" i="3"/>
  <c r="F338" i="3"/>
  <c r="F288" i="3"/>
  <c r="F258" i="3"/>
  <c r="F290" i="3"/>
  <c r="F240" i="3"/>
  <c r="F224" i="3"/>
  <c r="F256" i="3"/>
  <c r="F220" i="3"/>
  <c r="F349" i="3"/>
  <c r="F272" i="3"/>
  <c r="F276" i="3"/>
  <c r="F235" i="3"/>
  <c r="C398" i="3"/>
  <c r="F242" i="3"/>
  <c r="F274" i="3"/>
  <c r="F284" i="3"/>
  <c r="F337" i="3"/>
  <c r="F250" i="3"/>
  <c r="F356" i="3"/>
  <c r="F204" i="3"/>
  <c r="F267" i="3"/>
  <c r="F227" i="3"/>
  <c r="F312" i="3"/>
  <c r="F212" i="3"/>
  <c r="F251" i="3"/>
  <c r="F243" i="3"/>
  <c r="F259" i="3"/>
  <c r="F283" i="3"/>
  <c r="F299" i="3"/>
  <c r="F291" i="3"/>
  <c r="F275" i="3"/>
  <c r="F359" i="3"/>
  <c r="F311" i="3"/>
  <c r="F323" i="3"/>
  <c r="F303" i="3"/>
  <c r="F325" i="3"/>
  <c r="F324" i="3"/>
  <c r="F371" i="3"/>
  <c r="F339" i="3"/>
  <c r="F361" i="3"/>
  <c r="F348" i="3"/>
  <c r="F340" i="3"/>
  <c r="F372" i="3"/>
  <c r="F364" i="3"/>
  <c r="F332" i="3"/>
  <c r="F207" i="3"/>
  <c r="F282" i="3"/>
  <c r="F302" i="3"/>
  <c r="F236" i="3"/>
  <c r="F268" i="3"/>
  <c r="F252" i="3"/>
  <c r="F351" i="3"/>
  <c r="F210" i="3"/>
  <c r="F218" i="3"/>
  <c r="F229" i="3"/>
  <c r="F245" i="3"/>
  <c r="F221" i="3"/>
  <c r="F261" i="3"/>
  <c r="F253" i="3"/>
  <c r="F237" i="3"/>
  <c r="F269" i="3"/>
  <c r="F277" i="3"/>
  <c r="F285" i="3"/>
  <c r="F313" i="3"/>
  <c r="F343" i="3"/>
  <c r="F286" i="3"/>
  <c r="F314" i="3"/>
  <c r="F306" i="3"/>
  <c r="F326" i="3"/>
  <c r="F345" i="3"/>
  <c r="F293" i="3"/>
  <c r="F327" i="3"/>
  <c r="F305" i="3"/>
  <c r="F342" i="3"/>
  <c r="F367" i="3"/>
  <c r="F347" i="3"/>
  <c r="F334" i="3"/>
  <c r="F365" i="3"/>
  <c r="F350" i="3"/>
  <c r="F358" i="3"/>
  <c r="F270" i="3"/>
  <c r="F278" i="3"/>
  <c r="F213" i="3"/>
  <c r="F262" i="3"/>
  <c r="F230" i="3"/>
  <c r="F205" i="3"/>
  <c r="C394" i="3"/>
  <c r="F310" i="3"/>
  <c r="F209" i="3"/>
  <c r="F238" i="3"/>
  <c r="F300" i="3"/>
  <c r="F254" i="3"/>
  <c r="F366" i="3"/>
  <c r="F329" i="3"/>
  <c r="F219" i="3"/>
  <c r="F321" i="3"/>
  <c r="F294" i="3"/>
  <c r="F217" i="3"/>
  <c r="F222" i="3"/>
  <c r="F246" i="3"/>
  <c r="C396" i="3"/>
  <c r="A196" i="3"/>
  <c r="B382" i="3" l="1"/>
  <c r="B394" i="3"/>
  <c r="B396" i="3"/>
  <c r="B398" i="3"/>
  <c r="B386" i="3"/>
  <c r="B388" i="3"/>
  <c r="B390" i="3"/>
  <c r="B287" i="3"/>
  <c r="B93" i="2"/>
  <c r="A6" i="2"/>
  <c r="E6" i="2"/>
  <c r="A10" i="2"/>
  <c r="E10" i="2"/>
  <c r="A14" i="2"/>
  <c r="E14" i="2"/>
  <c r="A18" i="2"/>
  <c r="E18" i="2"/>
  <c r="M400" i="3" l="1"/>
  <c r="M401" i="3" s="1"/>
  <c r="I400" i="3"/>
  <c r="I401" i="3" s="1"/>
  <c r="E400" i="3"/>
  <c r="E401" i="3" s="1"/>
  <c r="K400" i="3"/>
  <c r="K401" i="3" s="1"/>
  <c r="F400" i="3"/>
  <c r="F401" i="3" s="1"/>
  <c r="H400" i="3"/>
  <c r="H401" i="3" s="1"/>
  <c r="B400" i="3"/>
  <c r="B401" i="3" s="1"/>
  <c r="J400" i="3"/>
  <c r="J401" i="3" s="1"/>
  <c r="C400" i="3"/>
  <c r="C401" i="3" s="1"/>
  <c r="G400" i="3"/>
  <c r="G401" i="3" s="1"/>
  <c r="L400" i="3"/>
  <c r="L401" i="3" s="1"/>
  <c r="N400" i="3"/>
  <c r="N401" i="3" s="1"/>
  <c r="D400" i="3"/>
  <c r="D401" i="3" s="1"/>
  <c r="M392" i="3"/>
  <c r="M393" i="3" s="1"/>
  <c r="I392" i="3"/>
  <c r="I393" i="3" s="1"/>
  <c r="E392" i="3"/>
  <c r="E393" i="3" s="1"/>
  <c r="N392" i="3"/>
  <c r="N393" i="3" s="1"/>
  <c r="H392" i="3"/>
  <c r="H393" i="3" s="1"/>
  <c r="C392" i="3"/>
  <c r="C393" i="3" s="1"/>
  <c r="K392" i="3"/>
  <c r="K393" i="3" s="1"/>
  <c r="D392" i="3"/>
  <c r="D393" i="3" s="1"/>
  <c r="L392" i="3"/>
  <c r="L393" i="3" s="1"/>
  <c r="F392" i="3"/>
  <c r="F393" i="3" s="1"/>
  <c r="B392" i="3"/>
  <c r="B393" i="3" s="1"/>
  <c r="G392" i="3"/>
  <c r="G393" i="3" s="1"/>
  <c r="J392" i="3"/>
  <c r="J393" i="3" s="1"/>
  <c r="B202" i="3" l="1"/>
  <c r="Z2" i="3"/>
  <c r="N2" i="3"/>
  <c r="I2" i="2" s="1"/>
  <c r="T2" i="3"/>
  <c r="H2" i="3"/>
  <c r="O2" i="2" s="1"/>
  <c r="M2" i="3"/>
  <c r="J2" i="2" s="1"/>
  <c r="Y2" i="3"/>
  <c r="W2" i="3"/>
  <c r="K2" i="3"/>
  <c r="L2" i="2" s="1"/>
  <c r="I2" i="3"/>
  <c r="N2" i="2" s="1"/>
  <c r="U2" i="3"/>
  <c r="R2" i="3"/>
  <c r="F2" i="3"/>
  <c r="X2" i="3"/>
  <c r="L2" i="3"/>
  <c r="K2" i="2" s="1"/>
  <c r="AB2" i="3"/>
  <c r="P2" i="3"/>
  <c r="G2" i="2" s="1"/>
  <c r="AA2" i="3"/>
  <c r="O2" i="3"/>
  <c r="H2" i="2" s="1"/>
  <c r="V2" i="3"/>
  <c r="J2" i="3"/>
  <c r="M2" i="2" s="1"/>
  <c r="S2" i="3"/>
  <c r="G2" i="3"/>
  <c r="P2" i="2" s="1"/>
  <c r="AC2" i="3"/>
  <c r="Q2" i="3"/>
  <c r="F2" i="2" s="1"/>
  <c r="N185" i="3"/>
  <c r="G184" i="3"/>
  <c r="Q182" i="3"/>
  <c r="J181" i="3"/>
  <c r="P179" i="3"/>
  <c r="M178" i="3"/>
  <c r="O176" i="3"/>
  <c r="L175" i="3"/>
  <c r="I174" i="3"/>
  <c r="K172" i="3"/>
  <c r="H171" i="3"/>
  <c r="N169" i="3"/>
  <c r="O166" i="3"/>
  <c r="P184" i="3"/>
  <c r="M183" i="3"/>
  <c r="O181" i="3"/>
  <c r="L180" i="3"/>
  <c r="I179" i="3"/>
  <c r="K177" i="3"/>
  <c r="H176" i="3"/>
  <c r="N174" i="3"/>
  <c r="G173" i="3"/>
  <c r="Q171" i="3"/>
  <c r="J170" i="3"/>
  <c r="O167" i="3"/>
  <c r="L166" i="3"/>
  <c r="J183" i="3"/>
  <c r="H181" i="3"/>
  <c r="H178" i="3"/>
  <c r="J175" i="3"/>
  <c r="H173" i="3"/>
  <c r="H170" i="3"/>
  <c r="H167" i="3"/>
  <c r="M165" i="3"/>
  <c r="O163" i="3"/>
  <c r="L162" i="3"/>
  <c r="I161" i="3"/>
  <c r="K159" i="3"/>
  <c r="H158" i="3"/>
  <c r="N156" i="3"/>
  <c r="G155" i="3"/>
  <c r="Q153" i="3"/>
  <c r="J152" i="3"/>
  <c r="N148" i="3"/>
  <c r="G147" i="3"/>
  <c r="Q145" i="3"/>
  <c r="J144" i="3"/>
  <c r="P142" i="3"/>
  <c r="M141" i="3"/>
  <c r="O139" i="3"/>
  <c r="L138" i="3"/>
  <c r="I137" i="3"/>
  <c r="K135" i="3"/>
  <c r="H134" i="3"/>
  <c r="N132" i="3"/>
  <c r="O129" i="3"/>
  <c r="L128" i="3"/>
  <c r="I127" i="3"/>
  <c r="K125" i="3"/>
  <c r="H124" i="3"/>
  <c r="N122" i="3"/>
  <c r="G121" i="3"/>
  <c r="Q119" i="3"/>
  <c r="J118" i="3"/>
  <c r="P116" i="3"/>
  <c r="M115" i="3"/>
  <c r="L185" i="3"/>
  <c r="L182" i="3"/>
  <c r="N179" i="3"/>
  <c r="I176" i="3"/>
  <c r="Q172" i="3"/>
  <c r="L169" i="3"/>
  <c r="O165" i="3"/>
  <c r="L164" i="3"/>
  <c r="I163" i="3"/>
  <c r="K161" i="3"/>
  <c r="H160" i="3"/>
  <c r="N158" i="3"/>
  <c r="G157" i="3"/>
  <c r="Q155" i="3"/>
  <c r="J154" i="3"/>
  <c r="P152" i="3"/>
  <c r="M151" i="3"/>
  <c r="H148" i="3"/>
  <c r="N146" i="3"/>
  <c r="G145" i="3"/>
  <c r="Q143" i="3"/>
  <c r="J142" i="3"/>
  <c r="P140" i="3"/>
  <c r="M139" i="3"/>
  <c r="O137" i="3"/>
  <c r="L136" i="3"/>
  <c r="N184" i="3"/>
  <c r="I181" i="3"/>
  <c r="Q177" i="3"/>
  <c r="K174" i="3"/>
  <c r="K171" i="3"/>
  <c r="Q167" i="3"/>
  <c r="N165" i="3"/>
  <c r="G164" i="3"/>
  <c r="Q162" i="3"/>
  <c r="J161" i="3"/>
  <c r="P159" i="3"/>
  <c r="M158" i="3"/>
  <c r="O156" i="3"/>
  <c r="L155" i="3"/>
  <c r="I154" i="3"/>
  <c r="K152" i="3"/>
  <c r="H151" i="3"/>
  <c r="P147" i="3"/>
  <c r="M146" i="3"/>
  <c r="O144" i="3"/>
  <c r="L143" i="3"/>
  <c r="I142" i="3"/>
  <c r="K140" i="3"/>
  <c r="H139" i="3"/>
  <c r="N137" i="3"/>
  <c r="G136" i="3"/>
  <c r="Q134" i="3"/>
  <c r="J133" i="3"/>
  <c r="O130" i="3"/>
  <c r="L129" i="3"/>
  <c r="I128" i="3"/>
  <c r="K126" i="3"/>
  <c r="H125" i="3"/>
  <c r="N123" i="3"/>
  <c r="G122" i="3"/>
  <c r="Q120" i="3"/>
  <c r="J119" i="3"/>
  <c r="P117" i="3"/>
  <c r="M116" i="3"/>
  <c r="O114" i="3"/>
  <c r="K112" i="3"/>
  <c r="H111" i="3"/>
  <c r="N109" i="3"/>
  <c r="G108" i="3"/>
  <c r="Q106" i="3"/>
  <c r="J105" i="3"/>
  <c r="P103" i="3"/>
  <c r="M102" i="3"/>
  <c r="O100" i="3"/>
  <c r="L99" i="3"/>
  <c r="I98" i="3"/>
  <c r="M181" i="3"/>
  <c r="M173" i="3"/>
  <c r="I148" i="3"/>
  <c r="G142" i="3"/>
  <c r="H137" i="3"/>
  <c r="P133" i="3"/>
  <c r="P130" i="3"/>
  <c r="P127" i="3"/>
  <c r="M125" i="3"/>
  <c r="P122" i="3"/>
  <c r="P119" i="3"/>
  <c r="M117" i="3"/>
  <c r="P114" i="3"/>
  <c r="N111" i="3"/>
  <c r="O109" i="3"/>
  <c r="N107" i="3"/>
  <c r="O105" i="3"/>
  <c r="N103" i="3"/>
  <c r="O182" i="3"/>
  <c r="P165" i="3"/>
  <c r="P161" i="3"/>
  <c r="P157" i="3"/>
  <c r="P153" i="3"/>
  <c r="O134" i="3"/>
  <c r="M132" i="3"/>
  <c r="G128" i="3"/>
  <c r="J125" i="3"/>
  <c r="G123" i="3"/>
  <c r="G120" i="3"/>
  <c r="J117" i="3"/>
  <c r="G115" i="3"/>
  <c r="M111" i="3"/>
  <c r="M109" i="3"/>
  <c r="M107" i="3"/>
  <c r="M105" i="3"/>
  <c r="M103" i="3"/>
  <c r="G182" i="3"/>
  <c r="G174" i="3"/>
  <c r="L165" i="3"/>
  <c r="L161" i="3"/>
  <c r="L157" i="3"/>
  <c r="L153" i="3"/>
  <c r="N147" i="3"/>
  <c r="N143" i="3"/>
  <c r="N139" i="3"/>
  <c r="Q135" i="3"/>
  <c r="L132" i="3"/>
  <c r="N128" i="3"/>
  <c r="I125" i="3"/>
  <c r="Q121" i="3"/>
  <c r="L118" i="3"/>
  <c r="L115" i="3"/>
  <c r="Q111" i="3"/>
  <c r="Q109" i="3"/>
  <c r="I108" i="3"/>
  <c r="H106" i="3"/>
  <c r="N104" i="3"/>
  <c r="N102" i="3"/>
  <c r="G101" i="3"/>
  <c r="K99" i="3"/>
  <c r="L97" i="3"/>
  <c r="G96" i="3"/>
  <c r="P93" i="3"/>
  <c r="M92" i="3"/>
  <c r="O90" i="3"/>
  <c r="L89" i="3"/>
  <c r="I88" i="3"/>
  <c r="K86" i="3"/>
  <c r="O170" i="3"/>
  <c r="L141" i="3"/>
  <c r="I132" i="3"/>
  <c r="N117" i="3"/>
  <c r="H108" i="3"/>
  <c r="M101" i="3"/>
  <c r="J98" i="3"/>
  <c r="J96" i="3"/>
  <c r="J93" i="3"/>
  <c r="K91" i="3"/>
  <c r="J89" i="3"/>
  <c r="K87" i="3"/>
  <c r="K85" i="3"/>
  <c r="H84" i="3"/>
  <c r="N82" i="3"/>
  <c r="G81" i="3"/>
  <c r="Q79" i="3"/>
  <c r="J78" i="3"/>
  <c r="N74" i="3"/>
  <c r="G73" i="3"/>
  <c r="Q71" i="3"/>
  <c r="J70" i="3"/>
  <c r="P68" i="3"/>
  <c r="M67" i="3"/>
  <c r="O65" i="3"/>
  <c r="L64" i="3"/>
  <c r="I63" i="3"/>
  <c r="K61" i="3"/>
  <c r="H60" i="3"/>
  <c r="Q57" i="3"/>
  <c r="J56" i="3"/>
  <c r="P54" i="3"/>
  <c r="M53" i="3"/>
  <c r="O51" i="3"/>
  <c r="L50" i="3"/>
  <c r="I49" i="3"/>
  <c r="H161" i="3"/>
  <c r="K128" i="3"/>
  <c r="Q118" i="3"/>
  <c r="L106" i="3"/>
  <c r="Q100" i="3"/>
  <c r="O98" i="3"/>
  <c r="N96" i="3"/>
  <c r="N93" i="3"/>
  <c r="O91" i="3"/>
  <c r="N89" i="3"/>
  <c r="O87" i="3"/>
  <c r="N85" i="3"/>
  <c r="G84" i="3"/>
  <c r="Q82" i="3"/>
  <c r="J81" i="3"/>
  <c r="P79" i="3"/>
  <c r="M78" i="3"/>
  <c r="H75" i="3"/>
  <c r="N73" i="3"/>
  <c r="G72" i="3"/>
  <c r="Q70" i="3"/>
  <c r="J69" i="3"/>
  <c r="P67" i="3"/>
  <c r="M66" i="3"/>
  <c r="O64" i="3"/>
  <c r="L63" i="3"/>
  <c r="I62" i="3"/>
  <c r="K60" i="3"/>
  <c r="H59" i="3"/>
  <c r="Q56" i="3"/>
  <c r="J55" i="3"/>
  <c r="P53" i="3"/>
  <c r="M52" i="3"/>
  <c r="O50" i="3"/>
  <c r="L49" i="3"/>
  <c r="G175" i="3"/>
  <c r="K142" i="3"/>
  <c r="N129" i="3"/>
  <c r="O111" i="3"/>
  <c r="O103" i="3"/>
  <c r="P100" i="3"/>
  <c r="L98" i="3"/>
  <c r="P94" i="3"/>
  <c r="O92" i="3"/>
  <c r="P90" i="3"/>
  <c r="O88" i="3"/>
  <c r="P86" i="3"/>
  <c r="N84" i="3"/>
  <c r="G83" i="3"/>
  <c r="Q81" i="3"/>
  <c r="J80" i="3"/>
  <c r="P78" i="3"/>
  <c r="K75" i="3"/>
  <c r="H74" i="3"/>
  <c r="N72" i="3"/>
  <c r="G71" i="3"/>
  <c r="Q69" i="3"/>
  <c r="J68" i="3"/>
  <c r="P66" i="3"/>
  <c r="M65" i="3"/>
  <c r="O63" i="3"/>
  <c r="L62" i="3"/>
  <c r="I61" i="3"/>
  <c r="K59" i="3"/>
  <c r="G57" i="3"/>
  <c r="Q55" i="3"/>
  <c r="J54" i="3"/>
  <c r="P52" i="3"/>
  <c r="M51" i="3"/>
  <c r="O49" i="3"/>
  <c r="L48" i="3"/>
  <c r="Q130" i="3"/>
  <c r="M108" i="3"/>
  <c r="Q96" i="3"/>
  <c r="I90" i="3"/>
  <c r="O82" i="3"/>
  <c r="O78" i="3"/>
  <c r="M54" i="3"/>
  <c r="M50" i="3"/>
  <c r="J47" i="3"/>
  <c r="P45" i="3"/>
  <c r="M44" i="3"/>
  <c r="O42" i="3"/>
  <c r="L41" i="3"/>
  <c r="H39" i="3"/>
  <c r="N37" i="3"/>
  <c r="G36" i="3"/>
  <c r="Q34" i="3"/>
  <c r="J33" i="3"/>
  <c r="P31" i="3"/>
  <c r="M30" i="3"/>
  <c r="O28" i="3"/>
  <c r="L27" i="3"/>
  <c r="I26" i="3"/>
  <c r="K24" i="3"/>
  <c r="H23" i="3"/>
  <c r="Q20" i="3"/>
  <c r="J19" i="3"/>
  <c r="P17" i="3"/>
  <c r="M16" i="3"/>
  <c r="O14" i="3"/>
  <c r="L13" i="3"/>
  <c r="I12" i="3"/>
  <c r="K10" i="3"/>
  <c r="H9" i="3"/>
  <c r="N7" i="3"/>
  <c r="G6" i="3"/>
  <c r="I164" i="3"/>
  <c r="K119" i="3"/>
  <c r="N94" i="3"/>
  <c r="Q87" i="3"/>
  <c r="J83" i="3"/>
  <c r="J79" i="3"/>
  <c r="P73" i="3"/>
  <c r="P69" i="3"/>
  <c r="P65" i="3"/>
  <c r="P61" i="3"/>
  <c r="H55" i="3"/>
  <c r="I50" i="3"/>
  <c r="I47" i="3"/>
  <c r="K45" i="3"/>
  <c r="H44" i="3"/>
  <c r="N42" i="3"/>
  <c r="G41" i="3"/>
  <c r="P38" i="3"/>
  <c r="M37" i="3"/>
  <c r="O35" i="3"/>
  <c r="L34" i="3"/>
  <c r="I33" i="3"/>
  <c r="K31" i="3"/>
  <c r="H30" i="3"/>
  <c r="N28" i="3"/>
  <c r="G27" i="3"/>
  <c r="Q25" i="3"/>
  <c r="J24" i="3"/>
  <c r="O21" i="3"/>
  <c r="L20" i="3"/>
  <c r="I19" i="3"/>
  <c r="K17" i="3"/>
  <c r="H16" i="3"/>
  <c r="N14" i="3"/>
  <c r="G13" i="3"/>
  <c r="Q11" i="3"/>
  <c r="J10" i="3"/>
  <c r="P8" i="3"/>
  <c r="M7" i="3"/>
  <c r="O5" i="3"/>
  <c r="I152" i="3"/>
  <c r="N90" i="3"/>
  <c r="G74" i="3"/>
  <c r="H69" i="3"/>
  <c r="I64" i="3"/>
  <c r="N57" i="3"/>
  <c r="N53" i="3"/>
  <c r="N49" i="3"/>
  <c r="K47" i="3"/>
  <c r="H46" i="3"/>
  <c r="N44" i="3"/>
  <c r="G43" i="3"/>
  <c r="Q41" i="3"/>
  <c r="M39" i="3"/>
  <c r="O37" i="3"/>
  <c r="L36" i="3"/>
  <c r="I35" i="3"/>
  <c r="K33" i="3"/>
  <c r="H32" i="3"/>
  <c r="N30" i="3"/>
  <c r="G29" i="3"/>
  <c r="Q27" i="3"/>
  <c r="J26" i="3"/>
  <c r="P24" i="3"/>
  <c r="M23" i="3"/>
  <c r="I21" i="3"/>
  <c r="K19" i="3"/>
  <c r="H18" i="3"/>
  <c r="N16" i="3"/>
  <c r="G15" i="3"/>
  <c r="Q13" i="3"/>
  <c r="J12" i="3"/>
  <c r="P10" i="3"/>
  <c r="M9" i="3"/>
  <c r="O7" i="3"/>
  <c r="L6" i="3"/>
  <c r="I5" i="3"/>
  <c r="M72" i="3"/>
  <c r="M64" i="3"/>
  <c r="M46" i="3"/>
  <c r="M42" i="3"/>
  <c r="L19" i="3"/>
  <c r="L15" i="3"/>
  <c r="L11" i="3"/>
  <c r="L7" i="3"/>
  <c r="Q132" i="3"/>
  <c r="I86" i="3"/>
  <c r="G78" i="3"/>
  <c r="G44" i="3"/>
  <c r="O38" i="3"/>
  <c r="O34" i="3"/>
  <c r="O30" i="3"/>
  <c r="O26" i="3"/>
  <c r="G20" i="3"/>
  <c r="H15" i="3"/>
  <c r="I10" i="3"/>
  <c r="J107" i="3"/>
  <c r="H85" i="3"/>
  <c r="N45" i="3"/>
  <c r="N41" i="3"/>
  <c r="G34" i="3"/>
  <c r="H29" i="3"/>
  <c r="I24" i="3"/>
  <c r="Q18" i="3"/>
  <c r="Q14" i="3"/>
  <c r="Q10" i="3"/>
  <c r="Q6" i="3"/>
  <c r="K38" i="3"/>
  <c r="K30" i="3"/>
  <c r="J71" i="3"/>
  <c r="J67" i="3"/>
  <c r="J39" i="3"/>
  <c r="J31" i="3"/>
  <c r="J23" i="3"/>
  <c r="F146" i="3"/>
  <c r="F118" i="3"/>
  <c r="F57" i="3"/>
  <c r="F138" i="3"/>
  <c r="F45" i="3"/>
  <c r="F156" i="3"/>
  <c r="F162" i="3"/>
  <c r="F148" i="3"/>
  <c r="F46" i="3"/>
  <c r="F12" i="3"/>
  <c r="F126" i="3"/>
  <c r="F64" i="3"/>
  <c r="F115" i="3"/>
  <c r="F17" i="3"/>
  <c r="F80" i="3"/>
  <c r="F121" i="3"/>
  <c r="F38" i="3"/>
  <c r="F173" i="3"/>
  <c r="F37" i="3"/>
  <c r="F182" i="3"/>
  <c r="F104" i="3"/>
  <c r="F36" i="3"/>
  <c r="F169" i="3"/>
  <c r="F124" i="3"/>
  <c r="F83" i="3"/>
  <c r="F176" i="3"/>
  <c r="F98" i="3"/>
  <c r="F94" i="3"/>
  <c r="F164" i="3"/>
  <c r="F27" i="3"/>
  <c r="F137" i="3"/>
  <c r="F59" i="3"/>
  <c r="F20" i="3"/>
  <c r="F114" i="3"/>
  <c r="F72" i="3"/>
  <c r="F132" i="3"/>
  <c r="F5" i="3"/>
  <c r="F165" i="3"/>
  <c r="F87" i="3"/>
  <c r="F105" i="3"/>
  <c r="F181" i="3"/>
  <c r="F51" i="3"/>
  <c r="N21" i="3"/>
  <c r="J185" i="3"/>
  <c r="P183" i="3"/>
  <c r="M182" i="3"/>
  <c r="O180" i="3"/>
  <c r="L179" i="3"/>
  <c r="I178" i="3"/>
  <c r="K176" i="3"/>
  <c r="H175" i="3"/>
  <c r="N173" i="3"/>
  <c r="G172" i="3"/>
  <c r="Q170" i="3"/>
  <c r="J169" i="3"/>
  <c r="O185" i="3"/>
  <c r="L184" i="3"/>
  <c r="I183" i="3"/>
  <c r="K181" i="3"/>
  <c r="H180" i="3"/>
  <c r="N178" i="3"/>
  <c r="G177" i="3"/>
  <c r="Q175" i="3"/>
  <c r="J174" i="3"/>
  <c r="P172" i="3"/>
  <c r="M171" i="3"/>
  <c r="O169" i="3"/>
  <c r="K167" i="3"/>
  <c r="P185" i="3"/>
  <c r="P182" i="3"/>
  <c r="M180" i="3"/>
  <c r="P177" i="3"/>
  <c r="P174" i="3"/>
  <c r="M172" i="3"/>
  <c r="P169" i="3"/>
  <c r="M166" i="3"/>
  <c r="I165" i="3"/>
  <c r="K163" i="3"/>
  <c r="H162" i="3"/>
  <c r="N160" i="3"/>
  <c r="G159" i="3"/>
  <c r="Q157" i="3"/>
  <c r="J156" i="3"/>
  <c r="P154" i="3"/>
  <c r="M153" i="3"/>
  <c r="O151" i="3"/>
  <c r="J148" i="3"/>
  <c r="P146" i="3"/>
  <c r="M145" i="3"/>
  <c r="O143" i="3"/>
  <c r="L142" i="3"/>
  <c r="I141" i="3"/>
  <c r="K139" i="3"/>
  <c r="H138" i="3"/>
  <c r="N136" i="3"/>
  <c r="G135" i="3"/>
  <c r="Q133" i="3"/>
  <c r="J132" i="3"/>
  <c r="K129" i="3"/>
  <c r="H128" i="3"/>
  <c r="N126" i="3"/>
  <c r="G125" i="3"/>
  <c r="Q123" i="3"/>
  <c r="J122" i="3"/>
  <c r="P120" i="3"/>
  <c r="M119" i="3"/>
  <c r="O117" i="3"/>
  <c r="L116" i="3"/>
  <c r="I115" i="3"/>
  <c r="Q184" i="3"/>
  <c r="L181" i="3"/>
  <c r="L178" i="3"/>
  <c r="N175" i="3"/>
  <c r="I172" i="3"/>
  <c r="L167" i="3"/>
  <c r="K165" i="3"/>
  <c r="H164" i="3"/>
  <c r="N162" i="3"/>
  <c r="G161" i="3"/>
  <c r="Q159" i="3"/>
  <c r="J158" i="3"/>
  <c r="P156" i="3"/>
  <c r="M155" i="3"/>
  <c r="O153" i="3"/>
  <c r="L152" i="3"/>
  <c r="I151" i="3"/>
  <c r="Q147" i="3"/>
  <c r="J146" i="3"/>
  <c r="P144" i="3"/>
  <c r="M143" i="3"/>
  <c r="O141" i="3"/>
  <c r="L140" i="3"/>
  <c r="I139" i="3"/>
  <c r="K137" i="3"/>
  <c r="H136" i="3"/>
  <c r="K183" i="3"/>
  <c r="N180" i="3"/>
  <c r="I177" i="3"/>
  <c r="Q173" i="3"/>
  <c r="K170" i="3"/>
  <c r="I167" i="3"/>
  <c r="J165" i="3"/>
  <c r="P163" i="3"/>
  <c r="M162" i="3"/>
  <c r="O160" i="3"/>
  <c r="L159" i="3"/>
  <c r="I158" i="3"/>
  <c r="K156" i="3"/>
  <c r="H155" i="3"/>
  <c r="N153" i="3"/>
  <c r="G152" i="3"/>
  <c r="O148" i="3"/>
  <c r="L147" i="3"/>
  <c r="I146" i="3"/>
  <c r="K144" i="3"/>
  <c r="H143" i="3"/>
  <c r="N141" i="3"/>
  <c r="G140" i="3"/>
  <c r="Q138" i="3"/>
  <c r="J137" i="3"/>
  <c r="P135" i="3"/>
  <c r="M134" i="3"/>
  <c r="O132" i="3"/>
  <c r="K130" i="3"/>
  <c r="H129" i="3"/>
  <c r="N127" i="3"/>
  <c r="G126" i="3"/>
  <c r="Q124" i="3"/>
  <c r="J123" i="3"/>
  <c r="P121" i="3"/>
  <c r="M120" i="3"/>
  <c r="O118" i="3"/>
  <c r="L117" i="3"/>
  <c r="I116" i="3"/>
  <c r="K114" i="3"/>
  <c r="G112" i="3"/>
  <c r="Q110" i="3"/>
  <c r="J109" i="3"/>
  <c r="P107" i="3"/>
  <c r="M106" i="3"/>
  <c r="O104" i="3"/>
  <c r="L103" i="3"/>
  <c r="I102" i="3"/>
  <c r="K100" i="3"/>
  <c r="H99" i="3"/>
  <c r="N97" i="3"/>
  <c r="O179" i="3"/>
  <c r="O171" i="3"/>
  <c r="G146" i="3"/>
  <c r="H141" i="3"/>
  <c r="I136" i="3"/>
  <c r="H133" i="3"/>
  <c r="H130" i="3"/>
  <c r="H127" i="3"/>
  <c r="J124" i="3"/>
  <c r="H122" i="3"/>
  <c r="H119" i="3"/>
  <c r="J116" i="3"/>
  <c r="H114" i="3"/>
  <c r="I111" i="3"/>
  <c r="I109" i="3"/>
  <c r="I107" i="3"/>
  <c r="I105" i="3"/>
  <c r="I103" i="3"/>
  <c r="G179" i="3"/>
  <c r="Q164" i="3"/>
  <c r="Q160" i="3"/>
  <c r="Q156" i="3"/>
  <c r="Q152" i="3"/>
  <c r="G134" i="3"/>
  <c r="M130" i="3"/>
  <c r="O127" i="3"/>
  <c r="O124" i="3"/>
  <c r="M122" i="3"/>
  <c r="O119" i="3"/>
  <c r="O116" i="3"/>
  <c r="M114" i="3"/>
  <c r="G111" i="3"/>
  <c r="H109" i="3"/>
  <c r="G107" i="3"/>
  <c r="H105" i="3"/>
  <c r="G103" i="3"/>
  <c r="J180" i="3"/>
  <c r="J172" i="3"/>
  <c r="M164" i="3"/>
  <c r="M160" i="3"/>
  <c r="M156" i="3"/>
  <c r="M152" i="3"/>
  <c r="O146" i="3"/>
  <c r="O142" i="3"/>
  <c r="O138" i="3"/>
  <c r="I135" i="3"/>
  <c r="L130" i="3"/>
  <c r="L127" i="3"/>
  <c r="N124" i="3"/>
  <c r="I121" i="3"/>
  <c r="Q117" i="3"/>
  <c r="L114" i="3"/>
  <c r="K111" i="3"/>
  <c r="L109" i="3"/>
  <c r="Q107" i="3"/>
  <c r="Q105" i="3"/>
  <c r="I104" i="3"/>
  <c r="H102" i="3"/>
  <c r="N100" i="3"/>
  <c r="N98" i="3"/>
  <c r="G97" i="3"/>
  <c r="O94" i="3"/>
  <c r="L93" i="3"/>
  <c r="I92" i="3"/>
  <c r="K90" i="3"/>
  <c r="H89" i="3"/>
  <c r="N87" i="3"/>
  <c r="G86" i="3"/>
  <c r="J147" i="3"/>
  <c r="J139" i="3"/>
  <c r="I130" i="3"/>
  <c r="I114" i="3"/>
  <c r="P105" i="3"/>
  <c r="L100" i="3"/>
  <c r="P97" i="3"/>
  <c r="M94" i="3"/>
  <c r="L92" i="3"/>
  <c r="M90" i="3"/>
  <c r="L88" i="3"/>
  <c r="M86" i="3"/>
  <c r="G85" i="3"/>
  <c r="Q83" i="3"/>
  <c r="J82" i="3"/>
  <c r="P80" i="3"/>
  <c r="M79" i="3"/>
  <c r="Q75" i="3"/>
  <c r="J74" i="3"/>
  <c r="P72" i="3"/>
  <c r="M71" i="3"/>
  <c r="O69" i="3"/>
  <c r="L68" i="3"/>
  <c r="I67" i="3"/>
  <c r="K65" i="3"/>
  <c r="H64" i="3"/>
  <c r="N62" i="3"/>
  <c r="G61" i="3"/>
  <c r="Q59" i="3"/>
  <c r="M57" i="3"/>
  <c r="O55" i="3"/>
  <c r="L54" i="3"/>
  <c r="I53" i="3"/>
  <c r="K51" i="3"/>
  <c r="H50" i="3"/>
  <c r="N48" i="3"/>
  <c r="H157" i="3"/>
  <c r="Q126" i="3"/>
  <c r="K115" i="3"/>
  <c r="K105" i="3"/>
  <c r="J100" i="3"/>
  <c r="G98" i="3"/>
  <c r="I96" i="3"/>
  <c r="I93" i="3"/>
  <c r="I91" i="3"/>
  <c r="I89" i="3"/>
  <c r="I87" i="3"/>
  <c r="J85" i="3"/>
  <c r="P83" i="3"/>
  <c r="M82" i="3"/>
  <c r="O80" i="3"/>
  <c r="L79" i="3"/>
  <c r="I78" i="3"/>
  <c r="Q74" i="3"/>
  <c r="J73" i="3"/>
  <c r="P71" i="3"/>
  <c r="M70" i="3"/>
  <c r="O68" i="3"/>
  <c r="L67" i="3"/>
  <c r="I66" i="3"/>
  <c r="K64" i="3"/>
  <c r="H63" i="3"/>
  <c r="N61" i="3"/>
  <c r="G60" i="3"/>
  <c r="P57" i="3"/>
  <c r="M56" i="3"/>
  <c r="O54" i="3"/>
  <c r="L53" i="3"/>
  <c r="I52" i="3"/>
  <c r="K50" i="3"/>
  <c r="H49" i="3"/>
  <c r="M148" i="3"/>
  <c r="M140" i="3"/>
  <c r="I126" i="3"/>
  <c r="G110" i="3"/>
  <c r="L102" i="3"/>
  <c r="H100" i="3"/>
  <c r="M97" i="3"/>
  <c r="J94" i="3"/>
  <c r="J92" i="3"/>
  <c r="J90" i="3"/>
  <c r="J88" i="3"/>
  <c r="J86" i="3"/>
  <c r="J84" i="3"/>
  <c r="P82" i="3"/>
  <c r="M81" i="3"/>
  <c r="O79" i="3"/>
  <c r="L78" i="3"/>
  <c r="G75" i="3"/>
  <c r="Q73" i="3"/>
  <c r="J72" i="3"/>
  <c r="P70" i="3"/>
  <c r="M69" i="3"/>
  <c r="O67" i="3"/>
  <c r="L66" i="3"/>
  <c r="I65" i="3"/>
  <c r="K63" i="3"/>
  <c r="H62" i="3"/>
  <c r="N60" i="3"/>
  <c r="G59" i="3"/>
  <c r="P56" i="3"/>
  <c r="M55" i="3"/>
  <c r="O53" i="3"/>
  <c r="L52" i="3"/>
  <c r="I51" i="3"/>
  <c r="K49" i="3"/>
  <c r="H48" i="3"/>
  <c r="Q122" i="3"/>
  <c r="J103" i="3"/>
  <c r="Q93" i="3"/>
  <c r="Q85" i="3"/>
  <c r="P81" i="3"/>
  <c r="J57" i="3"/>
  <c r="J53" i="3"/>
  <c r="J49" i="3"/>
  <c r="O46" i="3"/>
  <c r="L45" i="3"/>
  <c r="I44" i="3"/>
  <c r="K42" i="3"/>
  <c r="H41" i="3"/>
  <c r="Q38" i="3"/>
  <c r="J37" i="3"/>
  <c r="P35" i="3"/>
  <c r="M34" i="3"/>
  <c r="O32" i="3"/>
  <c r="L31" i="3"/>
  <c r="I30" i="3"/>
  <c r="K28" i="3"/>
  <c r="H27" i="3"/>
  <c r="N25" i="3"/>
  <c r="G24" i="3"/>
  <c r="P21" i="3"/>
  <c r="M20" i="3"/>
  <c r="O18" i="3"/>
  <c r="L17" i="3"/>
  <c r="I16" i="3"/>
  <c r="K14" i="3"/>
  <c r="H13" i="3"/>
  <c r="N11" i="3"/>
  <c r="G10" i="3"/>
  <c r="Q8" i="3"/>
  <c r="J7" i="3"/>
  <c r="P5" i="3"/>
  <c r="I156" i="3"/>
  <c r="K116" i="3"/>
  <c r="K93" i="3"/>
  <c r="N86" i="3"/>
  <c r="K82" i="3"/>
  <c r="K78" i="3"/>
  <c r="Q72" i="3"/>
  <c r="Q68" i="3"/>
  <c r="Q64" i="3"/>
  <c r="Q60" i="3"/>
  <c r="I54" i="3"/>
  <c r="K48" i="3"/>
  <c r="N46" i="3"/>
  <c r="G45" i="3"/>
  <c r="Q43" i="3"/>
  <c r="J42" i="3"/>
  <c r="O39" i="3"/>
  <c r="L38" i="3"/>
  <c r="I37" i="3"/>
  <c r="K35" i="3"/>
  <c r="H34" i="3"/>
  <c r="N32" i="3"/>
  <c r="G31" i="3"/>
  <c r="Q29" i="3"/>
  <c r="J28" i="3"/>
  <c r="P26" i="3"/>
  <c r="M25" i="3"/>
  <c r="O23" i="3"/>
  <c r="K21" i="3"/>
  <c r="H20" i="3"/>
  <c r="N18" i="3"/>
  <c r="G17" i="3"/>
  <c r="Q15" i="3"/>
  <c r="J14" i="3"/>
  <c r="P12" i="3"/>
  <c r="M11" i="3"/>
  <c r="O9" i="3"/>
  <c r="L8" i="3"/>
  <c r="I7" i="3"/>
  <c r="K5" i="3"/>
  <c r="K134" i="3"/>
  <c r="K89" i="3"/>
  <c r="H73" i="3"/>
  <c r="I68" i="3"/>
  <c r="G62" i="3"/>
  <c r="O56" i="3"/>
  <c r="O52" i="3"/>
  <c r="O48" i="3"/>
  <c r="G47" i="3"/>
  <c r="Q45" i="3"/>
  <c r="J44" i="3"/>
  <c r="P42" i="3"/>
  <c r="M41" i="3"/>
  <c r="I39" i="3"/>
  <c r="K37" i="3"/>
  <c r="H36" i="3"/>
  <c r="N34" i="3"/>
  <c r="G33" i="3"/>
  <c r="Q31" i="3"/>
  <c r="J30" i="3"/>
  <c r="P28" i="3"/>
  <c r="M27" i="3"/>
  <c r="O25" i="3"/>
  <c r="L24" i="3"/>
  <c r="I23" i="3"/>
  <c r="N20" i="3"/>
  <c r="G19" i="3"/>
  <c r="Q17" i="3"/>
  <c r="J16" i="3"/>
  <c r="P14" i="3"/>
  <c r="M13" i="3"/>
  <c r="O11" i="3"/>
  <c r="L10" i="3"/>
  <c r="I9" i="3"/>
  <c r="K7" i="3"/>
  <c r="H6" i="3"/>
  <c r="G166" i="3"/>
  <c r="K70" i="3"/>
  <c r="K62" i="3"/>
  <c r="J45" i="3"/>
  <c r="J41" i="3"/>
  <c r="M18" i="3"/>
  <c r="M14" i="3"/>
  <c r="M10" i="3"/>
  <c r="M6" i="3"/>
  <c r="M112" i="3"/>
  <c r="I84" i="3"/>
  <c r="I48" i="3"/>
  <c r="H43" i="3"/>
  <c r="P37" i="3"/>
  <c r="P33" i="3"/>
  <c r="P29" i="3"/>
  <c r="P25" i="3"/>
  <c r="H19" i="3"/>
  <c r="I14" i="3"/>
  <c r="G8" i="3"/>
  <c r="M104" i="3"/>
  <c r="H81" i="3"/>
  <c r="O44" i="3"/>
  <c r="G38" i="3"/>
  <c r="H33" i="3"/>
  <c r="I28" i="3"/>
  <c r="N17" i="3"/>
  <c r="N13" i="3"/>
  <c r="N9" i="3"/>
  <c r="N5" i="3"/>
  <c r="O184" i="3"/>
  <c r="L183" i="3"/>
  <c r="I182" i="3"/>
  <c r="K180" i="3"/>
  <c r="H179" i="3"/>
  <c r="N177" i="3"/>
  <c r="G176" i="3"/>
  <c r="Q174" i="3"/>
  <c r="J173" i="3"/>
  <c r="P171" i="3"/>
  <c r="M170" i="3"/>
  <c r="N167" i="3"/>
  <c r="K185" i="3"/>
  <c r="H184" i="3"/>
  <c r="N182" i="3"/>
  <c r="G181" i="3"/>
  <c r="Q179" i="3"/>
  <c r="J178" i="3"/>
  <c r="P176" i="3"/>
  <c r="M175" i="3"/>
  <c r="O173" i="3"/>
  <c r="L172" i="3"/>
  <c r="I171" i="3"/>
  <c r="K169" i="3"/>
  <c r="G167" i="3"/>
  <c r="H185" i="3"/>
  <c r="H182" i="3"/>
  <c r="J179" i="3"/>
  <c r="H177" i="3"/>
  <c r="H174" i="3"/>
  <c r="J171" i="3"/>
  <c r="H169" i="3"/>
  <c r="H166" i="3"/>
  <c r="N164" i="3"/>
  <c r="G163" i="3"/>
  <c r="Q161" i="3"/>
  <c r="J160" i="3"/>
  <c r="P158" i="3"/>
  <c r="M157" i="3"/>
  <c r="O155" i="3"/>
  <c r="L154" i="3"/>
  <c r="I153" i="3"/>
  <c r="K151" i="3"/>
  <c r="O147" i="3"/>
  <c r="L146" i="3"/>
  <c r="I145" i="3"/>
  <c r="K143" i="3"/>
  <c r="H142" i="3"/>
  <c r="N140" i="3"/>
  <c r="G139" i="3"/>
  <c r="Q137" i="3"/>
  <c r="J136" i="3"/>
  <c r="P134" i="3"/>
  <c r="M133" i="3"/>
  <c r="N130" i="3"/>
  <c r="G129" i="3"/>
  <c r="Q127" i="3"/>
  <c r="J126" i="3"/>
  <c r="P124" i="3"/>
  <c r="M123" i="3"/>
  <c r="O121" i="3"/>
  <c r="L120" i="3"/>
  <c r="I119" i="3"/>
  <c r="K117" i="3"/>
  <c r="H116" i="3"/>
  <c r="N114" i="3"/>
  <c r="I184" i="3"/>
  <c r="Q180" i="3"/>
  <c r="L177" i="3"/>
  <c r="L174" i="3"/>
  <c r="N171" i="3"/>
  <c r="Q166" i="3"/>
  <c r="G165" i="3"/>
  <c r="Q163" i="3"/>
  <c r="J162" i="3"/>
  <c r="P160" i="3"/>
  <c r="M159" i="3"/>
  <c r="O157" i="3"/>
  <c r="L156" i="3"/>
  <c r="I155" i="3"/>
  <c r="K153" i="3"/>
  <c r="H152" i="3"/>
  <c r="P148" i="3"/>
  <c r="M147" i="3"/>
  <c r="O145" i="3"/>
  <c r="L144" i="3"/>
  <c r="I143" i="3"/>
  <c r="K141" i="3"/>
  <c r="H140" i="3"/>
  <c r="N138" i="3"/>
  <c r="G137" i="3"/>
  <c r="Q185" i="3"/>
  <c r="K182" i="3"/>
  <c r="K179" i="3"/>
  <c r="N176" i="3"/>
  <c r="I173" i="3"/>
  <c r="Q169" i="3"/>
  <c r="N166" i="3"/>
  <c r="O164" i="3"/>
  <c r="L163" i="3"/>
  <c r="I162" i="3"/>
  <c r="K160" i="3"/>
  <c r="H159" i="3"/>
  <c r="N157" i="3"/>
  <c r="G156" i="3"/>
  <c r="Q154" i="3"/>
  <c r="J153" i="3"/>
  <c r="P151" i="3"/>
  <c r="K148" i="3"/>
  <c r="H147" i="3"/>
  <c r="N145" i="3"/>
  <c r="G144" i="3"/>
  <c r="Q142" i="3"/>
  <c r="J141" i="3"/>
  <c r="P139" i="3"/>
  <c r="M138" i="3"/>
  <c r="O136" i="3"/>
  <c r="L135" i="3"/>
  <c r="I134" i="3"/>
  <c r="K132" i="3"/>
  <c r="G130" i="3"/>
  <c r="Q128" i="3"/>
  <c r="J127" i="3"/>
  <c r="P125" i="3"/>
  <c r="M124" i="3"/>
  <c r="O122" i="3"/>
  <c r="L121" i="3"/>
  <c r="I120" i="3"/>
  <c r="K118" i="3"/>
  <c r="H117" i="3"/>
  <c r="N115" i="3"/>
  <c r="G114" i="3"/>
  <c r="P111" i="3"/>
  <c r="M110" i="3"/>
  <c r="O108" i="3"/>
  <c r="L107" i="3"/>
  <c r="I106" i="3"/>
  <c r="K104" i="3"/>
  <c r="H103" i="3"/>
  <c r="N101" i="3"/>
  <c r="G100" i="3"/>
  <c r="Q98" i="3"/>
  <c r="J97" i="3"/>
  <c r="G178" i="3"/>
  <c r="G170" i="3"/>
  <c r="H145" i="3"/>
  <c r="I140" i="3"/>
  <c r="M135" i="3"/>
  <c r="P132" i="3"/>
  <c r="M129" i="3"/>
  <c r="P126" i="3"/>
  <c r="P123" i="3"/>
  <c r="M121" i="3"/>
  <c r="P118" i="3"/>
  <c r="P115" i="3"/>
  <c r="Q112" i="3"/>
  <c r="P110" i="3"/>
  <c r="Q108" i="3"/>
  <c r="P106" i="3"/>
  <c r="Q104" i="3"/>
  <c r="P102" i="3"/>
  <c r="O174" i="3"/>
  <c r="N163" i="3"/>
  <c r="N159" i="3"/>
  <c r="N155" i="3"/>
  <c r="N151" i="3"/>
  <c r="O133" i="3"/>
  <c r="J129" i="3"/>
  <c r="G127" i="3"/>
  <c r="G124" i="3"/>
  <c r="J121" i="3"/>
  <c r="G119" i="3"/>
  <c r="G116" i="3"/>
  <c r="P112" i="3"/>
  <c r="O110" i="3"/>
  <c r="P108" i="3"/>
  <c r="O106" i="3"/>
  <c r="P104" i="3"/>
  <c r="M185" i="3"/>
  <c r="M177" i="3"/>
  <c r="M169" i="3"/>
  <c r="J163" i="3"/>
  <c r="J159" i="3"/>
  <c r="J155" i="3"/>
  <c r="J151" i="3"/>
  <c r="P145" i="3"/>
  <c r="P141" i="3"/>
  <c r="P137" i="3"/>
  <c r="N134" i="3"/>
  <c r="Q129" i="3"/>
  <c r="L126" i="3"/>
  <c r="L123" i="3"/>
  <c r="N120" i="3"/>
  <c r="I117" i="3"/>
  <c r="N112" i="3"/>
  <c r="N110" i="3"/>
  <c r="G109" i="3"/>
  <c r="K107" i="3"/>
  <c r="L105" i="3"/>
  <c r="Q103" i="3"/>
  <c r="Q101" i="3"/>
  <c r="I100" i="3"/>
  <c r="H98" i="3"/>
  <c r="O96" i="3"/>
  <c r="K94" i="3"/>
  <c r="H93" i="3"/>
  <c r="N91" i="3"/>
  <c r="G90" i="3"/>
  <c r="Q88" i="3"/>
  <c r="J87" i="3"/>
  <c r="P85" i="3"/>
  <c r="L145" i="3"/>
  <c r="L137" i="3"/>
  <c r="N125" i="3"/>
  <c r="H112" i="3"/>
  <c r="H104" i="3"/>
  <c r="J99" i="3"/>
  <c r="I97" i="3"/>
  <c r="H94" i="3"/>
  <c r="G92" i="3"/>
  <c r="H90" i="3"/>
  <c r="G88" i="3"/>
  <c r="H86" i="3"/>
  <c r="P84" i="3"/>
  <c r="M83" i="3"/>
  <c r="O81" i="3"/>
  <c r="L80" i="3"/>
  <c r="I79" i="3"/>
  <c r="M75" i="3"/>
  <c r="O73" i="3"/>
  <c r="L72" i="3"/>
  <c r="I71" i="3"/>
  <c r="K69" i="3"/>
  <c r="H68" i="3"/>
  <c r="N66" i="3"/>
  <c r="G65" i="3"/>
  <c r="Q63" i="3"/>
  <c r="J62" i="3"/>
  <c r="P60" i="3"/>
  <c r="M59" i="3"/>
  <c r="I57" i="3"/>
  <c r="K55" i="3"/>
  <c r="H54" i="3"/>
  <c r="N52" i="3"/>
  <c r="G51" i="3"/>
  <c r="Q49" i="3"/>
  <c r="J48" i="3"/>
  <c r="H153" i="3"/>
  <c r="K123" i="3"/>
  <c r="L110" i="3"/>
  <c r="O102" i="3"/>
  <c r="O99" i="3"/>
  <c r="O97" i="3"/>
  <c r="Q94" i="3"/>
  <c r="P92" i="3"/>
  <c r="Q90" i="3"/>
  <c r="P88" i="3"/>
  <c r="Q86" i="3"/>
  <c r="O84" i="3"/>
  <c r="L83" i="3"/>
  <c r="I82" i="3"/>
  <c r="K80" i="3"/>
  <c r="H79" i="3"/>
  <c r="P75" i="3"/>
  <c r="M74" i="3"/>
  <c r="O72" i="3"/>
  <c r="L71" i="3"/>
  <c r="I70" i="3"/>
  <c r="K68" i="3"/>
  <c r="H67" i="3"/>
  <c r="N65" i="3"/>
  <c r="G64" i="3"/>
  <c r="Q62" i="3"/>
  <c r="J61" i="3"/>
  <c r="P59" i="3"/>
  <c r="L57" i="3"/>
  <c r="I56" i="3"/>
  <c r="K54" i="3"/>
  <c r="H53" i="3"/>
  <c r="N51" i="3"/>
  <c r="G50" i="3"/>
  <c r="Q48" i="3"/>
  <c r="K146" i="3"/>
  <c r="K138" i="3"/>
  <c r="N121" i="3"/>
  <c r="O107" i="3"/>
  <c r="P101" i="3"/>
  <c r="N99" i="3"/>
  <c r="M96" i="3"/>
  <c r="M93" i="3"/>
  <c r="M91" i="3"/>
  <c r="M89" i="3"/>
  <c r="M87" i="3"/>
  <c r="M85" i="3"/>
  <c r="O83" i="3"/>
  <c r="L82" i="3"/>
  <c r="I81" i="3"/>
  <c r="K79" i="3"/>
  <c r="H78" i="3"/>
  <c r="P74" i="3"/>
  <c r="M73" i="3"/>
  <c r="O71" i="3"/>
  <c r="L70" i="3"/>
  <c r="I69" i="3"/>
  <c r="K67" i="3"/>
  <c r="H66" i="3"/>
  <c r="N64" i="3"/>
  <c r="G63" i="3"/>
  <c r="Q61" i="3"/>
  <c r="J60" i="3"/>
  <c r="O57" i="3"/>
  <c r="L56" i="3"/>
  <c r="I55" i="3"/>
  <c r="K53" i="3"/>
  <c r="H52" i="3"/>
  <c r="N50" i="3"/>
  <c r="G49" i="3"/>
  <c r="G162" i="3"/>
  <c r="Q114" i="3"/>
  <c r="O101" i="3"/>
  <c r="N92" i="3"/>
  <c r="Q84" i="3"/>
  <c r="Q80" i="3"/>
  <c r="K56" i="3"/>
  <c r="K52" i="3"/>
  <c r="M48" i="3"/>
  <c r="K46" i="3"/>
  <c r="H45" i="3"/>
  <c r="N43" i="3"/>
  <c r="G42" i="3"/>
  <c r="P39" i="3"/>
  <c r="M38" i="3"/>
  <c r="O36" i="3"/>
  <c r="L35" i="3"/>
  <c r="I34" i="3"/>
  <c r="K32" i="3"/>
  <c r="H31" i="3"/>
  <c r="N29" i="3"/>
  <c r="G28" i="3"/>
  <c r="Q26" i="3"/>
  <c r="J25" i="3"/>
  <c r="P23" i="3"/>
  <c r="L21" i="3"/>
  <c r="I20" i="3"/>
  <c r="K18" i="3"/>
  <c r="H17" i="3"/>
  <c r="N15" i="3"/>
  <c r="G14" i="3"/>
  <c r="Q12" i="3"/>
  <c r="J11" i="3"/>
  <c r="P9" i="3"/>
  <c r="M8" i="3"/>
  <c r="O6" i="3"/>
  <c r="L5" i="3"/>
  <c r="K127" i="3"/>
  <c r="H101" i="3"/>
  <c r="H92" i="3"/>
  <c r="L85" i="3"/>
  <c r="L81" i="3"/>
  <c r="N75" i="3"/>
  <c r="N71" i="3"/>
  <c r="N67" i="3"/>
  <c r="N63" i="3"/>
  <c r="N59" i="3"/>
  <c r="G52" i="3"/>
  <c r="Q47" i="3"/>
  <c r="J46" i="3"/>
  <c r="P44" i="3"/>
  <c r="M43" i="3"/>
  <c r="O41" i="3"/>
  <c r="K39" i="3"/>
  <c r="H38" i="3"/>
  <c r="N36" i="3"/>
  <c r="G35" i="3"/>
  <c r="Q33" i="3"/>
  <c r="J32" i="3"/>
  <c r="P30" i="3"/>
  <c r="M29" i="3"/>
  <c r="O27" i="3"/>
  <c r="L26" i="3"/>
  <c r="I25" i="3"/>
  <c r="K23" i="3"/>
  <c r="G21" i="3"/>
  <c r="Q19" i="3"/>
  <c r="J18" i="3"/>
  <c r="P16" i="3"/>
  <c r="M15" i="3"/>
  <c r="O13" i="3"/>
  <c r="L12" i="3"/>
  <c r="I11" i="3"/>
  <c r="K9" i="3"/>
  <c r="H8" i="3"/>
  <c r="N6" i="3"/>
  <c r="G5" i="3"/>
  <c r="M100" i="3"/>
  <c r="H88" i="3"/>
  <c r="I72" i="3"/>
  <c r="G66" i="3"/>
  <c r="H61" i="3"/>
  <c r="P55" i="3"/>
  <c r="P51" i="3"/>
  <c r="G48" i="3"/>
  <c r="P46" i="3"/>
  <c r="M45" i="3"/>
  <c r="O43" i="3"/>
  <c r="L42" i="3"/>
  <c r="I41" i="3"/>
  <c r="N38" i="3"/>
  <c r="G37" i="3"/>
  <c r="Q35" i="3"/>
  <c r="J34" i="3"/>
  <c r="P32" i="3"/>
  <c r="M31" i="3"/>
  <c r="O29" i="3"/>
  <c r="L28" i="3"/>
  <c r="I27" i="3"/>
  <c r="K25" i="3"/>
  <c r="H24" i="3"/>
  <c r="Q21" i="3"/>
  <c r="J20" i="3"/>
  <c r="P18" i="3"/>
  <c r="M17" i="3"/>
  <c r="O15" i="3"/>
  <c r="L14" i="3"/>
  <c r="I13" i="3"/>
  <c r="K11" i="3"/>
  <c r="H10" i="3"/>
  <c r="N8" i="3"/>
  <c r="G7" i="3"/>
  <c r="Q5" i="3"/>
  <c r="I94" i="3"/>
  <c r="M68" i="3"/>
  <c r="M60" i="3"/>
  <c r="K44" i="3"/>
  <c r="J21" i="3"/>
  <c r="J17" i="3"/>
  <c r="J13" i="3"/>
  <c r="J9" i="3"/>
  <c r="J5" i="3"/>
  <c r="K97" i="3"/>
  <c r="G82" i="3"/>
  <c r="H47" i="3"/>
  <c r="I42" i="3"/>
  <c r="Q36" i="3"/>
  <c r="Q32" i="3"/>
  <c r="Q28" i="3"/>
  <c r="Q24" i="3"/>
  <c r="I18" i="3"/>
  <c r="G12" i="3"/>
  <c r="H7" i="3"/>
  <c r="Q89" i="3"/>
  <c r="P47" i="3"/>
  <c r="P43" i="3"/>
  <c r="H37" i="3"/>
  <c r="I32" i="3"/>
  <c r="G26" i="3"/>
  <c r="O20" i="3"/>
  <c r="O16" i="3"/>
  <c r="O12" i="3"/>
  <c r="O8" i="3"/>
  <c r="L73" i="3"/>
  <c r="K34" i="3"/>
  <c r="K26" i="3"/>
  <c r="M99" i="3"/>
  <c r="L69" i="3"/>
  <c r="J35" i="3"/>
  <c r="J27" i="3"/>
  <c r="F107" i="3"/>
  <c r="F14" i="3"/>
  <c r="F101" i="3"/>
  <c r="F74" i="3"/>
  <c r="F32" i="3"/>
  <c r="F143" i="3"/>
  <c r="F65" i="3"/>
  <c r="F8" i="3"/>
  <c r="F133" i="3"/>
  <c r="F60" i="3"/>
  <c r="F140" i="3"/>
  <c r="F44" i="3"/>
  <c r="F155" i="3"/>
  <c r="F75" i="3"/>
  <c r="F135" i="3"/>
  <c r="F56" i="3"/>
  <c r="F184" i="3"/>
  <c r="F106" i="3"/>
  <c r="K184" i="3"/>
  <c r="H183" i="3"/>
  <c r="N181" i="3"/>
  <c r="G180" i="3"/>
  <c r="Q178" i="3"/>
  <c r="J177" i="3"/>
  <c r="P175" i="3"/>
  <c r="M174" i="3"/>
  <c r="O172" i="3"/>
  <c r="L171" i="3"/>
  <c r="I170" i="3"/>
  <c r="J167" i="3"/>
  <c r="G185" i="3"/>
  <c r="Q183" i="3"/>
  <c r="J182" i="3"/>
  <c r="P180" i="3"/>
  <c r="M179" i="3"/>
  <c r="O177" i="3"/>
  <c r="L176" i="3"/>
  <c r="I175" i="3"/>
  <c r="K173" i="3"/>
  <c r="H172" i="3"/>
  <c r="N170" i="3"/>
  <c r="G169" i="3"/>
  <c r="P166" i="3"/>
  <c r="M184" i="3"/>
  <c r="P181" i="3"/>
  <c r="P178" i="3"/>
  <c r="M176" i="3"/>
  <c r="P173" i="3"/>
  <c r="P170" i="3"/>
  <c r="P167" i="3"/>
  <c r="Q165" i="3"/>
  <c r="J164" i="3"/>
  <c r="P162" i="3"/>
  <c r="M161" i="3"/>
  <c r="O159" i="3"/>
  <c r="L158" i="3"/>
  <c r="I157" i="3"/>
  <c r="K155" i="3"/>
  <c r="H154" i="3"/>
  <c r="N152" i="3"/>
  <c r="G151" i="3"/>
  <c r="K147" i="3"/>
  <c r="H146" i="3"/>
  <c r="N144" i="3"/>
  <c r="G143" i="3"/>
  <c r="Q141" i="3"/>
  <c r="J140" i="3"/>
  <c r="P138" i="3"/>
  <c r="M137" i="3"/>
  <c r="O135" i="3"/>
  <c r="L134" i="3"/>
  <c r="I133" i="3"/>
  <c r="J130" i="3"/>
  <c r="P128" i="3"/>
  <c r="M127" i="3"/>
  <c r="O125" i="3"/>
  <c r="L124" i="3"/>
  <c r="I123" i="3"/>
  <c r="K121" i="3"/>
  <c r="H120" i="3"/>
  <c r="N118" i="3"/>
  <c r="G117" i="3"/>
  <c r="Q115" i="3"/>
  <c r="J114" i="3"/>
  <c r="N183" i="3"/>
  <c r="I180" i="3"/>
  <c r="Q176" i="3"/>
  <c r="L173" i="3"/>
  <c r="L170" i="3"/>
  <c r="J166" i="3"/>
  <c r="P164" i="3"/>
  <c r="M163" i="3"/>
  <c r="O161" i="3"/>
  <c r="L160" i="3"/>
  <c r="I159" i="3"/>
  <c r="K157" i="3"/>
  <c r="H156" i="3"/>
  <c r="N154" i="3"/>
  <c r="G153" i="3"/>
  <c r="Q151" i="3"/>
  <c r="L148" i="3"/>
  <c r="I147" i="3"/>
  <c r="K145" i="3"/>
  <c r="H144" i="3"/>
  <c r="N142" i="3"/>
  <c r="G141" i="3"/>
  <c r="Q139" i="3"/>
  <c r="J138" i="3"/>
  <c r="P136" i="3"/>
  <c r="I185" i="3"/>
  <c r="Q181" i="3"/>
  <c r="K178" i="3"/>
  <c r="K175" i="3"/>
  <c r="N172" i="3"/>
  <c r="I169" i="3"/>
  <c r="I166" i="3"/>
  <c r="K164" i="3"/>
  <c r="H163" i="3"/>
  <c r="N161" i="3"/>
  <c r="G160" i="3"/>
  <c r="Q158" i="3"/>
  <c r="J157" i="3"/>
  <c r="P155" i="3"/>
  <c r="M154" i="3"/>
  <c r="O152" i="3"/>
  <c r="L151" i="3"/>
  <c r="G148" i="3"/>
  <c r="Q146" i="3"/>
  <c r="J145" i="3"/>
  <c r="P143" i="3"/>
  <c r="M142" i="3"/>
  <c r="O140" i="3"/>
  <c r="L139" i="3"/>
  <c r="I138" i="3"/>
  <c r="K136" i="3"/>
  <c r="H135" i="3"/>
  <c r="N133" i="3"/>
  <c r="G132" i="3"/>
  <c r="P129" i="3"/>
  <c r="M128" i="3"/>
  <c r="O126" i="3"/>
  <c r="L125" i="3"/>
  <c r="I124" i="3"/>
  <c r="K122" i="3"/>
  <c r="H121" i="3"/>
  <c r="N119" i="3"/>
  <c r="G118" i="3"/>
  <c r="Q116" i="3"/>
  <c r="J115" i="3"/>
  <c r="O112" i="3"/>
  <c r="L111" i="3"/>
  <c r="I110" i="3"/>
  <c r="K108" i="3"/>
  <c r="H107" i="3"/>
  <c r="N105" i="3"/>
  <c r="G104" i="3"/>
  <c r="Q102" i="3"/>
  <c r="J101" i="3"/>
  <c r="P99" i="3"/>
  <c r="M98" i="3"/>
  <c r="J184" i="3"/>
  <c r="J176" i="3"/>
  <c r="M167" i="3"/>
  <c r="I144" i="3"/>
  <c r="G138" i="3"/>
  <c r="J134" i="3"/>
  <c r="H132" i="3"/>
  <c r="J128" i="3"/>
  <c r="H126" i="3"/>
  <c r="H123" i="3"/>
  <c r="J120" i="3"/>
  <c r="H118" i="3"/>
  <c r="H115" i="3"/>
  <c r="L112" i="3"/>
  <c r="K110" i="3"/>
  <c r="L108" i="3"/>
  <c r="K106" i="3"/>
  <c r="L104" i="3"/>
  <c r="K102" i="3"/>
  <c r="G171" i="3"/>
  <c r="O162" i="3"/>
  <c r="O158" i="3"/>
  <c r="O154" i="3"/>
  <c r="J135" i="3"/>
  <c r="G133" i="3"/>
  <c r="O128" i="3"/>
  <c r="M126" i="3"/>
  <c r="O123" i="3"/>
  <c r="O120" i="3"/>
  <c r="M118" i="3"/>
  <c r="O115" i="3"/>
  <c r="J112" i="3"/>
  <c r="J110" i="3"/>
  <c r="J108" i="3"/>
  <c r="J106" i="3"/>
  <c r="J104" i="3"/>
  <c r="O183" i="3"/>
  <c r="O175" i="3"/>
  <c r="K166" i="3"/>
  <c r="K162" i="3"/>
  <c r="K158" i="3"/>
  <c r="K154" i="3"/>
  <c r="Q148" i="3"/>
  <c r="Q144" i="3"/>
  <c r="Q140" i="3"/>
  <c r="Q136" i="3"/>
  <c r="L133" i="3"/>
  <c r="I129" i="3"/>
  <c r="Q125" i="3"/>
  <c r="L122" i="3"/>
  <c r="L119" i="3"/>
  <c r="N116" i="3"/>
  <c r="I112" i="3"/>
  <c r="H110" i="3"/>
  <c r="N108" i="3"/>
  <c r="N106" i="3"/>
  <c r="G105" i="3"/>
  <c r="K103" i="3"/>
  <c r="L101" i="3"/>
  <c r="Q99" i="3"/>
  <c r="Q97" i="3"/>
  <c r="K96" i="3"/>
  <c r="G94" i="3"/>
  <c r="Q92" i="3"/>
  <c r="J91" i="3"/>
  <c r="P89" i="3"/>
  <c r="M88" i="3"/>
  <c r="O86" i="3"/>
  <c r="G183" i="3"/>
  <c r="J143" i="3"/>
  <c r="N135" i="3"/>
  <c r="I122" i="3"/>
  <c r="P109" i="3"/>
  <c r="G102" i="3"/>
  <c r="P98" i="3"/>
  <c r="P96" i="3"/>
  <c r="O93" i="3"/>
  <c r="P91" i="3"/>
  <c r="O89" i="3"/>
  <c r="P87" i="3"/>
  <c r="O85" i="3"/>
  <c r="L84" i="3"/>
  <c r="I83" i="3"/>
  <c r="K81" i="3"/>
  <c r="H80" i="3"/>
  <c r="N78" i="3"/>
  <c r="I75" i="3"/>
  <c r="K73" i="3"/>
  <c r="H72" i="3"/>
  <c r="N70" i="3"/>
  <c r="G69" i="3"/>
  <c r="Q67" i="3"/>
  <c r="J66" i="3"/>
  <c r="P64" i="3"/>
  <c r="M63" i="3"/>
  <c r="O61" i="3"/>
  <c r="L60" i="3"/>
  <c r="I59" i="3"/>
  <c r="N56" i="3"/>
  <c r="G55" i="3"/>
  <c r="Q53" i="3"/>
  <c r="J52" i="3"/>
  <c r="P50" i="3"/>
  <c r="M49" i="3"/>
  <c r="H165" i="3"/>
  <c r="K133" i="3"/>
  <c r="K120" i="3"/>
  <c r="K109" i="3"/>
  <c r="K101" i="3"/>
  <c r="I99" i="3"/>
  <c r="H97" i="3"/>
  <c r="L94" i="3"/>
  <c r="K92" i="3"/>
  <c r="L90" i="3"/>
  <c r="K88" i="3"/>
  <c r="L86" i="3"/>
  <c r="K84" i="3"/>
  <c r="H83" i="3"/>
  <c r="N81" i="3"/>
  <c r="G80" i="3"/>
  <c r="Q78" i="3"/>
  <c r="L75" i="3"/>
  <c r="I74" i="3"/>
  <c r="K72" i="3"/>
  <c r="H71" i="3"/>
  <c r="N69" i="3"/>
  <c r="G68" i="3"/>
  <c r="Q66" i="3"/>
  <c r="J65" i="3"/>
  <c r="P63" i="3"/>
  <c r="M62" i="3"/>
  <c r="O60" i="3"/>
  <c r="L59" i="3"/>
  <c r="H57" i="3"/>
  <c r="N55" i="3"/>
  <c r="G54" i="3"/>
  <c r="Q52" i="3"/>
  <c r="J51" i="3"/>
  <c r="P49" i="3"/>
  <c r="O178" i="3"/>
  <c r="M144" i="3"/>
  <c r="M136" i="3"/>
  <c r="I118" i="3"/>
  <c r="G106" i="3"/>
  <c r="I101" i="3"/>
  <c r="G99" i="3"/>
  <c r="H96" i="3"/>
  <c r="G93" i="3"/>
  <c r="H91" i="3"/>
  <c r="G89" i="3"/>
  <c r="H87" i="3"/>
  <c r="I85" i="3"/>
  <c r="K83" i="3"/>
  <c r="H82" i="3"/>
  <c r="N80" i="3"/>
  <c r="G79" i="3"/>
  <c r="O75" i="3"/>
  <c r="L74" i="3"/>
  <c r="I73" i="3"/>
  <c r="K71" i="3"/>
  <c r="H70" i="3"/>
  <c r="N68" i="3"/>
  <c r="G67" i="3"/>
  <c r="Q65" i="3"/>
  <c r="J64" i="3"/>
  <c r="P62" i="3"/>
  <c r="M61" i="3"/>
  <c r="O59" i="3"/>
  <c r="K57" i="3"/>
  <c r="H56" i="3"/>
  <c r="N54" i="3"/>
  <c r="G53" i="3"/>
  <c r="Q51" i="3"/>
  <c r="J50" i="3"/>
  <c r="P48" i="3"/>
  <c r="G154" i="3"/>
  <c r="J111" i="3"/>
  <c r="K98" i="3"/>
  <c r="L91" i="3"/>
  <c r="N83" i="3"/>
  <c r="N79" i="3"/>
  <c r="L55" i="3"/>
  <c r="L51" i="3"/>
  <c r="N47" i="3"/>
  <c r="G46" i="3"/>
  <c r="Q44" i="3"/>
  <c r="J43" i="3"/>
  <c r="P41" i="3"/>
  <c r="L39" i="3"/>
  <c r="I38" i="3"/>
  <c r="K36" i="3"/>
  <c r="H35" i="3"/>
  <c r="N33" i="3"/>
  <c r="G32" i="3"/>
  <c r="Q30" i="3"/>
  <c r="J29" i="3"/>
  <c r="P27" i="3"/>
  <c r="M26" i="3"/>
  <c r="O24" i="3"/>
  <c r="L23" i="3"/>
  <c r="H21" i="3"/>
  <c r="N19" i="3"/>
  <c r="G18" i="3"/>
  <c r="Q16" i="3"/>
  <c r="J15" i="3"/>
  <c r="P13" i="3"/>
  <c r="M12" i="3"/>
  <c r="O10" i="3"/>
  <c r="L9" i="3"/>
  <c r="I8" i="3"/>
  <c r="K6" i="3"/>
  <c r="H5" i="3"/>
  <c r="K124" i="3"/>
  <c r="L96" i="3"/>
  <c r="G91" i="3"/>
  <c r="M84" i="3"/>
  <c r="M80" i="3"/>
  <c r="O74" i="3"/>
  <c r="O70" i="3"/>
  <c r="O66" i="3"/>
  <c r="O62" i="3"/>
  <c r="G56" i="3"/>
  <c r="H51" i="3"/>
  <c r="M47" i="3"/>
  <c r="O45" i="3"/>
  <c r="L44" i="3"/>
  <c r="I43" i="3"/>
  <c r="K41" i="3"/>
  <c r="G39" i="3"/>
  <c r="Q37" i="3"/>
  <c r="J36" i="3"/>
  <c r="P34" i="3"/>
  <c r="M33" i="3"/>
  <c r="O31" i="3"/>
  <c r="L30" i="3"/>
  <c r="I29" i="3"/>
  <c r="K27" i="3"/>
  <c r="H26" i="3"/>
  <c r="N24" i="3"/>
  <c r="G23" i="3"/>
  <c r="P20" i="3"/>
  <c r="M19" i="3"/>
  <c r="O17" i="3"/>
  <c r="L16" i="3"/>
  <c r="I15" i="3"/>
  <c r="K13" i="3"/>
  <c r="Q7" i="3"/>
  <c r="G87" i="3"/>
  <c r="Q54" i="3"/>
  <c r="I45" i="3"/>
  <c r="J38" i="3"/>
  <c r="L32" i="3"/>
  <c r="N26" i="3"/>
  <c r="O19" i="3"/>
  <c r="H14" i="3"/>
  <c r="J8" i="3"/>
  <c r="K66" i="3"/>
  <c r="K16" i="3"/>
  <c r="N88" i="3"/>
  <c r="N35" i="3"/>
  <c r="G16" i="3"/>
  <c r="Q46" i="3"/>
  <c r="H25" i="3"/>
  <c r="P7" i="3"/>
  <c r="M28" i="3"/>
  <c r="J59" i="3"/>
  <c r="L29" i="3"/>
  <c r="F66" i="3"/>
  <c r="F49" i="3"/>
  <c r="F178" i="3"/>
  <c r="F90" i="3"/>
  <c r="F13" i="3"/>
  <c r="F79" i="3"/>
  <c r="F125" i="3"/>
  <c r="F23" i="3"/>
  <c r="F71" i="3"/>
  <c r="F147" i="3"/>
  <c r="F35" i="3"/>
  <c r="F144" i="3"/>
  <c r="F86" i="3"/>
  <c r="F55" i="3"/>
  <c r="F134" i="3"/>
  <c r="F62" i="3"/>
  <c r="F96" i="3"/>
  <c r="F172" i="3"/>
  <c r="F25" i="3"/>
  <c r="F19" i="3"/>
  <c r="F160" i="3"/>
  <c r="F50" i="3"/>
  <c r="F73" i="3"/>
  <c r="F175" i="3"/>
  <c r="F99" i="3"/>
  <c r="H12" i="3"/>
  <c r="J6" i="3"/>
  <c r="G70" i="3"/>
  <c r="Q50" i="3"/>
  <c r="K43" i="3"/>
  <c r="P36" i="3"/>
  <c r="I31" i="3"/>
  <c r="G25" i="3"/>
  <c r="L18" i="3"/>
  <c r="N12" i="3"/>
  <c r="P6" i="3"/>
  <c r="L47" i="3"/>
  <c r="K12" i="3"/>
  <c r="I80" i="3"/>
  <c r="N31" i="3"/>
  <c r="H11" i="3"/>
  <c r="Q42" i="3"/>
  <c r="P19" i="3"/>
  <c r="L65" i="3"/>
  <c r="M24" i="3"/>
  <c r="L61" i="3"/>
  <c r="L25" i="3"/>
  <c r="F92" i="3"/>
  <c r="F6" i="3"/>
  <c r="F177" i="3"/>
  <c r="F159" i="3"/>
  <c r="F82" i="3"/>
  <c r="F15" i="3"/>
  <c r="F42" i="3"/>
  <c r="F170" i="3"/>
  <c r="F109" i="3"/>
  <c r="F21" i="3"/>
  <c r="F152" i="3"/>
  <c r="F116" i="3"/>
  <c r="F102" i="3"/>
  <c r="F53" i="3"/>
  <c r="F63" i="3"/>
  <c r="F174" i="3"/>
  <c r="F61" i="3"/>
  <c r="F142" i="3"/>
  <c r="F34" i="3"/>
  <c r="F112" i="3"/>
  <c r="F88" i="3"/>
  <c r="F89" i="3"/>
  <c r="F97" i="3"/>
  <c r="F52" i="3"/>
  <c r="F9" i="3"/>
  <c r="F167" i="3"/>
  <c r="F123" i="3"/>
  <c r="N10" i="3"/>
  <c r="I160" i="3"/>
  <c r="H65" i="3"/>
  <c r="O47" i="3"/>
  <c r="H42" i="3"/>
  <c r="M35" i="3"/>
  <c r="K29" i="3"/>
  <c r="Q23" i="3"/>
  <c r="I17" i="3"/>
  <c r="G11" i="3"/>
  <c r="M5" i="3"/>
  <c r="L43" i="3"/>
  <c r="K8" i="3"/>
  <c r="I46" i="3"/>
  <c r="N27" i="3"/>
  <c r="I6" i="3"/>
  <c r="I36" i="3"/>
  <c r="P15" i="3"/>
  <c r="M36" i="3"/>
  <c r="J102" i="3"/>
  <c r="L37" i="3"/>
  <c r="J63" i="3"/>
  <c r="F41" i="3"/>
  <c r="F84" i="3"/>
  <c r="F100" i="3"/>
  <c r="F119" i="3"/>
  <c r="F157" i="3"/>
  <c r="F16" i="3"/>
  <c r="F68" i="3"/>
  <c r="F129" i="3"/>
  <c r="F122" i="3"/>
  <c r="F158" i="3"/>
  <c r="F161" i="3"/>
  <c r="F154" i="3"/>
  <c r="F48" i="3"/>
  <c r="F136" i="3"/>
  <c r="F151" i="3"/>
  <c r="F78" i="3"/>
  <c r="F108" i="3"/>
  <c r="F180" i="3"/>
  <c r="F67" i="3"/>
  <c r="F141" i="3"/>
  <c r="F29" i="3"/>
  <c r="F139" i="3"/>
  <c r="F30" i="3"/>
  <c r="F127" i="3"/>
  <c r="F103" i="3"/>
  <c r="F54" i="3"/>
  <c r="G9" i="3"/>
  <c r="Q91" i="3"/>
  <c r="I60" i="3"/>
  <c r="L46" i="3"/>
  <c r="Q39" i="3"/>
  <c r="O33" i="3"/>
  <c r="H28" i="3"/>
  <c r="M21" i="3"/>
  <c r="K15" i="3"/>
  <c r="Q9" i="3"/>
  <c r="K74" i="3"/>
  <c r="K20" i="3"/>
  <c r="G158" i="3"/>
  <c r="N39" i="3"/>
  <c r="N23" i="3"/>
  <c r="L87" i="3"/>
  <c r="G30" i="3"/>
  <c r="P11" i="3"/>
  <c r="M32" i="3"/>
  <c r="J75" i="3"/>
  <c r="L33" i="3"/>
  <c r="F24" i="3"/>
  <c r="F18" i="3"/>
  <c r="F10" i="3"/>
  <c r="F31" i="3"/>
  <c r="F81" i="3"/>
  <c r="F117" i="3"/>
  <c r="F185" i="3"/>
  <c r="F91" i="3"/>
  <c r="F110" i="3"/>
  <c r="F28" i="3"/>
  <c r="F69" i="3"/>
  <c r="F145" i="3"/>
  <c r="F33" i="3"/>
  <c r="F11" i="3"/>
  <c r="F171" i="3"/>
  <c r="F26" i="3"/>
  <c r="F128" i="3"/>
  <c r="F70" i="3"/>
  <c r="F93" i="3"/>
  <c r="F153" i="3"/>
  <c r="F39" i="3"/>
  <c r="F183" i="3"/>
  <c r="F43" i="3"/>
  <c r="F130" i="3"/>
  <c r="F47" i="3"/>
  <c r="F85" i="3"/>
  <c r="F179" i="3"/>
  <c r="F120" i="3"/>
  <c r="F111" i="3"/>
  <c r="F163" i="3"/>
  <c r="F166" i="3"/>
  <c r="F7" i="3"/>
  <c r="Q7" i="2" l="1"/>
  <c r="Q166" i="2"/>
  <c r="Q163" i="2"/>
  <c r="Q111" i="2"/>
  <c r="Q120" i="2"/>
  <c r="Q179" i="2"/>
  <c r="Q85" i="2"/>
  <c r="Q47" i="2"/>
  <c r="Q130" i="2"/>
  <c r="Q43" i="2"/>
  <c r="Q183" i="2"/>
  <c r="Q39" i="2"/>
  <c r="Q153" i="2"/>
  <c r="Q93" i="2"/>
  <c r="Q70" i="2"/>
  <c r="Q128" i="2"/>
  <c r="Q26" i="2"/>
  <c r="Q171" i="2"/>
  <c r="Q11" i="2"/>
  <c r="Q33" i="2"/>
  <c r="Q145" i="2"/>
  <c r="Q69" i="2"/>
  <c r="Q28" i="2"/>
  <c r="Q110" i="2"/>
  <c r="Q91" i="2"/>
  <c r="Q185" i="2"/>
  <c r="Q117" i="2"/>
  <c r="Q81" i="2"/>
  <c r="Q31" i="2"/>
  <c r="Q10" i="2"/>
  <c r="Q18" i="2"/>
  <c r="Q24" i="2"/>
  <c r="K33" i="2"/>
  <c r="M75" i="2"/>
  <c r="J32" i="2"/>
  <c r="G11" i="2"/>
  <c r="P30" i="2"/>
  <c r="K87" i="2"/>
  <c r="N22" i="3"/>
  <c r="I22" i="2" s="1"/>
  <c r="I23" i="2"/>
  <c r="I39" i="2"/>
  <c r="P158" i="2"/>
  <c r="L20" i="2"/>
  <c r="L74" i="2"/>
  <c r="F9" i="2"/>
  <c r="L15" i="2"/>
  <c r="J21" i="2"/>
  <c r="O28" i="2"/>
  <c r="H33" i="2"/>
  <c r="F39" i="2"/>
  <c r="K46" i="2"/>
  <c r="N60" i="2"/>
  <c r="F91" i="2"/>
  <c r="P9" i="2"/>
  <c r="Q54" i="2"/>
  <c r="Q103" i="2"/>
  <c r="Q127" i="2"/>
  <c r="Q30" i="2"/>
  <c r="Q139" i="2"/>
  <c r="Q29" i="2"/>
  <c r="Q141" i="2"/>
  <c r="Q67" i="2"/>
  <c r="Q180" i="2"/>
  <c r="Q108" i="2"/>
  <c r="F77" i="3"/>
  <c r="Q77" i="2" s="1"/>
  <c r="Q78" i="2"/>
  <c r="F150" i="3"/>
  <c r="Q150" i="2" s="1"/>
  <c r="Q151" i="2"/>
  <c r="Q136" i="2"/>
  <c r="Q48" i="2"/>
  <c r="Q154" i="2"/>
  <c r="Q161" i="2"/>
  <c r="Q158" i="2"/>
  <c r="Q122" i="2"/>
  <c r="Q129" i="2"/>
  <c r="Q68" i="2"/>
  <c r="Q16" i="2"/>
  <c r="Q157" i="2"/>
  <c r="Q119" i="2"/>
  <c r="Q100" i="2"/>
  <c r="Q84" i="2"/>
  <c r="F40" i="3"/>
  <c r="Q40" i="2" s="1"/>
  <c r="Q41" i="2"/>
  <c r="M63" i="2"/>
  <c r="K37" i="2"/>
  <c r="M102" i="2"/>
  <c r="J36" i="2"/>
  <c r="G15" i="2"/>
  <c r="N36" i="2"/>
  <c r="N6" i="2"/>
  <c r="I27" i="2"/>
  <c r="N46" i="2"/>
  <c r="L8" i="2"/>
  <c r="K43" i="2"/>
  <c r="M4" i="3"/>
  <c r="J4" i="2" s="1"/>
  <c r="J5" i="2"/>
  <c r="P11" i="2"/>
  <c r="N17" i="2"/>
  <c r="Q22" i="3"/>
  <c r="F22" i="2" s="1"/>
  <c r="F23" i="2"/>
  <c r="L29" i="2"/>
  <c r="J35" i="2"/>
  <c r="O42" i="2"/>
  <c r="H47" i="2"/>
  <c r="O65" i="2"/>
  <c r="N160" i="2"/>
  <c r="I10" i="2"/>
  <c r="Q123" i="2"/>
  <c r="Q167" i="2"/>
  <c r="Q9" i="2"/>
  <c r="Q52" i="2"/>
  <c r="Q97" i="2"/>
  <c r="Q89" i="2"/>
  <c r="Q88" i="2"/>
  <c r="Q112" i="2"/>
  <c r="Q34" i="2"/>
  <c r="Q142" i="2"/>
  <c r="Q61" i="2"/>
  <c r="Q174" i="2"/>
  <c r="Q63" i="2"/>
  <c r="Q53" i="2"/>
  <c r="Q102" i="2"/>
  <c r="Q116" i="2"/>
  <c r="Q152" i="2"/>
  <c r="Q21" i="2"/>
  <c r="Q109" i="2"/>
  <c r="Q170" i="2"/>
  <c r="Q42" i="2"/>
  <c r="Q15" i="2"/>
  <c r="Q82" i="2"/>
  <c r="Q159" i="2"/>
  <c r="Q177" i="2"/>
  <c r="Q6" i="2"/>
  <c r="Q92" i="2"/>
  <c r="K25" i="2"/>
  <c r="K61" i="2"/>
  <c r="J24" i="2"/>
  <c r="K65" i="2"/>
  <c r="G19" i="2"/>
  <c r="F42" i="2"/>
  <c r="O11" i="2"/>
  <c r="I31" i="2"/>
  <c r="N80" i="2"/>
  <c r="L12" i="2"/>
  <c r="K47" i="2"/>
  <c r="G6" i="2"/>
  <c r="I12" i="2"/>
  <c r="K18" i="2"/>
  <c r="P25" i="2"/>
  <c r="N31" i="2"/>
  <c r="G36" i="2"/>
  <c r="L43" i="2"/>
  <c r="F50" i="2"/>
  <c r="P70" i="2"/>
  <c r="M6" i="2"/>
  <c r="O12" i="2"/>
  <c r="Q99" i="2"/>
  <c r="Q175" i="2"/>
  <c r="Q73" i="2"/>
  <c r="Q50" i="2"/>
  <c r="Q160" i="2"/>
  <c r="Q19" i="2"/>
  <c r="Q25" i="2"/>
  <c r="Q172" i="2"/>
  <c r="F95" i="3"/>
  <c r="Q95" i="2" s="1"/>
  <c r="Q96" i="2"/>
  <c r="Q62" i="2"/>
  <c r="Q134" i="2"/>
  <c r="Q55" i="2"/>
  <c r="Q86" i="2"/>
  <c r="Q144" i="2"/>
  <c r="Q35" i="2"/>
  <c r="Q147" i="2"/>
  <c r="Q71" i="2"/>
  <c r="F22" i="3"/>
  <c r="Q22" i="2" s="1"/>
  <c r="Q23" i="2"/>
  <c r="Q125" i="2"/>
  <c r="Q79" i="2"/>
  <c r="Q13" i="2"/>
  <c r="Q90" i="2"/>
  <c r="Q178" i="2"/>
  <c r="Q49" i="2"/>
  <c r="Q66" i="2"/>
  <c r="K29" i="2"/>
  <c r="J58" i="3"/>
  <c r="M58" i="2" s="1"/>
  <c r="M59" i="2"/>
  <c r="J28" i="2"/>
  <c r="G7" i="2"/>
  <c r="O25" i="2"/>
  <c r="F46" i="2"/>
  <c r="P16" i="2"/>
  <c r="I35" i="2"/>
  <c r="I88" i="2"/>
  <c r="L16" i="2"/>
  <c r="L66" i="2"/>
  <c r="M8" i="2"/>
  <c r="O14" i="2"/>
  <c r="H19" i="2"/>
  <c r="I26" i="2"/>
  <c r="K32" i="2"/>
  <c r="M38" i="2"/>
  <c r="N45" i="2"/>
  <c r="F54" i="2"/>
  <c r="P87" i="2"/>
  <c r="F7" i="2"/>
  <c r="L13" i="2"/>
  <c r="N15" i="2"/>
  <c r="K16" i="2"/>
  <c r="H17" i="2"/>
  <c r="J19" i="2"/>
  <c r="G20" i="2"/>
  <c r="G22" i="3"/>
  <c r="P22" i="2" s="1"/>
  <c r="P23" i="2"/>
  <c r="I24" i="2"/>
  <c r="O26" i="2"/>
  <c r="L27" i="2"/>
  <c r="N29" i="2"/>
  <c r="K30" i="2"/>
  <c r="H31" i="2"/>
  <c r="J33" i="2"/>
  <c r="G34" i="2"/>
  <c r="M36" i="2"/>
  <c r="F37" i="2"/>
  <c r="P39" i="2"/>
  <c r="K40" i="3"/>
  <c r="L40" i="2" s="1"/>
  <c r="L41" i="2"/>
  <c r="N43" i="2"/>
  <c r="K44" i="2"/>
  <c r="H45" i="2"/>
  <c r="J47" i="2"/>
  <c r="O51" i="2"/>
  <c r="P56" i="2"/>
  <c r="H62" i="2"/>
  <c r="H66" i="2"/>
  <c r="H70" i="2"/>
  <c r="H74" i="2"/>
  <c r="J80" i="2"/>
  <c r="J84" i="2"/>
  <c r="P91" i="2"/>
  <c r="L95" i="3"/>
  <c r="K95" i="2" s="1"/>
  <c r="K96" i="2"/>
  <c r="L124" i="2"/>
  <c r="H4" i="3"/>
  <c r="O4" i="2" s="1"/>
  <c r="O5" i="2"/>
  <c r="L6" i="2"/>
  <c r="N8" i="2"/>
  <c r="K9" i="2"/>
  <c r="H10" i="2"/>
  <c r="J12" i="2"/>
  <c r="G13" i="2"/>
  <c r="M15" i="2"/>
  <c r="F16" i="2"/>
  <c r="P18" i="2"/>
  <c r="I19" i="2"/>
  <c r="O21" i="2"/>
  <c r="L22" i="3"/>
  <c r="K22" i="2" s="1"/>
  <c r="K23" i="2"/>
  <c r="H24" i="2"/>
  <c r="J26" i="2"/>
  <c r="G27" i="2"/>
  <c r="M29" i="2"/>
  <c r="F30" i="2"/>
  <c r="P32" i="2"/>
  <c r="I33" i="2"/>
  <c r="O35" i="2"/>
  <c r="L36" i="2"/>
  <c r="N38" i="2"/>
  <c r="K39" i="2"/>
  <c r="P40" i="3"/>
  <c r="G40" i="2" s="1"/>
  <c r="G41" i="2"/>
  <c r="M43" i="2"/>
  <c r="F44" i="2"/>
  <c r="P46" i="2"/>
  <c r="I47" i="2"/>
  <c r="K51" i="2"/>
  <c r="K55" i="2"/>
  <c r="I79" i="2"/>
  <c r="I83" i="2"/>
  <c r="K91" i="2"/>
  <c r="L98" i="2"/>
  <c r="M111" i="2"/>
  <c r="P154" i="2"/>
  <c r="G48" i="2"/>
  <c r="M50" i="2"/>
  <c r="F51" i="2"/>
  <c r="P53" i="2"/>
  <c r="I54" i="2"/>
  <c r="O56" i="2"/>
  <c r="L57" i="2"/>
  <c r="O58" i="3"/>
  <c r="H58" i="2" s="1"/>
  <c r="H59" i="2"/>
  <c r="J61" i="2"/>
  <c r="G62" i="2"/>
  <c r="M64" i="2"/>
  <c r="F65" i="2"/>
  <c r="P67" i="2"/>
  <c r="I68" i="2"/>
  <c r="O70" i="2"/>
  <c r="L71" i="2"/>
  <c r="N73" i="2"/>
  <c r="K74" i="2"/>
  <c r="H75" i="2"/>
  <c r="P79" i="2"/>
  <c r="I80" i="2"/>
  <c r="O82" i="2"/>
  <c r="L83" i="2"/>
  <c r="N85" i="2"/>
  <c r="O87" i="2"/>
  <c r="P89" i="2"/>
  <c r="O91" i="2"/>
  <c r="P93" i="2"/>
  <c r="H95" i="3"/>
  <c r="O95" i="2" s="1"/>
  <c r="O96" i="2"/>
  <c r="P99" i="2"/>
  <c r="N101" i="2"/>
  <c r="P106" i="2"/>
  <c r="N118" i="2"/>
  <c r="J136" i="2"/>
  <c r="J144" i="2"/>
  <c r="H178" i="2"/>
  <c r="G49" i="2"/>
  <c r="M51" i="2"/>
  <c r="F52" i="2"/>
  <c r="P54" i="2"/>
  <c r="I55" i="2"/>
  <c r="O57" i="2"/>
  <c r="L58" i="3"/>
  <c r="K58" i="2" s="1"/>
  <c r="K59" i="2"/>
  <c r="H60" i="2"/>
  <c r="J62" i="2"/>
  <c r="G63" i="2"/>
  <c r="M65" i="2"/>
  <c r="F66" i="2"/>
  <c r="P68" i="2"/>
  <c r="I69" i="2"/>
  <c r="O71" i="2"/>
  <c r="L72" i="2"/>
  <c r="N74" i="2"/>
  <c r="K75" i="2"/>
  <c r="Q77" i="3"/>
  <c r="F77" i="2" s="1"/>
  <c r="F78" i="2"/>
  <c r="P80" i="2"/>
  <c r="I81" i="2"/>
  <c r="O83" i="2"/>
  <c r="L84" i="2"/>
  <c r="K86" i="2"/>
  <c r="L88" i="2"/>
  <c r="K90" i="2"/>
  <c r="L92" i="2"/>
  <c r="K94" i="2"/>
  <c r="O97" i="2"/>
  <c r="N99" i="2"/>
  <c r="L101" i="2"/>
  <c r="L109" i="2"/>
  <c r="L120" i="2"/>
  <c r="L133" i="2"/>
  <c r="O165" i="2"/>
  <c r="J49" i="2"/>
  <c r="G50" i="2"/>
  <c r="M52" i="2"/>
  <c r="F53" i="2"/>
  <c r="P55" i="2"/>
  <c r="I56" i="2"/>
  <c r="I58" i="3"/>
  <c r="N58" i="2" s="1"/>
  <c r="N59" i="2"/>
  <c r="K60" i="2"/>
  <c r="H61" i="2"/>
  <c r="J63" i="2"/>
  <c r="G64" i="2"/>
  <c r="M66" i="2"/>
  <c r="F67" i="2"/>
  <c r="P69" i="2"/>
  <c r="I70" i="2"/>
  <c r="O72" i="2"/>
  <c r="L73" i="2"/>
  <c r="N75" i="2"/>
  <c r="N77" i="3"/>
  <c r="I77" i="2" s="1"/>
  <c r="I78" i="2"/>
  <c r="O80" i="2"/>
  <c r="L81" i="2"/>
  <c r="N83" i="2"/>
  <c r="K84" i="2"/>
  <c r="H85" i="2"/>
  <c r="G87" i="2"/>
  <c r="H89" i="2"/>
  <c r="G91" i="2"/>
  <c r="H93" i="2"/>
  <c r="P95" i="3"/>
  <c r="G95" i="2" s="1"/>
  <c r="G96" i="2"/>
  <c r="G98" i="2"/>
  <c r="P102" i="2"/>
  <c r="G109" i="2"/>
  <c r="N122" i="2"/>
  <c r="I135" i="2"/>
  <c r="M143" i="2"/>
  <c r="P183" i="2"/>
  <c r="H86" i="2"/>
  <c r="J88" i="2"/>
  <c r="G89" i="2"/>
  <c r="M91" i="2"/>
  <c r="F92" i="2"/>
  <c r="P94" i="2"/>
  <c r="K95" i="3"/>
  <c r="L95" i="2" s="1"/>
  <c r="L96" i="2"/>
  <c r="F97" i="2"/>
  <c r="F99" i="2"/>
  <c r="K101" i="2"/>
  <c r="L103" i="2"/>
  <c r="P105" i="2"/>
  <c r="I106" i="2"/>
  <c r="I108" i="2"/>
  <c r="O110" i="2"/>
  <c r="N112" i="2"/>
  <c r="I116" i="2"/>
  <c r="K119" i="2"/>
  <c r="K122" i="2"/>
  <c r="F125" i="2"/>
  <c r="N129" i="2"/>
  <c r="K133" i="2"/>
  <c r="F136" i="2"/>
  <c r="F140" i="2"/>
  <c r="F144" i="2"/>
  <c r="F148" i="2"/>
  <c r="L154" i="2"/>
  <c r="L158" i="2"/>
  <c r="L162" i="2"/>
  <c r="L166" i="2"/>
  <c r="H175" i="2"/>
  <c r="H183" i="2"/>
  <c r="M104" i="2"/>
  <c r="M106" i="2"/>
  <c r="M108" i="2"/>
  <c r="M110" i="2"/>
  <c r="M112" i="2"/>
  <c r="H115" i="2"/>
  <c r="J118" i="2"/>
  <c r="H120" i="2"/>
  <c r="H123" i="2"/>
  <c r="J126" i="2"/>
  <c r="H128" i="2"/>
  <c r="P133" i="2"/>
  <c r="M135" i="2"/>
  <c r="H154" i="2"/>
  <c r="H158" i="2"/>
  <c r="H162" i="2"/>
  <c r="P171" i="2"/>
  <c r="L102" i="2"/>
  <c r="K104" i="2"/>
  <c r="L106" i="2"/>
  <c r="K108" i="2"/>
  <c r="L110" i="2"/>
  <c r="K112" i="2"/>
  <c r="O115" i="2"/>
  <c r="O118" i="2"/>
  <c r="M120" i="2"/>
  <c r="O123" i="2"/>
  <c r="O126" i="2"/>
  <c r="M128" i="2"/>
  <c r="H131" i="3"/>
  <c r="O131" i="2" s="1"/>
  <c r="O132" i="2"/>
  <c r="M134" i="2"/>
  <c r="P138" i="2"/>
  <c r="N144" i="2"/>
  <c r="J167" i="2"/>
  <c r="M176" i="2"/>
  <c r="M184" i="2"/>
  <c r="J98" i="2"/>
  <c r="G99" i="2"/>
  <c r="M101" i="2"/>
  <c r="F102" i="2"/>
  <c r="P104" i="2"/>
  <c r="I105" i="2"/>
  <c r="O107" i="2"/>
  <c r="L108" i="2"/>
  <c r="N110" i="2"/>
  <c r="K111" i="2"/>
  <c r="H112" i="2"/>
  <c r="M115" i="2"/>
  <c r="F116" i="2"/>
  <c r="P118" i="2"/>
  <c r="I119" i="2"/>
  <c r="O121" i="2"/>
  <c r="L122" i="2"/>
  <c r="N124" i="2"/>
  <c r="K125" i="2"/>
  <c r="H126" i="2"/>
  <c r="J128" i="2"/>
  <c r="G129" i="2"/>
  <c r="G131" i="3"/>
  <c r="P131" i="2" s="1"/>
  <c r="P132" i="2"/>
  <c r="I133" i="2"/>
  <c r="O135" i="2"/>
  <c r="L136" i="2"/>
  <c r="N138" i="2"/>
  <c r="K139" i="2"/>
  <c r="H140" i="2"/>
  <c r="J142" i="2"/>
  <c r="G143" i="2"/>
  <c r="M145" i="2"/>
  <c r="F146" i="2"/>
  <c r="P148" i="2"/>
  <c r="L150" i="3"/>
  <c r="K150" i="2" s="1"/>
  <c r="K151" i="2"/>
  <c r="H152" i="2"/>
  <c r="J154" i="2"/>
  <c r="G155" i="2"/>
  <c r="M157" i="2"/>
  <c r="F158" i="2"/>
  <c r="P160" i="2"/>
  <c r="I161" i="2"/>
  <c r="O163" i="2"/>
  <c r="L164" i="2"/>
  <c r="N166" i="2"/>
  <c r="I168" i="3"/>
  <c r="N168" i="2" s="1"/>
  <c r="N169" i="2"/>
  <c r="I172" i="2"/>
  <c r="L175" i="2"/>
  <c r="L178" i="2"/>
  <c r="F181" i="2"/>
  <c r="N185" i="2"/>
  <c r="G136" i="2"/>
  <c r="M138" i="2"/>
  <c r="F139" i="2"/>
  <c r="P141" i="2"/>
  <c r="I142" i="2"/>
  <c r="O144" i="2"/>
  <c r="L145" i="2"/>
  <c r="N147" i="2"/>
  <c r="K148" i="2"/>
  <c r="Q150" i="3"/>
  <c r="F150" i="2" s="1"/>
  <c r="F151" i="2"/>
  <c r="P153" i="2"/>
  <c r="I154" i="2"/>
  <c r="O156" i="2"/>
  <c r="L157" i="2"/>
  <c r="N159" i="2"/>
  <c r="K160" i="2"/>
  <c r="H161" i="2"/>
  <c r="J163" i="2"/>
  <c r="G164" i="2"/>
  <c r="M166" i="2"/>
  <c r="K170" i="2"/>
  <c r="K173" i="2"/>
  <c r="F176" i="2"/>
  <c r="N180" i="2"/>
  <c r="I183" i="2"/>
  <c r="J113" i="3"/>
  <c r="M113" i="2" s="1"/>
  <c r="M114" i="2"/>
  <c r="F115" i="2"/>
  <c r="P117" i="2"/>
  <c r="I118" i="2"/>
  <c r="O120" i="2"/>
  <c r="L121" i="2"/>
  <c r="N123" i="2"/>
  <c r="K124" i="2"/>
  <c r="H125" i="2"/>
  <c r="J127" i="2"/>
  <c r="G128" i="2"/>
  <c r="M130" i="2"/>
  <c r="N133" i="2"/>
  <c r="K134" i="2"/>
  <c r="H135" i="2"/>
  <c r="J137" i="2"/>
  <c r="G138" i="2"/>
  <c r="M140" i="2"/>
  <c r="F141" i="2"/>
  <c r="P143" i="2"/>
  <c r="I144" i="2"/>
  <c r="O146" i="2"/>
  <c r="L147" i="2"/>
  <c r="P151" i="2"/>
  <c r="G150" i="3"/>
  <c r="P150" i="2" s="1"/>
  <c r="I152" i="2"/>
  <c r="O154" i="2"/>
  <c r="L155" i="2"/>
  <c r="N157" i="2"/>
  <c r="K158" i="2"/>
  <c r="H159" i="2"/>
  <c r="J161" i="2"/>
  <c r="G162" i="2"/>
  <c r="M164" i="2"/>
  <c r="F165" i="2"/>
  <c r="G167" i="2"/>
  <c r="G170" i="2"/>
  <c r="G173" i="2"/>
  <c r="J176" i="2"/>
  <c r="G178" i="2"/>
  <c r="G181" i="2"/>
  <c r="J184" i="2"/>
  <c r="G166" i="2"/>
  <c r="G168" i="3"/>
  <c r="P168" i="2" s="1"/>
  <c r="P169" i="2"/>
  <c r="I170" i="2"/>
  <c r="O172" i="2"/>
  <c r="L173" i="2"/>
  <c r="N175" i="2"/>
  <c r="K176" i="2"/>
  <c r="H177" i="2"/>
  <c r="J179" i="2"/>
  <c r="G180" i="2"/>
  <c r="M182" i="2"/>
  <c r="F183" i="2"/>
  <c r="P185" i="2"/>
  <c r="M167" i="2"/>
  <c r="N170" i="2"/>
  <c r="K171" i="2"/>
  <c r="H172" i="2"/>
  <c r="J174" i="2"/>
  <c r="G175" i="2"/>
  <c r="M177" i="2"/>
  <c r="F178" i="2"/>
  <c r="P180" i="2"/>
  <c r="I181" i="2"/>
  <c r="O183" i="2"/>
  <c r="L184" i="2"/>
  <c r="Q106" i="2"/>
  <c r="Q184" i="2"/>
  <c r="Q56" i="2"/>
  <c r="Q135" i="2"/>
  <c r="Q75" i="2"/>
  <c r="Q155" i="2"/>
  <c r="Q44" i="2"/>
  <c r="Q140" i="2"/>
  <c r="Q60" i="2"/>
  <c r="Q133" i="2"/>
  <c r="Q8" i="2"/>
  <c r="Q65" i="2"/>
  <c r="Q143" i="2"/>
  <c r="Q32" i="2"/>
  <c r="Q74" i="2"/>
  <c r="Q101" i="2"/>
  <c r="Q14" i="2"/>
  <c r="Q107" i="2"/>
  <c r="M27" i="2"/>
  <c r="M35" i="2"/>
  <c r="K69" i="2"/>
  <c r="J99" i="2"/>
  <c r="L26" i="2"/>
  <c r="L34" i="2"/>
  <c r="K73" i="2"/>
  <c r="H8" i="2"/>
  <c r="H12" i="2"/>
  <c r="H16" i="2"/>
  <c r="H20" i="2"/>
  <c r="P26" i="2"/>
  <c r="N32" i="2"/>
  <c r="O37" i="2"/>
  <c r="G43" i="2"/>
  <c r="G47" i="2"/>
  <c r="F89" i="2"/>
  <c r="O7" i="2"/>
  <c r="P12" i="2"/>
  <c r="N18" i="2"/>
  <c r="F24" i="2"/>
  <c r="F28" i="2"/>
  <c r="F32" i="2"/>
  <c r="F36" i="2"/>
  <c r="N42" i="2"/>
  <c r="O47" i="2"/>
  <c r="P82" i="2"/>
  <c r="L97" i="2"/>
  <c r="J4" i="3"/>
  <c r="M4" i="2" s="1"/>
  <c r="M5" i="2"/>
  <c r="M9" i="2"/>
  <c r="M13" i="2"/>
  <c r="M17" i="2"/>
  <c r="M21" i="2"/>
  <c r="L44" i="2"/>
  <c r="J60" i="2"/>
  <c r="J68" i="2"/>
  <c r="N94" i="2"/>
  <c r="Q4" i="3"/>
  <c r="F4" i="2" s="1"/>
  <c r="F5" i="2"/>
  <c r="P7" i="2"/>
  <c r="I8" i="2"/>
  <c r="O10" i="2"/>
  <c r="L11" i="2"/>
  <c r="N13" i="2"/>
  <c r="K14" i="2"/>
  <c r="H15" i="2"/>
  <c r="J17" i="2"/>
  <c r="G18" i="2"/>
  <c r="M20" i="2"/>
  <c r="F21" i="2"/>
  <c r="O24" i="2"/>
  <c r="L25" i="2"/>
  <c r="N27" i="2"/>
  <c r="K28" i="2"/>
  <c r="H29" i="2"/>
  <c r="J31" i="2"/>
  <c r="G32" i="2"/>
  <c r="M34" i="2"/>
  <c r="F35" i="2"/>
  <c r="P37" i="2"/>
  <c r="I38" i="2"/>
  <c r="I40" i="3"/>
  <c r="N40" i="2" s="1"/>
  <c r="N41" i="2"/>
  <c r="K42" i="2"/>
  <c r="H43" i="2"/>
  <c r="J45" i="2"/>
  <c r="G46" i="2"/>
  <c r="P48" i="2"/>
  <c r="G51" i="2"/>
  <c r="G55" i="2"/>
  <c r="O61" i="2"/>
  <c r="P66" i="2"/>
  <c r="N72" i="2"/>
  <c r="O88" i="2"/>
  <c r="J100" i="2"/>
  <c r="G4" i="3"/>
  <c r="P4" i="2" s="1"/>
  <c r="P5" i="2"/>
  <c r="I6" i="2"/>
  <c r="O8" i="2"/>
  <c r="L9" i="2"/>
  <c r="N11" i="2"/>
  <c r="K12" i="2"/>
  <c r="H13" i="2"/>
  <c r="J15" i="2"/>
  <c r="G16" i="2"/>
  <c r="M18" i="2"/>
  <c r="F19" i="2"/>
  <c r="P21" i="2"/>
  <c r="K22" i="3"/>
  <c r="L22" i="2" s="1"/>
  <c r="L23" i="2"/>
  <c r="N25" i="2"/>
  <c r="K26" i="2"/>
  <c r="H27" i="2"/>
  <c r="J29" i="2"/>
  <c r="G30" i="2"/>
  <c r="M32" i="2"/>
  <c r="F33" i="2"/>
  <c r="P35" i="2"/>
  <c r="I36" i="2"/>
  <c r="O38" i="2"/>
  <c r="L39" i="2"/>
  <c r="O40" i="3"/>
  <c r="H40" i="2" s="1"/>
  <c r="H41" i="2"/>
  <c r="J43" i="2"/>
  <c r="G44" i="2"/>
  <c r="M46" i="2"/>
  <c r="F47" i="2"/>
  <c r="P52" i="2"/>
  <c r="N58" i="3"/>
  <c r="I58" i="2" s="1"/>
  <c r="I59" i="2"/>
  <c r="I63" i="2"/>
  <c r="I67" i="2"/>
  <c r="I71" i="2"/>
  <c r="I75" i="2"/>
  <c r="K81" i="2"/>
  <c r="K85" i="2"/>
  <c r="O92" i="2"/>
  <c r="O101" i="2"/>
  <c r="L127" i="2"/>
  <c r="L4" i="3"/>
  <c r="K4" i="2" s="1"/>
  <c r="K5" i="2"/>
  <c r="H6" i="2"/>
  <c r="J8" i="2"/>
  <c r="G9" i="2"/>
  <c r="M11" i="2"/>
  <c r="F12" i="2"/>
  <c r="P14" i="2"/>
  <c r="I15" i="2"/>
  <c r="O17" i="2"/>
  <c r="L18" i="2"/>
  <c r="N20" i="2"/>
  <c r="K21" i="2"/>
  <c r="P22" i="3"/>
  <c r="G22" i="2" s="1"/>
  <c r="G23" i="2"/>
  <c r="M25" i="2"/>
  <c r="F26" i="2"/>
  <c r="P28" i="2"/>
  <c r="I29" i="2"/>
  <c r="O31" i="2"/>
  <c r="L32" i="2"/>
  <c r="N34" i="2"/>
  <c r="K35" i="2"/>
  <c r="H36" i="2"/>
  <c r="J38" i="2"/>
  <c r="G39" i="2"/>
  <c r="P42" i="2"/>
  <c r="I43" i="2"/>
  <c r="O45" i="2"/>
  <c r="L46" i="2"/>
  <c r="J48" i="2"/>
  <c r="L52" i="2"/>
  <c r="L56" i="2"/>
  <c r="F80" i="2"/>
  <c r="F84" i="2"/>
  <c r="I92" i="2"/>
  <c r="H101" i="2"/>
  <c r="Q113" i="3"/>
  <c r="F113" i="2" s="1"/>
  <c r="F114" i="2"/>
  <c r="P162" i="2"/>
  <c r="P49" i="2"/>
  <c r="I50" i="2"/>
  <c r="O52" i="2"/>
  <c r="L53" i="2"/>
  <c r="N55" i="2"/>
  <c r="K56" i="2"/>
  <c r="H57" i="2"/>
  <c r="M60" i="2"/>
  <c r="F61" i="2"/>
  <c r="P63" i="2"/>
  <c r="I64" i="2"/>
  <c r="O66" i="2"/>
  <c r="L67" i="2"/>
  <c r="N69" i="2"/>
  <c r="K70" i="2"/>
  <c r="H71" i="2"/>
  <c r="J73" i="2"/>
  <c r="G74" i="2"/>
  <c r="H77" i="3"/>
  <c r="O77" i="2" s="1"/>
  <c r="O78" i="2"/>
  <c r="L79" i="2"/>
  <c r="N81" i="2"/>
  <c r="K82" i="2"/>
  <c r="H83" i="2"/>
  <c r="J85" i="2"/>
  <c r="J87" i="2"/>
  <c r="J89" i="2"/>
  <c r="J91" i="2"/>
  <c r="J93" i="2"/>
  <c r="M95" i="3"/>
  <c r="J95" i="2" s="1"/>
  <c r="J96" i="2"/>
  <c r="I99" i="2"/>
  <c r="G101" i="2"/>
  <c r="H107" i="2"/>
  <c r="I121" i="2"/>
  <c r="L138" i="2"/>
  <c r="L146" i="2"/>
  <c r="F48" i="2"/>
  <c r="P50" i="2"/>
  <c r="I51" i="2"/>
  <c r="O53" i="2"/>
  <c r="L54" i="2"/>
  <c r="N56" i="2"/>
  <c r="K57" i="2"/>
  <c r="P58" i="3"/>
  <c r="G58" i="2" s="1"/>
  <c r="G59" i="2"/>
  <c r="M61" i="2"/>
  <c r="F62" i="2"/>
  <c r="P64" i="2"/>
  <c r="I65" i="2"/>
  <c r="O67" i="2"/>
  <c r="L68" i="2"/>
  <c r="N70" i="2"/>
  <c r="K71" i="2"/>
  <c r="H72" i="2"/>
  <c r="J74" i="2"/>
  <c r="G75" i="2"/>
  <c r="O79" i="2"/>
  <c r="L80" i="2"/>
  <c r="N82" i="2"/>
  <c r="K83" i="2"/>
  <c r="H84" i="2"/>
  <c r="F86" i="2"/>
  <c r="G88" i="2"/>
  <c r="F90" i="2"/>
  <c r="G92" i="2"/>
  <c r="F94" i="2"/>
  <c r="H97" i="2"/>
  <c r="H99" i="2"/>
  <c r="H102" i="2"/>
  <c r="K110" i="2"/>
  <c r="L123" i="2"/>
  <c r="O153" i="2"/>
  <c r="M48" i="2"/>
  <c r="F49" i="2"/>
  <c r="P51" i="2"/>
  <c r="I52" i="2"/>
  <c r="O54" i="2"/>
  <c r="L55" i="2"/>
  <c r="N57" i="2"/>
  <c r="M58" i="3"/>
  <c r="J58" i="2" s="1"/>
  <c r="J59" i="2"/>
  <c r="G60" i="2"/>
  <c r="M62" i="2"/>
  <c r="F63" i="2"/>
  <c r="P65" i="2"/>
  <c r="I66" i="2"/>
  <c r="O68" i="2"/>
  <c r="L69" i="2"/>
  <c r="N71" i="2"/>
  <c r="K72" i="2"/>
  <c r="H73" i="2"/>
  <c r="J75" i="2"/>
  <c r="N79" i="2"/>
  <c r="K80" i="2"/>
  <c r="H81" i="2"/>
  <c r="J83" i="2"/>
  <c r="G84" i="2"/>
  <c r="O86" i="2"/>
  <c r="P88" i="2"/>
  <c r="O90" i="2"/>
  <c r="P92" i="2"/>
  <c r="O94" i="2"/>
  <c r="N97" i="2"/>
  <c r="M99" i="2"/>
  <c r="O104" i="2"/>
  <c r="O112" i="2"/>
  <c r="I125" i="2"/>
  <c r="K137" i="2"/>
  <c r="K145" i="2"/>
  <c r="G85" i="2"/>
  <c r="M87" i="2"/>
  <c r="F88" i="2"/>
  <c r="P90" i="2"/>
  <c r="I91" i="2"/>
  <c r="O93" i="2"/>
  <c r="L94" i="2"/>
  <c r="O95" i="3"/>
  <c r="H95" i="2" s="1"/>
  <c r="H96" i="2"/>
  <c r="O98" i="2"/>
  <c r="N100" i="2"/>
  <c r="F101" i="2"/>
  <c r="F103" i="2"/>
  <c r="K105" i="2"/>
  <c r="L107" i="2"/>
  <c r="P109" i="2"/>
  <c r="I110" i="2"/>
  <c r="I112" i="2"/>
  <c r="N117" i="2"/>
  <c r="I120" i="2"/>
  <c r="K123" i="2"/>
  <c r="K126" i="2"/>
  <c r="F129" i="2"/>
  <c r="I134" i="2"/>
  <c r="G137" i="2"/>
  <c r="G141" i="2"/>
  <c r="G145" i="2"/>
  <c r="J150" i="3"/>
  <c r="M150" i="2" s="1"/>
  <c r="M151" i="2"/>
  <c r="M155" i="2"/>
  <c r="M159" i="2"/>
  <c r="M163" i="2"/>
  <c r="M168" i="3"/>
  <c r="J168" i="2" s="1"/>
  <c r="J169" i="2"/>
  <c r="J177" i="2"/>
  <c r="J185" i="2"/>
  <c r="G104" i="2"/>
  <c r="H106" i="2"/>
  <c r="G108" i="2"/>
  <c r="H110" i="2"/>
  <c r="G112" i="2"/>
  <c r="P116" i="2"/>
  <c r="P119" i="2"/>
  <c r="M121" i="2"/>
  <c r="P124" i="2"/>
  <c r="P127" i="2"/>
  <c r="M129" i="2"/>
  <c r="H133" i="2"/>
  <c r="N150" i="3"/>
  <c r="I150" i="2" s="1"/>
  <c r="I151" i="2"/>
  <c r="I155" i="2"/>
  <c r="I159" i="2"/>
  <c r="I163" i="2"/>
  <c r="H174" i="2"/>
  <c r="G102" i="2"/>
  <c r="F104" i="2"/>
  <c r="G106" i="2"/>
  <c r="F108" i="2"/>
  <c r="G110" i="2"/>
  <c r="F112" i="2"/>
  <c r="G115" i="2"/>
  <c r="G118" i="2"/>
  <c r="J121" i="2"/>
  <c r="G123" i="2"/>
  <c r="G126" i="2"/>
  <c r="J129" i="2"/>
  <c r="P131" i="3"/>
  <c r="G131" i="2" s="1"/>
  <c r="G132" i="2"/>
  <c r="J135" i="2"/>
  <c r="N140" i="2"/>
  <c r="O145" i="2"/>
  <c r="P170" i="2"/>
  <c r="P178" i="2"/>
  <c r="M97" i="2"/>
  <c r="F98" i="2"/>
  <c r="P100" i="2"/>
  <c r="I101" i="2"/>
  <c r="O103" i="2"/>
  <c r="L104" i="2"/>
  <c r="N106" i="2"/>
  <c r="K107" i="2"/>
  <c r="H108" i="2"/>
  <c r="J110" i="2"/>
  <c r="G111" i="2"/>
  <c r="G113" i="3"/>
  <c r="P113" i="2" s="1"/>
  <c r="P114" i="2"/>
  <c r="I115" i="2"/>
  <c r="O117" i="2"/>
  <c r="L118" i="2"/>
  <c r="N120" i="2"/>
  <c r="K121" i="2"/>
  <c r="H122" i="2"/>
  <c r="J124" i="2"/>
  <c r="G125" i="2"/>
  <c r="M127" i="2"/>
  <c r="F128" i="2"/>
  <c r="P130" i="2"/>
  <c r="K131" i="3"/>
  <c r="L131" i="2" s="1"/>
  <c r="L132" i="2"/>
  <c r="N134" i="2"/>
  <c r="K135" i="2"/>
  <c r="H136" i="2"/>
  <c r="J138" i="2"/>
  <c r="G139" i="2"/>
  <c r="M141" i="2"/>
  <c r="F142" i="2"/>
  <c r="P144" i="2"/>
  <c r="I145" i="2"/>
  <c r="O147" i="2"/>
  <c r="L148" i="2"/>
  <c r="P150" i="3"/>
  <c r="G150" i="2" s="1"/>
  <c r="G151" i="2"/>
  <c r="M153" i="2"/>
  <c r="F154" i="2"/>
  <c r="P156" i="2"/>
  <c r="I157" i="2"/>
  <c r="O159" i="2"/>
  <c r="L160" i="2"/>
  <c r="N162" i="2"/>
  <c r="K163" i="2"/>
  <c r="H164" i="2"/>
  <c r="I166" i="2"/>
  <c r="Q168" i="3"/>
  <c r="F168" i="2" s="1"/>
  <c r="F169" i="2"/>
  <c r="N173" i="2"/>
  <c r="I176" i="2"/>
  <c r="L179" i="2"/>
  <c r="L182" i="2"/>
  <c r="F185" i="2"/>
  <c r="P137" i="2"/>
  <c r="I138" i="2"/>
  <c r="O140" i="2"/>
  <c r="L141" i="2"/>
  <c r="N143" i="2"/>
  <c r="K144" i="2"/>
  <c r="H145" i="2"/>
  <c r="J147" i="2"/>
  <c r="G148" i="2"/>
  <c r="O152" i="2"/>
  <c r="L153" i="2"/>
  <c r="N155" i="2"/>
  <c r="K156" i="2"/>
  <c r="H157" i="2"/>
  <c r="J159" i="2"/>
  <c r="G160" i="2"/>
  <c r="M162" i="2"/>
  <c r="F163" i="2"/>
  <c r="P165" i="2"/>
  <c r="F166" i="2"/>
  <c r="I171" i="2"/>
  <c r="K174" i="2"/>
  <c r="K177" i="2"/>
  <c r="F180" i="2"/>
  <c r="N184" i="2"/>
  <c r="N113" i="3"/>
  <c r="I113" i="2" s="1"/>
  <c r="I114" i="2"/>
  <c r="O116" i="2"/>
  <c r="L117" i="2"/>
  <c r="N119" i="2"/>
  <c r="K120" i="2"/>
  <c r="H121" i="2"/>
  <c r="J123" i="2"/>
  <c r="G124" i="2"/>
  <c r="M126" i="2"/>
  <c r="F127" i="2"/>
  <c r="P129" i="2"/>
  <c r="I130" i="2"/>
  <c r="J133" i="2"/>
  <c r="G134" i="2"/>
  <c r="M136" i="2"/>
  <c r="F137" i="2"/>
  <c r="P139" i="2"/>
  <c r="I140" i="2"/>
  <c r="O142" i="2"/>
  <c r="L143" i="2"/>
  <c r="N145" i="2"/>
  <c r="K146" i="2"/>
  <c r="H147" i="2"/>
  <c r="K150" i="3"/>
  <c r="L150" i="2" s="1"/>
  <c r="L151" i="2"/>
  <c r="N153" i="2"/>
  <c r="K154" i="2"/>
  <c r="H155" i="2"/>
  <c r="J157" i="2"/>
  <c r="G158" i="2"/>
  <c r="M160" i="2"/>
  <c r="F161" i="2"/>
  <c r="P163" i="2"/>
  <c r="I164" i="2"/>
  <c r="O166" i="2"/>
  <c r="H168" i="3"/>
  <c r="O168" i="2" s="1"/>
  <c r="O169" i="2"/>
  <c r="M171" i="2"/>
  <c r="O174" i="2"/>
  <c r="O177" i="2"/>
  <c r="M179" i="2"/>
  <c r="O182" i="2"/>
  <c r="O185" i="2"/>
  <c r="P167" i="2"/>
  <c r="K168" i="3"/>
  <c r="L168" i="2" s="1"/>
  <c r="L169" i="2"/>
  <c r="N171" i="2"/>
  <c r="K172" i="2"/>
  <c r="H173" i="2"/>
  <c r="J175" i="2"/>
  <c r="G176" i="2"/>
  <c r="M178" i="2"/>
  <c r="F179" i="2"/>
  <c r="P181" i="2"/>
  <c r="I182" i="2"/>
  <c r="O184" i="2"/>
  <c r="L185" i="2"/>
  <c r="I167" i="2"/>
  <c r="J170" i="2"/>
  <c r="G171" i="2"/>
  <c r="M173" i="2"/>
  <c r="F174" i="2"/>
  <c r="P176" i="2"/>
  <c r="I177" i="2"/>
  <c r="O179" i="2"/>
  <c r="L180" i="2"/>
  <c r="N182" i="2"/>
  <c r="K183" i="2"/>
  <c r="H184" i="2"/>
  <c r="N4" i="3"/>
  <c r="I4" i="2" s="1"/>
  <c r="I5" i="2"/>
  <c r="I9" i="2"/>
  <c r="I13" i="2"/>
  <c r="I17" i="2"/>
  <c r="N28" i="2"/>
  <c r="O33" i="2"/>
  <c r="P38" i="2"/>
  <c r="H44" i="2"/>
  <c r="O81" i="2"/>
  <c r="J104" i="2"/>
  <c r="P8" i="2"/>
  <c r="N14" i="2"/>
  <c r="O19" i="2"/>
  <c r="G25" i="2"/>
  <c r="G29" i="2"/>
  <c r="G33" i="2"/>
  <c r="G37" i="2"/>
  <c r="O43" i="2"/>
  <c r="N48" i="2"/>
  <c r="N84" i="2"/>
  <c r="J112" i="2"/>
  <c r="J6" i="2"/>
  <c r="J10" i="2"/>
  <c r="J14" i="2"/>
  <c r="J18" i="2"/>
  <c r="J40" i="3"/>
  <c r="M40" i="2" s="1"/>
  <c r="M41" i="2"/>
  <c r="M45" i="2"/>
  <c r="L62" i="2"/>
  <c r="L70" i="2"/>
  <c r="P166" i="2"/>
  <c r="O6" i="2"/>
  <c r="L7" i="2"/>
  <c r="N9" i="2"/>
  <c r="K10" i="2"/>
  <c r="H11" i="2"/>
  <c r="J13" i="2"/>
  <c r="G14" i="2"/>
  <c r="M16" i="2"/>
  <c r="F17" i="2"/>
  <c r="P19" i="2"/>
  <c r="I20" i="2"/>
  <c r="I22" i="3"/>
  <c r="N22" i="2" s="1"/>
  <c r="N23" i="2"/>
  <c r="K24" i="2"/>
  <c r="H25" i="2"/>
  <c r="J27" i="2"/>
  <c r="G28" i="2"/>
  <c r="M30" i="2"/>
  <c r="F31" i="2"/>
  <c r="P33" i="2"/>
  <c r="I34" i="2"/>
  <c r="O36" i="2"/>
  <c r="L37" i="2"/>
  <c r="N39" i="2"/>
  <c r="M40" i="3"/>
  <c r="J40" i="2" s="1"/>
  <c r="J41" i="2"/>
  <c r="G42" i="2"/>
  <c r="M44" i="2"/>
  <c r="F45" i="2"/>
  <c r="P47" i="2"/>
  <c r="H48" i="2"/>
  <c r="H52" i="2"/>
  <c r="H56" i="2"/>
  <c r="P62" i="2"/>
  <c r="N68" i="2"/>
  <c r="O73" i="2"/>
  <c r="L89" i="2"/>
  <c r="L134" i="2"/>
  <c r="K4" i="3"/>
  <c r="L4" i="2" s="1"/>
  <c r="L5" i="2"/>
  <c r="N7" i="2"/>
  <c r="K8" i="2"/>
  <c r="H9" i="2"/>
  <c r="J11" i="2"/>
  <c r="G12" i="2"/>
  <c r="M14" i="2"/>
  <c r="F15" i="2"/>
  <c r="P17" i="2"/>
  <c r="I18" i="2"/>
  <c r="O20" i="2"/>
  <c r="L21" i="2"/>
  <c r="O22" i="3"/>
  <c r="H22" i="2" s="1"/>
  <c r="H23" i="2"/>
  <c r="J25" i="2"/>
  <c r="G26" i="2"/>
  <c r="M28" i="2"/>
  <c r="F29" i="2"/>
  <c r="P31" i="2"/>
  <c r="I32" i="2"/>
  <c r="O34" i="2"/>
  <c r="L35" i="2"/>
  <c r="N37" i="2"/>
  <c r="K38" i="2"/>
  <c r="H39" i="2"/>
  <c r="M42" i="2"/>
  <c r="F43" i="2"/>
  <c r="P45" i="2"/>
  <c r="I46" i="2"/>
  <c r="L48" i="2"/>
  <c r="N54" i="2"/>
  <c r="F60" i="2"/>
  <c r="F64" i="2"/>
  <c r="F68" i="2"/>
  <c r="F72" i="2"/>
  <c r="K77" i="3"/>
  <c r="L77" i="2" s="1"/>
  <c r="L78" i="2"/>
  <c r="L82" i="2"/>
  <c r="I86" i="2"/>
  <c r="L93" i="2"/>
  <c r="L116" i="2"/>
  <c r="N156" i="2"/>
  <c r="P4" i="3"/>
  <c r="G4" i="2" s="1"/>
  <c r="G5" i="2"/>
  <c r="M7" i="2"/>
  <c r="F8" i="2"/>
  <c r="P10" i="2"/>
  <c r="I11" i="2"/>
  <c r="O13" i="2"/>
  <c r="L14" i="2"/>
  <c r="N16" i="2"/>
  <c r="K17" i="2"/>
  <c r="H18" i="2"/>
  <c r="J20" i="2"/>
  <c r="G21" i="2"/>
  <c r="P24" i="2"/>
  <c r="I25" i="2"/>
  <c r="O27" i="2"/>
  <c r="L28" i="2"/>
  <c r="N30" i="2"/>
  <c r="K31" i="2"/>
  <c r="H32" i="2"/>
  <c r="J34" i="2"/>
  <c r="G35" i="2"/>
  <c r="M37" i="2"/>
  <c r="F38" i="2"/>
  <c r="H40" i="3"/>
  <c r="O40" i="2" s="1"/>
  <c r="O41" i="2"/>
  <c r="L42" i="2"/>
  <c r="N44" i="2"/>
  <c r="K45" i="2"/>
  <c r="H46" i="2"/>
  <c r="M49" i="2"/>
  <c r="M53" i="2"/>
  <c r="M57" i="2"/>
  <c r="G81" i="2"/>
  <c r="F85" i="2"/>
  <c r="F93" i="2"/>
  <c r="M103" i="2"/>
  <c r="F122" i="2"/>
  <c r="O48" i="2"/>
  <c r="L49" i="2"/>
  <c r="N51" i="2"/>
  <c r="K52" i="2"/>
  <c r="H53" i="2"/>
  <c r="J55" i="2"/>
  <c r="G56" i="2"/>
  <c r="G58" i="3"/>
  <c r="P58" i="2" s="1"/>
  <c r="P59" i="2"/>
  <c r="I60" i="2"/>
  <c r="O62" i="2"/>
  <c r="L63" i="2"/>
  <c r="N65" i="2"/>
  <c r="K66" i="2"/>
  <c r="H67" i="2"/>
  <c r="J69" i="2"/>
  <c r="G70" i="2"/>
  <c r="M72" i="2"/>
  <c r="F73" i="2"/>
  <c r="P75" i="2"/>
  <c r="L77" i="3"/>
  <c r="K77" i="2" s="1"/>
  <c r="K78" i="2"/>
  <c r="H79" i="2"/>
  <c r="J81" i="2"/>
  <c r="G82" i="2"/>
  <c r="M84" i="2"/>
  <c r="M86" i="2"/>
  <c r="M88" i="2"/>
  <c r="M90" i="2"/>
  <c r="M92" i="2"/>
  <c r="M94" i="2"/>
  <c r="J97" i="2"/>
  <c r="O100" i="2"/>
  <c r="K102" i="2"/>
  <c r="P110" i="2"/>
  <c r="N126" i="2"/>
  <c r="J140" i="2"/>
  <c r="J148" i="2"/>
  <c r="O49" i="2"/>
  <c r="L50" i="2"/>
  <c r="N52" i="2"/>
  <c r="K53" i="2"/>
  <c r="H54" i="2"/>
  <c r="J56" i="2"/>
  <c r="G57" i="2"/>
  <c r="P60" i="2"/>
  <c r="I61" i="2"/>
  <c r="O63" i="2"/>
  <c r="L64" i="2"/>
  <c r="N66" i="2"/>
  <c r="K67" i="2"/>
  <c r="H68" i="2"/>
  <c r="J70" i="2"/>
  <c r="G71" i="2"/>
  <c r="M73" i="2"/>
  <c r="F74" i="2"/>
  <c r="I77" i="3"/>
  <c r="N77" i="2" s="1"/>
  <c r="N78" i="2"/>
  <c r="K79" i="2"/>
  <c r="H80" i="2"/>
  <c r="J82" i="2"/>
  <c r="G83" i="2"/>
  <c r="M85" i="2"/>
  <c r="N87" i="2"/>
  <c r="N89" i="2"/>
  <c r="N91" i="2"/>
  <c r="N93" i="2"/>
  <c r="I95" i="3"/>
  <c r="N95" i="2" s="1"/>
  <c r="N96" i="2"/>
  <c r="P98" i="2"/>
  <c r="M100" i="2"/>
  <c r="L105" i="2"/>
  <c r="L115" i="2"/>
  <c r="F126" i="2"/>
  <c r="O157" i="2"/>
  <c r="I48" i="2"/>
  <c r="O50" i="2"/>
  <c r="L51" i="2"/>
  <c r="N53" i="2"/>
  <c r="K54" i="2"/>
  <c r="H55" i="2"/>
  <c r="J57" i="2"/>
  <c r="Q58" i="3"/>
  <c r="F58" i="2" s="1"/>
  <c r="F59" i="2"/>
  <c r="P61" i="2"/>
  <c r="I62" i="2"/>
  <c r="O64" i="2"/>
  <c r="L65" i="2"/>
  <c r="N67" i="2"/>
  <c r="K68" i="2"/>
  <c r="H69" i="2"/>
  <c r="J71" i="2"/>
  <c r="G72" i="2"/>
  <c r="M74" i="2"/>
  <c r="F75" i="2"/>
  <c r="J79" i="2"/>
  <c r="G80" i="2"/>
  <c r="M82" i="2"/>
  <c r="F83" i="2"/>
  <c r="P85" i="2"/>
  <c r="J86" i="2"/>
  <c r="K88" i="2"/>
  <c r="J90" i="2"/>
  <c r="K92" i="2"/>
  <c r="J94" i="2"/>
  <c r="G97" i="2"/>
  <c r="K100" i="2"/>
  <c r="G105" i="2"/>
  <c r="I113" i="3"/>
  <c r="N113" i="2" s="1"/>
  <c r="N114" i="2"/>
  <c r="N130" i="2"/>
  <c r="M139" i="2"/>
  <c r="M147" i="2"/>
  <c r="P86" i="2"/>
  <c r="I87" i="2"/>
  <c r="O89" i="2"/>
  <c r="L90" i="2"/>
  <c r="N92" i="2"/>
  <c r="K93" i="2"/>
  <c r="H94" i="2"/>
  <c r="P97" i="2"/>
  <c r="I98" i="2"/>
  <c r="I100" i="2"/>
  <c r="O102" i="2"/>
  <c r="N104" i="2"/>
  <c r="F105" i="2"/>
  <c r="F107" i="2"/>
  <c r="K109" i="2"/>
  <c r="L111" i="2"/>
  <c r="L113" i="3"/>
  <c r="K113" i="2" s="1"/>
  <c r="K114" i="2"/>
  <c r="F117" i="2"/>
  <c r="N121" i="2"/>
  <c r="I124" i="2"/>
  <c r="K127" i="2"/>
  <c r="K130" i="2"/>
  <c r="N135" i="2"/>
  <c r="H138" i="2"/>
  <c r="H142" i="2"/>
  <c r="H146" i="2"/>
  <c r="J152" i="2"/>
  <c r="J156" i="2"/>
  <c r="J160" i="2"/>
  <c r="J164" i="2"/>
  <c r="M172" i="2"/>
  <c r="M180" i="2"/>
  <c r="P103" i="2"/>
  <c r="O105" i="2"/>
  <c r="P107" i="2"/>
  <c r="O109" i="2"/>
  <c r="P111" i="2"/>
  <c r="M113" i="3"/>
  <c r="J113" i="2" s="1"/>
  <c r="J114" i="2"/>
  <c r="H116" i="2"/>
  <c r="H119" i="2"/>
  <c r="J122" i="2"/>
  <c r="H124" i="2"/>
  <c r="H127" i="2"/>
  <c r="J130" i="2"/>
  <c r="P134" i="2"/>
  <c r="F152" i="2"/>
  <c r="F156" i="2"/>
  <c r="F160" i="2"/>
  <c r="F164" i="2"/>
  <c r="P179" i="2"/>
  <c r="N103" i="2"/>
  <c r="N105" i="2"/>
  <c r="N107" i="2"/>
  <c r="N109" i="2"/>
  <c r="N111" i="2"/>
  <c r="H113" i="3"/>
  <c r="O113" i="2" s="1"/>
  <c r="O114" i="2"/>
  <c r="M116" i="2"/>
  <c r="O119" i="2"/>
  <c r="O122" i="2"/>
  <c r="M124" i="2"/>
  <c r="O127" i="2"/>
  <c r="O130" i="2"/>
  <c r="O133" i="2"/>
  <c r="N136" i="2"/>
  <c r="O141" i="2"/>
  <c r="P146" i="2"/>
  <c r="H171" i="2"/>
  <c r="H179" i="2"/>
  <c r="I97" i="2"/>
  <c r="O99" i="2"/>
  <c r="L100" i="2"/>
  <c r="N102" i="2"/>
  <c r="K103" i="2"/>
  <c r="H104" i="2"/>
  <c r="J106" i="2"/>
  <c r="G107" i="2"/>
  <c r="M109" i="2"/>
  <c r="F110" i="2"/>
  <c r="P112" i="2"/>
  <c r="K113" i="3"/>
  <c r="L113" i="2" s="1"/>
  <c r="L114" i="2"/>
  <c r="N116" i="2"/>
  <c r="K117" i="2"/>
  <c r="H118" i="2"/>
  <c r="J120" i="2"/>
  <c r="G121" i="2"/>
  <c r="M123" i="2"/>
  <c r="F124" i="2"/>
  <c r="P126" i="2"/>
  <c r="I127" i="2"/>
  <c r="O129" i="2"/>
  <c r="L130" i="2"/>
  <c r="O131" i="3"/>
  <c r="H131" i="2" s="1"/>
  <c r="H132" i="2"/>
  <c r="J134" i="2"/>
  <c r="G135" i="2"/>
  <c r="M137" i="2"/>
  <c r="F138" i="2"/>
  <c r="P140" i="2"/>
  <c r="I141" i="2"/>
  <c r="O143" i="2"/>
  <c r="L144" i="2"/>
  <c r="N146" i="2"/>
  <c r="K147" i="2"/>
  <c r="H148" i="2"/>
  <c r="P152" i="2"/>
  <c r="I153" i="2"/>
  <c r="O155" i="2"/>
  <c r="L156" i="2"/>
  <c r="N158" i="2"/>
  <c r="K159" i="2"/>
  <c r="H160" i="2"/>
  <c r="J162" i="2"/>
  <c r="G163" i="2"/>
  <c r="M165" i="2"/>
  <c r="N167" i="2"/>
  <c r="L170" i="2"/>
  <c r="F173" i="2"/>
  <c r="N177" i="2"/>
  <c r="I180" i="2"/>
  <c r="L183" i="2"/>
  <c r="O136" i="2"/>
  <c r="L137" i="2"/>
  <c r="N139" i="2"/>
  <c r="K140" i="2"/>
  <c r="H141" i="2"/>
  <c r="J143" i="2"/>
  <c r="G144" i="2"/>
  <c r="M146" i="2"/>
  <c r="F147" i="2"/>
  <c r="I150" i="3"/>
  <c r="N150" i="2" s="1"/>
  <c r="N151" i="2"/>
  <c r="K152" i="2"/>
  <c r="H153" i="2"/>
  <c r="J155" i="2"/>
  <c r="G156" i="2"/>
  <c r="M158" i="2"/>
  <c r="F159" i="2"/>
  <c r="P161" i="2"/>
  <c r="I162" i="2"/>
  <c r="O164" i="2"/>
  <c r="L165" i="2"/>
  <c r="K167" i="2"/>
  <c r="N172" i="2"/>
  <c r="I175" i="2"/>
  <c r="K178" i="2"/>
  <c r="K181" i="2"/>
  <c r="F184" i="2"/>
  <c r="N115" i="2"/>
  <c r="K116" i="2"/>
  <c r="H117" i="2"/>
  <c r="J119" i="2"/>
  <c r="G120" i="2"/>
  <c r="M122" i="2"/>
  <c r="F123" i="2"/>
  <c r="P125" i="2"/>
  <c r="I126" i="2"/>
  <c r="O128" i="2"/>
  <c r="L129" i="2"/>
  <c r="J131" i="3"/>
  <c r="M131" i="2" s="1"/>
  <c r="M132" i="2"/>
  <c r="F133" i="2"/>
  <c r="P135" i="2"/>
  <c r="I136" i="2"/>
  <c r="O138" i="2"/>
  <c r="L139" i="2"/>
  <c r="N141" i="2"/>
  <c r="K142" i="2"/>
  <c r="H143" i="2"/>
  <c r="J145" i="2"/>
  <c r="G146" i="2"/>
  <c r="M148" i="2"/>
  <c r="O150" i="3"/>
  <c r="H150" i="2" s="1"/>
  <c r="H151" i="2"/>
  <c r="J153" i="2"/>
  <c r="G154" i="2"/>
  <c r="M156" i="2"/>
  <c r="F157" i="2"/>
  <c r="P159" i="2"/>
  <c r="I160" i="2"/>
  <c r="O162" i="2"/>
  <c r="L163" i="2"/>
  <c r="N165" i="2"/>
  <c r="J166" i="2"/>
  <c r="P168" i="3"/>
  <c r="G168" i="2" s="1"/>
  <c r="G169" i="2"/>
  <c r="J172" i="2"/>
  <c r="G174" i="2"/>
  <c r="G177" i="2"/>
  <c r="J180" i="2"/>
  <c r="G182" i="2"/>
  <c r="G185" i="2"/>
  <c r="L167" i="2"/>
  <c r="O168" i="3"/>
  <c r="H168" i="2" s="1"/>
  <c r="H169" i="2"/>
  <c r="J171" i="2"/>
  <c r="G172" i="2"/>
  <c r="M174" i="2"/>
  <c r="F175" i="2"/>
  <c r="P177" i="2"/>
  <c r="I178" i="2"/>
  <c r="O180" i="2"/>
  <c r="L181" i="2"/>
  <c r="N183" i="2"/>
  <c r="K184" i="2"/>
  <c r="H185" i="2"/>
  <c r="J168" i="3"/>
  <c r="M168" i="2" s="1"/>
  <c r="M169" i="2"/>
  <c r="F170" i="2"/>
  <c r="P172" i="2"/>
  <c r="I173" i="2"/>
  <c r="O175" i="2"/>
  <c r="L176" i="2"/>
  <c r="N178" i="2"/>
  <c r="K179" i="2"/>
  <c r="H180" i="2"/>
  <c r="J182" i="2"/>
  <c r="G183" i="2"/>
  <c r="M185" i="2"/>
  <c r="I21" i="2"/>
  <c r="Q51" i="2"/>
  <c r="Q181" i="2"/>
  <c r="Q105" i="2"/>
  <c r="Q87" i="2"/>
  <c r="Q165" i="2"/>
  <c r="F4" i="3"/>
  <c r="Q4" i="2" s="1"/>
  <c r="Q5" i="2"/>
  <c r="F131" i="3"/>
  <c r="Q131" i="2" s="1"/>
  <c r="Q132" i="2"/>
  <c r="Q72" i="2"/>
  <c r="F113" i="3"/>
  <c r="Q113" i="2" s="1"/>
  <c r="Q114" i="2"/>
  <c r="Q20" i="2"/>
  <c r="F58" i="3"/>
  <c r="Q58" i="2" s="1"/>
  <c r="Q59" i="2"/>
  <c r="Q137" i="2"/>
  <c r="Q27" i="2"/>
  <c r="Q164" i="2"/>
  <c r="Q94" i="2"/>
  <c r="Q98" i="2"/>
  <c r="Q176" i="2"/>
  <c r="Q83" i="2"/>
  <c r="Q124" i="2"/>
  <c r="F168" i="3"/>
  <c r="Q168" i="2" s="1"/>
  <c r="Q169" i="2"/>
  <c r="Q36" i="2"/>
  <c r="Q104" i="2"/>
  <c r="Q182" i="2"/>
  <c r="Q37" i="2"/>
  <c r="Q173" i="2"/>
  <c r="Q38" i="2"/>
  <c r="Q121" i="2"/>
  <c r="Q80" i="2"/>
  <c r="Q17" i="2"/>
  <c r="Q115" i="2"/>
  <c r="Q64" i="2"/>
  <c r="Q126" i="2"/>
  <c r="Q12" i="2"/>
  <c r="Q46" i="2"/>
  <c r="Q148" i="2"/>
  <c r="Q162" i="2"/>
  <c r="Q156" i="2"/>
  <c r="Q45" i="2"/>
  <c r="Q138" i="2"/>
  <c r="Q57" i="2"/>
  <c r="Q118" i="2"/>
  <c r="Q146" i="2"/>
  <c r="J22" i="3"/>
  <c r="M22" i="2" s="1"/>
  <c r="M23" i="2"/>
  <c r="M31" i="2"/>
  <c r="M39" i="2"/>
  <c r="M67" i="2"/>
  <c r="M71" i="2"/>
  <c r="L30" i="2"/>
  <c r="L38" i="2"/>
  <c r="F6" i="2"/>
  <c r="F10" i="2"/>
  <c r="F14" i="2"/>
  <c r="F18" i="2"/>
  <c r="N24" i="2"/>
  <c r="O29" i="2"/>
  <c r="P34" i="2"/>
  <c r="N40" i="3"/>
  <c r="I40" i="2" s="1"/>
  <c r="I41" i="2"/>
  <c r="I45" i="2"/>
  <c r="O85" i="2"/>
  <c r="M107" i="2"/>
  <c r="N10" i="2"/>
  <c r="O15" i="2"/>
  <c r="P20" i="2"/>
  <c r="H26" i="2"/>
  <c r="H30" i="2"/>
  <c r="H34" i="2"/>
  <c r="H38" i="2"/>
  <c r="P44" i="2"/>
  <c r="G77" i="3"/>
  <c r="P77" i="2" s="1"/>
  <c r="P78" i="2"/>
  <c r="N86" i="2"/>
  <c r="Q131" i="3"/>
  <c r="F131" i="2" s="1"/>
  <c r="F132" i="2"/>
  <c r="K7" i="2"/>
  <c r="K11" i="2"/>
  <c r="K15" i="2"/>
  <c r="K19" i="2"/>
  <c r="J42" i="2"/>
  <c r="J46" i="2"/>
  <c r="J64" i="2"/>
  <c r="J72" i="2"/>
  <c r="I4" i="3"/>
  <c r="N4" i="2" s="1"/>
  <c r="N5" i="2"/>
  <c r="K6" i="2"/>
  <c r="H7" i="2"/>
  <c r="J9" i="2"/>
  <c r="G10" i="2"/>
  <c r="M12" i="2"/>
  <c r="F13" i="2"/>
  <c r="P15" i="2"/>
  <c r="I16" i="2"/>
  <c r="O18" i="2"/>
  <c r="L19" i="2"/>
  <c r="N21" i="2"/>
  <c r="M22" i="3"/>
  <c r="J22" i="2" s="1"/>
  <c r="J23" i="2"/>
  <c r="G24" i="2"/>
  <c r="M26" i="2"/>
  <c r="F27" i="2"/>
  <c r="P29" i="2"/>
  <c r="I30" i="2"/>
  <c r="O32" i="2"/>
  <c r="L33" i="2"/>
  <c r="N35" i="2"/>
  <c r="K36" i="2"/>
  <c r="H37" i="2"/>
  <c r="J39" i="2"/>
  <c r="Q40" i="3"/>
  <c r="F40" i="2" s="1"/>
  <c r="F41" i="2"/>
  <c r="P43" i="2"/>
  <c r="I44" i="2"/>
  <c r="O46" i="2"/>
  <c r="L47" i="2"/>
  <c r="I49" i="2"/>
  <c r="I53" i="2"/>
  <c r="I57" i="2"/>
  <c r="N64" i="2"/>
  <c r="O69" i="2"/>
  <c r="P74" i="2"/>
  <c r="I90" i="2"/>
  <c r="N152" i="2"/>
  <c r="O4" i="3"/>
  <c r="H4" i="2" s="1"/>
  <c r="H5" i="2"/>
  <c r="J7" i="2"/>
  <c r="G8" i="2"/>
  <c r="M10" i="2"/>
  <c r="F11" i="2"/>
  <c r="P13" i="2"/>
  <c r="I14" i="2"/>
  <c r="O16" i="2"/>
  <c r="L17" i="2"/>
  <c r="N19" i="2"/>
  <c r="K20" i="2"/>
  <c r="H21" i="2"/>
  <c r="M24" i="2"/>
  <c r="F25" i="2"/>
  <c r="P27" i="2"/>
  <c r="I28" i="2"/>
  <c r="O30" i="2"/>
  <c r="L31" i="2"/>
  <c r="N33" i="2"/>
  <c r="K34" i="2"/>
  <c r="H35" i="2"/>
  <c r="J37" i="2"/>
  <c r="G38" i="2"/>
  <c r="G40" i="3"/>
  <c r="P40" i="2" s="1"/>
  <c r="P41" i="2"/>
  <c r="I42" i="2"/>
  <c r="O44" i="2"/>
  <c r="L45" i="2"/>
  <c r="N47" i="2"/>
  <c r="N50" i="2"/>
  <c r="O55" i="2"/>
  <c r="G61" i="2"/>
  <c r="G65" i="2"/>
  <c r="G69" i="2"/>
  <c r="G73" i="2"/>
  <c r="M79" i="2"/>
  <c r="M83" i="2"/>
  <c r="F87" i="2"/>
  <c r="I94" i="2"/>
  <c r="L119" i="2"/>
  <c r="N164" i="2"/>
  <c r="P6" i="2"/>
  <c r="I7" i="2"/>
  <c r="O9" i="2"/>
  <c r="L10" i="2"/>
  <c r="N12" i="2"/>
  <c r="K13" i="2"/>
  <c r="H14" i="2"/>
  <c r="J16" i="2"/>
  <c r="G17" i="2"/>
  <c r="M19" i="2"/>
  <c r="F20" i="2"/>
  <c r="H22" i="3"/>
  <c r="O22" i="2" s="1"/>
  <c r="O23" i="2"/>
  <c r="L24" i="2"/>
  <c r="N26" i="2"/>
  <c r="K27" i="2"/>
  <c r="H28" i="2"/>
  <c r="J30" i="2"/>
  <c r="G31" i="2"/>
  <c r="M33" i="2"/>
  <c r="F34" i="2"/>
  <c r="P36" i="2"/>
  <c r="I37" i="2"/>
  <c r="O39" i="2"/>
  <c r="L40" i="3"/>
  <c r="K40" i="2" s="1"/>
  <c r="K41" i="2"/>
  <c r="H42" i="2"/>
  <c r="J44" i="2"/>
  <c r="G45" i="2"/>
  <c r="M47" i="2"/>
  <c r="J50" i="2"/>
  <c r="J54" i="2"/>
  <c r="O77" i="3"/>
  <c r="H77" i="2" s="1"/>
  <c r="H78" i="2"/>
  <c r="H82" i="2"/>
  <c r="N90" i="2"/>
  <c r="Q95" i="3"/>
  <c r="F95" i="2" s="1"/>
  <c r="F96" i="2"/>
  <c r="J108" i="2"/>
  <c r="F130" i="2"/>
  <c r="K48" i="2"/>
  <c r="H49" i="2"/>
  <c r="J51" i="2"/>
  <c r="G52" i="2"/>
  <c r="M54" i="2"/>
  <c r="F55" i="2"/>
  <c r="P57" i="2"/>
  <c r="K58" i="3"/>
  <c r="L58" i="2" s="1"/>
  <c r="L59" i="2"/>
  <c r="N61" i="2"/>
  <c r="K62" i="2"/>
  <c r="H63" i="2"/>
  <c r="J65" i="2"/>
  <c r="G66" i="2"/>
  <c r="M68" i="2"/>
  <c r="F69" i="2"/>
  <c r="P71" i="2"/>
  <c r="I72" i="2"/>
  <c r="O74" i="2"/>
  <c r="L75" i="2"/>
  <c r="P77" i="3"/>
  <c r="G77" i="2" s="1"/>
  <c r="G78" i="2"/>
  <c r="M80" i="2"/>
  <c r="F81" i="2"/>
  <c r="P83" i="2"/>
  <c r="I84" i="2"/>
  <c r="G86" i="2"/>
  <c r="H88" i="2"/>
  <c r="G90" i="2"/>
  <c r="H92" i="2"/>
  <c r="G94" i="2"/>
  <c r="K98" i="2"/>
  <c r="G100" i="2"/>
  <c r="H103" i="2"/>
  <c r="H111" i="2"/>
  <c r="I129" i="2"/>
  <c r="L142" i="2"/>
  <c r="P175" i="2"/>
  <c r="K49" i="2"/>
  <c r="H50" i="2"/>
  <c r="J52" i="2"/>
  <c r="G53" i="2"/>
  <c r="M55" i="2"/>
  <c r="F56" i="2"/>
  <c r="H58" i="3"/>
  <c r="O58" i="2" s="1"/>
  <c r="O59" i="2"/>
  <c r="L60" i="2"/>
  <c r="N62" i="2"/>
  <c r="K63" i="2"/>
  <c r="H64" i="2"/>
  <c r="J66" i="2"/>
  <c r="G67" i="2"/>
  <c r="M69" i="2"/>
  <c r="F70" i="2"/>
  <c r="P72" i="2"/>
  <c r="I73" i="2"/>
  <c r="O75" i="2"/>
  <c r="M77" i="3"/>
  <c r="J77" i="2" s="1"/>
  <c r="J78" i="2"/>
  <c r="G79" i="2"/>
  <c r="M81" i="2"/>
  <c r="F82" i="2"/>
  <c r="P84" i="2"/>
  <c r="I85" i="2"/>
  <c r="H87" i="2"/>
  <c r="I89" i="2"/>
  <c r="H91" i="2"/>
  <c r="I93" i="2"/>
  <c r="N95" i="3"/>
  <c r="I95" i="2" s="1"/>
  <c r="I96" i="2"/>
  <c r="H98" i="2"/>
  <c r="F100" i="2"/>
  <c r="K106" i="2"/>
  <c r="F118" i="2"/>
  <c r="L128" i="2"/>
  <c r="O161" i="2"/>
  <c r="N49" i="2"/>
  <c r="K50" i="2"/>
  <c r="H51" i="2"/>
  <c r="J53" i="2"/>
  <c r="G54" i="2"/>
  <c r="M56" i="2"/>
  <c r="F57" i="2"/>
  <c r="O60" i="2"/>
  <c r="L61" i="2"/>
  <c r="N63" i="2"/>
  <c r="K64" i="2"/>
  <c r="H65" i="2"/>
  <c r="J67" i="2"/>
  <c r="G68" i="2"/>
  <c r="M70" i="2"/>
  <c r="F71" i="2"/>
  <c r="P73" i="2"/>
  <c r="I74" i="2"/>
  <c r="J77" i="3"/>
  <c r="M77" i="2" s="1"/>
  <c r="M78" i="2"/>
  <c r="F79" i="2"/>
  <c r="P81" i="2"/>
  <c r="I82" i="2"/>
  <c r="O84" i="2"/>
  <c r="L85" i="2"/>
  <c r="L87" i="2"/>
  <c r="M89" i="2"/>
  <c r="L91" i="2"/>
  <c r="M93" i="2"/>
  <c r="J95" i="3"/>
  <c r="M95" i="2" s="1"/>
  <c r="M96" i="2"/>
  <c r="M98" i="2"/>
  <c r="J101" i="2"/>
  <c r="O108" i="2"/>
  <c r="I117" i="2"/>
  <c r="I131" i="3"/>
  <c r="N131" i="2" s="1"/>
  <c r="N132" i="2"/>
  <c r="K141" i="2"/>
  <c r="H170" i="2"/>
  <c r="L86" i="2"/>
  <c r="N88" i="2"/>
  <c r="K89" i="2"/>
  <c r="H90" i="2"/>
  <c r="J92" i="2"/>
  <c r="G93" i="2"/>
  <c r="G95" i="3"/>
  <c r="P95" i="2" s="1"/>
  <c r="P96" i="2"/>
  <c r="K97" i="2"/>
  <c r="L99" i="2"/>
  <c r="P101" i="2"/>
  <c r="I102" i="2"/>
  <c r="I104" i="2"/>
  <c r="O106" i="2"/>
  <c r="N108" i="2"/>
  <c r="F109" i="2"/>
  <c r="F111" i="2"/>
  <c r="K115" i="2"/>
  <c r="K118" i="2"/>
  <c r="F121" i="2"/>
  <c r="N125" i="2"/>
  <c r="I128" i="2"/>
  <c r="L131" i="3"/>
  <c r="K131" i="2" s="1"/>
  <c r="K132" i="2"/>
  <c r="F135" i="2"/>
  <c r="I139" i="2"/>
  <c r="I143" i="2"/>
  <c r="I147" i="2"/>
  <c r="K153" i="2"/>
  <c r="K157" i="2"/>
  <c r="K161" i="2"/>
  <c r="K165" i="2"/>
  <c r="P174" i="2"/>
  <c r="P182" i="2"/>
  <c r="J103" i="2"/>
  <c r="J105" i="2"/>
  <c r="J107" i="2"/>
  <c r="J109" i="2"/>
  <c r="J111" i="2"/>
  <c r="P115" i="2"/>
  <c r="M117" i="2"/>
  <c r="P120" i="2"/>
  <c r="P123" i="2"/>
  <c r="M125" i="2"/>
  <c r="P128" i="2"/>
  <c r="M131" i="3"/>
  <c r="J131" i="2" s="1"/>
  <c r="J132" i="2"/>
  <c r="H134" i="2"/>
  <c r="G153" i="2"/>
  <c r="G157" i="2"/>
  <c r="G161" i="2"/>
  <c r="G165" i="2"/>
  <c r="H182" i="2"/>
  <c r="I103" i="2"/>
  <c r="H105" i="2"/>
  <c r="I107" i="2"/>
  <c r="H109" i="2"/>
  <c r="I111" i="2"/>
  <c r="P113" i="3"/>
  <c r="G113" i="2" s="1"/>
  <c r="G114" i="2"/>
  <c r="J117" i="2"/>
  <c r="G119" i="2"/>
  <c r="G122" i="2"/>
  <c r="J125" i="2"/>
  <c r="G127" i="2"/>
  <c r="G130" i="2"/>
  <c r="G133" i="2"/>
  <c r="O137" i="2"/>
  <c r="P142" i="2"/>
  <c r="N148" i="2"/>
  <c r="J173" i="2"/>
  <c r="J181" i="2"/>
  <c r="N98" i="2"/>
  <c r="K99" i="2"/>
  <c r="H100" i="2"/>
  <c r="J102" i="2"/>
  <c r="G103" i="2"/>
  <c r="M105" i="2"/>
  <c r="F106" i="2"/>
  <c r="P108" i="2"/>
  <c r="I109" i="2"/>
  <c r="O111" i="2"/>
  <c r="L112" i="2"/>
  <c r="O113" i="3"/>
  <c r="H113" i="2" s="1"/>
  <c r="H114" i="2"/>
  <c r="J116" i="2"/>
  <c r="G117" i="2"/>
  <c r="M119" i="2"/>
  <c r="F120" i="2"/>
  <c r="P122" i="2"/>
  <c r="I123" i="2"/>
  <c r="O125" i="2"/>
  <c r="L126" i="2"/>
  <c r="N128" i="2"/>
  <c r="K129" i="2"/>
  <c r="H130" i="2"/>
  <c r="M133" i="2"/>
  <c r="F134" i="2"/>
  <c r="P136" i="2"/>
  <c r="I137" i="2"/>
  <c r="O139" i="2"/>
  <c r="L140" i="2"/>
  <c r="N142" i="2"/>
  <c r="K143" i="2"/>
  <c r="H144" i="2"/>
  <c r="J146" i="2"/>
  <c r="G147" i="2"/>
  <c r="H150" i="3"/>
  <c r="O150" i="2" s="1"/>
  <c r="O151" i="2"/>
  <c r="L152" i="2"/>
  <c r="N154" i="2"/>
  <c r="K155" i="2"/>
  <c r="H156" i="2"/>
  <c r="J158" i="2"/>
  <c r="G159" i="2"/>
  <c r="M161" i="2"/>
  <c r="F162" i="2"/>
  <c r="P164" i="2"/>
  <c r="I165" i="2"/>
  <c r="F167" i="2"/>
  <c r="L171" i="2"/>
  <c r="L174" i="2"/>
  <c r="F177" i="2"/>
  <c r="N181" i="2"/>
  <c r="I184" i="2"/>
  <c r="K136" i="2"/>
  <c r="H137" i="2"/>
  <c r="J139" i="2"/>
  <c r="G140" i="2"/>
  <c r="M142" i="2"/>
  <c r="F143" i="2"/>
  <c r="P145" i="2"/>
  <c r="I146" i="2"/>
  <c r="O148" i="2"/>
  <c r="M150" i="3"/>
  <c r="J150" i="2" s="1"/>
  <c r="J151" i="2"/>
  <c r="G152" i="2"/>
  <c r="M154" i="2"/>
  <c r="F155" i="2"/>
  <c r="P157" i="2"/>
  <c r="I158" i="2"/>
  <c r="O160" i="2"/>
  <c r="L161" i="2"/>
  <c r="N163" i="2"/>
  <c r="K164" i="2"/>
  <c r="H165" i="2"/>
  <c r="L168" i="3"/>
  <c r="K168" i="2" s="1"/>
  <c r="K169" i="2"/>
  <c r="F172" i="2"/>
  <c r="N176" i="2"/>
  <c r="I179" i="2"/>
  <c r="K182" i="2"/>
  <c r="K185" i="2"/>
  <c r="J115" i="2"/>
  <c r="G116" i="2"/>
  <c r="M118" i="2"/>
  <c r="F119" i="2"/>
  <c r="P121" i="2"/>
  <c r="I122" i="2"/>
  <c r="O124" i="2"/>
  <c r="L125" i="2"/>
  <c r="N127" i="2"/>
  <c r="K128" i="2"/>
  <c r="H129" i="2"/>
  <c r="N131" i="3"/>
  <c r="I131" i="2" s="1"/>
  <c r="I132" i="2"/>
  <c r="O134" i="2"/>
  <c r="L135" i="2"/>
  <c r="N137" i="2"/>
  <c r="K138" i="2"/>
  <c r="H139" i="2"/>
  <c r="J141" i="2"/>
  <c r="G142" i="2"/>
  <c r="M144" i="2"/>
  <c r="F145" i="2"/>
  <c r="P147" i="2"/>
  <c r="I148" i="2"/>
  <c r="M152" i="2"/>
  <c r="F153" i="2"/>
  <c r="P155" i="2"/>
  <c r="I156" i="2"/>
  <c r="O158" i="2"/>
  <c r="L159" i="2"/>
  <c r="N161" i="2"/>
  <c r="K162" i="2"/>
  <c r="H163" i="2"/>
  <c r="J165" i="2"/>
  <c r="O167" i="2"/>
  <c r="O170" i="2"/>
  <c r="O173" i="2"/>
  <c r="M175" i="2"/>
  <c r="O178" i="2"/>
  <c r="O181" i="2"/>
  <c r="M183" i="2"/>
  <c r="K166" i="2"/>
  <c r="H167" i="2"/>
  <c r="M170" i="2"/>
  <c r="F171" i="2"/>
  <c r="P173" i="2"/>
  <c r="I174" i="2"/>
  <c r="O176" i="2"/>
  <c r="L177" i="2"/>
  <c r="N179" i="2"/>
  <c r="K180" i="2"/>
  <c r="H181" i="2"/>
  <c r="J183" i="2"/>
  <c r="G184" i="2"/>
  <c r="H166" i="2"/>
  <c r="N168" i="3"/>
  <c r="I168" i="2" s="1"/>
  <c r="I169" i="2"/>
  <c r="O171" i="2"/>
  <c r="L172" i="2"/>
  <c r="N174" i="2"/>
  <c r="K175" i="2"/>
  <c r="H176" i="2"/>
  <c r="J178" i="2"/>
  <c r="G179" i="2"/>
  <c r="M181" i="2"/>
  <c r="F182" i="2"/>
  <c r="P184" i="2"/>
  <c r="I185" i="2"/>
  <c r="Q2" i="2"/>
</calcChain>
</file>

<file path=xl/sharedStrings.xml><?xml version="1.0" encoding="utf-8"?>
<sst xmlns="http://schemas.openxmlformats.org/spreadsheetml/2006/main" count="6695" uniqueCount="155">
  <si>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</si>
  <si>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</si>
  <si>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</si>
  <si>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</si>
  <si>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</si>
  <si>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</si>
  <si>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</si>
  <si>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</si>
  <si>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</si>
  <si>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</si>
  <si>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</si>
  <si>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</si>
  <si>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</si>
  <si>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</si>
  <si>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</si>
  <si>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</si>
  <si>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</si>
  <si>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</si>
  <si>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</si>
  <si>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</si>
  <si>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</si>
  <si>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</si>
  <si>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</si>
  <si>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</si>
  <si>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</si>
  <si>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</si>
  <si>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</si>
  <si>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</si>
  <si>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</si>
  <si>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</si>
  <si>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</si>
  <si>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</si>
  <si>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</si>
  <si>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</si>
  <si>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</si>
  <si>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</si>
  <si>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</si>
  <si>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</si>
  <si>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</si>
  <si>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</si>
  <si>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</si>
  <si>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</si>
  <si>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</si>
  <si>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</si>
  <si>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</si>
  <si>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Liquidity &amp; Coverage:</t>
  </si>
  <si>
    <t/>
  </si>
  <si>
    <t>Heading</t>
  </si>
  <si>
    <t>Cash Ratio</t>
  </si>
  <si>
    <t>BRITBPOV Index</t>
  </si>
  <si>
    <t>Average</t>
  </si>
  <si>
    <t xml:space="preserve">    Accenture PLC</t>
  </si>
  <si>
    <t>ACN US Equity</t>
  </si>
  <si>
    <t>RR256</t>
  </si>
  <si>
    <t>CASH_RATIO</t>
  </si>
  <si>
    <t>Dynamic</t>
  </si>
  <si>
    <t xml:space="preserve">    Amdocs Ltd</t>
  </si>
  <si>
    <t>DOX US Equity</t>
  </si>
  <si>
    <t xml:space="preserve">    Atos SE</t>
  </si>
  <si>
    <t>ATO FP Equity</t>
  </si>
  <si>
    <t xml:space="preserve">    Capgemini SE</t>
  </si>
  <si>
    <t>CAP FP Equity</t>
  </si>
  <si>
    <t xml:space="preserve">    CGI Inc</t>
  </si>
  <si>
    <t>GIB US Equity</t>
  </si>
  <si>
    <t xml:space="preserve">    Cognizant Technology Solutions Corp</t>
  </si>
  <si>
    <t>CTSH US Equity</t>
  </si>
  <si>
    <t xml:space="preserve">    Conduent Inc</t>
  </si>
  <si>
    <t>CNDT US Equity</t>
  </si>
  <si>
    <t xml:space="preserve">    DXC Technology Co</t>
  </si>
  <si>
    <t>DXC US Equity</t>
  </si>
  <si>
    <t xml:space="preserve">    EPAM Systems Inc</t>
  </si>
  <si>
    <t>EPAM US Equity</t>
  </si>
  <si>
    <t xml:space="preserve">    Genpact Ltd</t>
  </si>
  <si>
    <t>G US Equity</t>
  </si>
  <si>
    <t xml:space="preserve">    HCL Technologies Ltd</t>
  </si>
  <si>
    <t>HCLT IN Equity</t>
  </si>
  <si>
    <t xml:space="preserve">    Indra Sistemas SA</t>
  </si>
  <si>
    <t>IDR SM Equity</t>
  </si>
  <si>
    <t xml:space="preserve">    Infosys Ltd</t>
  </si>
  <si>
    <t>INFY US Equity</t>
  </si>
  <si>
    <t xml:space="preserve">    International Business Machines Corp</t>
  </si>
  <si>
    <t>IBM US Equity</t>
  </si>
  <si>
    <t xml:space="preserve">    Tata Consultancy Services Ltd</t>
  </si>
  <si>
    <t>TCS IN Equity</t>
  </si>
  <si>
    <t xml:space="preserve">    Tech Mahindra Ltd</t>
  </si>
  <si>
    <t>TECHM IN Equity</t>
  </si>
  <si>
    <t xml:space="preserve">    Wipro Ltd</t>
  </si>
  <si>
    <t>WIT US Equity</t>
  </si>
  <si>
    <t>Quick Ratio</t>
  </si>
  <si>
    <t>RR054</t>
  </si>
  <si>
    <t>QUICK_RATIO</t>
  </si>
  <si>
    <t>Current Ratio</t>
  </si>
  <si>
    <t>RR053</t>
  </si>
  <si>
    <t>CUR_RATIO</t>
  </si>
  <si>
    <t>Interest Coverage</t>
  </si>
  <si>
    <t>RR060</t>
  </si>
  <si>
    <t>INTEREST_COVERAGE_RATIO</t>
  </si>
  <si>
    <t>Leverage:</t>
  </si>
  <si>
    <t>Total Debt/EV</t>
  </si>
  <si>
    <t>RR481</t>
  </si>
  <si>
    <t>TOTAL_DEBT_TO_EV</t>
  </si>
  <si>
    <t>Total Debt/EBITDA</t>
  </si>
  <si>
    <t>RR052</t>
  </si>
  <si>
    <t>TOT_DEBT_TO_EBITDA</t>
  </si>
  <si>
    <t>Total Debt/Capital</t>
  </si>
  <si>
    <t>RR045</t>
  </si>
  <si>
    <t>TOT_DEBT_TO_TOT_CAP</t>
  </si>
  <si>
    <t>Total Debt/Equity</t>
  </si>
  <si>
    <t>RR732</t>
  </si>
  <si>
    <t>TOT_DEBT_TO_TOT_EQY</t>
  </si>
  <si>
    <t>Composition:</t>
  </si>
  <si>
    <t>Net Debt per Share</t>
  </si>
  <si>
    <t>RX547</t>
  </si>
  <si>
    <t>NET_DEBT_PER_DILUTED_SHARE</t>
  </si>
  <si>
    <t>Days Sales Outstanding</t>
  </si>
  <si>
    <t>RR159</t>
  </si>
  <si>
    <t>ACCT_RCV_DAYS</t>
  </si>
  <si>
    <t>Source: Company Filings</t>
  </si>
  <si>
    <t>~~~~~~~~~~</t>
  </si>
  <si>
    <t>All rows below have been added for reference by formula rows above.</t>
  </si>
  <si>
    <t>Currency</t>
  </si>
  <si>
    <t>USD</t>
  </si>
  <si>
    <t>Periodicity</t>
  </si>
  <si>
    <t>CQ</t>
  </si>
  <si>
    <t>AQ</t>
  </si>
  <si>
    <t>Number of Periods</t>
  </si>
  <si>
    <t>Start Date</t>
  </si>
  <si>
    <t>-12CQ</t>
  </si>
  <si>
    <t>-12AQ</t>
  </si>
  <si>
    <t>End Date</t>
  </si>
  <si>
    <t>HeaderStatus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</si>
  <si>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</si>
  <si>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</si>
  <si>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</si>
  <si>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</si>
  <si>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</si>
  <si>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</si>
  <si>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</si>
  <si>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#N/A Invalid Parameter: Invalid override field id specified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</si>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</sst>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BDH|10702278873349452626</stp>
        <tr r="F315" s="3"/>
      </tp>
      <tp t="s">
        <v>#N/A N/A</v>
        <stp/>
        <stp>BDH|16790749941847988833</stp>
        <tr r="F284" s="3"/>
      </tp>
      <tp t="s">
        <v>#N/A N/A</v>
        <stp/>
        <stp>BDH|11370672029788736771</stp>
        <tr r="F294" s="3"/>
      </tp>
      <tp t="s">
        <v>#N/A N/A</v>
        <stp/>
        <stp>BDH|10233235327829218145</stp>
        <tr r="F257" s="3"/>
      </tp>
      <tp t="s">
        <v>#N/A N/A</v>
        <stp/>
        <stp>BDH|17536324596724643171</stp>
        <tr r="F305" s="3"/>
      </tp>
      <tp t="s">
        <v>#N/A N/A</v>
        <stp/>
        <stp>BDH|10234965580950129966</stp>
        <tr r="F225" s="3"/>
      </tp>
      <tp t="s">
        <v>#N/A N/A</v>
        <stp/>
        <stp>BDH|18359612887328619608</stp>
        <tr r="F205" s="3"/>
      </tp>
      <tp t="s">
        <v>#N/A N/A</v>
        <stp/>
        <stp>BDH|17111919449715883739</stp>
        <tr r="F204" s="3"/>
      </tp>
      <tp t="s">
        <v>#N/A N/A</v>
        <stp/>
        <stp>BDH|12595433584142508423</stp>
        <tr r="F313" s="3"/>
      </tp>
      <tp t="s">
        <v>#N/A N/A</v>
        <stp/>
        <stp>BDH|12819237583410780042</stp>
        <tr r="F325" s="3"/>
      </tp>
      <tp t="s">
        <v>#N/A N/A</v>
        <stp/>
        <stp>BDH|15194552778129680675</stp>
        <tr r="F295" s="3"/>
      </tp>
      <tp t="s">
        <v>#N/A N/A</v>
        <stp/>
        <stp>BDH|17351266558451707941</stp>
        <tr r="F220" s="3"/>
      </tp>
      <tp t="s">
        <v>#N/A N/A</v>
        <stp/>
        <stp>BDH|12794156688556879426</stp>
        <tr r="F270" s="3"/>
      </tp>
      <tp t="s">
        <v>#N/A N/A</v>
        <stp/>
        <stp>BDH|13632861019687951457</stp>
        <tr r="F342" s="3"/>
      </tp>
      <tp t="s">
        <v>#N/A N/A</v>
        <stp/>
        <stp>BDH|17457034015839922625</stp>
        <tr r="C396" s="3"/>
        <tr r="C388" s="3"/>
      </tp>
      <tp t="s">
        <v>#N/A N/A</v>
        <stp/>
        <stp>BDH|10812655061581457827</stp>
        <tr r="F341" s="3"/>
      </tp>
      <tp t="s">
        <v>#N/A N/A</v>
        <stp/>
        <stp>BDH|10173963559040359537</stp>
        <tr r="F283" s="3"/>
      </tp>
      <tp t="s">
        <v>#N/A N/A</v>
        <stp/>
        <stp>BDH|13078274598894902220</stp>
        <tr r="F359" s="3"/>
      </tp>
      <tp t="s">
        <v>#N/A N/A</v>
        <stp/>
        <stp>BDH|13131407980662106378</stp>
        <tr r="F208" s="3"/>
      </tp>
      <tp t="s">
        <v>#N/A N/A</v>
        <stp/>
        <stp>BDH|16317444984923845722</stp>
        <tr r="F274" s="3"/>
      </tp>
      <tp t="s">
        <v>#N/A N/A</v>
        <stp/>
        <stp>BDH|15836925612263187003</stp>
        <tr r="F297" s="3"/>
      </tp>
      <tp t="s">
        <v>#N/A N/A</v>
        <stp/>
        <stp>BDH|17756924562076567085</stp>
        <tr r="F307" s="3"/>
      </tp>
      <tp t="s">
        <v>#N/A N/A</v>
        <stp/>
        <stp>BDH|12898928325064817269</stp>
        <tr r="F258" s="3"/>
      </tp>
      <tp t="s">
        <v>#N/A N/A</v>
        <stp/>
        <stp>BDH|18408787719986531708</stp>
        <tr r="F280" s="3"/>
      </tp>
      <tp t="s">
        <v>#N/A N/A</v>
        <stp/>
        <stp>BDH|12171826438645050382</stp>
        <tr r="F231" s="3"/>
      </tp>
      <tp t="s">
        <v>#N/A N/A</v>
        <stp/>
        <stp>BDH|17755716536579777554</stp>
        <tr r="F352" s="3"/>
      </tp>
      <tp t="s">
        <v>#N/A N/A</v>
        <stp/>
        <stp>BDH|16541497498912260688</stp>
        <tr r="F316" s="3"/>
      </tp>
      <tp t="s">
        <v>#N/A N/A</v>
        <stp/>
        <stp>BDH|11842485445095231878</stp>
        <tr r="F244" s="3"/>
      </tp>
      <tp t="s">
        <v>#N/A N/A</v>
        <stp/>
        <stp>BDH|13439799714730659970</stp>
        <tr r="F230" s="3"/>
      </tp>
      <tp t="s">
        <v>#N/A N/A</v>
        <stp/>
        <stp>BDH|11146858783814558992</stp>
        <tr r="F337" s="3"/>
      </tp>
      <tp t="s">
        <v>#N/A N/A</v>
        <stp/>
        <stp>BDH|14835555940668259116</stp>
        <tr r="F248" s="3"/>
      </tp>
      <tp t="s">
        <v>#N/A N/A</v>
        <stp/>
        <stp>BDH|18365133857943638206</stp>
        <tr r="F343" s="3"/>
      </tp>
      <tp t="s">
        <v>#N/A N/A</v>
        <stp/>
        <stp>BDH|11614459791835667448</stp>
        <tr r="F290" s="3"/>
      </tp>
      <tp t="s">
        <v>#N/A N/A</v>
        <stp/>
        <stp>BDH|15488173694920868071</stp>
        <tr r="F277" s="3"/>
      </tp>
      <tp t="s">
        <v>#N/A N/A</v>
        <stp/>
        <stp>BDH|12726785013971664808</stp>
        <tr r="F324" s="3"/>
      </tp>
      <tp t="s">
        <v>#N/A N/A</v>
        <stp/>
        <stp>BDH|12668612015677493073</stp>
        <tr r="F243" s="3"/>
      </tp>
      <tp t="s">
        <v>#N/A N/A</v>
        <stp/>
        <stp>BDH|13234305377734949109</stp>
        <tr r="F333" s="3"/>
      </tp>
      <tp t="s">
        <v>#N/A N/A</v>
        <stp/>
        <stp>BDH|14679788200130167134</stp>
        <tr r="F344" s="3"/>
      </tp>
      <tp t="s">
        <v>#N/A N/A</v>
        <stp/>
        <stp>BDH|17207731955122485411</stp>
        <tr r="F319" s="3"/>
      </tp>
      <tp t="s">
        <v>#N/A N/A</v>
        <stp/>
        <stp>BDH|11788656490365791845</stp>
        <tr r="F320" s="3"/>
      </tp>
      <tp t="s">
        <v>#N/A N/A</v>
        <stp/>
        <stp>BDH|14032845255003708928</stp>
        <tr r="F269" s="3"/>
      </tp>
      <tp t="s">
        <v>#N/A N/A</v>
        <stp/>
        <stp>BDH|14961208264175884627</stp>
        <tr r="F330" s="3"/>
      </tp>
      <tp t="s">
        <v>#N/A N/A</v>
        <stp/>
        <stp>BDH|15621495121309860917</stp>
        <tr r="F245" s="3"/>
      </tp>
      <tp t="s">
        <v>#N/A N/A</v>
        <stp/>
        <stp>BDH|12657361049781642772</stp>
        <tr r="F216" s="3"/>
      </tp>
      <tp t="s">
        <v>#N/A N/A</v>
        <stp/>
        <stp>BDH|11351489628013800777</stp>
        <tr r="F301" s="3"/>
      </tp>
      <tp t="s">
        <v>#N/A N/A</v>
        <stp/>
        <stp>BDH|16515409165382802548</stp>
        <tr r="F223" s="3"/>
      </tp>
      <tp t="s">
        <v>#N/A N/A</v>
        <stp/>
        <stp>BDH|14257116239294040150</stp>
        <tr r="F331" s="3"/>
      </tp>
      <tp t="s">
        <v>#N/A N/A</v>
        <stp/>
        <stp>BDH|17695584989699250329</stp>
        <tr r="C394" s="3"/>
        <tr r="C386" s="3"/>
      </tp>
      <tp t="s">
        <v>#N/A N/A</v>
        <stp/>
        <stp>BDH|16793906156472139964</stp>
        <tr r="F237" s="3"/>
      </tp>
      <tp t="s">
        <v>#N/A N/A</v>
        <stp/>
        <stp>BDH|10403421305945227079</stp>
        <tr r="F354" s="3"/>
      </tp>
      <tp t="s">
        <v>#N/A N/A</v>
        <stp/>
        <stp>BDH|17842483743373221570</stp>
        <tr r="F214" s="3"/>
      </tp>
      <tp t="s">
        <v>#N/A N/A</v>
        <stp/>
        <stp>BDH|14811475849525728082</stp>
        <tr r="F226" s="3"/>
      </tp>
      <tp t="s">
        <v>#N/A N/A</v>
        <stp/>
        <stp>BDH|13768620491278513594</stp>
        <tr r="F334" s="3"/>
      </tp>
      <tp t="s">
        <v>#N/A N/A</v>
        <stp/>
        <stp>BDH|14913111354944180523</stp>
        <tr r="F338" s="3"/>
      </tp>
      <tp t="s">
        <v>#N/A N/A</v>
        <stp/>
        <stp>BDH|16862733573460298749</stp>
        <tr r="F329" s="3"/>
      </tp>
      <tp t="s">
        <v>#N/A N/A</v>
        <stp/>
        <stp>BDH|17103877538845086800</stp>
        <tr r="F249" s="3"/>
      </tp>
      <tp t="s">
        <v>#N/A N/A</v>
        <stp/>
        <stp>BDH|12223643964916602243</stp>
        <tr r="F357" s="3"/>
      </tp>
      <tp t="s">
        <v>#N/A N/A</v>
        <stp/>
        <stp>BDH|15192404860891206037</stp>
        <tr r="F361" s="3"/>
      </tp>
      <tp t="s">
        <v>#N/A N/A</v>
        <stp/>
        <stp>BDH|11184354144248392879</stp>
        <tr r="F252" s="3"/>
      </tp>
      <tp t="s">
        <v>#N/A N/A</v>
        <stp/>
        <stp>BDH|15557722617167713203</stp>
        <tr r="F253" s="3"/>
      </tp>
      <tp t="s">
        <v>#N/A N/A</v>
        <stp/>
        <stp>BDH|12108300203194082340</stp>
        <tr r="F311" s="3"/>
      </tp>
      <tp t="s">
        <v>#N/A N/A</v>
        <stp/>
        <stp>BDH|17340920144534471880</stp>
        <tr r="F267" s="3"/>
      </tp>
      <tp t="s">
        <v>#N/A N/A</v>
        <stp/>
        <stp>BDH|11584686122871730254</stp>
        <tr r="F224" s="3"/>
      </tp>
      <tp t="s">
        <v>#N/A N/A</v>
        <stp/>
        <stp>BDH|16353094337632652141</stp>
        <tr r="F206" s="3"/>
      </tp>
      <tp t="s">
        <v>#N/A N/A</v>
        <stp/>
        <stp>BDH|15494662513374761179</stp>
        <tr r="F309" s="3"/>
      </tp>
      <tp t="s">
        <v>#N/A N/A</v>
        <stp/>
        <stp>BDH|14543661456300753058</stp>
        <tr r="F233" s="3"/>
      </tp>
      <tp t="s">
        <v>#N/A N/A</v>
        <stp/>
        <stp>BDH|12140363552285698657</stp>
        <tr r="F241" s="3"/>
      </tp>
      <tp t="s">
        <v>#N/A N/A</v>
        <stp/>
        <stp>BDH|13474105229941268645</stp>
        <tr r="F339" s="3"/>
      </tp>
      <tp t="s">
        <v>#N/A N/A</v>
        <stp/>
        <stp>BDH|12211485377390237640</stp>
        <tr r="F332" s="3"/>
      </tp>
      <tp t="s">
        <v>#N/A N/A</v>
        <stp/>
        <stp>BDH|17740486567420555202</stp>
        <tr r="F370" s="3"/>
      </tp>
      <tp t="s">
        <v>#N/A N/A</v>
        <stp/>
        <stp>BDH|12861159929806577301</stp>
        <tr r="F372" s="3"/>
      </tp>
      <tp t="s">
        <v>#N/A N/A</v>
        <stp/>
        <stp>BDH|16105848628071920963</stp>
        <tr r="F351" s="3"/>
      </tp>
      <tp t="s">
        <v>#N/A N/A</v>
        <stp/>
        <stp>BDH|17677570647306188450</stp>
        <tr r="F273" s="3"/>
      </tp>
      <tp t="s">
        <v>#N/A N/A</v>
        <stp/>
        <stp>BDH|10704938299314993038</stp>
        <tr r="F282" s="3"/>
      </tp>
      <tp t="s">
        <v>#N/A N/A</v>
        <stp/>
        <stp>BDH|11010268838576746232</stp>
        <tr r="F207" s="3"/>
      </tp>
      <tp t="s">
        <v>#N/A N/A</v>
        <stp/>
        <stp>BDH|12701373744775461500</stp>
        <tr r="F293" s="3"/>
      </tp>
      <tp t="s">
        <v>#N/A N/A</v>
        <stp/>
        <stp>BDH|14780518103576436228</stp>
        <tr r="F238" s="3"/>
      </tp>
      <tp t="s">
        <v>#N/A N/A</v>
        <stp/>
        <stp>BDH|16120111465797814387</stp>
        <tr r="F350" s="3"/>
      </tp>
      <tp t="s">
        <v>#N/A N/A</v>
        <stp/>
        <stp>BDH|15368134983048702108</stp>
        <tr r="F369" s="3"/>
      </tp>
      <tp t="s">
        <v>#N/A N/A</v>
        <stp/>
        <stp>BDH|17546661001253154778</stp>
        <tr r="F326" s="3"/>
      </tp>
      <tp t="s">
        <v>#N/A N/A</v>
        <stp/>
        <stp>BDH|12641060373431604121</stp>
        <tr r="F212" s="3"/>
      </tp>
      <tp t="s">
        <v>#N/A N/A</v>
        <stp/>
        <stp>BDH|15297956311738904094</stp>
        <tr r="F262" s="3"/>
      </tp>
      <tp t="s">
        <v>#N/A N/A</v>
        <stp/>
        <stp>BDH|17758983850587235954</stp>
        <tr r="F292" s="3"/>
      </tp>
      <tp t="s">
        <v>#N/A N/A</v>
        <stp/>
        <stp>BDH|17853653957432181309</stp>
        <tr r="F302" s="3"/>
      </tp>
      <tp t="s">
        <v>#N/A N/A</v>
        <stp/>
        <stp>BDH|16327193192742459973</stp>
        <tr r="F314" s="3"/>
      </tp>
      <tp t="s">
        <v>#N/A N/A</v>
        <stp/>
        <stp>BDH|17743667543710498093</stp>
        <tr r="F221" s="3"/>
      </tp>
    </main>
    <main first="bofaddin.rtdserver">
      <tp t="s">
        <v>#N/A N/A</v>
        <stp/>
        <stp>BDH|7308794053549364</stp>
        <tr r="F327" s="3"/>
      </tp>
    </main>
    <main first="bloomberg.ccyreader">
      <tp>
        <v>0</v>
        <stp/>
        <stp>#track</stp>
        <stp>DBG</stp>
        <stp>BIHITX</stp>
        <stp>1.0</stp>
        <stp>RepeatHit</stp>
        <tr r="A196" s="3"/>
      </tp>
    </main>
    <main first="bofaddin.rtdserver">
      <tp t="s">
        <v>#N/A N/A</v>
        <stp/>
        <stp>BDH|8280136312833092726</stp>
        <tr r="F259" s="3"/>
      </tp>
      <tp t="s">
        <v>#N/A N/A</v>
        <stp/>
        <stp>BDH|4554710198620385691</stp>
        <tr r="F321" s="3"/>
      </tp>
      <tp t="s">
        <v>#N/A N/A</v>
        <stp/>
        <stp>BDH|9451135423616666053</stp>
        <tr r="F250" s="3"/>
      </tp>
      <tp t="s">
        <v>#N/A N/A</v>
        <stp/>
        <stp>BDH|8002031534257504051</stp>
        <tr r="F263" s="3"/>
      </tp>
      <tp t="s">
        <v>#N/A N/A</v>
        <stp/>
        <stp>BDH|6447881139773345348</stp>
        <tr r="F240" s="3"/>
      </tp>
      <tp t="s">
        <v>#N/A N/A</v>
        <stp/>
        <stp>BDH|4318987929160472253</stp>
        <tr r="F322" s="3"/>
      </tp>
      <tp t="s">
        <v>#N/A N/A</v>
        <stp/>
        <stp>BDH|1440539782501281000</stp>
        <tr r="F318" s="3"/>
      </tp>
      <tp t="s">
        <v>#N/A N/A</v>
        <stp/>
        <stp>BDH|2279236138695235816</stp>
        <tr r="F232" s="3"/>
      </tp>
      <tp t="s">
        <v>#N/A N/A</v>
        <stp/>
        <stp>BDH|7502351753248939704</stp>
        <tr r="F279" s="3"/>
      </tp>
      <tp t="s">
        <v>#N/A N/A</v>
        <stp/>
        <stp>BDH|8982194408662299505</stp>
        <tr r="F323" s="3"/>
      </tp>
      <tp t="s">
        <v>#N/A N/A</v>
        <stp/>
        <stp>BDH|6430005183720419085</stp>
        <tr r="F254" s="3"/>
      </tp>
      <tp t="s">
        <v>#N/A N/A</v>
        <stp/>
        <stp>BDH|8006787686210734911</stp>
        <tr r="F299" s="3"/>
      </tp>
      <tp t="s">
        <v>#N/A N/A</v>
        <stp/>
        <stp>BDH|9038845327808745559</stp>
        <tr r="F289" s="3"/>
      </tp>
      <tp t="s">
        <v>#N/A N/A</v>
        <stp/>
        <stp>BDH|6015352025991267856</stp>
        <tr r="F356" s="3"/>
      </tp>
      <tp t="s">
        <v>#N/A N/A</v>
        <stp/>
        <stp>BDH|3485583847018492572</stp>
        <tr r="F353" s="3"/>
      </tp>
      <tp t="s">
        <v>#N/A N/A</v>
        <stp/>
        <stp>BDH|7918350917808053297</stp>
        <tr r="F345" s="3"/>
      </tp>
      <tp t="s">
        <v>#N/A N/A</v>
        <stp/>
        <stp>BDH|8377662353576176249</stp>
        <tr r="F247" s="3"/>
      </tp>
      <tp t="s">
        <v>#N/A N/A</v>
        <stp/>
        <stp>BDH|6507466250009027173</stp>
        <tr r="F229" s="3"/>
      </tp>
      <tp t="s">
        <v>#N/A N/A</v>
        <stp/>
        <stp>BDH|9688611510642113485</stp>
        <tr r="F340" s="3"/>
      </tp>
      <tp t="s">
        <v>#N/A N/A</v>
        <stp/>
        <stp>BDH|5162722520010419868</stp>
        <tr r="F235" s="3"/>
      </tp>
      <tp t="s">
        <v>#N/A N/A</v>
        <stp/>
        <stp>BDH|9370487293989970565</stp>
        <tr r="F209" s="3"/>
      </tp>
      <tp t="s">
        <v>#N/A N/A</v>
        <stp/>
        <stp>BDH|9664538244162307263</stp>
        <tr r="F272" s="3"/>
      </tp>
      <tp t="s">
        <v>#N/A N/A</v>
        <stp/>
        <stp>BDH|1549298421838049071</stp>
        <tr r="F276" s="3"/>
      </tp>
      <tp t="s">
        <v>#N/A N/A</v>
        <stp/>
        <stp>BDH|2905649886291731401</stp>
        <tr r="F291" s="3"/>
      </tp>
      <tp t="s">
        <v>#N/A N/A</v>
        <stp/>
        <stp>BDH|7804704614690827861</stp>
        <tr r="F364" s="3"/>
      </tp>
      <tp t="s">
        <v>#N/A N/A</v>
        <stp/>
        <stp>BDH|3341203459136231857</stp>
        <tr r="F251" s="3"/>
      </tp>
      <tp t="s">
        <v>#N/A N/A</v>
        <stp/>
        <stp>BDH|6014845396318331558</stp>
        <tr r="F255" s="3"/>
      </tp>
      <tp t="s">
        <v>#N/A N/A</v>
        <stp/>
        <stp>BDH|6793494394999017952</stp>
        <tr r="F335" s="3"/>
      </tp>
      <tp t="s">
        <v>#N/A N/A</v>
        <stp/>
        <stp>BDH|3698431973969342266</stp>
        <tr r="F285" s="3"/>
      </tp>
      <tp t="s">
        <v>#N/A N/A</v>
        <stp/>
        <stp>BDH|2860716920525884968</stp>
        <tr r="F298" s="3"/>
      </tp>
      <tp t="s">
        <v>#N/A N/A</v>
        <stp/>
        <stp>BDH|2847922692832287424</stp>
        <tr r="F288" s="3"/>
      </tp>
      <tp t="s">
        <v>#N/A N/A</v>
        <stp/>
        <stp>BDH|6023303909140265169</stp>
        <tr r="F217" s="3"/>
      </tp>
      <tp t="s">
        <v>#N/A N/A</v>
        <stp/>
        <stp>BDH|2946344571656500496</stp>
        <tr r="F328" s="3"/>
      </tp>
      <tp t="s">
        <v>#N/A N/A</v>
        <stp/>
        <stp>BDH|1933412853794950053</stp>
        <tr r="F278" s="3"/>
      </tp>
      <tp t="s">
        <v>#N/A N/A</v>
        <stp/>
        <stp>BDH|9312263590872806558</stp>
        <tr r="F362" s="3"/>
      </tp>
      <tp t="s">
        <v>#N/A N/A</v>
        <stp/>
        <stp>BDH|7299092774591289451</stp>
        <tr r="F355" s="3"/>
      </tp>
      <tp t="s">
        <v>#N/A N/A</v>
        <stp/>
        <stp>BDH|1624420349600764429</stp>
        <tr r="F367" s="3"/>
      </tp>
      <tp t="s">
        <v>#N/A N/A</v>
        <stp/>
        <stp>BDH|3810315056549165972</stp>
        <tr r="F265" s="3"/>
      </tp>
      <tp t="s">
        <v>#N/A N/A</v>
        <stp/>
        <stp>BDH|8081240682080327754</stp>
        <tr r="F366" s="3"/>
      </tp>
      <tp t="s">
        <v>#N/A N/A</v>
        <stp/>
        <stp>BDH|6227919920080450819</stp>
        <tr r="F219" s="3"/>
      </tp>
      <tp t="s">
        <v>#N/A N/A</v>
        <stp/>
        <stp>BDH|7999478178582945381</stp>
        <tr r="F296" s="3"/>
      </tp>
      <tp t="s">
        <v>#N/A N/A</v>
        <stp/>
        <stp>BDH|79351727761508864</stp>
        <tr r="F358" s="3"/>
      </tp>
      <tp t="s">
        <v>#N/A N/A</v>
        <stp/>
        <stp>BDH|7041451425117203090</stp>
        <tr r="F286" s="3"/>
      </tp>
      <tp t="s">
        <v>#N/A N/A</v>
        <stp/>
        <stp>BDH|1763150838603789661</stp>
        <tr r="F218" s="3"/>
      </tp>
      <tp t="s">
        <v>#N/A N/A</v>
        <stp/>
        <stp>BDH|7997541916016498361</stp>
        <tr r="F312" s="3"/>
      </tp>
      <tp t="s">
        <v>#N/A N/A</v>
        <stp/>
        <stp>BDH|7658102420986059483</stp>
        <tr r="F266" s="3"/>
      </tp>
      <tp t="s">
        <v>#N/A N/A</v>
        <stp/>
        <stp>BDH|9839447220059617069</stp>
        <tr r="F261" s="3"/>
      </tp>
      <tp t="s">
        <v>#N/A N/A</v>
        <stp/>
        <stp>BDH|5709041002820482364</stp>
        <tr r="F300" s="3"/>
      </tp>
      <tp t="s">
        <v>#N/A N/A</v>
        <stp/>
        <stp>BDH|2146192388549737476</stp>
        <tr r="F271" s="3"/>
      </tp>
      <tp t="s">
        <v>#N/A N/A</v>
        <stp/>
        <stp>BDH|3068177917700131557</stp>
        <tr r="F303" s="3"/>
      </tp>
      <tp t="s">
        <v>#N/A N/A</v>
        <stp/>
        <stp>BDH|9456673267326383932</stp>
        <tr r="F317" s="3"/>
      </tp>
      <tp t="s">
        <v>#N/A N/A</v>
        <stp/>
        <stp>BDH|7796855337873524958</stp>
        <tr r="F227" s="3"/>
      </tp>
      <tp t="s">
        <v>#N/A N/A</v>
        <stp/>
        <stp>BDH|5429086699172103980</stp>
        <tr r="F236" s="3"/>
      </tp>
      <tp t="s">
        <v>#N/A N/A</v>
        <stp/>
        <stp>BDH|2340921846831044970</stp>
        <tr r="F268" s="3"/>
      </tp>
      <tp t="s">
        <v>#N/A N/A</v>
        <stp/>
        <stp>BDH|4370064623647723666</stp>
        <tr r="C398" s="3"/>
        <tr r="C390" s="3"/>
      </tp>
      <tp t="s">
        <v>#N/A N/A</v>
        <stp/>
        <stp>BDH|5957530749896386552</stp>
        <tr r="F308" s="3"/>
      </tp>
      <tp t="s">
        <v>#N/A N/A</v>
        <stp/>
        <stp>BDH|44906965340651538</stp>
        <tr r="F222" s="3"/>
      </tp>
      <tp t="s">
        <v>#N/A N/A</v>
        <stp/>
        <stp>BDH|7955183501767802114</stp>
        <tr r="F371" s="3"/>
      </tp>
      <tp t="s">
        <v>#N/A N/A</v>
        <stp/>
        <stp>BDH|6751666419159344853</stp>
        <tr r="F310" s="3"/>
      </tp>
      <tp t="s">
        <v>#N/A N/A</v>
        <stp/>
        <stp>BDH|1442126437402998154</stp>
        <tr r="F213" s="3"/>
      </tp>
      <tp t="s">
        <v>#N/A N/A</v>
        <stp/>
        <stp>BDH|2777010857461422661</stp>
        <tr r="F373" s="3"/>
      </tp>
      <tp t="s">
        <v>#N/A N/A</v>
        <stp/>
        <stp>BDH|3636294090778873062</stp>
        <tr r="F246" s="3"/>
      </tp>
      <tp t="s">
        <v>#N/A N/A</v>
        <stp/>
        <stp>BDH|7968226765001385333</stp>
        <tr r="F239" s="3"/>
      </tp>
      <tp t="s">
        <v>#N/A N/A</v>
        <stp/>
        <stp>BDH|8535837895029374167</stp>
        <tr r="F360" s="3"/>
      </tp>
      <tp t="s">
        <v>#N/A N/A</v>
        <stp/>
        <stp>BDH|6692368309657602052</stp>
        <tr r="F210" s="3"/>
      </tp>
      <tp t="s">
        <v>#N/A N/A</v>
        <stp/>
        <stp>BDH|9647439116627786983</stp>
        <tr r="F256" s="3"/>
      </tp>
      <tp t="s">
        <v>#N/A N/A</v>
        <stp/>
        <stp>BDH|4714726071186869008</stp>
        <tr r="F306" s="3"/>
      </tp>
      <tp t="s">
        <v>#N/A N/A</v>
        <stp/>
        <stp>BDH|3194341982299197334</stp>
        <tr r="F349" s="3"/>
      </tp>
      <tp t="s">
        <v>#N/A N/A</v>
        <stp/>
        <stp>BDH|6385680531218367821</stp>
        <tr r="F304" s="3"/>
      </tp>
      <tp t="s">
        <v>#N/A N/A</v>
        <stp/>
        <stp>BDH|8895195708543336938</stp>
        <tr r="F264" s="3"/>
      </tp>
      <tp t="s">
        <v>#N/A N/A</v>
        <stp/>
        <stp>BDH|5081512469500772514</stp>
        <tr r="F363" s="3"/>
      </tp>
      <tp t="s">
        <v>#N/A N/A</v>
        <stp/>
        <stp>BDH|2063217819171623324</stp>
        <tr r="F365" s="3"/>
      </tp>
      <tp t="s">
        <v>#N/A N/A</v>
        <stp/>
        <stp>BDH|4371950822008021462</stp>
        <tr r="F260" s="3"/>
      </tp>
      <tp t="s">
        <v>#N/A N/A</v>
        <stp/>
        <stp>BDH|1117674173823468035</stp>
        <tr r="F368" s="3"/>
      </tp>
      <tp t="s">
        <v>#N/A N/A</v>
        <stp/>
        <stp>BDH|4135602275234267274</stp>
        <tr r="F211" s="3"/>
      </tp>
      <tp t="s">
        <v>#N/A N/A</v>
        <stp/>
        <stp>BDH|538422740536773337</stp>
        <tr r="F346" s="3"/>
      </tp>
      <tp t="s">
        <v>#N/A N/A</v>
        <stp/>
        <stp>BDH|836403257815186037</stp>
        <tr r="F287" s="3"/>
      </tp>
      <tp t="s">
        <v>#N/A N/A</v>
        <stp/>
        <stp>BDH|685824940718396580</stp>
        <tr r="F275" s="3"/>
      </tp>
      <tp t="s">
        <v>#N/A N/A</v>
        <stp/>
        <stp>BDH|978003580419762072</stp>
        <tr r="F242" s="3"/>
      </tp>
      <tp t="s">
        <v>#N/A N/A</v>
        <stp/>
        <stp>BDH|319209875654792082</stp>
        <tr r="F336" s="3"/>
      </tp>
      <tp t="s">
        <v>#N/A N/A</v>
        <stp/>
        <stp>BDH|971942669535745893</stp>
        <tr r="F281" s="3"/>
      </tp>
      <tp t="s">
        <v>#N/A N/A</v>
        <stp/>
        <stp>BDH|930447240034015672</stp>
        <tr r="F348" s="3"/>
      </tp>
      <tp t="s">
        <v>#N/A N/A</v>
        <stp/>
        <stp>BDH|831546412730513693</stp>
        <tr r="F347" s="3"/>
      </tp>
      <tp t="s">
        <v>#N/A N/A</v>
        <stp/>
        <stp>BDH|798982598008728553</stp>
        <tr r="F215" s="3"/>
      </tp>
      <tp t="s">
        <v>#N/A N/A</v>
        <stp/>
        <stp>BDH|828825507943754249</stp>
        <tr r="F228" s="3"/>
      </tp>
      <tp t="s">
        <v>#N/A N/A</v>
        <stp/>
        <stp>BDH|771286617778729288</stp>
        <tr r="F23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6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IFERROR(IF(0=LEN(ReferenceData!$Q$2),"",ReferenceData!$Q$2),"")</f>
        <v>2017 Q2</v>
      </c>
      <c r="G2" t="str">
        <f>IFERROR(IF(0=LEN(ReferenceData!$P$2),"",ReferenceData!$P$2),"")</f>
        <v>2017 Q3</v>
      </c>
      <c r="H2" t="str">
        <f>IFERROR(IF(0=LEN(ReferenceData!$O$2),"",ReferenceData!$O$2),"")</f>
        <v>2017 Q4</v>
      </c>
      <c r="I2" t="str">
        <f>IFERROR(IF(0=LEN(ReferenceData!$N$2),"",ReferenceData!$N$2),"")</f>
        <v>2018 Q1</v>
      </c>
      <c r="J2" t="str">
        <f>IFERROR(IF(0=LEN(ReferenceData!$M$2),"",ReferenceData!$M$2),"")</f>
        <v>2018 Q2</v>
      </c>
      <c r="K2" t="str">
        <f>IFERROR(IF(0=LEN(ReferenceData!$L$2),"",ReferenceData!$L$2),"")</f>
        <v>2018 Q3</v>
      </c>
      <c r="L2" t="str">
        <f>IFERROR(IF(0=LEN(ReferenceData!$K$2),"",ReferenceData!$K$2),"")</f>
        <v>2018 Q4</v>
      </c>
      <c r="M2" t="str">
        <f>IFERROR(IF(0=LEN(ReferenceData!$J$2),"",ReferenceData!$J$2),"")</f>
        <v>2019 Q1</v>
      </c>
      <c r="N2" t="str">
        <f>IFERROR(IF(0=LEN(ReferenceData!$I$2),"",ReferenceData!$I$2),"")</f>
        <v>2019 Q2</v>
      </c>
      <c r="O2" t="str">
        <f>IFERROR(IF(0=LEN(ReferenceData!$H$2),"",ReferenceData!$H$2),"")</f>
        <v>2019 Q3</v>
      </c>
      <c r="P2" t="str">
        <f>IFERROR(IF(0=LEN(ReferenceData!$G$2),"",ReferenceData!$G$2),"")</f>
        <v>2019 Q4</v>
      </c>
      <c r="Q2" t="str">
        <f>IFERROR(IF(0=LEN(ReferenceData!$F$2),"",ReferenceData!$F$2),"")</f>
        <v>2020 Q1</v>
      </c>
    </row>
    <row r="3" spans="1:17" x14ac:dyDescent="0.25">
      <c r="A3" t="str">
        <f>IFERROR(IF(0=LEN(ReferenceData!$A$3),"",ReferenceData!$A$3),"")</f>
        <v>Liquidity &amp; Coverage: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IFERROR(IF(0=LEN(ReferenceData!$Q$3),"",ReferenceData!$Q$3),"")</f>
        <v/>
      </c>
      <c r="G3" t="str">
        <f>IFERROR(IF(0=LEN(ReferenceData!$P$3),"",ReferenceData!$P$3),"")</f>
        <v/>
      </c>
      <c r="H3" t="str">
        <f>IFERROR(IF(0=LEN(ReferenceData!$O$3),"",ReferenceData!$O$3),"")</f>
        <v/>
      </c>
      <c r="I3" t="str">
        <f>IFERROR(IF(0=LEN(ReferenceData!$N$3),"",ReferenceData!$N$3),"")</f>
        <v/>
      </c>
      <c r="J3" t="str">
        <f>IFERROR(IF(0=LEN(ReferenceData!$M$3),"",ReferenceData!$M$3),"")</f>
        <v/>
      </c>
      <c r="K3" t="str">
        <f>IFERROR(IF(0=LEN(ReferenceData!$L$3),"",ReferenceData!$L$3),"")</f>
        <v/>
      </c>
      <c r="L3" t="str">
        <f>IFERROR(IF(0=LEN(ReferenceData!$K$3),"",ReferenceData!$K$3),"")</f>
        <v/>
      </c>
      <c r="M3" t="str">
        <f>IFERROR(IF(0=LEN(ReferenceData!$J$3),"",ReferenceData!$J$3),"")</f>
        <v/>
      </c>
      <c r="N3" t="str">
        <f>IFERROR(IF(0=LEN(ReferenceData!$I$3),"",ReferenceData!$I$3),"")</f>
        <v/>
      </c>
      <c r="O3" t="str">
        <f>IFERROR(IF(0=LEN(ReferenceData!$H$3),"",ReferenceData!$H$3),"")</f>
        <v/>
      </c>
      <c r="P3" t="str">
        <f>IFERROR(IF(0=LEN(ReferenceData!$G$3),"",ReferenceData!$G$3),"")</f>
        <v/>
      </c>
      <c r="Q3" t="str">
        <f>IFERROR(IF(0=LEN(ReferenceData!$F$3),"",ReferenceData!$F$3),"")</f>
        <v/>
      </c>
    </row>
    <row r="4" spans="1:17" x14ac:dyDescent="0.25">
      <c r="A4" t="str">
        <f>IFERROR(IF(0=LEN(ReferenceData!$A$4),"",ReferenceData!$A$4),"")</f>
        <v>Cash Ratio</v>
      </c>
      <c r="B4" t="str">
        <f>IFERROR(IF(0=LEN(ReferenceData!$B$4),"",ReferenceData!$B$4),"")</f>
        <v>BRITBPOV Index</v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Average</v>
      </c>
      <c r="F4">
        <f ca="1">IFERROR(IF(0=LEN(ReferenceData!$Q$4),"",ReferenceData!$Q$4),"")</f>
        <v>1.0537361824000002</v>
      </c>
      <c r="G4">
        <f ca="1">IFERROR(IF(0=LEN(ReferenceData!$P$4),"",ReferenceData!$P$4),"")</f>
        <v>1.0590876486666665</v>
      </c>
      <c r="H4">
        <f ca="1">IFERROR(IF(0=LEN(ReferenceData!$O$4),"",ReferenceData!$O$4),"")</f>
        <v>1.0047671467999999</v>
      </c>
      <c r="I4">
        <f ca="1">IFERROR(IF(0=LEN(ReferenceData!$N$4),"",ReferenceData!$N$4),"")</f>
        <v>0.98298611026666671</v>
      </c>
      <c r="J4">
        <f ca="1">IFERROR(IF(0=LEN(ReferenceData!$M$4),"",ReferenceData!$M$4),"")</f>
        <v>0.97479307920000002</v>
      </c>
      <c r="K4">
        <f ca="1">IFERROR(IF(0=LEN(ReferenceData!$L$4),"",ReferenceData!$L$4),"")</f>
        <v>0.93438412553333328</v>
      </c>
      <c r="L4">
        <f ca="1">IFERROR(IF(0=LEN(ReferenceData!$K$4),"",ReferenceData!$K$4),"")</f>
        <v>0.95415577320000011</v>
      </c>
      <c r="M4">
        <f ca="1">IFERROR(IF(0=LEN(ReferenceData!$J$4),"",ReferenceData!$J$4),"")</f>
        <v>0.91400741353333326</v>
      </c>
      <c r="N4">
        <f ca="1">IFERROR(IF(0=LEN(ReferenceData!$I$4),"",ReferenceData!$I$4),"")</f>
        <v>0.89471657780000002</v>
      </c>
      <c r="O4">
        <f ca="1">IFERROR(IF(0=LEN(ReferenceData!$H$4),"",ReferenceData!$H$4),"")</f>
        <v>0.80879871079999999</v>
      </c>
      <c r="P4">
        <f ca="1">IFERROR(IF(0=LEN(ReferenceData!$G$4),"",ReferenceData!$G$4),"")</f>
        <v>0.77763008968750003</v>
      </c>
      <c r="Q4">
        <f ca="1">IFERROR(IF(0=LEN(ReferenceData!$F$4),"",ReferenceData!$F$4),"")</f>
        <v>0.82311241053333317</v>
      </c>
    </row>
    <row r="5" spans="1:17" x14ac:dyDescent="0.25">
      <c r="A5" t="str">
        <f>IFERROR(IF(0=LEN(ReferenceData!$A$5),"",ReferenceData!$A$5),"")</f>
        <v xml:space="preserve">    Accenture PLC</v>
      </c>
      <c r="B5" t="str">
        <f>IFERROR(IF(0=LEN(ReferenceData!$B$5),"",ReferenceData!$B$5),"")</f>
        <v>ACN US Equity</v>
      </c>
      <c r="C5" t="str">
        <f>IFERROR(IF(0=LEN(ReferenceData!$C$5),"",ReferenceData!$C$5),"")</f>
        <v>RR256</v>
      </c>
      <c r="D5" t="str">
        <f>IFERROR(IF(0=LEN(ReferenceData!$D$5),"",ReferenceData!$D$5),"")</f>
        <v>CASH_RATIO</v>
      </c>
      <c r="E5" t="str">
        <f>IFERROR(IF(0=LEN(ReferenceData!$E$5),"",ReferenceData!$E$5),"")</f>
        <v>Dynamic</v>
      </c>
      <c r="F5">
        <f ca="1">IFERROR(IF(0=LEN(ReferenceData!$Q$5),"",ReferenceData!$Q$5),"")</f>
        <v>0.36975385999999999</v>
      </c>
      <c r="G5">
        <f ca="1">IFERROR(IF(0=LEN(ReferenceData!$P$5),"",ReferenceData!$P$5),"")</f>
        <v>0.42037395300000002</v>
      </c>
      <c r="H5">
        <f ca="1">IFERROR(IF(0=LEN(ReferenceData!$O$5),"",ReferenceData!$O$5),"")</f>
        <v>0.37335326899999999</v>
      </c>
      <c r="I5">
        <f ca="1">IFERROR(IF(0=LEN(ReferenceData!$N$5),"",ReferenceData!$N$5),"")</f>
        <v>0.384130103</v>
      </c>
      <c r="J5">
        <f ca="1">IFERROR(IF(0=LEN(ReferenceData!$M$5),"",ReferenceData!$M$5),"")</f>
        <v>0.41158386899999999</v>
      </c>
      <c r="K5">
        <f ca="1">IFERROR(IF(0=LEN(ReferenceData!$L$5),"",ReferenceData!$L$5),"")</f>
        <v>0.498884577</v>
      </c>
      <c r="L5">
        <f ca="1">IFERROR(IF(0=LEN(ReferenceData!$K$5),"",ReferenceData!$K$5),"")</f>
        <v>0.42912364800000002</v>
      </c>
      <c r="M5">
        <f ca="1">IFERROR(IF(0=LEN(ReferenceData!$J$5),"",ReferenceData!$J$5),"")</f>
        <v>0.437222681</v>
      </c>
      <c r="N5">
        <f ca="1">IFERROR(IF(0=LEN(ReferenceData!$I$5),"",ReferenceData!$I$5),"")</f>
        <v>0.45228410499999999</v>
      </c>
      <c r="O5">
        <f ca="1">IFERROR(IF(0=LEN(ReferenceData!$H$5),"",ReferenceData!$H$5),"")</f>
        <v>0.55416955599999995</v>
      </c>
      <c r="P5">
        <f ca="1">IFERROR(IF(0=LEN(ReferenceData!$G$5),"",ReferenceData!$G$5),"")</f>
        <v>0.51912029599999998</v>
      </c>
      <c r="Q5">
        <f ca="1">IFERROR(IF(0=LEN(ReferenceData!$F$5),"",ReferenceData!$F$5),"")</f>
        <v>0.48669760699999998</v>
      </c>
    </row>
    <row r="6" spans="1:17" x14ac:dyDescent="0.25">
      <c r="A6" t="str">
        <f>IFERROR(IF(0=LEN(ReferenceData!$A$6),"",ReferenceData!$A$6),"")</f>
        <v xml:space="preserve">    Amdocs Ltd</v>
      </c>
      <c r="B6" t="str">
        <f>IFERROR(IF(0=LEN(ReferenceData!$B$6),"",ReferenceData!$B$6),"")</f>
        <v>DOX US Equity</v>
      </c>
      <c r="C6" t="str">
        <f>IFERROR(IF(0=LEN(ReferenceData!$C$6),"",ReferenceData!$C$6),"")</f>
        <v>RR256</v>
      </c>
      <c r="D6" t="str">
        <f>IFERROR(IF(0=LEN(ReferenceData!$D$6),"",ReferenceData!$D$6),"")</f>
        <v>CASH_RATIO</v>
      </c>
      <c r="E6" t="str">
        <f>IFERROR(IF(0=LEN(ReferenceData!$E$6),"",ReferenceData!$E$6),"")</f>
        <v>Dynamic</v>
      </c>
      <c r="F6">
        <f ca="1">IFERROR(IF(0=LEN(ReferenceData!$Q$6),"",ReferenceData!$Q$6),"")</f>
        <v>0.81809748599999998</v>
      </c>
      <c r="G6">
        <f ca="1">IFERROR(IF(0=LEN(ReferenceData!$P$6),"",ReferenceData!$P$6),"")</f>
        <v>0.83516888199999995</v>
      </c>
      <c r="H6">
        <f ca="1">IFERROR(IF(0=LEN(ReferenceData!$O$6),"",ReferenceData!$O$6),"")</f>
        <v>0.79065332099999996</v>
      </c>
      <c r="I6">
        <f ca="1">IFERROR(IF(0=LEN(ReferenceData!$N$6),"",ReferenceData!$N$6),"")</f>
        <v>0.47962067200000003</v>
      </c>
      <c r="J6">
        <f ca="1">IFERROR(IF(0=LEN(ReferenceData!$M$6),"",ReferenceData!$M$6),"")</f>
        <v>0.42543167500000001</v>
      </c>
      <c r="K6">
        <f ca="1">IFERROR(IF(0=LEN(ReferenceData!$L$6),"",ReferenceData!$L$6),"")</f>
        <v>0.40095230999999998</v>
      </c>
      <c r="L6">
        <f ca="1">IFERROR(IF(0=LEN(ReferenceData!$K$6),"",ReferenceData!$K$6),"")</f>
        <v>0.36009349200000002</v>
      </c>
      <c r="M6">
        <f ca="1">IFERROR(IF(0=LEN(ReferenceData!$J$6),"",ReferenceData!$J$6),"")</f>
        <v>0.37053522500000002</v>
      </c>
      <c r="N6">
        <f ca="1">IFERROR(IF(0=LEN(ReferenceData!$I$6),"",ReferenceData!$I$6),"")</f>
        <v>0.38689447799999999</v>
      </c>
      <c r="O6">
        <f ca="1">IFERROR(IF(0=LEN(ReferenceData!$H$6),"",ReferenceData!$H$6),"")</f>
        <v>0.39044646599999999</v>
      </c>
      <c r="P6">
        <f ca="1">IFERROR(IF(0=LEN(ReferenceData!$G$6),"",ReferenceData!$G$6),"")</f>
        <v>0.38303536700000002</v>
      </c>
      <c r="Q6">
        <f ca="1">IFERROR(IF(0=LEN(ReferenceData!$F$6),"",ReferenceData!$F$6),"")</f>
        <v>0.48672798499999997</v>
      </c>
    </row>
    <row r="7" spans="1:17" x14ac:dyDescent="0.25">
      <c r="A7" t="str">
        <f>IFERROR(IF(0=LEN(ReferenceData!$A$7),"",ReferenceData!$A$7),"")</f>
        <v xml:space="preserve">    Atos SE</v>
      </c>
      <c r="B7" t="str">
        <f>IFERROR(IF(0=LEN(ReferenceData!$B$7),"",ReferenceData!$B$7),"")</f>
        <v>ATO FP Equity</v>
      </c>
      <c r="C7" t="str">
        <f>IFERROR(IF(0=LEN(ReferenceData!$C$7),"",ReferenceData!$C$7),"")</f>
        <v>RR256</v>
      </c>
      <c r="D7" t="str">
        <f>IFERROR(IF(0=LEN(ReferenceData!$D$7),"",ReferenceData!$D$7),"")</f>
        <v>CASH_RATIO</v>
      </c>
      <c r="E7" t="str">
        <f>IFERROR(IF(0=LEN(ReferenceData!$E$7),"",ReferenceData!$E$7),"")</f>
        <v>Dynamic</v>
      </c>
      <c r="F7" t="str">
        <f ca="1">IFERROR(IF(0=LEN(ReferenceData!$Q$7),"",ReferenceData!$Q$7),"")</f>
        <v/>
      </c>
      <c r="G7" t="str">
        <f ca="1">IFERROR(IF(0=LEN(ReferenceData!$P$7),"",ReferenceData!$P$7),"")</f>
        <v/>
      </c>
      <c r="H7" t="str">
        <f ca="1">IFERROR(IF(0=LEN(ReferenceData!$O$7),"",ReferenceData!$O$7),"")</f>
        <v/>
      </c>
      <c r="I7" t="str">
        <f ca="1">IFERROR(IF(0=LEN(ReferenceData!$N$7),"",ReferenceData!$N$7),"")</f>
        <v/>
      </c>
      <c r="J7" t="str">
        <f ca="1">IFERROR(IF(0=LEN(ReferenceData!$M$7),"",ReferenceData!$M$7),"")</f>
        <v/>
      </c>
      <c r="K7" t="str">
        <f ca="1">IFERROR(IF(0=LEN(ReferenceData!$L$7),"",ReferenceData!$L$7),"")</f>
        <v/>
      </c>
      <c r="L7" t="str">
        <f ca="1">IFERROR(IF(0=LEN(ReferenceData!$K$7),"",ReferenceData!$K$7),"")</f>
        <v/>
      </c>
      <c r="M7" t="str">
        <f ca="1">IFERROR(IF(0=LEN(ReferenceData!$J$7),"",ReferenceData!$J$7),"")</f>
        <v/>
      </c>
      <c r="N7" t="str">
        <f ca="1">IFERROR(IF(0=LEN(ReferenceData!$I$7),"",ReferenceData!$I$7),"")</f>
        <v/>
      </c>
      <c r="O7" t="str">
        <f ca="1">IFERROR(IF(0=LEN(ReferenceData!$H$7),"",ReferenceData!$H$7),"")</f>
        <v/>
      </c>
      <c r="P7" t="str">
        <f ca="1">IFERROR(IF(0=LEN(ReferenceData!$G$7),"",ReferenceData!$G$7),"")</f>
        <v/>
      </c>
      <c r="Q7" t="str">
        <f ca="1">IFERROR(IF(0=LEN(ReferenceData!$F$7),"",ReferenceData!$F$7),"")</f>
        <v/>
      </c>
    </row>
    <row r="8" spans="1:17" x14ac:dyDescent="0.25">
      <c r="A8" t="str">
        <f>IFERROR(IF(0=LEN(ReferenceData!$A$8),"",ReferenceData!$A$8),"")</f>
        <v xml:space="preserve">    Capgemini SE</v>
      </c>
      <c r="B8" t="str">
        <f>IFERROR(IF(0=LEN(ReferenceData!$B$8),"",ReferenceData!$B$8),"")</f>
        <v>CAP FP Equity</v>
      </c>
      <c r="C8" t="str">
        <f>IFERROR(IF(0=LEN(ReferenceData!$C$8),"",ReferenceData!$C$8),"")</f>
        <v>RR256</v>
      </c>
      <c r="D8" t="str">
        <f>IFERROR(IF(0=LEN(ReferenceData!$D$8),"",ReferenceData!$D$8),"")</f>
        <v>CASH_RATIO</v>
      </c>
      <c r="E8" t="str">
        <f>IFERROR(IF(0=LEN(ReferenceData!$E$8),"",ReferenceData!$E$8),"")</f>
        <v>Dynamic</v>
      </c>
      <c r="F8" t="str">
        <f ca="1">IFERROR(IF(0=LEN(ReferenceData!$Q$8),"",ReferenceData!$Q$8),"")</f>
        <v/>
      </c>
      <c r="G8" t="str">
        <f ca="1">IFERROR(IF(0=LEN(ReferenceData!$P$8),"",ReferenceData!$P$8),"")</f>
        <v/>
      </c>
      <c r="H8" t="str">
        <f ca="1">IFERROR(IF(0=LEN(ReferenceData!$O$8),"",ReferenceData!$O$8),"")</f>
        <v/>
      </c>
      <c r="I8" t="str">
        <f ca="1">IFERROR(IF(0=LEN(ReferenceData!$N$8),"",ReferenceData!$N$8),"")</f>
        <v/>
      </c>
      <c r="J8" t="str">
        <f ca="1">IFERROR(IF(0=LEN(ReferenceData!$M$8),"",ReferenceData!$M$8),"")</f>
        <v/>
      </c>
      <c r="K8" t="str">
        <f ca="1">IFERROR(IF(0=LEN(ReferenceData!$L$8),"",ReferenceData!$L$8),"")</f>
        <v/>
      </c>
      <c r="L8" t="str">
        <f ca="1">IFERROR(IF(0=LEN(ReferenceData!$K$8),"",ReferenceData!$K$8),"")</f>
        <v/>
      </c>
      <c r="M8" t="str">
        <f ca="1">IFERROR(IF(0=LEN(ReferenceData!$J$8),"",ReferenceData!$J$8),"")</f>
        <v/>
      </c>
      <c r="N8" t="str">
        <f ca="1">IFERROR(IF(0=LEN(ReferenceData!$I$8),"",ReferenceData!$I$8),"")</f>
        <v/>
      </c>
      <c r="O8" t="str">
        <f ca="1">IFERROR(IF(0=LEN(ReferenceData!$H$8),"",ReferenceData!$H$8),"")</f>
        <v/>
      </c>
      <c r="P8">
        <f ca="1">IFERROR(IF(0=LEN(ReferenceData!$G$8),"",ReferenceData!$G$8),"")</f>
        <v>0.52226562499999996</v>
      </c>
      <c r="Q8" t="str">
        <f ca="1">IFERROR(IF(0=LEN(ReferenceData!$F$8),"",ReferenceData!$F$8),"")</f>
        <v/>
      </c>
    </row>
    <row r="9" spans="1:17" x14ac:dyDescent="0.25">
      <c r="A9" t="str">
        <f>IFERROR(IF(0=LEN(ReferenceData!$A$9),"",ReferenceData!$A$9),"")</f>
        <v xml:space="preserve">    CGI Inc</v>
      </c>
      <c r="B9" t="str">
        <f>IFERROR(IF(0=LEN(ReferenceData!$B$9),"",ReferenceData!$B$9),"")</f>
        <v>GIB US Equity</v>
      </c>
      <c r="C9" t="str">
        <f>IFERROR(IF(0=LEN(ReferenceData!$C$9),"",ReferenceData!$C$9),"")</f>
        <v>RR256</v>
      </c>
      <c r="D9" t="str">
        <f>IFERROR(IF(0=LEN(ReferenceData!$D$9),"",ReferenceData!$D$9),"")</f>
        <v>CASH_RATIO</v>
      </c>
      <c r="E9" t="str">
        <f>IFERROR(IF(0=LEN(ReferenceData!$E$9),"",ReferenceData!$E$9),"")</f>
        <v>Dynamic</v>
      </c>
      <c r="F9">
        <f ca="1">IFERROR(IF(0=LEN(ReferenceData!$Q$9),"",ReferenceData!$Q$9),"")</f>
        <v>0.10768053399999999</v>
      </c>
      <c r="G9">
        <f ca="1">IFERROR(IF(0=LEN(ReferenceData!$P$9),"",ReferenceData!$P$9),"")</f>
        <v>6.1398827000000003E-2</v>
      </c>
      <c r="H9">
        <f ca="1">IFERROR(IF(0=LEN(ReferenceData!$O$9),"",ReferenceData!$O$9),"")</f>
        <v>7.4320510000000006E-2</v>
      </c>
      <c r="I9">
        <f ca="1">IFERROR(IF(0=LEN(ReferenceData!$N$9),"",ReferenceData!$N$9),"")</f>
        <v>8.6017291999999995E-2</v>
      </c>
      <c r="J9">
        <f ca="1">IFERROR(IF(0=LEN(ReferenceData!$M$9),"",ReferenceData!$M$9),"")</f>
        <v>5.2731338000000003E-2</v>
      </c>
      <c r="K9">
        <f ca="1">IFERROR(IF(0=LEN(ReferenceData!$L$9),"",ReferenceData!$L$9),"")</f>
        <v>5.9009824000000002E-2</v>
      </c>
      <c r="L9">
        <f ca="1">IFERROR(IF(0=LEN(ReferenceData!$K$9),"",ReferenceData!$K$9),"")</f>
        <v>0.12434891100000001</v>
      </c>
      <c r="M9">
        <f ca="1">IFERROR(IF(0=LEN(ReferenceData!$J$9),"",ReferenceData!$J$9),"")</f>
        <v>0.173428676</v>
      </c>
      <c r="N9">
        <f ca="1">IFERROR(IF(0=LEN(ReferenceData!$I$9),"",ReferenceData!$I$9),"")</f>
        <v>7.2395377999999996E-2</v>
      </c>
      <c r="O9">
        <f ca="1">IFERROR(IF(0=LEN(ReferenceData!$H$9),"",ReferenceData!$H$9),"")</f>
        <v>7.4140734999999999E-2</v>
      </c>
      <c r="P9">
        <f ca="1">IFERROR(IF(0=LEN(ReferenceData!$G$9),"",ReferenceData!$G$9),"")</f>
        <v>6.0729305999999997E-2</v>
      </c>
      <c r="Q9">
        <f ca="1">IFERROR(IF(0=LEN(ReferenceData!$F$9),"",ReferenceData!$F$9),"")</f>
        <v>8.7733261000000007E-2</v>
      </c>
    </row>
    <row r="10" spans="1:17" x14ac:dyDescent="0.25">
      <c r="A10" t="str">
        <f>IFERROR(IF(0=LEN(ReferenceData!$A$10),"",ReferenceData!$A$10),"")</f>
        <v xml:space="preserve">    Cognizant Technology Solutions Corp</v>
      </c>
      <c r="B10" t="str">
        <f>IFERROR(IF(0=LEN(ReferenceData!$B$10),"",ReferenceData!$B$10),"")</f>
        <v>CTSH US Equity</v>
      </c>
      <c r="C10" t="str">
        <f>IFERROR(IF(0=LEN(ReferenceData!$C$10),"",ReferenceData!$C$10),"")</f>
        <v>RR256</v>
      </c>
      <c r="D10" t="str">
        <f>IFERROR(IF(0=LEN(ReferenceData!$D$10),"",ReferenceData!$D$10),"")</f>
        <v>CASH_RATIO</v>
      </c>
      <c r="E10" t="str">
        <f>IFERROR(IF(0=LEN(ReferenceData!$E$10),"",ReferenceData!$E$10),"")</f>
        <v>Dynamic</v>
      </c>
      <c r="F10">
        <f ca="1">IFERROR(IF(0=LEN(ReferenceData!$Q$10),"",ReferenceData!$Q$10),"")</f>
        <v>1.812836439</v>
      </c>
      <c r="G10">
        <f ca="1">IFERROR(IF(0=LEN(ReferenceData!$P$10),"",ReferenceData!$P$10),"")</f>
        <v>1.8126923079999999</v>
      </c>
      <c r="H10">
        <f ca="1">IFERROR(IF(0=LEN(ReferenceData!$O$10),"",ReferenceData!$O$10),"")</f>
        <v>1.780908771</v>
      </c>
      <c r="I10">
        <f ca="1">IFERROR(IF(0=LEN(ReferenceData!$N$10),"",ReferenceData!$N$10),"")</f>
        <v>1.956257594</v>
      </c>
      <c r="J10">
        <f ca="1">IFERROR(IF(0=LEN(ReferenceData!$M$10),"",ReferenceData!$M$10),"")</f>
        <v>1.674024438</v>
      </c>
      <c r="K10">
        <f ca="1">IFERROR(IF(0=LEN(ReferenceData!$L$10),"",ReferenceData!$L$10),"")</f>
        <v>1.7686594879999999</v>
      </c>
      <c r="L10">
        <f ca="1">IFERROR(IF(0=LEN(ReferenceData!$K$10),"",ReferenceData!$K$10),"")</f>
        <v>1.6645756460000001</v>
      </c>
      <c r="M10">
        <f ca="1">IFERROR(IF(0=LEN(ReferenceData!$J$10),"",ReferenceData!$J$10),"")</f>
        <v>1.348529412</v>
      </c>
      <c r="N10">
        <f ca="1">IFERROR(IF(0=LEN(ReferenceData!$I$10),"",ReferenceData!$I$10),"")</f>
        <v>1.0633852690000001</v>
      </c>
      <c r="O10">
        <f ca="1">IFERROR(IF(0=LEN(ReferenceData!$H$10),"",ReferenceData!$H$10),"")</f>
        <v>1.0541281259999999</v>
      </c>
      <c r="P10">
        <f ca="1">IFERROR(IF(0=LEN(ReferenceData!$G$10),"",ReferenceData!$G$10),"")</f>
        <v>1.1478377470000001</v>
      </c>
      <c r="Q10">
        <f ca="1">IFERROR(IF(0=LEN(ReferenceData!$F$10),"",ReferenceData!$F$10),"")</f>
        <v>1.490947075</v>
      </c>
    </row>
    <row r="11" spans="1:17" x14ac:dyDescent="0.25">
      <c r="A11" t="str">
        <f>IFERROR(IF(0=LEN(ReferenceData!$A$11),"",ReferenceData!$A$11),"")</f>
        <v xml:space="preserve">    Conduent Inc</v>
      </c>
      <c r="B11" t="str">
        <f>IFERROR(IF(0=LEN(ReferenceData!$B$11),"",ReferenceData!$B$11),"")</f>
        <v>CNDT US Equity</v>
      </c>
      <c r="C11" t="str">
        <f>IFERROR(IF(0=LEN(ReferenceData!$C$11),"",ReferenceData!$C$11),"")</f>
        <v>RR256</v>
      </c>
      <c r="D11" t="str">
        <f>IFERROR(IF(0=LEN(ReferenceData!$D$11),"",ReferenceData!$D$11),"")</f>
        <v>CASH_RATIO</v>
      </c>
      <c r="E11" t="str">
        <f>IFERROR(IF(0=LEN(ReferenceData!$E$11),"",ReferenceData!$E$11),"")</f>
        <v>Dynamic</v>
      </c>
      <c r="F11">
        <f ca="1">IFERROR(IF(0=LEN(ReferenceData!$Q$11),"",ReferenceData!$Q$11),"")</f>
        <v>0.254950495</v>
      </c>
      <c r="G11">
        <f ca="1">IFERROR(IF(0=LEN(ReferenceData!$P$11),"",ReferenceData!$P$11),"")</f>
        <v>0.38550247100000001</v>
      </c>
      <c r="H11">
        <f ca="1">IFERROR(IF(0=LEN(ReferenceData!$O$11),"",ReferenceData!$O$11),"")</f>
        <v>0.48099415200000001</v>
      </c>
      <c r="I11">
        <f ca="1">IFERROR(IF(0=LEN(ReferenceData!$N$11),"",ReferenceData!$N$11),"")</f>
        <v>0.40247452700000003</v>
      </c>
      <c r="J11">
        <f ca="1">IFERROR(IF(0=LEN(ReferenceData!$M$11),"",ReferenceData!$M$11),"")</f>
        <v>0.75628332099999995</v>
      </c>
      <c r="K11">
        <f ca="1">IFERROR(IF(0=LEN(ReferenceData!$L$11),"",ReferenceData!$L$11),"")</f>
        <v>0.46842526000000001</v>
      </c>
      <c r="L11">
        <f ca="1">IFERROR(IF(0=LEN(ReferenceData!$K$11),"",ReferenceData!$K$11),"")</f>
        <v>0.63157894699999995</v>
      </c>
      <c r="M11">
        <f ca="1">IFERROR(IF(0=LEN(ReferenceData!$J$11),"",ReferenceData!$J$11),"")</f>
        <v>0.36262203599999998</v>
      </c>
      <c r="N11">
        <f ca="1">IFERROR(IF(0=LEN(ReferenceData!$I$11),"",ReferenceData!$I$11),"")</f>
        <v>0.226787182</v>
      </c>
      <c r="O11">
        <f ca="1">IFERROR(IF(0=LEN(ReferenceData!$H$11),"",ReferenceData!$H$11),"")</f>
        <v>0.203027605</v>
      </c>
      <c r="P11">
        <f ca="1">IFERROR(IF(0=LEN(ReferenceData!$G$11),"",ReferenceData!$G$11),"")</f>
        <v>0.42141036500000001</v>
      </c>
      <c r="Q11">
        <f ca="1">IFERROR(IF(0=LEN(ReferenceData!$F$11),"",ReferenceData!$F$11),"")</f>
        <v>0.38611925699999999</v>
      </c>
    </row>
    <row r="12" spans="1:17" x14ac:dyDescent="0.25">
      <c r="A12" t="str">
        <f>IFERROR(IF(0=LEN(ReferenceData!$A$12),"",ReferenceData!$A$12),"")</f>
        <v xml:space="preserve">    DXC Technology Co</v>
      </c>
      <c r="B12" t="str">
        <f>IFERROR(IF(0=LEN(ReferenceData!$B$12),"",ReferenceData!$B$12),"")</f>
        <v>DXC US Equity</v>
      </c>
      <c r="C12" t="str">
        <f>IFERROR(IF(0=LEN(ReferenceData!$C$12),"",ReferenceData!$C$12),"")</f>
        <v>RR256</v>
      </c>
      <c r="D12" t="str">
        <f>IFERROR(IF(0=LEN(ReferenceData!$D$12),"",ReferenceData!$D$12),"")</f>
        <v>CASH_RATIO</v>
      </c>
      <c r="E12" t="str">
        <f>IFERROR(IF(0=LEN(ReferenceData!$E$12),"",ReferenceData!$E$12),"")</f>
        <v>Dynamic</v>
      </c>
      <c r="F12">
        <f ca="1">IFERROR(IF(0=LEN(ReferenceData!$Q$12),"",ReferenceData!$Q$12),"")</f>
        <v>0.31108639199999999</v>
      </c>
      <c r="G12">
        <f ca="1">IFERROR(IF(0=LEN(ReferenceData!$P$12),"",ReferenceData!$P$12),"")</f>
        <v>0.28303486300000003</v>
      </c>
      <c r="H12">
        <f ca="1">IFERROR(IF(0=LEN(ReferenceData!$O$12),"",ReferenceData!$O$12),"")</f>
        <v>0.30358995599999999</v>
      </c>
      <c r="I12">
        <f ca="1">IFERROR(IF(0=LEN(ReferenceData!$N$12),"",ReferenceData!$N$12),"")</f>
        <v>0.26319529000000003</v>
      </c>
      <c r="J12">
        <f ca="1">IFERROR(IF(0=LEN(ReferenceData!$M$12),"",ReferenceData!$M$12),"")</f>
        <v>0.27689499699999998</v>
      </c>
      <c r="K12">
        <f ca="1">IFERROR(IF(0=LEN(ReferenceData!$L$12),"",ReferenceData!$L$12),"")</f>
        <v>0.32652102399999999</v>
      </c>
      <c r="L12">
        <f ca="1">IFERROR(IF(0=LEN(ReferenceData!$K$12),"",ReferenceData!$K$12),"")</f>
        <v>0.29042478300000002</v>
      </c>
      <c r="M12">
        <f ca="1">IFERROR(IF(0=LEN(ReferenceData!$J$12),"",ReferenceData!$J$12),"")</f>
        <v>0.30667513000000002</v>
      </c>
      <c r="N12">
        <f ca="1">IFERROR(IF(0=LEN(ReferenceData!$I$12),"",ReferenceData!$I$12),"")</f>
        <v>0.200042836</v>
      </c>
      <c r="O12">
        <f ca="1">IFERROR(IF(0=LEN(ReferenceData!$H$12),"",ReferenceData!$H$12),"")</f>
        <v>0.32092712299999998</v>
      </c>
      <c r="P12">
        <f ca="1">IFERROR(IF(0=LEN(ReferenceData!$G$12),"",ReferenceData!$G$12),"")</f>
        <v>0.29143898000000001</v>
      </c>
      <c r="Q12">
        <f ca="1">IFERROR(IF(0=LEN(ReferenceData!$F$12),"",ReferenceData!$F$12),"")</f>
        <v>0.46599113399999997</v>
      </c>
    </row>
    <row r="13" spans="1:17" x14ac:dyDescent="0.25">
      <c r="A13" t="str">
        <f>IFERROR(IF(0=LEN(ReferenceData!$A$13),"",ReferenceData!$A$13),"")</f>
        <v xml:space="preserve">    EPAM Systems Inc</v>
      </c>
      <c r="B13" t="str">
        <f>IFERROR(IF(0=LEN(ReferenceData!$B$13),"",ReferenceData!$B$13),"")</f>
        <v>EPAM US Equity</v>
      </c>
      <c r="C13" t="str">
        <f>IFERROR(IF(0=LEN(ReferenceData!$C$13),"",ReferenceData!$C$13),"")</f>
        <v>RR256</v>
      </c>
      <c r="D13" t="str">
        <f>IFERROR(IF(0=LEN(ReferenceData!$D$13),"",ReferenceData!$D$13),"")</f>
        <v>CASH_RATIO</v>
      </c>
      <c r="E13" t="str">
        <f>IFERROR(IF(0=LEN(ReferenceData!$E$13),"",ReferenceData!$E$13),"")</f>
        <v>Dynamic</v>
      </c>
      <c r="F13">
        <f ca="1">IFERROR(IF(0=LEN(ReferenceData!$Q$13),"",ReferenceData!$Q$13),"")</f>
        <v>3.405782522</v>
      </c>
      <c r="G13">
        <f ca="1">IFERROR(IF(0=LEN(ReferenceData!$P$13),"",ReferenceData!$P$13),"")</f>
        <v>3.2235507980000002</v>
      </c>
      <c r="H13">
        <f ca="1">IFERROR(IF(0=LEN(ReferenceData!$O$13),"",ReferenceData!$O$13),"")</f>
        <v>3.2192886000000001</v>
      </c>
      <c r="I13">
        <f ca="1">IFERROR(IF(0=LEN(ReferenceData!$N$13),"",ReferenceData!$N$13),"")</f>
        <v>2.9785056810000001</v>
      </c>
      <c r="J13">
        <f ca="1">IFERROR(IF(0=LEN(ReferenceData!$M$13),"",ReferenceData!$M$13),"")</f>
        <v>3.219655919</v>
      </c>
      <c r="K13">
        <f ca="1">IFERROR(IF(0=LEN(ReferenceData!$L$13),"",ReferenceData!$L$13),"")</f>
        <v>3.1004149829999998</v>
      </c>
      <c r="L13">
        <f ca="1">IFERROR(IF(0=LEN(ReferenceData!$K$13),"",ReferenceData!$K$13),"")</f>
        <v>2.931792154</v>
      </c>
      <c r="M13">
        <f ca="1">IFERROR(IF(0=LEN(ReferenceData!$J$13),"",ReferenceData!$J$13),"")</f>
        <v>2.698587233</v>
      </c>
      <c r="N13">
        <f ca="1">IFERROR(IF(0=LEN(ReferenceData!$I$13),"",ReferenceData!$I$13),"")</f>
        <v>2.8515226660000002</v>
      </c>
      <c r="O13">
        <f ca="1">IFERROR(IF(0=LEN(ReferenceData!$H$13),"",ReferenceData!$H$13),"")</f>
        <v>2.7394002629999998</v>
      </c>
      <c r="P13">
        <f ca="1">IFERROR(IF(0=LEN(ReferenceData!$G$13),"",ReferenceData!$G$13),"")</f>
        <v>2.4203562239999998</v>
      </c>
      <c r="Q13">
        <f ca="1">IFERROR(IF(0=LEN(ReferenceData!$F$13),"",ReferenceData!$F$13),"")</f>
        <v>2.3534641079999998</v>
      </c>
    </row>
    <row r="14" spans="1:17" x14ac:dyDescent="0.25">
      <c r="A14" t="str">
        <f>IFERROR(IF(0=LEN(ReferenceData!$A$14),"",ReferenceData!$A$14),"")</f>
        <v xml:space="preserve">    Genpact Ltd</v>
      </c>
      <c r="B14" t="str">
        <f>IFERROR(IF(0=LEN(ReferenceData!$B$14),"",ReferenceData!$B$14),"")</f>
        <v>G US Equity</v>
      </c>
      <c r="C14" t="str">
        <f>IFERROR(IF(0=LEN(ReferenceData!$C$14),"",ReferenceData!$C$14),"")</f>
        <v>RR256</v>
      </c>
      <c r="D14" t="str">
        <f>IFERROR(IF(0=LEN(ReferenceData!$D$14),"",ReferenceData!$D$14),"")</f>
        <v>CASH_RATIO</v>
      </c>
      <c r="E14" t="str">
        <f>IFERROR(IF(0=LEN(ReferenceData!$E$14),"",ReferenceData!$E$14),"")</f>
        <v>Dynamic</v>
      </c>
      <c r="F14">
        <f ca="1">IFERROR(IF(0=LEN(ReferenceData!$Q$14),"",ReferenceData!$Q$14),"")</f>
        <v>0.57571137699999997</v>
      </c>
      <c r="G14">
        <f ca="1">IFERROR(IF(0=LEN(ReferenceData!$P$14),"",ReferenceData!$P$14),"")</f>
        <v>0.53459684900000004</v>
      </c>
      <c r="H14">
        <f ca="1">IFERROR(IF(0=LEN(ReferenceData!$O$14),"",ReferenceData!$O$14),"")</f>
        <v>0.60142778100000005</v>
      </c>
      <c r="I14">
        <f ca="1">IFERROR(IF(0=LEN(ReferenceData!$N$14),"",ReferenceData!$N$14),"")</f>
        <v>0.48695003399999998</v>
      </c>
      <c r="J14">
        <f ca="1">IFERROR(IF(0=LEN(ReferenceData!$M$14),"",ReferenceData!$M$14),"")</f>
        <v>0.41073258299999998</v>
      </c>
      <c r="K14">
        <f ca="1">IFERROR(IF(0=LEN(ReferenceData!$L$14),"",ReferenceData!$L$14),"")</f>
        <v>0.398762854</v>
      </c>
      <c r="L14">
        <f ca="1">IFERROR(IF(0=LEN(ReferenceData!$K$14),"",ReferenceData!$K$14),"")</f>
        <v>0.37733429499999999</v>
      </c>
      <c r="M14">
        <f ca="1">IFERROR(IF(0=LEN(ReferenceData!$J$14),"",ReferenceData!$J$14),"")</f>
        <v>0.32158836699999999</v>
      </c>
      <c r="N14">
        <f ca="1">IFERROR(IF(0=LEN(ReferenceData!$I$14),"",ReferenceData!$I$14),"")</f>
        <v>0.37684256900000002</v>
      </c>
      <c r="O14">
        <f ca="1">IFERROR(IF(0=LEN(ReferenceData!$H$14),"",ReferenceData!$H$14),"")</f>
        <v>0.42931270100000002</v>
      </c>
      <c r="P14">
        <f ca="1">IFERROR(IF(0=LEN(ReferenceData!$G$14),"",ReferenceData!$G$14),"")</f>
        <v>0.51317331899999996</v>
      </c>
      <c r="Q14">
        <f ca="1">IFERROR(IF(0=LEN(ReferenceData!$F$14),"",ReferenceData!$F$14),"")</f>
        <v>0.425423465</v>
      </c>
    </row>
    <row r="15" spans="1:17" x14ac:dyDescent="0.25">
      <c r="A15" t="str">
        <f>IFERROR(IF(0=LEN(ReferenceData!$A$15),"",ReferenceData!$A$15),"")</f>
        <v xml:space="preserve">    HCL Technologies Ltd</v>
      </c>
      <c r="B15" t="str">
        <f>IFERROR(IF(0=LEN(ReferenceData!$B$15),"",ReferenceData!$B$15),"")</f>
        <v>HCLT IN Equity</v>
      </c>
      <c r="C15" t="str">
        <f>IFERROR(IF(0=LEN(ReferenceData!$C$15),"",ReferenceData!$C$15),"")</f>
        <v>RR256</v>
      </c>
      <c r="D15" t="str">
        <f>IFERROR(IF(0=LEN(ReferenceData!$D$15),"",ReferenceData!$D$15),"")</f>
        <v>CASH_RATIO</v>
      </c>
      <c r="E15" t="str">
        <f>IFERROR(IF(0=LEN(ReferenceData!$E$15),"",ReferenceData!$E$15),"")</f>
        <v>Dynamic</v>
      </c>
      <c r="F15">
        <f ca="1">IFERROR(IF(0=LEN(ReferenceData!$Q$15),"",ReferenceData!$Q$15),"")</f>
        <v>1.054033574</v>
      </c>
      <c r="G15">
        <f ca="1">IFERROR(IF(0=LEN(ReferenceData!$P$15),"",ReferenceData!$P$15),"")</f>
        <v>0.90797097000000004</v>
      </c>
      <c r="H15">
        <f ca="1">IFERROR(IF(0=LEN(ReferenceData!$O$15),"",ReferenceData!$O$15),"")</f>
        <v>0.84818051400000005</v>
      </c>
      <c r="I15">
        <f ca="1">IFERROR(IF(0=LEN(ReferenceData!$N$15),"",ReferenceData!$N$15),"")</f>
        <v>0.63025625799999996</v>
      </c>
      <c r="J15">
        <f ca="1">IFERROR(IF(0=LEN(ReferenceData!$M$15),"",ReferenceData!$M$15),"")</f>
        <v>0.92070512400000004</v>
      </c>
      <c r="K15">
        <f ca="1">IFERROR(IF(0=LEN(ReferenceData!$L$15),"",ReferenceData!$L$15),"")</f>
        <v>0.85136880199999998</v>
      </c>
      <c r="L15">
        <f ca="1">IFERROR(IF(0=LEN(ReferenceData!$K$15),"",ReferenceData!$K$15),"")</f>
        <v>0.90467326999999997</v>
      </c>
      <c r="M15">
        <f ca="1">IFERROR(IF(0=LEN(ReferenceData!$J$15),"",ReferenceData!$J$15),"")</f>
        <v>0.92918853700000004</v>
      </c>
      <c r="N15">
        <f ca="1">IFERROR(IF(0=LEN(ReferenceData!$I$15),"",ReferenceData!$I$15),"")</f>
        <v>1.021949405</v>
      </c>
      <c r="O15">
        <f ca="1">IFERROR(IF(0=LEN(ReferenceData!$H$15),"",ReferenceData!$H$15),"")</f>
        <v>0.38683171100000002</v>
      </c>
      <c r="P15">
        <f ca="1">IFERROR(IF(0=LEN(ReferenceData!$G$15),"",ReferenceData!$G$15),"")</f>
        <v>0.60639878300000005</v>
      </c>
      <c r="Q15">
        <f ca="1">IFERROR(IF(0=LEN(ReferenceData!$F$15),"",ReferenceData!$F$15),"")</f>
        <v>0.64939076900000003</v>
      </c>
    </row>
    <row r="16" spans="1:17" x14ac:dyDescent="0.25">
      <c r="A16" t="str">
        <f>IFERROR(IF(0=LEN(ReferenceData!$A$16),"",ReferenceData!$A$16),"")</f>
        <v xml:space="preserve">    Indra Sistemas SA</v>
      </c>
      <c r="B16" t="str">
        <f>IFERROR(IF(0=LEN(ReferenceData!$B$16),"",ReferenceData!$B$16),"")</f>
        <v>IDR SM Equity</v>
      </c>
      <c r="C16" t="str">
        <f>IFERROR(IF(0=LEN(ReferenceData!$C$16),"",ReferenceData!$C$16),"")</f>
        <v>RR256</v>
      </c>
      <c r="D16" t="str">
        <f>IFERROR(IF(0=LEN(ReferenceData!$D$16),"",ReferenceData!$D$16),"")</f>
        <v>CASH_RATIO</v>
      </c>
      <c r="E16" t="str">
        <f>IFERROR(IF(0=LEN(ReferenceData!$E$16),"",ReferenceData!$E$16),"")</f>
        <v>Dynamic</v>
      </c>
      <c r="F16">
        <f ca="1">IFERROR(IF(0=LEN(ReferenceData!$Q$16),"",ReferenceData!$Q$16),"")</f>
        <v>0.30481534199999999</v>
      </c>
      <c r="G16">
        <f ca="1">IFERROR(IF(0=LEN(ReferenceData!$P$16),"",ReferenceData!$P$16),"")</f>
        <v>0.36179737099999998</v>
      </c>
      <c r="H16">
        <f ca="1">IFERROR(IF(0=LEN(ReferenceData!$O$16),"",ReferenceData!$O$16),"")</f>
        <v>0.35491521399999998</v>
      </c>
      <c r="I16">
        <f ca="1">IFERROR(IF(0=LEN(ReferenceData!$N$16),"",ReferenceData!$N$16),"")</f>
        <v>0.38517761299999997</v>
      </c>
      <c r="J16">
        <f ca="1">IFERROR(IF(0=LEN(ReferenceData!$M$16),"",ReferenceData!$M$16),"")</f>
        <v>0.49482621199999999</v>
      </c>
      <c r="K16">
        <f ca="1">IFERROR(IF(0=LEN(ReferenceData!$L$16),"",ReferenceData!$L$16),"")</f>
        <v>0.47051078099999999</v>
      </c>
      <c r="L16">
        <f ca="1">IFERROR(IF(0=LEN(ReferenceData!$K$16),"",ReferenceData!$K$16),"")</f>
        <v>0.50966266999999998</v>
      </c>
      <c r="M16">
        <f ca="1">IFERROR(IF(0=LEN(ReferenceData!$J$16),"",ReferenceData!$J$16),"")</f>
        <v>0.48299671999999999</v>
      </c>
      <c r="N16">
        <f ca="1">IFERROR(IF(0=LEN(ReferenceData!$I$16),"",ReferenceData!$I$16),"")</f>
        <v>0.41989471</v>
      </c>
      <c r="O16">
        <f ca="1">IFERROR(IF(0=LEN(ReferenceData!$H$16),"",ReferenceData!$H$16),"")</f>
        <v>0.435705224</v>
      </c>
      <c r="P16">
        <f ca="1">IFERROR(IF(0=LEN(ReferenceData!$G$16),"",ReferenceData!$G$16),"")</f>
        <v>0.45867266000000001</v>
      </c>
      <c r="Q16">
        <f ca="1">IFERROR(IF(0=LEN(ReferenceData!$F$16),"",ReferenceData!$F$16),"")</f>
        <v>0.44389715800000001</v>
      </c>
    </row>
    <row r="17" spans="1:17" x14ac:dyDescent="0.25">
      <c r="A17" t="str">
        <f>IFERROR(IF(0=LEN(ReferenceData!$A$17),"",ReferenceData!$A$17),"")</f>
        <v xml:space="preserve">    Infosys Ltd</v>
      </c>
      <c r="B17" t="str">
        <f>IFERROR(IF(0=LEN(ReferenceData!$B$17),"",ReferenceData!$B$17),"")</f>
        <v>INFY US Equity</v>
      </c>
      <c r="C17" t="str">
        <f>IFERROR(IF(0=LEN(ReferenceData!$C$17),"",ReferenceData!$C$17),"")</f>
        <v>RR256</v>
      </c>
      <c r="D17" t="str">
        <f>IFERROR(IF(0=LEN(ReferenceData!$D$17),"",ReferenceData!$D$17),"")</f>
        <v>CASH_RATIO</v>
      </c>
      <c r="E17" t="str">
        <f>IFERROR(IF(0=LEN(ReferenceData!$E$17),"",ReferenceData!$E$17),"")</f>
        <v>Dynamic</v>
      </c>
      <c r="F17">
        <f ca="1">IFERROR(IF(0=LEN(ReferenceData!$Q$17),"",ReferenceData!$Q$17),"")</f>
        <v>2.0558998590000002</v>
      </c>
      <c r="G17">
        <f ca="1">IFERROR(IF(0=LEN(ReferenceData!$P$17),"",ReferenceData!$P$17),"")</f>
        <v>2.2463575320000002</v>
      </c>
      <c r="H17">
        <f ca="1">IFERROR(IF(0=LEN(ReferenceData!$O$17),"",ReferenceData!$O$17),"")</f>
        <v>1.642389758</v>
      </c>
      <c r="I17">
        <f ca="1">IFERROR(IF(0=LEN(ReferenceData!$N$17),"",ReferenceData!$N$17),"")</f>
        <v>1.859269762</v>
      </c>
      <c r="J17">
        <f ca="1">IFERROR(IF(0=LEN(ReferenceData!$M$17),"",ReferenceData!$M$17),"")</f>
        <v>1.4141768480000001</v>
      </c>
      <c r="K17">
        <f ca="1">IFERROR(IF(0=LEN(ReferenceData!$L$17),"",ReferenceData!$L$17),"")</f>
        <v>1.6100664769999999</v>
      </c>
      <c r="L17">
        <f ca="1">IFERROR(IF(0=LEN(ReferenceData!$K$17),"",ReferenceData!$K$17),"")</f>
        <v>1.563977374</v>
      </c>
      <c r="M17">
        <f ca="1">IFERROR(IF(0=LEN(ReferenceData!$J$17),"",ReferenceData!$J$17),"")</f>
        <v>1.4054619589999999</v>
      </c>
      <c r="N17">
        <f ca="1">IFERROR(IF(0=LEN(ReferenceData!$I$17),"",ReferenceData!$I$17),"")</f>
        <v>0.87950950000000006</v>
      </c>
      <c r="O17">
        <f ca="1">IFERROR(IF(0=LEN(ReferenceData!$H$17),"",ReferenceData!$H$17),"")</f>
        <v>1.040601739</v>
      </c>
      <c r="P17">
        <f ca="1">IFERROR(IF(0=LEN(ReferenceData!$G$17),"",ReferenceData!$G$17),"")</f>
        <v>1.018147278</v>
      </c>
      <c r="Q17">
        <f ca="1">IFERROR(IF(0=LEN(ReferenceData!$F$17),"",ReferenceData!$F$17),"")</f>
        <v>1.1173762949999999</v>
      </c>
    </row>
    <row r="18" spans="1:17" x14ac:dyDescent="0.25">
      <c r="A18" t="str">
        <f>IFERROR(IF(0=LEN(ReferenceData!$A$18),"",ReferenceData!$A$18),"")</f>
        <v xml:space="preserve">    International Business Machines Corp</v>
      </c>
      <c r="B18" t="str">
        <f>IFERROR(IF(0=LEN(ReferenceData!$B$18),"",ReferenceData!$B$18),"")</f>
        <v>IBM US Equity</v>
      </c>
      <c r="C18" t="str">
        <f>IFERROR(IF(0=LEN(ReferenceData!$C$18),"",ReferenceData!$C$18),"")</f>
        <v>RR256</v>
      </c>
      <c r="D18" t="str">
        <f>IFERROR(IF(0=LEN(ReferenceData!$D$18),"",ReferenceData!$D$18),"")</f>
        <v>CASH_RATIO</v>
      </c>
      <c r="E18" t="str">
        <f>IFERROR(IF(0=LEN(ReferenceData!$E$18),"",ReferenceData!$E$18),"")</f>
        <v>Dynamic</v>
      </c>
      <c r="F18">
        <f ca="1">IFERROR(IF(0=LEN(ReferenceData!$Q$18),"",ReferenceData!$Q$18),"")</f>
        <v>0.34185063700000001</v>
      </c>
      <c r="G18">
        <f ca="1">IFERROR(IF(0=LEN(ReferenceData!$P$18),"",ReferenceData!$P$18),"")</f>
        <v>0.36328359199999999</v>
      </c>
      <c r="H18">
        <f ca="1">IFERROR(IF(0=LEN(ReferenceData!$O$18),"",ReferenceData!$O$18),"")</f>
        <v>0.336696732</v>
      </c>
      <c r="I18">
        <f ca="1">IFERROR(IF(0=LEN(ReferenceData!$N$18),"",ReferenceData!$N$18),"")</f>
        <v>0.35938768100000001</v>
      </c>
      <c r="J18">
        <f ca="1">IFERROR(IF(0=LEN(ReferenceData!$M$18),"",ReferenceData!$M$18),"")</f>
        <v>0.330314316</v>
      </c>
      <c r="K18">
        <f ca="1">IFERROR(IF(0=LEN(ReferenceData!$L$18),"",ReferenceData!$L$18),"")</f>
        <v>0.39365053500000002</v>
      </c>
      <c r="L18">
        <f ca="1">IFERROR(IF(0=LEN(ReferenceData!$K$18),"",ReferenceData!$K$18),"")</f>
        <v>0.31383577000000001</v>
      </c>
      <c r="M18">
        <f ca="1">IFERROR(IF(0=LEN(ReferenceData!$J$18),"",ReferenceData!$J$18),"")</f>
        <v>0.46322451199999998</v>
      </c>
      <c r="N18">
        <f ca="1">IFERROR(IF(0=LEN(ReferenceData!$I$18),"",ReferenceData!$I$18),"")</f>
        <v>1.0926070219999999</v>
      </c>
      <c r="O18">
        <f ca="1">IFERROR(IF(0=LEN(ReferenceData!$H$18),"",ReferenceData!$H$18),"")</f>
        <v>0.308560999</v>
      </c>
      <c r="P18">
        <f ca="1">IFERROR(IF(0=LEN(ReferenceData!$G$18),"",ReferenceData!$G$18),"")</f>
        <v>0.235219225</v>
      </c>
      <c r="Q18">
        <f ca="1">IFERROR(IF(0=LEN(ReferenceData!$F$18),"",ReferenceData!$F$18),"")</f>
        <v>0.29171686400000002</v>
      </c>
    </row>
    <row r="19" spans="1:17" x14ac:dyDescent="0.25">
      <c r="A19" t="str">
        <f>IFERROR(IF(0=LEN(ReferenceData!$A$19),"",ReferenceData!$A$19),"")</f>
        <v xml:space="preserve">    Tata Consultancy Services Ltd</v>
      </c>
      <c r="B19" t="str">
        <f>IFERROR(IF(0=LEN(ReferenceData!$B$19),"",ReferenceData!$B$19),"")</f>
        <v>TCS IN Equity</v>
      </c>
      <c r="C19" t="str">
        <f>IFERROR(IF(0=LEN(ReferenceData!$C$19),"",ReferenceData!$C$19),"")</f>
        <v>RR256</v>
      </c>
      <c r="D19" t="str">
        <f>IFERROR(IF(0=LEN(ReferenceData!$D$19),"",ReferenceData!$D$19),"")</f>
        <v>CASH_RATIO</v>
      </c>
      <c r="E19" t="str">
        <f>IFERROR(IF(0=LEN(ReferenceData!$E$19),"",ReferenceData!$E$19),"")</f>
        <v>Dynamic</v>
      </c>
      <c r="F19">
        <f ca="1">IFERROR(IF(0=LEN(ReferenceData!$Q$19),"",ReferenceData!$Q$19),"")</f>
        <v>2.1074473010000001</v>
      </c>
      <c r="G19">
        <f ca="1">IFERROR(IF(0=LEN(ReferenceData!$P$19),"",ReferenceData!$P$19),"")</f>
        <v>2.0546468170000001</v>
      </c>
      <c r="H19">
        <f ca="1">IFERROR(IF(0=LEN(ReferenceData!$O$19),"",ReferenceData!$O$19),"")</f>
        <v>2.272114314</v>
      </c>
      <c r="I19">
        <f ca="1">IFERROR(IF(0=LEN(ReferenceData!$N$19),"",ReferenceData!$N$19),"")</f>
        <v>2.3920798740000002</v>
      </c>
      <c r="J19">
        <f ca="1">IFERROR(IF(0=LEN(ReferenceData!$M$19),"",ReferenceData!$M$19),"")</f>
        <v>1.848975657</v>
      </c>
      <c r="K19">
        <f ca="1">IFERROR(IF(0=LEN(ReferenceData!$L$19),"",ReferenceData!$L$19),"")</f>
        <v>1.502550228</v>
      </c>
      <c r="L19">
        <f ca="1">IFERROR(IF(0=LEN(ReferenceData!$K$19),"",ReferenceData!$K$19),"")</f>
        <v>1.7056543120000001</v>
      </c>
      <c r="M19">
        <f ca="1">IFERROR(IF(0=LEN(ReferenceData!$J$19),"",ReferenceData!$J$19),"")</f>
        <v>1.890191994</v>
      </c>
      <c r="N19">
        <f ca="1">IFERROR(IF(0=LEN(ReferenceData!$I$19),"",ReferenceData!$I$19),"")</f>
        <v>1.738556735</v>
      </c>
      <c r="O19">
        <f ca="1">IFERROR(IF(0=LEN(ReferenceData!$H$19),"",ReferenceData!$H$19),"")</f>
        <v>1.9484899330000001</v>
      </c>
      <c r="P19">
        <f ca="1">IFERROR(IF(0=LEN(ReferenceData!$G$19),"",ReferenceData!$G$19),"")</f>
        <v>1.4817131859999999</v>
      </c>
      <c r="Q19">
        <f ca="1">IFERROR(IF(0=LEN(ReferenceData!$F$19),"",ReferenceData!$F$19),"")</f>
        <v>1.3152623800000001</v>
      </c>
    </row>
    <row r="20" spans="1:17" x14ac:dyDescent="0.25">
      <c r="A20" t="str">
        <f>IFERROR(IF(0=LEN(ReferenceData!$A$20),"",ReferenceData!$A$20),"")</f>
        <v xml:space="preserve">    Tech Mahindra Ltd</v>
      </c>
      <c r="B20" t="str">
        <f>IFERROR(IF(0=LEN(ReferenceData!$B$20),"",ReferenceData!$B$20),"")</f>
        <v>TECHM IN Equity</v>
      </c>
      <c r="C20" t="str">
        <f>IFERROR(IF(0=LEN(ReferenceData!$C$20),"",ReferenceData!$C$20),"")</f>
        <v>RR256</v>
      </c>
      <c r="D20" t="str">
        <f>IFERROR(IF(0=LEN(ReferenceData!$D$20),"",ReferenceData!$D$20),"")</f>
        <v>CASH_RATIO</v>
      </c>
      <c r="E20" t="str">
        <f>IFERROR(IF(0=LEN(ReferenceData!$E$20),"",ReferenceData!$E$20),"")</f>
        <v>Dynamic</v>
      </c>
      <c r="F20">
        <f ca="1">IFERROR(IF(0=LEN(ReferenceData!$Q$20),"",ReferenceData!$Q$20),"")</f>
        <v>0.69855792699999997</v>
      </c>
      <c r="G20">
        <f ca="1">IFERROR(IF(0=LEN(ReferenceData!$P$20),"",ReferenceData!$P$20),"")</f>
        <v>0.69853900999999996</v>
      </c>
      <c r="H20">
        <f ca="1">IFERROR(IF(0=LEN(ReferenceData!$O$20),"",ReferenceData!$O$20),"")</f>
        <v>0.68364427000000005</v>
      </c>
      <c r="I20">
        <f ca="1">IFERROR(IF(0=LEN(ReferenceData!$N$20),"",ReferenceData!$N$20),"")</f>
        <v>0.70437625000000004</v>
      </c>
      <c r="J20">
        <f ca="1">IFERROR(IF(0=LEN(ReferenceData!$M$20),"",ReferenceData!$M$20),"")</f>
        <v>0.76990267300000004</v>
      </c>
      <c r="K20">
        <f ca="1">IFERROR(IF(0=LEN(ReferenceData!$L$20),"",ReferenceData!$L$20),"")</f>
        <v>0.59780237999999997</v>
      </c>
      <c r="L20">
        <f ca="1">IFERROR(IF(0=LEN(ReferenceData!$K$20),"",ReferenceData!$K$20),"")</f>
        <v>0.66760319199999996</v>
      </c>
      <c r="M20">
        <f ca="1">IFERROR(IF(0=LEN(ReferenceData!$J$20),"",ReferenceData!$J$20),"")</f>
        <v>0.75057950500000004</v>
      </c>
      <c r="N20">
        <f ca="1">IFERROR(IF(0=LEN(ReferenceData!$I$20),"",ReferenceData!$I$20),"")</f>
        <v>0.75725462700000001</v>
      </c>
      <c r="O20">
        <f ca="1">IFERROR(IF(0=LEN(ReferenceData!$H$20),"",ReferenceData!$H$20),"")</f>
        <v>0.71064744700000004</v>
      </c>
      <c r="P20">
        <f ca="1">IFERROR(IF(0=LEN(ReferenceData!$G$20),"",ReferenceData!$G$20),"")</f>
        <v>0.73689187499999997</v>
      </c>
      <c r="Q20">
        <f ca="1">IFERROR(IF(0=LEN(ReferenceData!$F$20),"",ReferenceData!$F$20),"")</f>
        <v>0.80183155100000003</v>
      </c>
    </row>
    <row r="21" spans="1:17" x14ac:dyDescent="0.25">
      <c r="A21" t="str">
        <f>IFERROR(IF(0=LEN(ReferenceData!$A$21),"",ReferenceData!$A$21),"")</f>
        <v xml:space="preserve">    Wipro Ltd</v>
      </c>
      <c r="B21" t="str">
        <f>IFERROR(IF(0=LEN(ReferenceData!$B$21),"",ReferenceData!$B$21),"")</f>
        <v>WIT US Equity</v>
      </c>
      <c r="C21" t="str">
        <f>IFERROR(IF(0=LEN(ReferenceData!$C$21),"",ReferenceData!$C$21),"")</f>
        <v>RR256</v>
      </c>
      <c r="D21" t="str">
        <f>IFERROR(IF(0=LEN(ReferenceData!$D$21),"",ReferenceData!$D$21),"")</f>
        <v>CASH_RATIO</v>
      </c>
      <c r="E21" t="str">
        <f>IFERROR(IF(0=LEN(ReferenceData!$E$21),"",ReferenceData!$E$21),"")</f>
        <v>Dynamic</v>
      </c>
      <c r="F21">
        <f ca="1">IFERROR(IF(0=LEN(ReferenceData!$Q$21),"",ReferenceData!$Q$21),"")</f>
        <v>1.587538991</v>
      </c>
      <c r="G21">
        <f ca="1">IFERROR(IF(0=LEN(ReferenceData!$P$21),"",ReferenceData!$P$21),"")</f>
        <v>1.6974004869999999</v>
      </c>
      <c r="H21">
        <f ca="1">IFERROR(IF(0=LEN(ReferenceData!$O$21),"",ReferenceData!$O$21),"")</f>
        <v>1.3090300399999999</v>
      </c>
      <c r="I21">
        <f ca="1">IFERROR(IF(0=LEN(ReferenceData!$N$21),"",ReferenceData!$N$21),"")</f>
        <v>1.377093023</v>
      </c>
      <c r="J21">
        <f ca="1">IFERROR(IF(0=LEN(ReferenceData!$M$21),"",ReferenceData!$M$21),"")</f>
        <v>1.615657218</v>
      </c>
      <c r="K21">
        <f ca="1">IFERROR(IF(0=LEN(ReferenceData!$L$21),"",ReferenceData!$L$21),"")</f>
        <v>1.56818236</v>
      </c>
      <c r="L21">
        <f ca="1">IFERROR(IF(0=LEN(ReferenceData!$K$21),"",ReferenceData!$K$21),"")</f>
        <v>1.837658134</v>
      </c>
      <c r="M21">
        <f ca="1">IFERROR(IF(0=LEN(ReferenceData!$J$21),"",ReferenceData!$J$21),"")</f>
        <v>1.7692792159999999</v>
      </c>
      <c r="N21">
        <f ca="1">IFERROR(IF(0=LEN(ReferenceData!$I$21),"",ReferenceData!$I$21),"")</f>
        <v>1.880822185</v>
      </c>
      <c r="O21">
        <f ca="1">IFERROR(IF(0=LEN(ReferenceData!$H$21),"",ReferenceData!$H$21),"")</f>
        <v>1.5355910340000001</v>
      </c>
      <c r="P21">
        <f ca="1">IFERROR(IF(0=LEN(ReferenceData!$G$21),"",ReferenceData!$G$21),"")</f>
        <v>1.6256711989999999</v>
      </c>
      <c r="Q21">
        <f ca="1">IFERROR(IF(0=LEN(ReferenceData!$F$21),"",ReferenceData!$F$21),"")</f>
        <v>1.5441072490000001</v>
      </c>
    </row>
    <row r="22" spans="1:17" x14ac:dyDescent="0.25">
      <c r="A22" t="str">
        <f>IFERROR(IF(0=LEN(ReferenceData!$A$22),"",ReferenceData!$A$22),"")</f>
        <v>Quick Ratio</v>
      </c>
      <c r="B22" t="str">
        <f>IFERROR(IF(0=LEN(ReferenceData!$B$22),"",ReferenceData!$B$22),"")</f>
        <v>BRITBPOV Index</v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Average</v>
      </c>
      <c r="F22">
        <f ca="1">IFERROR(IF(0=LEN(ReferenceData!$Q$22),"",ReferenceData!$Q$22),"")</f>
        <v>1.8939730153333332</v>
      </c>
      <c r="G22">
        <f ca="1">IFERROR(IF(0=LEN(ReferenceData!$P$22),"",ReferenceData!$P$22),"")</f>
        <v>1.8906498013999997</v>
      </c>
      <c r="H22">
        <f ca="1">IFERROR(IF(0=LEN(ReferenceData!$O$22),"",ReferenceData!$O$22),"")</f>
        <v>1.8189541340666664</v>
      </c>
      <c r="I22">
        <f ca="1">IFERROR(IF(0=LEN(ReferenceData!$N$22),"",ReferenceData!$N$22),"")</f>
        <v>1.7370836329333332</v>
      </c>
      <c r="J22">
        <f ca="1">IFERROR(IF(0=LEN(ReferenceData!$M$22),"",ReferenceData!$M$22),"")</f>
        <v>1.7480236331999999</v>
      </c>
      <c r="K22">
        <f ca="1">IFERROR(IF(0=LEN(ReferenceData!$L$22),"",ReferenceData!$L$22),"")</f>
        <v>1.6659432363333331</v>
      </c>
      <c r="L22">
        <f ca="1">IFERROR(IF(0=LEN(ReferenceData!$K$22),"",ReferenceData!$K$22),"")</f>
        <v>1.7695045454666667</v>
      </c>
      <c r="M22">
        <f ca="1">IFERROR(IF(0=LEN(ReferenceData!$J$22),"",ReferenceData!$J$22),"")</f>
        <v>1.6240141885333332</v>
      </c>
      <c r="N22">
        <f ca="1">IFERROR(IF(0=LEN(ReferenceData!$I$22),"",ReferenceData!$I$22),"")</f>
        <v>1.6754828281333332</v>
      </c>
      <c r="O22">
        <f ca="1">IFERROR(IF(0=LEN(ReferenceData!$H$22),"",ReferenceData!$H$22),"")</f>
        <v>1.5157634135999998</v>
      </c>
      <c r="P22">
        <f ca="1">IFERROR(IF(0=LEN(ReferenceData!$G$22),"",ReferenceData!$G$22),"")</f>
        <v>1.5235376265624998</v>
      </c>
      <c r="Q22">
        <f ca="1">IFERROR(IF(0=LEN(ReferenceData!$F$22),"",ReferenceData!$F$22),"")</f>
        <v>1.5132853681333336</v>
      </c>
    </row>
    <row r="23" spans="1:17" x14ac:dyDescent="0.25">
      <c r="A23" t="str">
        <f>IFERROR(IF(0=LEN(ReferenceData!$A$23),"",ReferenceData!$A$23),"")</f>
        <v xml:space="preserve">    Accenture PLC</v>
      </c>
      <c r="B23" t="str">
        <f>IFERROR(IF(0=LEN(ReferenceData!$B$23),"",ReferenceData!$B$23),"")</f>
        <v>ACN US Equity</v>
      </c>
      <c r="C23" t="str">
        <f>IFERROR(IF(0=LEN(ReferenceData!$C$23),"",ReferenceData!$C$23),"")</f>
        <v>RR054</v>
      </c>
      <c r="D23" t="str">
        <f>IFERROR(IF(0=LEN(ReferenceData!$D$23),"",ReferenceData!$D$23),"")</f>
        <v>QUICK_RATIO</v>
      </c>
      <c r="E23" t="str">
        <f>IFERROR(IF(0=LEN(ReferenceData!$E$23),"",ReferenceData!$E$23),"")</f>
        <v>Dynamic</v>
      </c>
      <c r="F23">
        <f ca="1">IFERROR(IF(0=LEN(ReferenceData!$Q$23),"",ReferenceData!$Q$23),"")</f>
        <v>0.85852993</v>
      </c>
      <c r="G23">
        <f ca="1">IFERROR(IF(0=LEN(ReferenceData!$P$23),"",ReferenceData!$P$23),"")</f>
        <v>0.88546803299999999</v>
      </c>
      <c r="H23">
        <f ca="1">IFERROR(IF(0=LEN(ReferenceData!$O$23),"",ReferenceData!$O$23),"")</f>
        <v>0.87837921100000005</v>
      </c>
      <c r="I23">
        <f ca="1">IFERROR(IF(0=LEN(ReferenceData!$N$23),"",ReferenceData!$N$23),"")</f>
        <v>0.92114390099999999</v>
      </c>
      <c r="J23">
        <f ca="1">IFERROR(IF(0=LEN(ReferenceData!$M$23),"",ReferenceData!$M$23),"")</f>
        <v>0.93354983800000002</v>
      </c>
      <c r="K23">
        <f ca="1">IFERROR(IF(0=LEN(ReferenceData!$L$23),"",ReferenceData!$L$23),"")</f>
        <v>0.991061148</v>
      </c>
      <c r="L23">
        <f ca="1">IFERROR(IF(0=LEN(ReferenceData!$K$23),"",ReferenceData!$K$23),"")</f>
        <v>1.217527037</v>
      </c>
      <c r="M23">
        <f ca="1">IFERROR(IF(0=LEN(ReferenceData!$J$23),"",ReferenceData!$J$23),"")</f>
        <v>1.2348909379999999</v>
      </c>
      <c r="N23">
        <f ca="1">IFERROR(IF(0=LEN(ReferenceData!$I$23),"",ReferenceData!$I$23),"")</f>
        <v>1.223148114</v>
      </c>
      <c r="O23">
        <f ca="1">IFERROR(IF(0=LEN(ReferenceData!$H$23),"",ReferenceData!$H$23),"")</f>
        <v>1.285967342</v>
      </c>
      <c r="P23">
        <f ca="1">IFERROR(IF(0=LEN(ReferenceData!$G$23),"",ReferenceData!$G$23),"")</f>
        <v>1.2849988139999999</v>
      </c>
      <c r="Q23">
        <f ca="1">IFERROR(IF(0=LEN(ReferenceData!$F$23),"",ReferenceData!$F$23),"")</f>
        <v>1.2487545819999999</v>
      </c>
    </row>
    <row r="24" spans="1:17" x14ac:dyDescent="0.25">
      <c r="A24" t="str">
        <f>IFERROR(IF(0=LEN(ReferenceData!$A$24),"",ReferenceData!$A$24),"")</f>
        <v xml:space="preserve">    Amdocs Ltd</v>
      </c>
      <c r="B24" t="str">
        <f>IFERROR(IF(0=LEN(ReferenceData!$B$24),"",ReferenceData!$B$24),"")</f>
        <v>DOX US Equity</v>
      </c>
      <c r="C24" t="str">
        <f>IFERROR(IF(0=LEN(ReferenceData!$C$24),"",ReferenceData!$C$24),"")</f>
        <v>RR054</v>
      </c>
      <c r="D24" t="str">
        <f>IFERROR(IF(0=LEN(ReferenceData!$D$24),"",ReferenceData!$D$24),"")</f>
        <v>QUICK_RATIO</v>
      </c>
      <c r="E24" t="str">
        <f>IFERROR(IF(0=LEN(ReferenceData!$E$24),"",ReferenceData!$E$24),"")</f>
        <v>Dynamic</v>
      </c>
      <c r="F24">
        <f ca="1">IFERROR(IF(0=LEN(ReferenceData!$Q$24),"",ReferenceData!$Q$24),"")</f>
        <v>1.4284499509999999</v>
      </c>
      <c r="G24">
        <f ca="1">IFERROR(IF(0=LEN(ReferenceData!$P$24),"",ReferenceData!$P$24),"")</f>
        <v>1.3768587809999999</v>
      </c>
      <c r="H24">
        <f ca="1">IFERROR(IF(0=LEN(ReferenceData!$O$24),"",ReferenceData!$O$24),"")</f>
        <v>1.348593267</v>
      </c>
      <c r="I24">
        <f ca="1">IFERROR(IF(0=LEN(ReferenceData!$N$24),"",ReferenceData!$N$24),"")</f>
        <v>0.99956126300000003</v>
      </c>
      <c r="J24">
        <f ca="1">IFERROR(IF(0=LEN(ReferenceData!$M$24),"",ReferenceData!$M$24),"")</f>
        <v>0.98146663899999997</v>
      </c>
      <c r="K24">
        <f ca="1">IFERROR(IF(0=LEN(ReferenceData!$L$24),"",ReferenceData!$L$24),"")</f>
        <v>0.94730635799999996</v>
      </c>
      <c r="L24">
        <f ca="1">IFERROR(IF(0=LEN(ReferenceData!$K$24),"",ReferenceData!$K$24),"")</f>
        <v>1.15207777</v>
      </c>
      <c r="M24">
        <f ca="1">IFERROR(IF(0=LEN(ReferenceData!$J$24),"",ReferenceData!$J$24),"")</f>
        <v>1.0008116090000001</v>
      </c>
      <c r="N24">
        <f ca="1">IFERROR(IF(0=LEN(ReferenceData!$I$24),"",ReferenceData!$I$24),"")</f>
        <v>1.1923623109999999</v>
      </c>
      <c r="O24">
        <f ca="1">IFERROR(IF(0=LEN(ReferenceData!$H$24),"",ReferenceData!$H$24),"")</f>
        <v>1.2082571010000001</v>
      </c>
      <c r="P24">
        <f ca="1">IFERROR(IF(0=LEN(ReferenceData!$G$24),"",ReferenceData!$G$24),"")</f>
        <v>1.1731615479999999</v>
      </c>
      <c r="Q24">
        <f ca="1">IFERROR(IF(0=LEN(ReferenceData!$F$24),"",ReferenceData!$F$24),"")</f>
        <v>0.96885485199999999</v>
      </c>
    </row>
    <row r="25" spans="1:17" x14ac:dyDescent="0.25">
      <c r="A25" t="str">
        <f>IFERROR(IF(0=LEN(ReferenceData!$A$25),"",ReferenceData!$A$25),"")</f>
        <v xml:space="preserve">    Atos SE</v>
      </c>
      <c r="B25" t="str">
        <f>IFERROR(IF(0=LEN(ReferenceData!$B$25),"",ReferenceData!$B$25),"")</f>
        <v>ATO FP Equity</v>
      </c>
      <c r="C25" t="str">
        <f>IFERROR(IF(0=LEN(ReferenceData!$C$25),"",ReferenceData!$C$25),"")</f>
        <v>RR054</v>
      </c>
      <c r="D25" t="str">
        <f>IFERROR(IF(0=LEN(ReferenceData!$D$25),"",ReferenceData!$D$25),"")</f>
        <v>QUICK_RATIO</v>
      </c>
      <c r="E25" t="str">
        <f>IFERROR(IF(0=LEN(ReferenceData!$E$25),"",ReferenceData!$E$25),"")</f>
        <v>Dynamic</v>
      </c>
      <c r="F25" t="str">
        <f ca="1">IFERROR(IF(0=LEN(ReferenceData!$Q$25),"",ReferenceData!$Q$25),"")</f>
        <v/>
      </c>
      <c r="G25" t="str">
        <f ca="1">IFERROR(IF(0=LEN(ReferenceData!$P$25),"",ReferenceData!$P$25),"")</f>
        <v/>
      </c>
      <c r="H25" t="str">
        <f ca="1">IFERROR(IF(0=LEN(ReferenceData!$O$25),"",ReferenceData!$O$25),"")</f>
        <v/>
      </c>
      <c r="I25" t="str">
        <f ca="1">IFERROR(IF(0=LEN(ReferenceData!$N$25),"",ReferenceData!$N$25),"")</f>
        <v/>
      </c>
      <c r="J25" t="str">
        <f ca="1">IFERROR(IF(0=LEN(ReferenceData!$M$25),"",ReferenceData!$M$25),"")</f>
        <v/>
      </c>
      <c r="K25" t="str">
        <f ca="1">IFERROR(IF(0=LEN(ReferenceData!$L$25),"",ReferenceData!$L$25),"")</f>
        <v/>
      </c>
      <c r="L25" t="str">
        <f ca="1">IFERROR(IF(0=LEN(ReferenceData!$K$25),"",ReferenceData!$K$25),"")</f>
        <v/>
      </c>
      <c r="M25" t="str">
        <f ca="1">IFERROR(IF(0=LEN(ReferenceData!$J$25),"",ReferenceData!$J$25),"")</f>
        <v/>
      </c>
      <c r="N25" t="str">
        <f ca="1">IFERROR(IF(0=LEN(ReferenceData!$I$25),"",ReferenceData!$I$25),"")</f>
        <v/>
      </c>
      <c r="O25" t="str">
        <f ca="1">IFERROR(IF(0=LEN(ReferenceData!$H$25),"",ReferenceData!$H$25),"")</f>
        <v/>
      </c>
      <c r="P25" t="str">
        <f ca="1">IFERROR(IF(0=LEN(ReferenceData!$G$25),"",ReferenceData!$G$25),"")</f>
        <v/>
      </c>
      <c r="Q25" t="str">
        <f ca="1">IFERROR(IF(0=LEN(ReferenceData!$F$25),"",ReferenceData!$F$25),"")</f>
        <v/>
      </c>
    </row>
    <row r="26" spans="1:17" x14ac:dyDescent="0.25">
      <c r="A26" t="str">
        <f>IFERROR(IF(0=LEN(ReferenceData!$A$26),"",ReferenceData!$A$26),"")</f>
        <v xml:space="preserve">    Capgemini SE</v>
      </c>
      <c r="B26" t="str">
        <f>IFERROR(IF(0=LEN(ReferenceData!$B$26),"",ReferenceData!$B$26),"")</f>
        <v>CAP FP Equity</v>
      </c>
      <c r="C26" t="str">
        <f>IFERROR(IF(0=LEN(ReferenceData!$C$26),"",ReferenceData!$C$26),"")</f>
        <v>RR054</v>
      </c>
      <c r="D26" t="str">
        <f>IFERROR(IF(0=LEN(ReferenceData!$D$26),"",ReferenceData!$D$26),"")</f>
        <v>QUICK_RATIO</v>
      </c>
      <c r="E26" t="str">
        <f>IFERROR(IF(0=LEN(ReferenceData!$E$26),"",ReferenceData!$E$26),"")</f>
        <v>Dynamic</v>
      </c>
      <c r="F26" t="str">
        <f ca="1">IFERROR(IF(0=LEN(ReferenceData!$Q$26),"",ReferenceData!$Q$26),"")</f>
        <v/>
      </c>
      <c r="G26" t="str">
        <f ca="1">IFERROR(IF(0=LEN(ReferenceData!$P$26),"",ReferenceData!$P$26),"")</f>
        <v/>
      </c>
      <c r="H26" t="str">
        <f ca="1">IFERROR(IF(0=LEN(ReferenceData!$O$26),"",ReferenceData!$O$26),"")</f>
        <v/>
      </c>
      <c r="I26" t="str">
        <f ca="1">IFERROR(IF(0=LEN(ReferenceData!$N$26),"",ReferenceData!$N$26),"")</f>
        <v/>
      </c>
      <c r="J26" t="str">
        <f ca="1">IFERROR(IF(0=LEN(ReferenceData!$M$26),"",ReferenceData!$M$26),"")</f>
        <v/>
      </c>
      <c r="K26" t="str">
        <f ca="1">IFERROR(IF(0=LEN(ReferenceData!$L$26),"",ReferenceData!$L$26),"")</f>
        <v/>
      </c>
      <c r="L26" t="str">
        <f ca="1">IFERROR(IF(0=LEN(ReferenceData!$K$26),"",ReferenceData!$K$26),"")</f>
        <v/>
      </c>
      <c r="M26" t="str">
        <f ca="1">IFERROR(IF(0=LEN(ReferenceData!$J$26),"",ReferenceData!$J$26),"")</f>
        <v/>
      </c>
      <c r="N26" t="str">
        <f ca="1">IFERROR(IF(0=LEN(ReferenceData!$I$26),"",ReferenceData!$I$26),"")</f>
        <v/>
      </c>
      <c r="O26" t="str">
        <f ca="1">IFERROR(IF(0=LEN(ReferenceData!$H$26),"",ReferenceData!$H$26),"")</f>
        <v/>
      </c>
      <c r="P26">
        <f ca="1">IFERROR(IF(0=LEN(ReferenceData!$G$26),"",ReferenceData!$G$26),"")</f>
        <v>0.93652343800000004</v>
      </c>
      <c r="Q26" t="str">
        <f ca="1">IFERROR(IF(0=LEN(ReferenceData!$F$26),"",ReferenceData!$F$26),"")</f>
        <v/>
      </c>
    </row>
    <row r="27" spans="1:17" x14ac:dyDescent="0.25">
      <c r="A27" t="str">
        <f>IFERROR(IF(0=LEN(ReferenceData!$A$27),"",ReferenceData!$A$27),"")</f>
        <v xml:space="preserve">    CGI Inc</v>
      </c>
      <c r="B27" t="str">
        <f>IFERROR(IF(0=LEN(ReferenceData!$B$27),"",ReferenceData!$B$27),"")</f>
        <v>GIB US Equity</v>
      </c>
      <c r="C27" t="str">
        <f>IFERROR(IF(0=LEN(ReferenceData!$C$27),"",ReferenceData!$C$27),"")</f>
        <v>RR054</v>
      </c>
      <c r="D27" t="str">
        <f>IFERROR(IF(0=LEN(ReferenceData!$D$27),"",ReferenceData!$D$27),"")</f>
        <v>QUICK_RATIO</v>
      </c>
      <c r="E27" t="str">
        <f>IFERROR(IF(0=LEN(ReferenceData!$E$27),"",ReferenceData!$E$27),"")</f>
        <v>Dynamic</v>
      </c>
      <c r="F27">
        <f ca="1">IFERROR(IF(0=LEN(ReferenceData!$Q$27),"",ReferenceData!$Q$27),"")</f>
        <v>0.55618716000000001</v>
      </c>
      <c r="G27">
        <f ca="1">IFERROR(IF(0=LEN(ReferenceData!$P$27),"",ReferenceData!$P$27),"")</f>
        <v>0.406211989</v>
      </c>
      <c r="H27">
        <f ca="1">IFERROR(IF(0=LEN(ReferenceData!$O$27),"",ReferenceData!$O$27),"")</f>
        <v>0.52091852599999999</v>
      </c>
      <c r="I27">
        <f ca="1">IFERROR(IF(0=LEN(ReferenceData!$N$27),"",ReferenceData!$N$27),"")</f>
        <v>0.48724634900000002</v>
      </c>
      <c r="J27">
        <f ca="1">IFERROR(IF(0=LEN(ReferenceData!$M$27),"",ReferenceData!$M$27),"")</f>
        <v>5.2731338000000003E-2</v>
      </c>
      <c r="K27">
        <f ca="1">IFERROR(IF(0=LEN(ReferenceData!$L$27),"",ReferenceData!$L$27),"")</f>
        <v>0.42019324499999999</v>
      </c>
      <c r="L27">
        <f ca="1">IFERROR(IF(0=LEN(ReferenceData!$K$27),"",ReferenceData!$K$27),"")</f>
        <v>0.59092982800000005</v>
      </c>
      <c r="M27">
        <f ca="1">IFERROR(IF(0=LEN(ReferenceData!$J$27),"",ReferenceData!$J$27),"")</f>
        <v>0.639575271</v>
      </c>
      <c r="N27">
        <f ca="1">IFERROR(IF(0=LEN(ReferenceData!$I$27),"",ReferenceData!$I$27),"")</f>
        <v>0.54789697400000004</v>
      </c>
      <c r="O27">
        <f ca="1">IFERROR(IF(0=LEN(ReferenceData!$H$27),"",ReferenceData!$H$27),"")</f>
        <v>0.41383775900000003</v>
      </c>
      <c r="P27">
        <f ca="1">IFERROR(IF(0=LEN(ReferenceData!$G$27),"",ReferenceData!$G$27),"")</f>
        <v>0.505156681</v>
      </c>
      <c r="Q27">
        <f ca="1">IFERROR(IF(0=LEN(ReferenceData!$F$27),"",ReferenceData!$F$27),"")</f>
        <v>0.51987831100000004</v>
      </c>
    </row>
    <row r="28" spans="1:17" x14ac:dyDescent="0.25">
      <c r="A28" t="str">
        <f>IFERROR(IF(0=LEN(ReferenceData!$A$28),"",ReferenceData!$A$28),"")</f>
        <v xml:space="preserve">    Cognizant Technology Solutions Corp</v>
      </c>
      <c r="B28" t="str">
        <f>IFERROR(IF(0=LEN(ReferenceData!$B$28),"",ReferenceData!$B$28),"")</f>
        <v>CTSH US Equity</v>
      </c>
      <c r="C28" t="str">
        <f>IFERROR(IF(0=LEN(ReferenceData!$C$28),"",ReferenceData!$C$28),"")</f>
        <v>RR054</v>
      </c>
      <c r="D28" t="str">
        <f>IFERROR(IF(0=LEN(ReferenceData!$D$28),"",ReferenceData!$D$28),"")</f>
        <v>QUICK_RATIO</v>
      </c>
      <c r="E28" t="str">
        <f>IFERROR(IF(0=LEN(ReferenceData!$E$28),"",ReferenceData!$E$28),"")</f>
        <v>Dynamic</v>
      </c>
      <c r="F28">
        <f ca="1">IFERROR(IF(0=LEN(ReferenceData!$Q$28),"",ReferenceData!$Q$28),"")</f>
        <v>2.9225672880000002</v>
      </c>
      <c r="G28">
        <f ca="1">IFERROR(IF(0=LEN(ReferenceData!$P$28),"",ReferenceData!$P$28),"")</f>
        <v>2.923846154</v>
      </c>
      <c r="H28">
        <f ca="1">IFERROR(IF(0=LEN(ReferenceData!$O$28),"",ReferenceData!$O$28),"")</f>
        <v>2.7900669250000001</v>
      </c>
      <c r="I28">
        <f ca="1">IFERROR(IF(0=LEN(ReferenceData!$N$28),"",ReferenceData!$N$28),"")</f>
        <v>3.230052653</v>
      </c>
      <c r="J28">
        <f ca="1">IFERROR(IF(0=LEN(ReferenceData!$M$28),"",ReferenceData!$M$28),"")</f>
        <v>2.9369333860000002</v>
      </c>
      <c r="K28">
        <f ca="1">IFERROR(IF(0=LEN(ReferenceData!$L$28),"",ReferenceData!$L$28),"")</f>
        <v>2.9520980319999999</v>
      </c>
      <c r="L28">
        <f ca="1">IFERROR(IF(0=LEN(ReferenceData!$K$28),"",ReferenceData!$K$28),"")</f>
        <v>2.8416974169999998</v>
      </c>
      <c r="M28">
        <f ca="1">IFERROR(IF(0=LEN(ReferenceData!$J$28),"",ReferenceData!$J$28),"")</f>
        <v>2.5900735290000001</v>
      </c>
      <c r="N28">
        <f ca="1">IFERROR(IF(0=LEN(ReferenceData!$I$28),"",ReferenceData!$I$28),"")</f>
        <v>2.2623937679999999</v>
      </c>
      <c r="O28">
        <f ca="1">IFERROR(IF(0=LEN(ReferenceData!$H$28),"",ReferenceData!$H$28),"")</f>
        <v>2.2319287430000001</v>
      </c>
      <c r="P28">
        <f ca="1">IFERROR(IF(0=LEN(ReferenceData!$G$28),"",ReferenceData!$G$28),"")</f>
        <v>2.2393563529999998</v>
      </c>
      <c r="Q28">
        <f ca="1">IFERROR(IF(0=LEN(ReferenceData!$F$28),"",ReferenceData!$F$28),"")</f>
        <v>2.6121169919999998</v>
      </c>
    </row>
    <row r="29" spans="1:17" x14ac:dyDescent="0.25">
      <c r="A29" t="str">
        <f>IFERROR(IF(0=LEN(ReferenceData!$A$29),"",ReferenceData!$A$29),"")</f>
        <v xml:space="preserve">    Conduent Inc</v>
      </c>
      <c r="B29" t="str">
        <f>IFERROR(IF(0=LEN(ReferenceData!$B$29),"",ReferenceData!$B$29),"")</f>
        <v>CNDT US Equity</v>
      </c>
      <c r="C29" t="str">
        <f>IFERROR(IF(0=LEN(ReferenceData!$C$29),"",ReferenceData!$C$29),"")</f>
        <v>RR054</v>
      </c>
      <c r="D29" t="str">
        <f>IFERROR(IF(0=LEN(ReferenceData!$D$29),"",ReferenceData!$D$29),"")</f>
        <v>QUICK_RATIO</v>
      </c>
      <c r="E29" t="str">
        <f>IFERROR(IF(0=LEN(ReferenceData!$E$29),"",ReferenceData!$E$29),"")</f>
        <v>Dynamic</v>
      </c>
      <c r="F29">
        <f ca="1">IFERROR(IF(0=LEN(ReferenceData!$Q$29),"",ReferenceData!$Q$29),"")</f>
        <v>1.4207920789999999</v>
      </c>
      <c r="G29">
        <f ca="1">IFERROR(IF(0=LEN(ReferenceData!$P$29),"",ReferenceData!$P$29),"")</f>
        <v>1.5477759470000001</v>
      </c>
      <c r="H29">
        <f ca="1">IFERROR(IF(0=LEN(ReferenceData!$O$29),"",ReferenceData!$O$29),"")</f>
        <v>1.2960526320000001</v>
      </c>
      <c r="I29">
        <f ca="1">IFERROR(IF(0=LEN(ReferenceData!$N$29),"",ReferenceData!$N$29),"")</f>
        <v>1.149199418</v>
      </c>
      <c r="J29">
        <f ca="1">IFERROR(IF(0=LEN(ReferenceData!$M$29),"",ReferenceData!$M$29),"")</f>
        <v>1.4645849200000001</v>
      </c>
      <c r="K29">
        <f ca="1">IFERROR(IF(0=LEN(ReferenceData!$L$29),"",ReferenceData!$L$29),"")</f>
        <v>1.228617106</v>
      </c>
      <c r="L29">
        <f ca="1">IFERROR(IF(0=LEN(ReferenceData!$K$29),"",ReferenceData!$K$29),"")</f>
        <v>1.284878864</v>
      </c>
      <c r="M29">
        <f ca="1">IFERROR(IF(0=LEN(ReferenceData!$J$29),"",ReferenceData!$J$29),"")</f>
        <v>0.93444909300000001</v>
      </c>
      <c r="N29">
        <f ca="1">IFERROR(IF(0=LEN(ReferenceData!$I$29),"",ReferenceData!$I$29),"")</f>
        <v>0.90386195599999997</v>
      </c>
      <c r="O29">
        <f ca="1">IFERROR(IF(0=LEN(ReferenceData!$H$29),"",ReferenceData!$H$29),"")</f>
        <v>0.95102404299999999</v>
      </c>
      <c r="P29">
        <f ca="1">IFERROR(IF(0=LEN(ReferenceData!$G$29),"",ReferenceData!$G$29),"")</f>
        <v>0.97536108799999999</v>
      </c>
      <c r="Q29">
        <f ca="1">IFERROR(IF(0=LEN(ReferenceData!$F$29),"",ReferenceData!$F$29),"")</f>
        <v>1.0606060610000001</v>
      </c>
    </row>
    <row r="30" spans="1:17" x14ac:dyDescent="0.25">
      <c r="A30" t="str">
        <f>IFERROR(IF(0=LEN(ReferenceData!$A$30),"",ReferenceData!$A$30),"")</f>
        <v xml:space="preserve">    DXC Technology Co</v>
      </c>
      <c r="B30" t="str">
        <f>IFERROR(IF(0=LEN(ReferenceData!$B$30),"",ReferenceData!$B$30),"")</f>
        <v>DXC US Equity</v>
      </c>
      <c r="C30" t="str">
        <f>IFERROR(IF(0=LEN(ReferenceData!$C$30),"",ReferenceData!$C$30),"")</f>
        <v>RR054</v>
      </c>
      <c r="D30" t="str">
        <f>IFERROR(IF(0=LEN(ReferenceData!$D$30),"",ReferenceData!$D$30),"")</f>
        <v>QUICK_RATIO</v>
      </c>
      <c r="E30" t="str">
        <f>IFERROR(IF(0=LEN(ReferenceData!$E$30),"",ReferenceData!$E$30),"")</f>
        <v>Dynamic</v>
      </c>
      <c r="F30">
        <f ca="1">IFERROR(IF(0=LEN(ReferenceData!$Q$30),"",ReferenceData!$Q$30),"")</f>
        <v>1.0249660119999999</v>
      </c>
      <c r="G30">
        <f ca="1">IFERROR(IF(0=LEN(ReferenceData!$P$30),"",ReferenceData!$P$30),"")</f>
        <v>0.88449719199999999</v>
      </c>
      <c r="H30">
        <f ca="1">IFERROR(IF(0=LEN(ReferenceData!$O$30),"",ReferenceData!$O$30),"")</f>
        <v>0.88576468100000005</v>
      </c>
      <c r="I30">
        <f ca="1">IFERROR(IF(0=LEN(ReferenceData!$N$30),"",ReferenceData!$N$30),"")</f>
        <v>0.57886723500000004</v>
      </c>
      <c r="J30">
        <f ca="1">IFERROR(IF(0=LEN(ReferenceData!$M$30),"",ReferenceData!$M$30),"")</f>
        <v>0.84281726400000001</v>
      </c>
      <c r="K30">
        <f ca="1">IFERROR(IF(0=LEN(ReferenceData!$L$30),"",ReferenceData!$L$30),"")</f>
        <v>0.90533239399999998</v>
      </c>
      <c r="L30">
        <f ca="1">IFERROR(IF(0=LEN(ReferenceData!$K$30),"",ReferenceData!$K$30),"")</f>
        <v>0.88840647699999997</v>
      </c>
      <c r="M30">
        <f ca="1">IFERROR(IF(0=LEN(ReferenceData!$J$30),"",ReferenceData!$J$30),"")</f>
        <v>0.57198772899999994</v>
      </c>
      <c r="N30">
        <f ca="1">IFERROR(IF(0=LEN(ReferenceData!$I$30),"",ReferenceData!$I$30),"")</f>
        <v>0.76054829700000004</v>
      </c>
      <c r="O30">
        <f ca="1">IFERROR(IF(0=LEN(ReferenceData!$H$30),"",ReferenceData!$H$30),"")</f>
        <v>0.834744818</v>
      </c>
      <c r="P30">
        <f ca="1">IFERROR(IF(0=LEN(ReferenceData!$G$30),"",ReferenceData!$G$30),"")</f>
        <v>0.81728142100000001</v>
      </c>
      <c r="Q30">
        <f ca="1">IFERROR(IF(0=LEN(ReferenceData!$F$30),"",ReferenceData!$F$30),"")</f>
        <v>0.73122229299999997</v>
      </c>
    </row>
    <row r="31" spans="1:17" x14ac:dyDescent="0.25">
      <c r="A31" t="str">
        <f>IFERROR(IF(0=LEN(ReferenceData!$A$31),"",ReferenceData!$A$31),"")</f>
        <v xml:space="preserve">    EPAM Systems Inc</v>
      </c>
      <c r="B31" t="str">
        <f>IFERROR(IF(0=LEN(ReferenceData!$B$31),"",ReferenceData!$B$31),"")</f>
        <v>EPAM US Equity</v>
      </c>
      <c r="C31" t="str">
        <f>IFERROR(IF(0=LEN(ReferenceData!$C$31),"",ReferenceData!$C$31),"")</f>
        <v>RR054</v>
      </c>
      <c r="D31" t="str">
        <f>IFERROR(IF(0=LEN(ReferenceData!$D$31),"",ReferenceData!$D$31),"")</f>
        <v>QUICK_RATIO</v>
      </c>
      <c r="E31" t="str">
        <f>IFERROR(IF(0=LEN(ReferenceData!$E$31),"",ReferenceData!$E$31),"")</f>
        <v>Dynamic</v>
      </c>
      <c r="F31">
        <f ca="1">IFERROR(IF(0=LEN(ReferenceData!$Q$31),"",ReferenceData!$Q$31),"")</f>
        <v>5.0051758560000001</v>
      </c>
      <c r="G31">
        <f ca="1">IFERROR(IF(0=LEN(ReferenceData!$P$31),"",ReferenceData!$P$31),"")</f>
        <v>4.6709857599999998</v>
      </c>
      <c r="H31">
        <f ca="1">IFERROR(IF(0=LEN(ReferenceData!$O$31),"",ReferenceData!$O$31),"")</f>
        <v>4.6871750099999998</v>
      </c>
      <c r="I31">
        <f ca="1">IFERROR(IF(0=LEN(ReferenceData!$N$31),"",ReferenceData!$N$31),"")</f>
        <v>4.4364452940000003</v>
      </c>
      <c r="J31">
        <f ca="1">IFERROR(IF(0=LEN(ReferenceData!$M$31),"",ReferenceData!$M$31),"")</f>
        <v>4.7796550370000004</v>
      </c>
      <c r="K31">
        <f ca="1">IFERROR(IF(0=LEN(ReferenceData!$L$31),"",ReferenceData!$L$31),"")</f>
        <v>4.3778380160000001</v>
      </c>
      <c r="L31">
        <f ca="1">IFERROR(IF(0=LEN(ReferenceData!$K$31),"",ReferenceData!$K$31),"")</f>
        <v>4.0644106999999998</v>
      </c>
      <c r="M31">
        <f ca="1">IFERROR(IF(0=LEN(ReferenceData!$J$31),"",ReferenceData!$J$31),"")</f>
        <v>3.7857739430000001</v>
      </c>
      <c r="N31">
        <f ca="1">IFERROR(IF(0=LEN(ReferenceData!$I$31),"",ReferenceData!$I$31),"")</f>
        <v>4.112881217</v>
      </c>
      <c r="O31">
        <f ca="1">IFERROR(IF(0=LEN(ReferenceData!$H$31),"",ReferenceData!$H$31),"")</f>
        <v>3.8281471730000001</v>
      </c>
      <c r="P31">
        <f ca="1">IFERROR(IF(0=LEN(ReferenceData!$G$31),"",ReferenceData!$G$31),"")</f>
        <v>3.7066169100000002</v>
      </c>
      <c r="Q31">
        <f ca="1">IFERROR(IF(0=LEN(ReferenceData!$F$31),"",ReferenceData!$F$31),"")</f>
        <v>3.7474243619999998</v>
      </c>
    </row>
    <row r="32" spans="1:17" x14ac:dyDescent="0.25">
      <c r="A32" t="str">
        <f>IFERROR(IF(0=LEN(ReferenceData!$A$32),"",ReferenceData!$A$32),"")</f>
        <v xml:space="preserve">    Genpact Ltd</v>
      </c>
      <c r="B32" t="str">
        <f>IFERROR(IF(0=LEN(ReferenceData!$B$32),"",ReferenceData!$B$32),"")</f>
        <v>G US Equity</v>
      </c>
      <c r="C32" t="str">
        <f>IFERROR(IF(0=LEN(ReferenceData!$C$32),"",ReferenceData!$C$32),"")</f>
        <v>RR054</v>
      </c>
      <c r="D32" t="str">
        <f>IFERROR(IF(0=LEN(ReferenceData!$D$32),"",ReferenceData!$D$32),"")</f>
        <v>QUICK_RATIO</v>
      </c>
      <c r="E32" t="str">
        <f>IFERROR(IF(0=LEN(ReferenceData!$E$32),"",ReferenceData!$E$32),"")</f>
        <v>Dynamic</v>
      </c>
      <c r="F32">
        <f ca="1">IFERROR(IF(0=LEN(ReferenceData!$Q$32),"",ReferenceData!$Q$32),"")</f>
        <v>1.4079739469999999</v>
      </c>
      <c r="G32">
        <f ca="1">IFERROR(IF(0=LEN(ReferenceData!$P$32),"",ReferenceData!$P$32),"")</f>
        <v>1.3493809779999999</v>
      </c>
      <c r="H32">
        <f ca="1">IFERROR(IF(0=LEN(ReferenceData!$O$32),"",ReferenceData!$O$32),"")</f>
        <v>1.427725135</v>
      </c>
      <c r="I32">
        <f ca="1">IFERROR(IF(0=LEN(ReferenceData!$N$32),"",ReferenceData!$N$32),"")</f>
        <v>1.293968021</v>
      </c>
      <c r="J32">
        <f ca="1">IFERROR(IF(0=LEN(ReferenceData!$M$32),"",ReferenceData!$M$32),"")</f>
        <v>1.261155429</v>
      </c>
      <c r="K32">
        <f ca="1">IFERROR(IF(0=LEN(ReferenceData!$L$32),"",ReferenceData!$L$32),"")</f>
        <v>1.104441818</v>
      </c>
      <c r="L32">
        <f ca="1">IFERROR(IF(0=LEN(ReferenceData!$K$32),"",ReferenceData!$K$32),"")</f>
        <v>1.1703021170000001</v>
      </c>
      <c r="M32">
        <f ca="1">IFERROR(IF(0=LEN(ReferenceData!$J$32),"",ReferenceData!$J$32),"")</f>
        <v>1.150811292</v>
      </c>
      <c r="N32">
        <f ca="1">IFERROR(IF(0=LEN(ReferenceData!$I$32),"",ReferenceData!$I$32),"")</f>
        <v>1.230753894</v>
      </c>
      <c r="O32">
        <f ca="1">IFERROR(IF(0=LEN(ReferenceData!$H$32),"",ReferenceData!$H$32),"")</f>
        <v>1.2404730719999999</v>
      </c>
      <c r="P32">
        <f ca="1">IFERROR(IF(0=LEN(ReferenceData!$G$32),"",ReferenceData!$G$32),"")</f>
        <v>1.5176162449999999</v>
      </c>
      <c r="Q32">
        <f ca="1">IFERROR(IF(0=LEN(ReferenceData!$F$32),"",ReferenceData!$F$32),"")</f>
        <v>1.3903599040000001</v>
      </c>
    </row>
    <row r="33" spans="1:17" x14ac:dyDescent="0.25">
      <c r="A33" t="str">
        <f>IFERROR(IF(0=LEN(ReferenceData!$A$33),"",ReferenceData!$A$33),"")</f>
        <v xml:space="preserve">    HCL Technologies Ltd</v>
      </c>
      <c r="B33" t="str">
        <f>IFERROR(IF(0=LEN(ReferenceData!$B$33),"",ReferenceData!$B$33),"")</f>
        <v>HCLT IN Equity</v>
      </c>
      <c r="C33" t="str">
        <f>IFERROR(IF(0=LEN(ReferenceData!$C$33),"",ReferenceData!$C$33),"")</f>
        <v>RR054</v>
      </c>
      <c r="D33" t="str">
        <f>IFERROR(IF(0=LEN(ReferenceData!$D$33),"",ReferenceData!$D$33),"")</f>
        <v>QUICK_RATIO</v>
      </c>
      <c r="E33" t="str">
        <f>IFERROR(IF(0=LEN(ReferenceData!$E$33),"",ReferenceData!$E$33),"")</f>
        <v>Dynamic</v>
      </c>
      <c r="F33">
        <f ca="1">IFERROR(IF(0=LEN(ReferenceData!$Q$33),"",ReferenceData!$Q$33),"")</f>
        <v>1.824259734</v>
      </c>
      <c r="G33">
        <f ca="1">IFERROR(IF(0=LEN(ReferenceData!$P$33),"",ReferenceData!$P$33),"")</f>
        <v>1.738915655</v>
      </c>
      <c r="H33">
        <f ca="1">IFERROR(IF(0=LEN(ReferenceData!$O$33),"",ReferenceData!$O$33),"")</f>
        <v>1.802334681</v>
      </c>
      <c r="I33">
        <f ca="1">IFERROR(IF(0=LEN(ReferenceData!$N$33),"",ReferenceData!$N$33),"")</f>
        <v>1.5839517169999999</v>
      </c>
      <c r="J33">
        <f ca="1">IFERROR(IF(0=LEN(ReferenceData!$M$33),"",ReferenceData!$M$33),"")</f>
        <v>1.8715486189999999</v>
      </c>
      <c r="K33">
        <f ca="1">IFERROR(IF(0=LEN(ReferenceData!$L$33),"",ReferenceData!$L$33),"")</f>
        <v>1.816180269</v>
      </c>
      <c r="L33">
        <f ca="1">IFERROR(IF(0=LEN(ReferenceData!$K$33),"",ReferenceData!$K$33),"")</f>
        <v>1.969155089</v>
      </c>
      <c r="M33">
        <f ca="1">IFERROR(IF(0=LEN(ReferenceData!$J$33),"",ReferenceData!$J$33),"")</f>
        <v>1.8839742690000001</v>
      </c>
      <c r="N33">
        <f ca="1">IFERROR(IF(0=LEN(ReferenceData!$I$33),"",ReferenceData!$I$33),"")</f>
        <v>2.0719866069999999</v>
      </c>
      <c r="O33">
        <f ca="1">IFERROR(IF(0=LEN(ReferenceData!$H$33),"",ReferenceData!$H$33),"")</f>
        <v>1.0726830300000001</v>
      </c>
      <c r="P33">
        <f ca="1">IFERROR(IF(0=LEN(ReferenceData!$G$33),"",ReferenceData!$G$33),"")</f>
        <v>1.280046378</v>
      </c>
      <c r="Q33">
        <f ca="1">IFERROR(IF(0=LEN(ReferenceData!$F$33),"",ReferenceData!$F$33),"")</f>
        <v>1.24639615</v>
      </c>
    </row>
    <row r="34" spans="1:17" x14ac:dyDescent="0.25">
      <c r="A34" t="str">
        <f>IFERROR(IF(0=LEN(ReferenceData!$A$34),"",ReferenceData!$A$34),"")</f>
        <v xml:space="preserve">    Indra Sistemas SA</v>
      </c>
      <c r="B34" t="str">
        <f>IFERROR(IF(0=LEN(ReferenceData!$B$34),"",ReferenceData!$B$34),"")</f>
        <v>IDR SM Equity</v>
      </c>
      <c r="C34" t="str">
        <f>IFERROR(IF(0=LEN(ReferenceData!$C$34),"",ReferenceData!$C$34),"")</f>
        <v>RR054</v>
      </c>
      <c r="D34" t="str">
        <f>IFERROR(IF(0=LEN(ReferenceData!$D$34),"",ReferenceData!$D$34),"")</f>
        <v>QUICK_RATIO</v>
      </c>
      <c r="E34" t="str">
        <f>IFERROR(IF(0=LEN(ReferenceData!$E$34),"",ReferenceData!$E$34),"")</f>
        <v>Dynamic</v>
      </c>
      <c r="F34">
        <f ca="1">IFERROR(IF(0=LEN(ReferenceData!$Q$34),"",ReferenceData!$Q$34),"")</f>
        <v>1.080401851</v>
      </c>
      <c r="G34">
        <f ca="1">IFERROR(IF(0=LEN(ReferenceData!$P$34),"",ReferenceData!$P$34),"")</f>
        <v>1.159451496</v>
      </c>
      <c r="H34">
        <f ca="1">IFERROR(IF(0=LEN(ReferenceData!$O$34),"",ReferenceData!$O$34),"")</f>
        <v>0.97021997299999996</v>
      </c>
      <c r="I34">
        <f ca="1">IFERROR(IF(0=LEN(ReferenceData!$N$34),"",ReferenceData!$N$34),"")</f>
        <v>0.38517761299999997</v>
      </c>
      <c r="J34">
        <f ca="1">IFERROR(IF(0=LEN(ReferenceData!$M$34),"",ReferenceData!$M$34),"")</f>
        <v>1.0024260469999999</v>
      </c>
      <c r="K34">
        <f ca="1">IFERROR(IF(0=LEN(ReferenceData!$L$34),"",ReferenceData!$L$34),"")</f>
        <v>0.47051078099999999</v>
      </c>
      <c r="L34">
        <f ca="1">IFERROR(IF(0=LEN(ReferenceData!$K$34),"",ReferenceData!$K$34),"")</f>
        <v>1.041017898</v>
      </c>
      <c r="M34">
        <f ca="1">IFERROR(IF(0=LEN(ReferenceData!$J$34),"",ReferenceData!$J$34),"")</f>
        <v>0.48299671999999999</v>
      </c>
      <c r="N34">
        <f ca="1">IFERROR(IF(0=LEN(ReferenceData!$I$34),"",ReferenceData!$I$34),"")</f>
        <v>1.048172839</v>
      </c>
      <c r="O34">
        <f ca="1">IFERROR(IF(0=LEN(ReferenceData!$H$34),"",ReferenceData!$H$34),"")</f>
        <v>0.435705224</v>
      </c>
      <c r="P34">
        <f ca="1">IFERROR(IF(0=LEN(ReferenceData!$G$34),"",ReferenceData!$G$34),"")</f>
        <v>1.0091132389999999</v>
      </c>
      <c r="Q34">
        <f ca="1">IFERROR(IF(0=LEN(ReferenceData!$F$34),"",ReferenceData!$F$34),"")</f>
        <v>0.44389715800000001</v>
      </c>
    </row>
    <row r="35" spans="1:17" x14ac:dyDescent="0.25">
      <c r="A35" t="str">
        <f>IFERROR(IF(0=LEN(ReferenceData!$A$35),"",ReferenceData!$A$35),"")</f>
        <v xml:space="preserve">    Infosys Ltd</v>
      </c>
      <c r="B35" t="str">
        <f>IFERROR(IF(0=LEN(ReferenceData!$B$35),"",ReferenceData!$B$35),"")</f>
        <v>INFY US Equity</v>
      </c>
      <c r="C35" t="str">
        <f>IFERROR(IF(0=LEN(ReferenceData!$C$35),"",ReferenceData!$C$35),"")</f>
        <v>RR054</v>
      </c>
      <c r="D35" t="str">
        <f>IFERROR(IF(0=LEN(ReferenceData!$D$35),"",ReferenceData!$D$35),"")</f>
        <v>QUICK_RATIO</v>
      </c>
      <c r="E35" t="str">
        <f>IFERROR(IF(0=LEN(ReferenceData!$E$35),"",ReferenceData!$E$35),"")</f>
        <v>Dynamic</v>
      </c>
      <c r="F35">
        <f ca="1">IFERROR(IF(0=LEN(ReferenceData!$Q$35),"",ReferenceData!$Q$35),"")</f>
        <v>2.8221758609999998</v>
      </c>
      <c r="G35">
        <f ca="1">IFERROR(IF(0=LEN(ReferenceData!$P$35),"",ReferenceData!$P$35),"")</f>
        <v>3.0966679340000001</v>
      </c>
      <c r="H35">
        <f ca="1">IFERROR(IF(0=LEN(ReferenceData!$O$35),"",ReferenceData!$O$35),"")</f>
        <v>2.5771692750000001</v>
      </c>
      <c r="I35">
        <f ca="1">IFERROR(IF(0=LEN(ReferenceData!$N$35),"",ReferenceData!$N$35),"")</f>
        <v>2.7909961010000002</v>
      </c>
      <c r="J35">
        <f ca="1">IFERROR(IF(0=LEN(ReferenceData!$M$35),"",ReferenceData!$M$35),"")</f>
        <v>2.2427119869999999</v>
      </c>
      <c r="K35">
        <f ca="1">IFERROR(IF(0=LEN(ReferenceData!$L$35),"",ReferenceData!$L$35),"")</f>
        <v>2.5458689460000001</v>
      </c>
      <c r="L35">
        <f ca="1">IFERROR(IF(0=LEN(ReferenceData!$K$35),"",ReferenceData!$K$35),"")</f>
        <v>2.4488240550000002</v>
      </c>
      <c r="M35">
        <f ca="1">IFERROR(IF(0=LEN(ReferenceData!$J$35),"",ReferenceData!$J$35),"")</f>
        <v>2.20098723</v>
      </c>
      <c r="N35">
        <f ca="1">IFERROR(IF(0=LEN(ReferenceData!$I$35),"",ReferenceData!$I$35),"")</f>
        <v>1.540888926</v>
      </c>
      <c r="O35">
        <f ca="1">IFERROR(IF(0=LEN(ReferenceData!$H$35),"",ReferenceData!$H$35),"")</f>
        <v>1.8763208579999999</v>
      </c>
      <c r="P35">
        <f ca="1">IFERROR(IF(0=LEN(ReferenceData!$G$35),"",ReferenceData!$G$35),"")</f>
        <v>1.920761886</v>
      </c>
      <c r="Q35">
        <f ca="1">IFERROR(IF(0=LEN(ReferenceData!$F$35),"",ReferenceData!$F$35),"")</f>
        <v>2.0037878789999999</v>
      </c>
    </row>
    <row r="36" spans="1:17" x14ac:dyDescent="0.25">
      <c r="A36" t="str">
        <f>IFERROR(IF(0=LEN(ReferenceData!$A$36),"",ReferenceData!$A$36),"")</f>
        <v xml:space="preserve">    International Business Machines Corp</v>
      </c>
      <c r="B36" t="str">
        <f>IFERROR(IF(0=LEN(ReferenceData!$B$36),"",ReferenceData!$B$36),"")</f>
        <v>IBM US Equity</v>
      </c>
      <c r="C36" t="str">
        <f>IFERROR(IF(0=LEN(ReferenceData!$C$36),"",ReferenceData!$C$36),"")</f>
        <v>RR054</v>
      </c>
      <c r="D36" t="str">
        <f>IFERROR(IF(0=LEN(ReferenceData!$D$36),"",ReferenceData!$D$36),"")</f>
        <v>QUICK_RATIO</v>
      </c>
      <c r="E36" t="str">
        <f>IFERROR(IF(0=LEN(ReferenceData!$E$36),"",ReferenceData!$E$36),"")</f>
        <v>Dynamic</v>
      </c>
      <c r="F36">
        <f ca="1">IFERROR(IF(0=LEN(ReferenceData!$Q$36),"",ReferenceData!$Q$36),"")</f>
        <v>1.063754657</v>
      </c>
      <c r="G36">
        <f ca="1">IFERROR(IF(0=LEN(ReferenceData!$P$36),"",ReferenceData!$P$36),"")</f>
        <v>1.1898602389999999</v>
      </c>
      <c r="H36">
        <f ca="1">IFERROR(IF(0=LEN(ReferenceData!$O$36),"",ReferenceData!$O$36),"")</f>
        <v>1.157000241</v>
      </c>
      <c r="I36">
        <f ca="1">IFERROR(IF(0=LEN(ReferenceData!$N$36),"",ReferenceData!$N$36),"")</f>
        <v>1.1436207430000001</v>
      </c>
      <c r="J36">
        <f ca="1">IFERROR(IF(0=LEN(ReferenceData!$M$36),"",ReferenceData!$M$36),"")</f>
        <v>1.0992043339999999</v>
      </c>
      <c r="K36">
        <f ca="1">IFERROR(IF(0=LEN(ReferenceData!$L$36),"",ReferenceData!$L$36),"")</f>
        <v>1.1084406060000001</v>
      </c>
      <c r="L36">
        <f ca="1">IFERROR(IF(0=LEN(ReferenceData!$K$36),"",ReferenceData!$K$36),"")</f>
        <v>1.0939126800000001</v>
      </c>
      <c r="M36">
        <f ca="1">IFERROR(IF(0=LEN(ReferenceData!$J$36),"",ReferenceData!$J$36),"")</f>
        <v>1.1648787009999999</v>
      </c>
      <c r="N36">
        <f ca="1">IFERROR(IF(0=LEN(ReferenceData!$I$36),"",ReferenceData!$I$36),"")</f>
        <v>1.6346721449999999</v>
      </c>
      <c r="O36">
        <f ca="1">IFERROR(IF(0=LEN(ReferenceData!$H$36),"",ReferenceData!$H$36),"")</f>
        <v>0.85276336100000005</v>
      </c>
      <c r="P36">
        <f ca="1">IFERROR(IF(0=LEN(ReferenceData!$G$36),"",ReferenceData!$G$36),"")</f>
        <v>0.82040264200000002</v>
      </c>
      <c r="Q36">
        <f ca="1">IFERROR(IF(0=LEN(ReferenceData!$F$36),"",ReferenceData!$F$36),"")</f>
        <v>0.76016030300000004</v>
      </c>
    </row>
    <row r="37" spans="1:17" x14ac:dyDescent="0.25">
      <c r="A37" t="str">
        <f>IFERROR(IF(0=LEN(ReferenceData!$A$37),"",ReferenceData!$A$37),"")</f>
        <v xml:space="preserve">    Tata Consultancy Services Ltd</v>
      </c>
      <c r="B37" t="str">
        <f>IFERROR(IF(0=LEN(ReferenceData!$B$37),"",ReferenceData!$B$37),"")</f>
        <v>TCS IN Equity</v>
      </c>
      <c r="C37" t="str">
        <f>IFERROR(IF(0=LEN(ReferenceData!$C$37),"",ReferenceData!$C$37),"")</f>
        <v>RR054</v>
      </c>
      <c r="D37" t="str">
        <f>IFERROR(IF(0=LEN(ReferenceData!$D$37),"",ReferenceData!$D$37),"")</f>
        <v>QUICK_RATIO</v>
      </c>
      <c r="E37" t="str">
        <f>IFERROR(IF(0=LEN(ReferenceData!$E$37),"",ReferenceData!$E$37),"")</f>
        <v>Dynamic</v>
      </c>
      <c r="F37">
        <f ca="1">IFERROR(IF(0=LEN(ReferenceData!$Q$37),"",ReferenceData!$Q$37),"")</f>
        <v>3.607149937</v>
      </c>
      <c r="G37">
        <f ca="1">IFERROR(IF(0=LEN(ReferenceData!$P$37),"",ReferenceData!$P$37),"")</f>
        <v>3.570483367</v>
      </c>
      <c r="H37">
        <f ca="1">IFERROR(IF(0=LEN(ReferenceData!$O$37),"",ReferenceData!$O$37),"")</f>
        <v>3.7718050230000002</v>
      </c>
      <c r="I37">
        <f ca="1">IFERROR(IF(0=LEN(ReferenceData!$N$37),"",ReferenceData!$N$37),"")</f>
        <v>3.7911711910000001</v>
      </c>
      <c r="J37">
        <f ca="1">IFERROR(IF(0=LEN(ReferenceData!$M$37),"",ReferenceData!$M$37),"")</f>
        <v>3.1618703300000002</v>
      </c>
      <c r="K37">
        <f ca="1">IFERROR(IF(0=LEN(ReferenceData!$L$37),"",ReferenceData!$L$37),"")</f>
        <v>2.7716325899999998</v>
      </c>
      <c r="L37">
        <f ca="1">IFERROR(IF(0=LEN(ReferenceData!$K$37),"",ReferenceData!$K$37),"")</f>
        <v>2.9952250380000001</v>
      </c>
      <c r="M37">
        <f ca="1">IFERROR(IF(0=LEN(ReferenceData!$J$37),"",ReferenceData!$J$37),"")</f>
        <v>3.1284640459999999</v>
      </c>
      <c r="N37">
        <f ca="1">IFERROR(IF(0=LEN(ReferenceData!$I$37),"",ReferenceData!$I$37),"")</f>
        <v>2.8882104659999999</v>
      </c>
      <c r="O37">
        <f ca="1">IFERROR(IF(0=LEN(ReferenceData!$H$37),"",ReferenceData!$H$37),"")</f>
        <v>3.1084312079999998</v>
      </c>
      <c r="P37">
        <f ca="1">IFERROR(IF(0=LEN(ReferenceData!$G$37),"",ReferenceData!$G$37),"")</f>
        <v>2.650024062</v>
      </c>
      <c r="Q37">
        <f ca="1">IFERROR(IF(0=LEN(ReferenceData!$F$37),"",ReferenceData!$F$37),"")</f>
        <v>2.4435698449999999</v>
      </c>
    </row>
    <row r="38" spans="1:17" x14ac:dyDescent="0.25">
      <c r="A38" t="str">
        <f>IFERROR(IF(0=LEN(ReferenceData!$A$38),"",ReferenceData!$A$38),"")</f>
        <v xml:space="preserve">    Tech Mahindra Ltd</v>
      </c>
      <c r="B38" t="str">
        <f>IFERROR(IF(0=LEN(ReferenceData!$B$38),"",ReferenceData!$B$38),"")</f>
        <v>TECHM IN Equity</v>
      </c>
      <c r="C38" t="str">
        <f>IFERROR(IF(0=LEN(ReferenceData!$C$38),"",ReferenceData!$C$38),"")</f>
        <v>RR054</v>
      </c>
      <c r="D38" t="str">
        <f>IFERROR(IF(0=LEN(ReferenceData!$D$38),"",ReferenceData!$D$38),"")</f>
        <v>QUICK_RATIO</v>
      </c>
      <c r="E38" t="str">
        <f>IFERROR(IF(0=LEN(ReferenceData!$E$38),"",ReferenceData!$E$38),"")</f>
        <v>Dynamic</v>
      </c>
      <c r="F38">
        <f ca="1">IFERROR(IF(0=LEN(ReferenceData!$Q$38),"",ReferenceData!$Q$38),"")</f>
        <v>1.381684973</v>
      </c>
      <c r="G38">
        <f ca="1">IFERROR(IF(0=LEN(ReferenceData!$P$38),"",ReferenceData!$P$38),"")</f>
        <v>1.420948589</v>
      </c>
      <c r="H38">
        <f ca="1">IFERROR(IF(0=LEN(ReferenceData!$O$38),"",ReferenceData!$O$38),"")</f>
        <v>1.4096705869999999</v>
      </c>
      <c r="I38">
        <f ca="1">IFERROR(IF(0=LEN(ReferenceData!$N$38),"",ReferenceData!$N$38),"")</f>
        <v>1.4147544030000001</v>
      </c>
      <c r="J38">
        <f ca="1">IFERROR(IF(0=LEN(ReferenceData!$M$38),"",ReferenceData!$M$38),"")</f>
        <v>1.4833943190000001</v>
      </c>
      <c r="K38">
        <f ca="1">IFERROR(IF(0=LEN(ReferenceData!$L$38),"",ReferenceData!$L$38),"")</f>
        <v>1.273807554</v>
      </c>
      <c r="L38">
        <f ca="1">IFERROR(IF(0=LEN(ReferenceData!$K$38),"",ReferenceData!$K$38),"")</f>
        <v>1.428480338</v>
      </c>
      <c r="M38">
        <f ca="1">IFERROR(IF(0=LEN(ReferenceData!$J$38),"",ReferenceData!$J$38),"")</f>
        <v>1.3524512179999999</v>
      </c>
      <c r="N38">
        <f ca="1">IFERROR(IF(0=LEN(ReferenceData!$I$38),"",ReferenceData!$I$38),"")</f>
        <v>1.408351336</v>
      </c>
      <c r="O38">
        <f ca="1">IFERROR(IF(0=LEN(ReferenceData!$H$38),"",ReferenceData!$H$38),"")</f>
        <v>1.4044961359999999</v>
      </c>
      <c r="P38">
        <f ca="1">IFERROR(IF(0=LEN(ReferenceData!$G$38),"",ReferenceData!$G$38),"")</f>
        <v>1.4483330029999999</v>
      </c>
      <c r="Q38">
        <f ca="1">IFERROR(IF(0=LEN(ReferenceData!$F$38),"",ReferenceData!$F$38),"")</f>
        <v>1.495347078</v>
      </c>
    </row>
    <row r="39" spans="1:17" x14ac:dyDescent="0.25">
      <c r="A39" t="str">
        <f>IFERROR(IF(0=LEN(ReferenceData!$A$39),"",ReferenceData!$A$39),"")</f>
        <v xml:space="preserve">    Wipro Ltd</v>
      </c>
      <c r="B39" t="str">
        <f>IFERROR(IF(0=LEN(ReferenceData!$B$39),"",ReferenceData!$B$39),"")</f>
        <v>WIT US Equity</v>
      </c>
      <c r="C39" t="str">
        <f>IFERROR(IF(0=LEN(ReferenceData!$C$39),"",ReferenceData!$C$39),"")</f>
        <v>RR054</v>
      </c>
      <c r="D39" t="str">
        <f>IFERROR(IF(0=LEN(ReferenceData!$D$39),"",ReferenceData!$D$39),"")</f>
        <v>QUICK_RATIO</v>
      </c>
      <c r="E39" t="str">
        <f>IFERROR(IF(0=LEN(ReferenceData!$E$39),"",ReferenceData!$E$39),"")</f>
        <v>Dynamic</v>
      </c>
      <c r="F39">
        <f ca="1">IFERROR(IF(0=LEN(ReferenceData!$Q$39),"",ReferenceData!$Q$39),"")</f>
        <v>2.0055259940000001</v>
      </c>
      <c r="G39">
        <f ca="1">IFERROR(IF(0=LEN(ReferenceData!$P$39),"",ReferenceData!$P$39),"")</f>
        <v>2.1383949069999999</v>
      </c>
      <c r="H39">
        <f ca="1">IFERROR(IF(0=LEN(ReferenceData!$O$39),"",ReferenceData!$O$39),"")</f>
        <v>1.7614368439999999</v>
      </c>
      <c r="I39">
        <f ca="1">IFERROR(IF(0=LEN(ReferenceData!$N$39),"",ReferenceData!$N$39),"")</f>
        <v>1.8500985919999999</v>
      </c>
      <c r="J39">
        <f ca="1">IFERROR(IF(0=LEN(ReferenceData!$M$39),"",ReferenceData!$M$39),"")</f>
        <v>2.1063050109999999</v>
      </c>
      <c r="K39">
        <f ca="1">IFERROR(IF(0=LEN(ReferenceData!$L$39),"",ReferenceData!$L$39),"")</f>
        <v>2.0758196820000001</v>
      </c>
      <c r="L39">
        <f ca="1">IFERROR(IF(0=LEN(ReferenceData!$K$39),"",ReferenceData!$K$39),"")</f>
        <v>2.355722874</v>
      </c>
      <c r="M39">
        <f ca="1">IFERROR(IF(0=LEN(ReferenceData!$J$39),"",ReferenceData!$J$39),"")</f>
        <v>2.23808724</v>
      </c>
      <c r="N39">
        <f ca="1">IFERROR(IF(0=LEN(ReferenceData!$I$39),"",ReferenceData!$I$39),"")</f>
        <v>2.3061135720000001</v>
      </c>
      <c r="O39">
        <f ca="1">IFERROR(IF(0=LEN(ReferenceData!$H$39),"",ReferenceData!$H$39),"")</f>
        <v>1.991671336</v>
      </c>
      <c r="P39">
        <f ca="1">IFERROR(IF(0=LEN(ReferenceData!$G$39),"",ReferenceData!$G$39),"")</f>
        <v>2.0918483170000002</v>
      </c>
      <c r="Q39">
        <f ca="1">IFERROR(IF(0=LEN(ReferenceData!$F$39),"",ReferenceData!$F$39),"")</f>
        <v>2.0269047520000001</v>
      </c>
    </row>
    <row r="40" spans="1:17" x14ac:dyDescent="0.25">
      <c r="A40" t="str">
        <f>IFERROR(IF(0=LEN(ReferenceData!$A$40),"",ReferenceData!$A$40),"")</f>
        <v>Current Ratio</v>
      </c>
      <c r="B40" t="str">
        <f>IFERROR(IF(0=LEN(ReferenceData!$B$40),"",ReferenceData!$B$40),"")</f>
        <v>BRITBPOV Index</v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Average</v>
      </c>
      <c r="F40">
        <f ca="1">IFERROR(IF(0=LEN(ReferenceData!$Q$40),"",ReferenceData!$Q$40),"")</f>
        <v>2.3338728808666662</v>
      </c>
      <c r="G40">
        <f ca="1">IFERROR(IF(0=LEN(ReferenceData!$P$40),"",ReferenceData!$P$40),"")</f>
        <v>2.3193315231999998</v>
      </c>
      <c r="H40">
        <f ca="1">IFERROR(IF(0=LEN(ReferenceData!$O$40),"",ReferenceData!$O$40),"")</f>
        <v>2.2568276800000002</v>
      </c>
      <c r="I40">
        <f ca="1">IFERROR(IF(0=LEN(ReferenceData!$N$40),"",ReferenceData!$N$40),"")</f>
        <v>2.2948624799333337</v>
      </c>
      <c r="J40">
        <f ca="1">IFERROR(IF(0=LEN(ReferenceData!$M$40),"",ReferenceData!$M$40),"")</f>
        <v>2.2435002324000006</v>
      </c>
      <c r="K40">
        <f ca="1">IFERROR(IF(0=LEN(ReferenceData!$L$40),"",ReferenceData!$L$40),"")</f>
        <v>2.1387585617333333</v>
      </c>
      <c r="L40">
        <f ca="1">IFERROR(IF(0=LEN(ReferenceData!$K$40),"",ReferenceData!$K$40),"")</f>
        <v>2.1725120379333331</v>
      </c>
      <c r="M40">
        <f ca="1">IFERROR(IF(0=LEN(ReferenceData!$J$40),"",ReferenceData!$J$40),"")</f>
        <v>2.0957559264000003</v>
      </c>
      <c r="N40">
        <f ca="1">IFERROR(IF(0=LEN(ReferenceData!$I$40),"",ReferenceData!$I$40),"")</f>
        <v>2.0822920179333333</v>
      </c>
      <c r="O40">
        <f ca="1">IFERROR(IF(0=LEN(ReferenceData!$H$40),"",ReferenceData!$H$40),"")</f>
        <v>1.983575180133333</v>
      </c>
      <c r="P40">
        <f ca="1">IFERROR(IF(0=LEN(ReferenceData!$G$40),"",ReferenceData!$G$40),"")</f>
        <v>1.8749159817499998</v>
      </c>
      <c r="Q40">
        <f ca="1">IFERROR(IF(0=LEN(ReferenceData!$F$40),"",ReferenceData!$F$40),"")</f>
        <v>1.9378423554666664</v>
      </c>
    </row>
    <row r="41" spans="1:17" x14ac:dyDescent="0.25">
      <c r="A41" t="str">
        <f>IFERROR(IF(0=LEN(ReferenceData!$A$41),"",ReferenceData!$A$41),"")</f>
        <v xml:space="preserve">    Accenture PLC</v>
      </c>
      <c r="B41" t="str">
        <f>IFERROR(IF(0=LEN(ReferenceData!$B$41),"",ReferenceData!$B$41),"")</f>
        <v>ACN US Equity</v>
      </c>
      <c r="C41" t="str">
        <f>IFERROR(IF(0=LEN(ReferenceData!$C$41),"",ReferenceData!$C$41),"")</f>
        <v>RR053</v>
      </c>
      <c r="D41" t="str">
        <f>IFERROR(IF(0=LEN(ReferenceData!$D$41),"",ReferenceData!$D$41),"")</f>
        <v>CUR_RATIO</v>
      </c>
      <c r="E41" t="str">
        <f>IFERROR(IF(0=LEN(ReferenceData!$E$41),"",ReferenceData!$E$41),"")</f>
        <v>Dynamic</v>
      </c>
      <c r="F41">
        <f ca="1">IFERROR(IF(0=LEN(ReferenceData!$Q$41),"",ReferenceData!$Q$41),"")</f>
        <v>1.224091891</v>
      </c>
      <c r="G41">
        <f ca="1">IFERROR(IF(0=LEN(ReferenceData!$P$41),"",ReferenceData!$P$41),"")</f>
        <v>1.2313665970000001</v>
      </c>
      <c r="H41">
        <f ca="1">IFERROR(IF(0=LEN(ReferenceData!$O$41),"",ReferenceData!$O$41),"")</f>
        <v>1.247471212</v>
      </c>
      <c r="I41">
        <f ca="1">IFERROR(IF(0=LEN(ReferenceData!$N$41),"",ReferenceData!$N$41),"")</f>
        <v>1.311385931</v>
      </c>
      <c r="J41">
        <f ca="1">IFERROR(IF(0=LEN(ReferenceData!$M$41),"",ReferenceData!$M$41),"")</f>
        <v>1.2913328129999999</v>
      </c>
      <c r="K41">
        <f ca="1">IFERROR(IF(0=LEN(ReferenceData!$L$41),"",ReferenceData!$L$41),"")</f>
        <v>1.3382478550000001</v>
      </c>
      <c r="L41">
        <f ca="1">IFERROR(IF(0=LEN(ReferenceData!$K$41),"",ReferenceData!$K$41),"")</f>
        <v>1.3305780519999999</v>
      </c>
      <c r="M41">
        <f ca="1">IFERROR(IF(0=LEN(ReferenceData!$J$41),"",ReferenceData!$J$41),"")</f>
        <v>1.3536778229999999</v>
      </c>
      <c r="N41">
        <f ca="1">IFERROR(IF(0=LEN(ReferenceData!$I$41),"",ReferenceData!$I$41),"")</f>
        <v>1.3401892929999999</v>
      </c>
      <c r="O41">
        <f ca="1">IFERROR(IF(0=LEN(ReferenceData!$H$41),"",ReferenceData!$H$41),"")</f>
        <v>1.396740758</v>
      </c>
      <c r="P41">
        <f ca="1">IFERROR(IF(0=LEN(ReferenceData!$G$41),"",ReferenceData!$G$41),"")</f>
        <v>1.3934757980000001</v>
      </c>
      <c r="Q41">
        <f ca="1">IFERROR(IF(0=LEN(ReferenceData!$F$41),"",ReferenceData!$F$41),"")</f>
        <v>1.37823213</v>
      </c>
    </row>
    <row r="42" spans="1:17" x14ac:dyDescent="0.25">
      <c r="A42" t="str">
        <f>IFERROR(IF(0=LEN(ReferenceData!$A$42),"",ReferenceData!$A$42),"")</f>
        <v xml:space="preserve">    Amdocs Ltd</v>
      </c>
      <c r="B42" t="str">
        <f>IFERROR(IF(0=LEN(ReferenceData!$B$42),"",ReferenceData!$B$42),"")</f>
        <v>DOX US Equity</v>
      </c>
      <c r="C42" t="str">
        <f>IFERROR(IF(0=LEN(ReferenceData!$C$42),"",ReferenceData!$C$42),"")</f>
        <v>RR053</v>
      </c>
      <c r="D42" t="str">
        <f>IFERROR(IF(0=LEN(ReferenceData!$D$42),"",ReferenceData!$D$42),"")</f>
        <v>CUR_RATIO</v>
      </c>
      <c r="E42" t="str">
        <f>IFERROR(IF(0=LEN(ReferenceData!$E$42),"",ReferenceData!$E$42),"")</f>
        <v>Dynamic</v>
      </c>
      <c r="F42">
        <f ca="1">IFERROR(IF(0=LEN(ReferenceData!$Q$42),"",ReferenceData!$Q$42),"")</f>
        <v>1.7712291099999999</v>
      </c>
      <c r="G42">
        <f ca="1">IFERROR(IF(0=LEN(ReferenceData!$P$42),"",ReferenceData!$P$42),"")</f>
        <v>1.7464452749999999</v>
      </c>
      <c r="H42">
        <f ca="1">IFERROR(IF(0=LEN(ReferenceData!$O$42),"",ReferenceData!$O$42),"")</f>
        <v>1.713325574</v>
      </c>
      <c r="I42">
        <f ca="1">IFERROR(IF(0=LEN(ReferenceData!$N$42),"",ReferenceData!$N$42),"")</f>
        <v>1.3384689519999999</v>
      </c>
      <c r="J42">
        <f ca="1">IFERROR(IF(0=LEN(ReferenceData!$M$42),"",ReferenceData!$M$42),"")</f>
        <v>1.3499393749999999</v>
      </c>
      <c r="K42">
        <f ca="1">IFERROR(IF(0=LEN(ReferenceData!$L$42),"",ReferenceData!$L$42),"")</f>
        <v>1.328783118</v>
      </c>
      <c r="L42">
        <f ca="1">IFERROR(IF(0=LEN(ReferenceData!$K$42),"",ReferenceData!$K$42),"")</f>
        <v>1.320089472</v>
      </c>
      <c r="M42">
        <f ca="1">IFERROR(IF(0=LEN(ReferenceData!$J$42),"",ReferenceData!$J$42),"")</f>
        <v>1.3502285279999999</v>
      </c>
      <c r="N42">
        <f ca="1">IFERROR(IF(0=LEN(ReferenceData!$I$42),"",ReferenceData!$I$42),"")</f>
        <v>1.3915494820000001</v>
      </c>
      <c r="O42">
        <f ca="1">IFERROR(IF(0=LEN(ReferenceData!$H$42),"",ReferenceData!$H$42),"")</f>
        <v>1.3871449499999999</v>
      </c>
      <c r="P42">
        <f ca="1">IFERROR(IF(0=LEN(ReferenceData!$G$42),"",ReferenceData!$G$42),"")</f>
        <v>1.3492651870000001</v>
      </c>
      <c r="Q42">
        <f ca="1">IFERROR(IF(0=LEN(ReferenceData!$F$42),"",ReferenceData!$F$42),"")</f>
        <v>1.245368086</v>
      </c>
    </row>
    <row r="43" spans="1:17" x14ac:dyDescent="0.25">
      <c r="A43" t="str">
        <f>IFERROR(IF(0=LEN(ReferenceData!$A$43),"",ReferenceData!$A$43),"")</f>
        <v xml:space="preserve">    Atos SE</v>
      </c>
      <c r="B43" t="str">
        <f>IFERROR(IF(0=LEN(ReferenceData!$B$43),"",ReferenceData!$B$43),"")</f>
        <v>ATO FP Equity</v>
      </c>
      <c r="C43" t="str">
        <f>IFERROR(IF(0=LEN(ReferenceData!$C$43),"",ReferenceData!$C$43),"")</f>
        <v>RR053</v>
      </c>
      <c r="D43" t="str">
        <f>IFERROR(IF(0=LEN(ReferenceData!$D$43),"",ReferenceData!$D$43),"")</f>
        <v>CUR_RATIO</v>
      </c>
      <c r="E43" t="str">
        <f>IFERROR(IF(0=LEN(ReferenceData!$E$43),"",ReferenceData!$E$43),"")</f>
        <v>Dynamic</v>
      </c>
      <c r="F43" t="str">
        <f ca="1">IFERROR(IF(0=LEN(ReferenceData!$Q$43),"",ReferenceData!$Q$43),"")</f>
        <v/>
      </c>
      <c r="G43" t="str">
        <f ca="1">IFERROR(IF(0=LEN(ReferenceData!$P$43),"",ReferenceData!$P$43),"")</f>
        <v/>
      </c>
      <c r="H43" t="str">
        <f ca="1">IFERROR(IF(0=LEN(ReferenceData!$O$43),"",ReferenceData!$O$43),"")</f>
        <v/>
      </c>
      <c r="I43" t="str">
        <f ca="1">IFERROR(IF(0=LEN(ReferenceData!$N$43),"",ReferenceData!$N$43),"")</f>
        <v/>
      </c>
      <c r="J43" t="str">
        <f ca="1">IFERROR(IF(0=LEN(ReferenceData!$M$43),"",ReferenceData!$M$43),"")</f>
        <v/>
      </c>
      <c r="K43" t="str">
        <f ca="1">IFERROR(IF(0=LEN(ReferenceData!$L$43),"",ReferenceData!$L$43),"")</f>
        <v/>
      </c>
      <c r="L43" t="str">
        <f ca="1">IFERROR(IF(0=LEN(ReferenceData!$K$43),"",ReferenceData!$K$43),"")</f>
        <v/>
      </c>
      <c r="M43" t="str">
        <f ca="1">IFERROR(IF(0=LEN(ReferenceData!$J$43),"",ReferenceData!$J$43),"")</f>
        <v/>
      </c>
      <c r="N43" t="str">
        <f ca="1">IFERROR(IF(0=LEN(ReferenceData!$I$43),"",ReferenceData!$I$43),"")</f>
        <v/>
      </c>
      <c r="O43" t="str">
        <f ca="1">IFERROR(IF(0=LEN(ReferenceData!$H$43),"",ReferenceData!$H$43),"")</f>
        <v/>
      </c>
      <c r="P43" t="str">
        <f ca="1">IFERROR(IF(0=LEN(ReferenceData!$G$43),"",ReferenceData!$G$43),"")</f>
        <v/>
      </c>
      <c r="Q43" t="str">
        <f ca="1">IFERROR(IF(0=LEN(ReferenceData!$F$43),"",ReferenceData!$F$43),"")</f>
        <v/>
      </c>
    </row>
    <row r="44" spans="1:17" x14ac:dyDescent="0.25">
      <c r="A44" t="str">
        <f>IFERROR(IF(0=LEN(ReferenceData!$A$44),"",ReferenceData!$A$44),"")</f>
        <v xml:space="preserve">    Capgemini SE</v>
      </c>
      <c r="B44" t="str">
        <f>IFERROR(IF(0=LEN(ReferenceData!$B$44),"",ReferenceData!$B$44),"")</f>
        <v>CAP FP Equity</v>
      </c>
      <c r="C44" t="str">
        <f>IFERROR(IF(0=LEN(ReferenceData!$C$44),"",ReferenceData!$C$44),"")</f>
        <v>RR053</v>
      </c>
      <c r="D44" t="str">
        <f>IFERROR(IF(0=LEN(ReferenceData!$D$44),"",ReferenceData!$D$44),"")</f>
        <v>CUR_RATIO</v>
      </c>
      <c r="E44" t="str">
        <f>IFERROR(IF(0=LEN(ReferenceData!$E$44),"",ReferenceData!$E$44),"")</f>
        <v>Dynamic</v>
      </c>
      <c r="F44" t="str">
        <f ca="1">IFERROR(IF(0=LEN(ReferenceData!$Q$44),"",ReferenceData!$Q$44),"")</f>
        <v/>
      </c>
      <c r="G44" t="str">
        <f ca="1">IFERROR(IF(0=LEN(ReferenceData!$P$44),"",ReferenceData!$P$44),"")</f>
        <v/>
      </c>
      <c r="H44" t="str">
        <f ca="1">IFERROR(IF(0=LEN(ReferenceData!$O$44),"",ReferenceData!$O$44),"")</f>
        <v/>
      </c>
      <c r="I44" t="str">
        <f ca="1">IFERROR(IF(0=LEN(ReferenceData!$N$44),"",ReferenceData!$N$44),"")</f>
        <v/>
      </c>
      <c r="J44" t="str">
        <f ca="1">IFERROR(IF(0=LEN(ReferenceData!$M$44),"",ReferenceData!$M$44),"")</f>
        <v/>
      </c>
      <c r="K44" t="str">
        <f ca="1">IFERROR(IF(0=LEN(ReferenceData!$L$44),"",ReferenceData!$L$44),"")</f>
        <v/>
      </c>
      <c r="L44" t="str">
        <f ca="1">IFERROR(IF(0=LEN(ReferenceData!$K$44),"",ReferenceData!$K$44),"")</f>
        <v/>
      </c>
      <c r="M44" t="str">
        <f ca="1">IFERROR(IF(0=LEN(ReferenceData!$J$44),"",ReferenceData!$J$44),"")</f>
        <v/>
      </c>
      <c r="N44" t="str">
        <f ca="1">IFERROR(IF(0=LEN(ReferenceData!$I$44),"",ReferenceData!$I$44),"")</f>
        <v/>
      </c>
      <c r="O44" t="str">
        <f ca="1">IFERROR(IF(0=LEN(ReferenceData!$H$44),"",ReferenceData!$H$44),"")</f>
        <v/>
      </c>
      <c r="P44">
        <f ca="1">IFERROR(IF(0=LEN(ReferenceData!$G$44),"",ReferenceData!$G$44),"")</f>
        <v>1.281835938</v>
      </c>
      <c r="Q44" t="str">
        <f ca="1">IFERROR(IF(0=LEN(ReferenceData!$F$44),"",ReferenceData!$F$44),"")</f>
        <v/>
      </c>
    </row>
    <row r="45" spans="1:17" x14ac:dyDescent="0.25">
      <c r="A45" t="str">
        <f>IFERROR(IF(0=LEN(ReferenceData!$A$45),"",ReferenceData!$A$45),"")</f>
        <v xml:space="preserve">    CGI Inc</v>
      </c>
      <c r="B45" t="str">
        <f>IFERROR(IF(0=LEN(ReferenceData!$B$45),"",ReferenceData!$B$45),"")</f>
        <v>GIB US Equity</v>
      </c>
      <c r="C45" t="str">
        <f>IFERROR(IF(0=LEN(ReferenceData!$C$45),"",ReferenceData!$C$45),"")</f>
        <v>RR053</v>
      </c>
      <c r="D45" t="str">
        <f>IFERROR(IF(0=LEN(ReferenceData!$D$45),"",ReferenceData!$D$45),"")</f>
        <v>CUR_RATIO</v>
      </c>
      <c r="E45" t="str">
        <f>IFERROR(IF(0=LEN(ReferenceData!$E$45),"",ReferenceData!$E$45),"")</f>
        <v>Dynamic</v>
      </c>
      <c r="F45">
        <f ca="1">IFERROR(IF(0=LEN(ReferenceData!$Q$45),"",ReferenceData!$Q$45),"")</f>
        <v>1.1384999220000001</v>
      </c>
      <c r="G45">
        <f ca="1">IFERROR(IF(0=LEN(ReferenceData!$P$45),"",ReferenceData!$P$45),"")</f>
        <v>1.0597690209999999</v>
      </c>
      <c r="H45">
        <f ca="1">IFERROR(IF(0=LEN(ReferenceData!$O$45),"",ReferenceData!$O$45),"")</f>
        <v>0.99314343500000002</v>
      </c>
      <c r="I45">
        <f ca="1">IFERROR(IF(0=LEN(ReferenceData!$N$45),"",ReferenceData!$N$45),"")</f>
        <v>0.98651973199999998</v>
      </c>
      <c r="J45">
        <f ca="1">IFERROR(IF(0=LEN(ReferenceData!$M$45),"",ReferenceData!$M$45),"")</f>
        <v>0.98514581099999998</v>
      </c>
      <c r="K45">
        <f ca="1">IFERROR(IF(0=LEN(ReferenceData!$L$45),"",ReferenceData!$L$45),"")</f>
        <v>0.99511646600000003</v>
      </c>
      <c r="L45">
        <f ca="1">IFERROR(IF(0=LEN(ReferenceData!$K$45),"",ReferenceData!$K$45),"")</f>
        <v>1.143106328</v>
      </c>
      <c r="M45">
        <f ca="1">IFERROR(IF(0=LEN(ReferenceData!$J$45),"",ReferenceData!$J$45),"")</f>
        <v>1.1642292320000001</v>
      </c>
      <c r="N45">
        <f ca="1">IFERROR(IF(0=LEN(ReferenceData!$I$45),"",ReferenceData!$I$45),"")</f>
        <v>1.0901579699999999</v>
      </c>
      <c r="O45">
        <f ca="1">IFERROR(IF(0=LEN(ReferenceData!$H$45),"",ReferenceData!$H$45),"")</f>
        <v>1.129418891</v>
      </c>
      <c r="P45">
        <f ca="1">IFERROR(IF(0=LEN(ReferenceData!$G$45),"",ReferenceData!$G$45),"")</f>
        <v>1.043104303</v>
      </c>
      <c r="Q45">
        <f ca="1">IFERROR(IF(0=LEN(ReferenceData!$F$45),"",ReferenceData!$F$45),"")</f>
        <v>1.081997434</v>
      </c>
    </row>
    <row r="46" spans="1:17" x14ac:dyDescent="0.25">
      <c r="A46" t="str">
        <f>IFERROR(IF(0=LEN(ReferenceData!$A$46),"",ReferenceData!$A$46),"")</f>
        <v xml:space="preserve">    Cognizant Technology Solutions Corp</v>
      </c>
      <c r="B46" t="str">
        <f>IFERROR(IF(0=LEN(ReferenceData!$B$46),"",ReferenceData!$B$46),"")</f>
        <v>CTSH US Equity</v>
      </c>
      <c r="C46" t="str">
        <f>IFERROR(IF(0=LEN(ReferenceData!$C$46),"",ReferenceData!$C$46),"")</f>
        <v>RR053</v>
      </c>
      <c r="D46" t="str">
        <f>IFERROR(IF(0=LEN(ReferenceData!$D$46),"",ReferenceData!$D$46),"")</f>
        <v>CUR_RATIO</v>
      </c>
      <c r="E46" t="str">
        <f>IFERROR(IF(0=LEN(ReferenceData!$E$46),"",ReferenceData!$E$46),"")</f>
        <v>Dynamic</v>
      </c>
      <c r="F46">
        <f ca="1">IFERROR(IF(0=LEN(ReferenceData!$Q$46),"",ReferenceData!$Q$46),"")</f>
        <v>3.3536231879999998</v>
      </c>
      <c r="G46">
        <f ca="1">IFERROR(IF(0=LEN(ReferenceData!$P$46),"",ReferenceData!$P$46),"")</f>
        <v>3.2911538459999998</v>
      </c>
      <c r="H46">
        <f ca="1">IFERROR(IF(0=LEN(ReferenceData!$O$46),"",ReferenceData!$O$46),"")</f>
        <v>3.209228602</v>
      </c>
      <c r="I46">
        <f ca="1">IFERROR(IF(0=LEN(ReferenceData!$N$46),"",ReferenceData!$N$46),"")</f>
        <v>3.6411502630000001</v>
      </c>
      <c r="J46">
        <f ca="1">IFERROR(IF(0=LEN(ReferenceData!$M$46),"",ReferenceData!$M$46),"")</f>
        <v>3.2727631060000002</v>
      </c>
      <c r="K46">
        <f ca="1">IFERROR(IF(0=LEN(ReferenceData!$L$46),"",ReferenceData!$L$46),"")</f>
        <v>3.24062384</v>
      </c>
      <c r="L46">
        <f ca="1">IFERROR(IF(0=LEN(ReferenceData!$K$46),"",ReferenceData!$K$46),"")</f>
        <v>3.1771217709999999</v>
      </c>
      <c r="M46">
        <f ca="1">IFERROR(IF(0=LEN(ReferenceData!$J$46),"",ReferenceData!$J$46),"")</f>
        <v>2.8981617649999998</v>
      </c>
      <c r="N46">
        <f ca="1">IFERROR(IF(0=LEN(ReferenceData!$I$46),"",ReferenceData!$I$46),"")</f>
        <v>2.551699717</v>
      </c>
      <c r="O46">
        <f ca="1">IFERROR(IF(0=LEN(ReferenceData!$H$46),"",ReferenceData!$H$46),"")</f>
        <v>2.5320315180000001</v>
      </c>
      <c r="P46">
        <f ca="1">IFERROR(IF(0=LEN(ReferenceData!$G$46),"",ReferenceData!$G$46),"")</f>
        <v>2.5514582629999998</v>
      </c>
      <c r="Q46">
        <f ca="1">IFERROR(IF(0=LEN(ReferenceData!$F$46),"",ReferenceData!$F$46),"")</f>
        <v>2.89867688</v>
      </c>
    </row>
    <row r="47" spans="1:17" x14ac:dyDescent="0.25">
      <c r="A47" t="str">
        <f>IFERROR(IF(0=LEN(ReferenceData!$A$47),"",ReferenceData!$A$47),"")</f>
        <v xml:space="preserve">    Conduent Inc</v>
      </c>
      <c r="B47" t="str">
        <f>IFERROR(IF(0=LEN(ReferenceData!$B$47),"",ReferenceData!$B$47),"")</f>
        <v>CNDT US Equity</v>
      </c>
      <c r="C47" t="str">
        <f>IFERROR(IF(0=LEN(ReferenceData!$C$47),"",ReferenceData!$C$47),"")</f>
        <v>RR053</v>
      </c>
      <c r="D47" t="str">
        <f>IFERROR(IF(0=LEN(ReferenceData!$D$47),"",ReferenceData!$D$47),"")</f>
        <v>CUR_RATIO</v>
      </c>
      <c r="E47" t="str">
        <f>IFERROR(IF(0=LEN(ReferenceData!$E$47),"",ReferenceData!$E$47),"")</f>
        <v>Dynamic</v>
      </c>
      <c r="F47">
        <f ca="1">IFERROR(IF(0=LEN(ReferenceData!$Q$47),"",ReferenceData!$Q$47),"")</f>
        <v>1.6386138610000001</v>
      </c>
      <c r="G47">
        <f ca="1">IFERROR(IF(0=LEN(ReferenceData!$P$47),"",ReferenceData!$P$47),"")</f>
        <v>1.7397034600000001</v>
      </c>
      <c r="H47">
        <f ca="1">IFERROR(IF(0=LEN(ReferenceData!$O$47),"",ReferenceData!$O$47),"")</f>
        <v>1.9809941520000001</v>
      </c>
      <c r="I47">
        <f ca="1">IFERROR(IF(0=LEN(ReferenceData!$N$47),"",ReferenceData!$N$47),"")</f>
        <v>1.9068413390000001</v>
      </c>
      <c r="J47">
        <f ca="1">IFERROR(IF(0=LEN(ReferenceData!$M$47),"",ReferenceData!$M$47),"")</f>
        <v>2.0266565120000002</v>
      </c>
      <c r="K47">
        <f ca="1">IFERROR(IF(0=LEN(ReferenceData!$L$47),"",ReferenceData!$L$47),"")</f>
        <v>1.5931255</v>
      </c>
      <c r="L47">
        <f ca="1">IFERROR(IF(0=LEN(ReferenceData!$K$47),"",ReferenceData!$K$47),"")</f>
        <v>1.640768588</v>
      </c>
      <c r="M47">
        <f ca="1">IFERROR(IF(0=LEN(ReferenceData!$J$47),"",ReferenceData!$J$47),"")</f>
        <v>1.2768479779999999</v>
      </c>
      <c r="N47">
        <f ca="1">IFERROR(IF(0=LEN(ReferenceData!$I$47),"",ReferenceData!$I$47),"")</f>
        <v>1.320460148</v>
      </c>
      <c r="O47">
        <f ca="1">IFERROR(IF(0=LEN(ReferenceData!$H$47),"",ReferenceData!$H$47),"")</f>
        <v>1.3766696350000001</v>
      </c>
      <c r="P47">
        <f ca="1">IFERROR(IF(0=LEN(ReferenceData!$G$47),"",ReferenceData!$G$47),"")</f>
        <v>1.3474936280000001</v>
      </c>
      <c r="Q47">
        <f ca="1">IFERROR(IF(0=LEN(ReferenceData!$F$47),"",ReferenceData!$F$47),"")</f>
        <v>1.536656891</v>
      </c>
    </row>
    <row r="48" spans="1:17" x14ac:dyDescent="0.25">
      <c r="A48" t="str">
        <f>IFERROR(IF(0=LEN(ReferenceData!$A$48),"",ReferenceData!$A$48),"")</f>
        <v xml:space="preserve">    DXC Technology Co</v>
      </c>
      <c r="B48" t="str">
        <f>IFERROR(IF(0=LEN(ReferenceData!$B$48),"",ReferenceData!$B$48),"")</f>
        <v>DXC US Equity</v>
      </c>
      <c r="C48" t="str">
        <f>IFERROR(IF(0=LEN(ReferenceData!$C$48),"",ReferenceData!$C$48),"")</f>
        <v>RR053</v>
      </c>
      <c r="D48" t="str">
        <f>IFERROR(IF(0=LEN(ReferenceData!$D$48),"",ReferenceData!$D$48),"")</f>
        <v>CUR_RATIO</v>
      </c>
      <c r="E48" t="str">
        <f>IFERROR(IF(0=LEN(ReferenceData!$E$48),"",ReferenceData!$E$48),"")</f>
        <v>Dynamic</v>
      </c>
      <c r="F48">
        <f ca="1">IFERROR(IF(0=LEN(ReferenceData!$Q$48),"",ReferenceData!$Q$48),"")</f>
        <v>1.18341367</v>
      </c>
      <c r="G48">
        <f ca="1">IFERROR(IF(0=LEN(ReferenceData!$P$48),"",ReferenceData!$P$48),"")</f>
        <v>1.000317898</v>
      </c>
      <c r="H48">
        <f ca="1">IFERROR(IF(0=LEN(ReferenceData!$O$48),"",ReferenceData!$O$48),"")</f>
        <v>0.987860552</v>
      </c>
      <c r="I48">
        <f ca="1">IFERROR(IF(0=LEN(ReferenceData!$N$48),"",ReferenceData!$N$48),"")</f>
        <v>0.97645148199999998</v>
      </c>
      <c r="J48">
        <f ca="1">IFERROR(IF(0=LEN(ReferenceData!$M$48),"",ReferenceData!$M$48),"")</f>
        <v>0.94653210200000004</v>
      </c>
      <c r="K48">
        <f ca="1">IFERROR(IF(0=LEN(ReferenceData!$L$48),"",ReferenceData!$L$48),"")</f>
        <v>1.035353535</v>
      </c>
      <c r="L48">
        <f ca="1">IFERROR(IF(0=LEN(ReferenceData!$K$48),"",ReferenceData!$K$48),"")</f>
        <v>1</v>
      </c>
      <c r="M48">
        <f ca="1">IFERROR(IF(0=LEN(ReferenceData!$J$48),"",ReferenceData!$J$48),"")</f>
        <v>0.95906061600000003</v>
      </c>
      <c r="N48">
        <f ca="1">IFERROR(IF(0=LEN(ReferenceData!$I$48),"",ReferenceData!$I$48),"")</f>
        <v>0.87706146900000004</v>
      </c>
      <c r="O48">
        <f ca="1">IFERROR(IF(0=LEN(ReferenceData!$H$48),"",ReferenceData!$H$48),"")</f>
        <v>0.94606641400000002</v>
      </c>
      <c r="P48">
        <f ca="1">IFERROR(IF(0=LEN(ReferenceData!$G$48),"",ReferenceData!$G$48),"")</f>
        <v>0.93158014600000005</v>
      </c>
      <c r="Q48">
        <f ca="1">IFERROR(IF(0=LEN(ReferenceData!$F$48),"",ReferenceData!$F$48),"")</f>
        <v>1.138315389</v>
      </c>
    </row>
    <row r="49" spans="1:17" x14ac:dyDescent="0.25">
      <c r="A49" t="str">
        <f>IFERROR(IF(0=LEN(ReferenceData!$A$49),"",ReferenceData!$A$49),"")</f>
        <v xml:space="preserve">    EPAM Systems Inc</v>
      </c>
      <c r="B49" t="str">
        <f>IFERROR(IF(0=LEN(ReferenceData!$B$49),"",ReferenceData!$B$49),"")</f>
        <v>EPAM US Equity</v>
      </c>
      <c r="C49" t="str">
        <f>IFERROR(IF(0=LEN(ReferenceData!$C$49),"",ReferenceData!$C$49),"")</f>
        <v>RR053</v>
      </c>
      <c r="D49" t="str">
        <f>IFERROR(IF(0=LEN(ReferenceData!$D$49),"",ReferenceData!$D$49),"")</f>
        <v>CUR_RATIO</v>
      </c>
      <c r="E49" t="str">
        <f>IFERROR(IF(0=LEN(ReferenceData!$E$49),"",ReferenceData!$E$49),"")</f>
        <v>Dynamic</v>
      </c>
      <c r="F49">
        <f ca="1">IFERROR(IF(0=LEN(ReferenceData!$Q$49),"",ReferenceData!$Q$49),"")</f>
        <v>6.0549915529999998</v>
      </c>
      <c r="G49">
        <f ca="1">IFERROR(IF(0=LEN(ReferenceData!$P$49),"",ReferenceData!$P$49),"")</f>
        <v>5.5586851509999997</v>
      </c>
      <c r="H49">
        <f ca="1">IFERROR(IF(0=LEN(ReferenceData!$O$49),"",ReferenceData!$O$49),"")</f>
        <v>5.3050169370000004</v>
      </c>
      <c r="I49">
        <f ca="1">IFERROR(IF(0=LEN(ReferenceData!$N$49),"",ReferenceData!$N$49),"")</f>
        <v>5.39264513</v>
      </c>
      <c r="J49">
        <f ca="1">IFERROR(IF(0=LEN(ReferenceData!$M$49),"",ReferenceData!$M$49),"")</f>
        <v>5.6475020809999998</v>
      </c>
      <c r="K49">
        <f ca="1">IFERROR(IF(0=LEN(ReferenceData!$L$49),"",ReferenceData!$L$49),"")</f>
        <v>5.1092305390000003</v>
      </c>
      <c r="L49">
        <f ca="1">IFERROR(IF(0=LEN(ReferenceData!$K$49),"",ReferenceData!$K$49),"")</f>
        <v>4.562160188</v>
      </c>
      <c r="M49">
        <f ca="1">IFERROR(IF(0=LEN(ReferenceData!$J$49),"",ReferenceData!$J$49),"")</f>
        <v>4.4051549019999996</v>
      </c>
      <c r="N49">
        <f ca="1">IFERROR(IF(0=LEN(ReferenceData!$I$49),"",ReferenceData!$I$49),"")</f>
        <v>4.7166433129999996</v>
      </c>
      <c r="O49">
        <f ca="1">IFERROR(IF(0=LEN(ReferenceData!$H$49),"",ReferenceData!$H$49),"")</f>
        <v>4.381455678</v>
      </c>
      <c r="P49">
        <f ca="1">IFERROR(IF(0=LEN(ReferenceData!$G$49),"",ReferenceData!$G$49),"")</f>
        <v>3.8098426660000002</v>
      </c>
      <c r="Q49">
        <f ca="1">IFERROR(IF(0=LEN(ReferenceData!$F$49),"",ReferenceData!$F$49),"")</f>
        <v>3.872734838</v>
      </c>
    </row>
    <row r="50" spans="1:17" x14ac:dyDescent="0.25">
      <c r="A50" t="str">
        <f>IFERROR(IF(0=LEN(ReferenceData!$A$50),"",ReferenceData!$A$50),"")</f>
        <v xml:space="preserve">    Genpact Ltd</v>
      </c>
      <c r="B50" t="str">
        <f>IFERROR(IF(0=LEN(ReferenceData!$B$50),"",ReferenceData!$B$50),"")</f>
        <v>G US Equity</v>
      </c>
      <c r="C50" t="str">
        <f>IFERROR(IF(0=LEN(ReferenceData!$C$50),"",ReferenceData!$C$50),"")</f>
        <v>RR053</v>
      </c>
      <c r="D50" t="str">
        <f>IFERROR(IF(0=LEN(ReferenceData!$D$50),"",ReferenceData!$D$50),"")</f>
        <v>CUR_RATIO</v>
      </c>
      <c r="E50" t="str">
        <f>IFERROR(IF(0=LEN(ReferenceData!$E$50),"",ReferenceData!$E$50),"")</f>
        <v>Dynamic</v>
      </c>
      <c r="F50">
        <f ca="1">IFERROR(IF(0=LEN(ReferenceData!$Q$50),"",ReferenceData!$Q$50),"")</f>
        <v>1.729434031</v>
      </c>
      <c r="G50">
        <f ca="1">IFERROR(IF(0=LEN(ReferenceData!$P$50),"",ReferenceData!$P$50),"")</f>
        <v>1.645640604</v>
      </c>
      <c r="H50">
        <f ca="1">IFERROR(IF(0=LEN(ReferenceData!$O$50),"",ReferenceData!$O$50),"")</f>
        <v>1.7094925510000001</v>
      </c>
      <c r="I50">
        <f ca="1">IFERROR(IF(0=LEN(ReferenceData!$N$50),"",ReferenceData!$N$50),"")</f>
        <v>1.522629966</v>
      </c>
      <c r="J50">
        <f ca="1">IFERROR(IF(0=LEN(ReferenceData!$M$50),"",ReferenceData!$M$50),"")</f>
        <v>1.516196053</v>
      </c>
      <c r="K50">
        <f ca="1">IFERROR(IF(0=LEN(ReferenceData!$L$50),"",ReferenceData!$L$50),"")</f>
        <v>1.3131565009999999</v>
      </c>
      <c r="L50">
        <f ca="1">IFERROR(IF(0=LEN(ReferenceData!$K$50),"",ReferenceData!$K$50),"")</f>
        <v>1.3879343900000001</v>
      </c>
      <c r="M50">
        <f ca="1">IFERROR(IF(0=LEN(ReferenceData!$J$50),"",ReferenceData!$J$50),"")</f>
        <v>1.3783061750000001</v>
      </c>
      <c r="N50">
        <f ca="1">IFERROR(IF(0=LEN(ReferenceData!$I$50),"",ReferenceData!$I$50),"")</f>
        <v>1.455209634</v>
      </c>
      <c r="O50">
        <f ca="1">IFERROR(IF(0=LEN(ReferenceData!$H$50),"",ReferenceData!$H$50),"")</f>
        <v>1.462952244</v>
      </c>
      <c r="P50">
        <f ca="1">IFERROR(IF(0=LEN(ReferenceData!$G$50),"",ReferenceData!$G$50),"")</f>
        <v>1.704743186</v>
      </c>
      <c r="Q50">
        <f ca="1">IFERROR(IF(0=LEN(ReferenceData!$F$50),"",ReferenceData!$F$50),"")</f>
        <v>1.5665759589999999</v>
      </c>
    </row>
    <row r="51" spans="1:17" x14ac:dyDescent="0.25">
      <c r="A51" t="str">
        <f>IFERROR(IF(0=LEN(ReferenceData!$A$51),"",ReferenceData!$A$51),"")</f>
        <v xml:space="preserve">    HCL Technologies Ltd</v>
      </c>
      <c r="B51" t="str">
        <f>IFERROR(IF(0=LEN(ReferenceData!$B$51),"",ReferenceData!$B$51),"")</f>
        <v>HCLT IN Equity</v>
      </c>
      <c r="C51" t="str">
        <f>IFERROR(IF(0=LEN(ReferenceData!$C$51),"",ReferenceData!$C$51),"")</f>
        <v>RR053</v>
      </c>
      <c r="D51" t="str">
        <f>IFERROR(IF(0=LEN(ReferenceData!$D$51),"",ReferenceData!$D$51),"")</f>
        <v>CUR_RATIO</v>
      </c>
      <c r="E51" t="str">
        <f>IFERROR(IF(0=LEN(ReferenceData!$E$51),"",ReferenceData!$E$51),"")</f>
        <v>Dynamic</v>
      </c>
      <c r="F51">
        <f ca="1">IFERROR(IF(0=LEN(ReferenceData!$Q$51),"",ReferenceData!$Q$51),"")</f>
        <v>2.3064816970000002</v>
      </c>
      <c r="G51">
        <f ca="1">IFERROR(IF(0=LEN(ReferenceData!$P$51),"",ReferenceData!$P$51),"")</f>
        <v>2.265658352</v>
      </c>
      <c r="H51">
        <f ca="1">IFERROR(IF(0=LEN(ReferenceData!$O$51),"",ReferenceData!$O$51),"")</f>
        <v>2.3360506060000001</v>
      </c>
      <c r="I51">
        <f ca="1">IFERROR(IF(0=LEN(ReferenceData!$N$51),"",ReferenceData!$N$51),"")</f>
        <v>2.4298011279999998</v>
      </c>
      <c r="J51">
        <f ca="1">IFERROR(IF(0=LEN(ReferenceData!$M$51),"",ReferenceData!$M$51),"")</f>
        <v>2.374423454</v>
      </c>
      <c r="K51">
        <f ca="1">IFERROR(IF(0=LEN(ReferenceData!$L$51),"",ReferenceData!$L$51),"")</f>
        <v>2.4616477269999999</v>
      </c>
      <c r="L51">
        <f ca="1">IFERROR(IF(0=LEN(ReferenceData!$K$51),"",ReferenceData!$K$51),"")</f>
        <v>2.5671076249999998</v>
      </c>
      <c r="M51">
        <f ca="1">IFERROR(IF(0=LEN(ReferenceData!$J$51),"",ReferenceData!$J$51),"")</f>
        <v>2.4239362689999999</v>
      </c>
      <c r="N51">
        <f ca="1">IFERROR(IF(0=LEN(ReferenceData!$I$51),"",ReferenceData!$I$51),"")</f>
        <v>2.665798611</v>
      </c>
      <c r="O51">
        <f ca="1">IFERROR(IF(0=LEN(ReferenceData!$H$51),"",ReferenceData!$H$51),"")</f>
        <v>1.584356045</v>
      </c>
      <c r="P51">
        <f ca="1">IFERROR(IF(0=LEN(ReferenceData!$G$51),"",ReferenceData!$G$51),"")</f>
        <v>1.7269828620000001</v>
      </c>
      <c r="Q51">
        <f ca="1">IFERROR(IF(0=LEN(ReferenceData!$F$51),"",ReferenceData!$F$51),"")</f>
        <v>1.6230432299999999</v>
      </c>
    </row>
    <row r="52" spans="1:17" x14ac:dyDescent="0.25">
      <c r="A52" t="str">
        <f>IFERROR(IF(0=LEN(ReferenceData!$A$52),"",ReferenceData!$A$52),"")</f>
        <v xml:space="preserve">    Indra Sistemas SA</v>
      </c>
      <c r="B52" t="str">
        <f>IFERROR(IF(0=LEN(ReferenceData!$B$52),"",ReferenceData!$B$52),"")</f>
        <v>IDR SM Equity</v>
      </c>
      <c r="C52" t="str">
        <f>IFERROR(IF(0=LEN(ReferenceData!$C$52),"",ReferenceData!$C$52),"")</f>
        <v>RR053</v>
      </c>
      <c r="D52" t="str">
        <f>IFERROR(IF(0=LEN(ReferenceData!$D$52),"",ReferenceData!$D$52),"")</f>
        <v>CUR_RATIO</v>
      </c>
      <c r="E52" t="str">
        <f>IFERROR(IF(0=LEN(ReferenceData!$E$52),"",ReferenceData!$E$52),"")</f>
        <v>Dynamic</v>
      </c>
      <c r="F52">
        <f ca="1">IFERROR(IF(0=LEN(ReferenceData!$Q$52),"",ReferenceData!$Q$52),"")</f>
        <v>1.2254369009999999</v>
      </c>
      <c r="G52">
        <f ca="1">IFERROR(IF(0=LEN(ReferenceData!$P$52),"",ReferenceData!$P$52),"")</f>
        <v>1.269945603</v>
      </c>
      <c r="H52">
        <f ca="1">IFERROR(IF(0=LEN(ReferenceData!$O$52),"",ReferenceData!$O$52),"")</f>
        <v>1.118784196</v>
      </c>
      <c r="I52">
        <f ca="1">IFERROR(IF(0=LEN(ReferenceData!$N$52),"",ReferenceData!$N$52),"")</f>
        <v>1.0901098899999999</v>
      </c>
      <c r="J52">
        <f ca="1">IFERROR(IF(0=LEN(ReferenceData!$M$52),"",ReferenceData!$M$52),"")</f>
        <v>1.2604124379999999</v>
      </c>
      <c r="K52">
        <f ca="1">IFERROR(IF(0=LEN(ReferenceData!$L$52),"",ReferenceData!$L$52),"")</f>
        <v>1.276458002</v>
      </c>
      <c r="L52">
        <f ca="1">IFERROR(IF(0=LEN(ReferenceData!$K$52),"",ReferenceData!$K$52),"")</f>
        <v>1.297386565</v>
      </c>
      <c r="M52">
        <f ca="1">IFERROR(IF(0=LEN(ReferenceData!$J$52),"",ReferenceData!$J$52),"")</f>
        <v>1.328499914</v>
      </c>
      <c r="N52">
        <f ca="1">IFERROR(IF(0=LEN(ReferenceData!$I$52),"",ReferenceData!$I$52),"")</f>
        <v>1.349363176</v>
      </c>
      <c r="O52">
        <f ca="1">IFERROR(IF(0=LEN(ReferenceData!$H$52),"",ReferenceData!$H$52),"")</f>
        <v>1.3746972669999999</v>
      </c>
      <c r="P52">
        <f ca="1">IFERROR(IF(0=LEN(ReferenceData!$G$52),"",ReferenceData!$G$52),"")</f>
        <v>1.3105704549999999</v>
      </c>
      <c r="Q52">
        <f ca="1">IFERROR(IF(0=LEN(ReferenceData!$F$52),"",ReferenceData!$F$52),"")</f>
        <v>1.2941271990000001</v>
      </c>
    </row>
    <row r="53" spans="1:17" x14ac:dyDescent="0.25">
      <c r="A53" t="str">
        <f>IFERROR(IF(0=LEN(ReferenceData!$A$53),"",ReferenceData!$A$53),"")</f>
        <v xml:space="preserve">    Infosys Ltd</v>
      </c>
      <c r="B53" t="str">
        <f>IFERROR(IF(0=LEN(ReferenceData!$B$53),"",ReferenceData!$B$53),"")</f>
        <v>INFY US Equity</v>
      </c>
      <c r="C53" t="str">
        <f>IFERROR(IF(0=LEN(ReferenceData!$C$53),"",ReferenceData!$C$53),"")</f>
        <v>RR053</v>
      </c>
      <c r="D53" t="str">
        <f>IFERROR(IF(0=LEN(ReferenceData!$D$53),"",ReferenceData!$D$53),"")</f>
        <v>CUR_RATIO</v>
      </c>
      <c r="E53" t="str">
        <f>IFERROR(IF(0=LEN(ReferenceData!$E$53),"",ReferenceData!$E$53),"")</f>
        <v>Dynamic</v>
      </c>
      <c r="F53">
        <f ca="1">IFERROR(IF(0=LEN(ReferenceData!$Q$53),"",ReferenceData!$Q$53),"")</f>
        <v>3.3916671780000001</v>
      </c>
      <c r="G53">
        <f ca="1">IFERROR(IF(0=LEN(ReferenceData!$P$53),"",ReferenceData!$P$53),"")</f>
        <v>3.689028253</v>
      </c>
      <c r="H53">
        <f ca="1">IFERROR(IF(0=LEN(ReferenceData!$O$53),"",ReferenceData!$O$53),"")</f>
        <v>3.2868421049999998</v>
      </c>
      <c r="I53">
        <f ca="1">IFERROR(IF(0=LEN(ReferenceData!$N$53),"",ReferenceData!$N$53),"")</f>
        <v>3.5460475009999999</v>
      </c>
      <c r="J53">
        <f ca="1">IFERROR(IF(0=LEN(ReferenceData!$M$53),"",ReferenceData!$M$53),"")</f>
        <v>2.9321398329999999</v>
      </c>
      <c r="K53">
        <f ca="1">IFERROR(IF(0=LEN(ReferenceData!$L$53),"",ReferenceData!$L$53),"")</f>
        <v>3.303133903</v>
      </c>
      <c r="L53">
        <f ca="1">IFERROR(IF(0=LEN(ReferenceData!$K$53),"",ReferenceData!$K$53),"")</f>
        <v>3.0819886869999999</v>
      </c>
      <c r="M53">
        <f ca="1">IFERROR(IF(0=LEN(ReferenceData!$J$53),"",ReferenceData!$J$53),"")</f>
        <v>2.8371069860000002</v>
      </c>
      <c r="N53">
        <f ca="1">IFERROR(IF(0=LEN(ReferenceData!$I$53),"",ReferenceData!$I$53),"")</f>
        <v>2.0835356159999998</v>
      </c>
      <c r="O53">
        <f ca="1">IFERROR(IF(0=LEN(ReferenceData!$H$53),"",ReferenceData!$H$53),"")</f>
        <v>2.5427619589999999</v>
      </c>
      <c r="P53">
        <f ca="1">IFERROR(IF(0=LEN(ReferenceData!$G$53),"",ReferenceData!$G$53),"")</f>
        <v>2.5416187570000002</v>
      </c>
      <c r="Q53">
        <f ca="1">IFERROR(IF(0=LEN(ReferenceData!$F$53),"",ReferenceData!$F$53),"")</f>
        <v>2.6168009209999998</v>
      </c>
    </row>
    <row r="54" spans="1:17" x14ac:dyDescent="0.25">
      <c r="A54" t="str">
        <f>IFERROR(IF(0=LEN(ReferenceData!$A$54),"",ReferenceData!$A$54),"")</f>
        <v xml:space="preserve">    International Business Machines Corp</v>
      </c>
      <c r="B54" t="str">
        <f>IFERROR(IF(0=LEN(ReferenceData!$B$54),"",ReferenceData!$B$54),"")</f>
        <v>IBM US Equity</v>
      </c>
      <c r="C54" t="str">
        <f>IFERROR(IF(0=LEN(ReferenceData!$C$54),"",ReferenceData!$C$54),"")</f>
        <v>RR053</v>
      </c>
      <c r="D54" t="str">
        <f>IFERROR(IF(0=LEN(ReferenceData!$D$54),"",ReferenceData!$D$54),"")</f>
        <v>CUR_RATIO</v>
      </c>
      <c r="E54" t="str">
        <f>IFERROR(IF(0=LEN(ReferenceData!$E$54),"",ReferenceData!$E$54),"")</f>
        <v>Dynamic</v>
      </c>
      <c r="F54">
        <f ca="1">IFERROR(IF(0=LEN(ReferenceData!$Q$54),"",ReferenceData!$Q$54),"")</f>
        <v>1.2515431239999999</v>
      </c>
      <c r="G54">
        <f ca="1">IFERROR(IF(0=LEN(ReferenceData!$P$54),"",ReferenceData!$P$54),"")</f>
        <v>1.411553144</v>
      </c>
      <c r="H54">
        <f ca="1">IFERROR(IF(0=LEN(ReferenceData!$O$54),"",ReferenceData!$O$54),"")</f>
        <v>1.331129727</v>
      </c>
      <c r="I54">
        <f ca="1">IFERROR(IF(0=LEN(ReferenceData!$N$54),"",ReferenceData!$N$54),"")</f>
        <v>1.3746956589999999</v>
      </c>
      <c r="J54">
        <f ca="1">IFERROR(IF(0=LEN(ReferenceData!$M$54),"",ReferenceData!$M$54),"")</f>
        <v>1.3203261669999999</v>
      </c>
      <c r="K54">
        <f ca="1">IFERROR(IF(0=LEN(ReferenceData!$L$54),"",ReferenceData!$L$54),"")</f>
        <v>1.310548042</v>
      </c>
      <c r="L54">
        <f ca="1">IFERROR(IF(0=LEN(ReferenceData!$K$54),"",ReferenceData!$K$54),"")</f>
        <v>1.285635807</v>
      </c>
      <c r="M54">
        <f ca="1">IFERROR(IF(0=LEN(ReferenceData!$J$54),"",ReferenceData!$J$54),"")</f>
        <v>1.3558951400000001</v>
      </c>
      <c r="N54">
        <f ca="1">IFERROR(IF(0=LEN(ReferenceData!$I$54),"",ReferenceData!$I$54),"")</f>
        <v>1.830346391</v>
      </c>
      <c r="O54">
        <f ca="1">IFERROR(IF(0=LEN(ReferenceData!$H$54),"",ReferenceData!$H$54),"")</f>
        <v>1.0871214279999999</v>
      </c>
      <c r="P54">
        <f ca="1">IFERROR(IF(0=LEN(ReferenceData!$G$54),"",ReferenceData!$G$54),"")</f>
        <v>1.019071112</v>
      </c>
      <c r="Q54">
        <f ca="1">IFERROR(IF(0=LEN(ReferenceData!$F$54),"",ReferenceData!$F$54),"")</f>
        <v>0.95717060499999995</v>
      </c>
    </row>
    <row r="55" spans="1:17" x14ac:dyDescent="0.25">
      <c r="A55" t="str">
        <f>IFERROR(IF(0=LEN(ReferenceData!$A$55),"",ReferenceData!$A$55),"")</f>
        <v xml:space="preserve">    Tata Consultancy Services Ltd</v>
      </c>
      <c r="B55" t="str">
        <f>IFERROR(IF(0=LEN(ReferenceData!$B$55),"",ReferenceData!$B$55),"")</f>
        <v>TCS IN Equity</v>
      </c>
      <c r="C55" t="str">
        <f>IFERROR(IF(0=LEN(ReferenceData!$C$55),"",ReferenceData!$C$55),"")</f>
        <v>RR053</v>
      </c>
      <c r="D55" t="str">
        <f>IFERROR(IF(0=LEN(ReferenceData!$D$55),"",ReferenceData!$D$55),"")</f>
        <v>CUR_RATIO</v>
      </c>
      <c r="E55" t="str">
        <f>IFERROR(IF(0=LEN(ReferenceData!$E$55),"",ReferenceData!$E$55),"")</f>
        <v>Dynamic</v>
      </c>
      <c r="F55">
        <f ca="1">IFERROR(IF(0=LEN(ReferenceData!$Q$55),"",ReferenceData!$Q$55),"")</f>
        <v>4.2875173459999996</v>
      </c>
      <c r="G55">
        <f ca="1">IFERROR(IF(0=LEN(ReferenceData!$P$55),"",ReferenceData!$P$55),"")</f>
        <v>4.3382956559999997</v>
      </c>
      <c r="H55">
        <f ca="1">IFERROR(IF(0=LEN(ReferenceData!$O$55),"",ReferenceData!$O$55),"")</f>
        <v>4.5432388960000001</v>
      </c>
      <c r="I55">
        <f ca="1">IFERROR(IF(0=LEN(ReferenceData!$N$55),"",ReferenceData!$N$55),"")</f>
        <v>4.5559793580000001</v>
      </c>
      <c r="J55">
        <f ca="1">IFERROR(IF(0=LEN(ReferenceData!$M$55),"",ReferenceData!$M$55),"")</f>
        <v>4.119016631</v>
      </c>
      <c r="K55">
        <f ca="1">IFERROR(IF(0=LEN(ReferenceData!$L$55),"",ReferenceData!$L$55),"")</f>
        <v>3.4470217769999998</v>
      </c>
      <c r="L55">
        <f ca="1">IFERROR(IF(0=LEN(ReferenceData!$K$55),"",ReferenceData!$K$55),"")</f>
        <v>4.0242530260000002</v>
      </c>
      <c r="M55">
        <f ca="1">IFERROR(IF(0=LEN(ReferenceData!$J$55),"",ReferenceData!$J$55),"")</f>
        <v>4.1718438689999999</v>
      </c>
      <c r="N55">
        <f ca="1">IFERROR(IF(0=LEN(ReferenceData!$I$55),"",ReferenceData!$I$55),"")</f>
        <v>3.8044092940000001</v>
      </c>
      <c r="O55">
        <f ca="1">IFERROR(IF(0=LEN(ReferenceData!$H$55),"",ReferenceData!$H$55),"")</f>
        <v>4.131208054</v>
      </c>
      <c r="P55">
        <f ca="1">IFERROR(IF(0=LEN(ReferenceData!$G$55),"",ReferenceData!$G$55),"")</f>
        <v>3.52470324</v>
      </c>
      <c r="Q55">
        <f ca="1">IFERROR(IF(0=LEN(ReferenceData!$F$55),"",ReferenceData!$F$55),"")</f>
        <v>3.3347006650000002</v>
      </c>
    </row>
    <row r="56" spans="1:17" x14ac:dyDescent="0.25">
      <c r="A56" t="str">
        <f>IFERROR(IF(0=LEN(ReferenceData!$A$56),"",ReferenceData!$A$56),"")</f>
        <v xml:space="preserve">    Tech Mahindra Ltd</v>
      </c>
      <c r="B56" t="str">
        <f>IFERROR(IF(0=LEN(ReferenceData!$B$56),"",ReferenceData!$B$56),"")</f>
        <v>TECHM IN Equity</v>
      </c>
      <c r="C56" t="str">
        <f>IFERROR(IF(0=LEN(ReferenceData!$C$56),"",ReferenceData!$C$56),"")</f>
        <v>RR053</v>
      </c>
      <c r="D56" t="str">
        <f>IFERROR(IF(0=LEN(ReferenceData!$D$56),"",ReferenceData!$D$56),"")</f>
        <v>CUR_RATIO</v>
      </c>
      <c r="E56" t="str">
        <f>IFERROR(IF(0=LEN(ReferenceData!$E$56),"",ReferenceData!$E$56),"")</f>
        <v>Dynamic</v>
      </c>
      <c r="F56">
        <f ca="1">IFERROR(IF(0=LEN(ReferenceData!$Q$56),"",ReferenceData!$Q$56),"")</f>
        <v>2.0394770449999999</v>
      </c>
      <c r="G56">
        <f ca="1">IFERROR(IF(0=LEN(ReferenceData!$P$56),"",ReferenceData!$P$56),"")</f>
        <v>2.0117085430000001</v>
      </c>
      <c r="H56">
        <f ca="1">IFERROR(IF(0=LEN(ReferenceData!$O$56),"",ReferenceData!$O$56),"")</f>
        <v>1.93391465</v>
      </c>
      <c r="I56">
        <f ca="1">IFERROR(IF(0=LEN(ReferenceData!$N$56),"",ReferenceData!$N$56),"")</f>
        <v>1.9795344969999999</v>
      </c>
      <c r="J56">
        <f ca="1">IFERROR(IF(0=LEN(ReferenceData!$M$56),"",ReferenceData!$M$56),"")</f>
        <v>2.0766919549999998</v>
      </c>
      <c r="K56">
        <f ca="1">IFERROR(IF(0=LEN(ReferenceData!$L$56),"",ReferenceData!$L$56),"")</f>
        <v>1.822902408</v>
      </c>
      <c r="L56">
        <f ca="1">IFERROR(IF(0=LEN(ReferenceData!$K$56),"",ReferenceData!$K$56),"")</f>
        <v>1.977383906</v>
      </c>
      <c r="M56">
        <f ca="1">IFERROR(IF(0=LEN(ReferenceData!$J$56),"",ReferenceData!$J$56),"")</f>
        <v>1.8652954610000001</v>
      </c>
      <c r="N56">
        <f ca="1">IFERROR(IF(0=LEN(ReferenceData!$I$56),"",ReferenceData!$I$56),"")</f>
        <v>2.045405889</v>
      </c>
      <c r="O56">
        <f ca="1">IFERROR(IF(0=LEN(ReferenceData!$H$56),"",ReferenceData!$H$56),"")</f>
        <v>2.0236610659999998</v>
      </c>
      <c r="P56">
        <f ca="1">IFERROR(IF(0=LEN(ReferenceData!$G$56),"",ReferenceData!$G$56),"")</f>
        <v>2.011419514</v>
      </c>
      <c r="Q56">
        <f ca="1">IFERROR(IF(0=LEN(ReferenceData!$F$56),"",ReferenceData!$F$56),"")</f>
        <v>2.1208884490000002</v>
      </c>
    </row>
    <row r="57" spans="1:17" x14ac:dyDescent="0.25">
      <c r="A57" t="str">
        <f>IFERROR(IF(0=LEN(ReferenceData!$A$57),"",ReferenceData!$A$57),"")</f>
        <v xml:space="preserve">    Wipro Ltd</v>
      </c>
      <c r="B57" t="str">
        <f>IFERROR(IF(0=LEN(ReferenceData!$B$57),"",ReferenceData!$B$57),"")</f>
        <v>WIT US Equity</v>
      </c>
      <c r="C57" t="str">
        <f>IFERROR(IF(0=LEN(ReferenceData!$C$57),"",ReferenceData!$C$57),"")</f>
        <v>RR053</v>
      </c>
      <c r="D57" t="str">
        <f>IFERROR(IF(0=LEN(ReferenceData!$D$57),"",ReferenceData!$D$57),"")</f>
        <v>CUR_RATIO</v>
      </c>
      <c r="E57" t="str">
        <f>IFERROR(IF(0=LEN(ReferenceData!$E$57),"",ReferenceData!$E$57),"")</f>
        <v>Dynamic</v>
      </c>
      <c r="F57">
        <f ca="1">IFERROR(IF(0=LEN(ReferenceData!$Q$57),"",ReferenceData!$Q$57),"")</f>
        <v>2.4120726960000001</v>
      </c>
      <c r="G57">
        <f ca="1">IFERROR(IF(0=LEN(ReferenceData!$P$57),"",ReferenceData!$P$57),"")</f>
        <v>2.530701445</v>
      </c>
      <c r="H57">
        <f ca="1">IFERROR(IF(0=LEN(ReferenceData!$O$57),"",ReferenceData!$O$57),"")</f>
        <v>2.1559220049999999</v>
      </c>
      <c r="I57">
        <f ca="1">IFERROR(IF(0=LEN(ReferenceData!$N$57),"",ReferenceData!$N$57),"")</f>
        <v>2.3706763710000001</v>
      </c>
      <c r="J57">
        <f ca="1">IFERROR(IF(0=LEN(ReferenceData!$M$57),"",ReferenceData!$M$57),"")</f>
        <v>2.5334251550000002</v>
      </c>
      <c r="K57">
        <f ca="1">IFERROR(IF(0=LEN(ReferenceData!$L$57),"",ReferenceData!$L$57),"")</f>
        <v>2.5060292130000001</v>
      </c>
      <c r="L57">
        <f ca="1">IFERROR(IF(0=LEN(ReferenceData!$K$57),"",ReferenceData!$K$57),"")</f>
        <v>2.7921661640000002</v>
      </c>
      <c r="M57">
        <f ca="1">IFERROR(IF(0=LEN(ReferenceData!$J$57),"",ReferenceData!$J$57),"")</f>
        <v>2.6680942380000001</v>
      </c>
      <c r="N57">
        <f ca="1">IFERROR(IF(0=LEN(ReferenceData!$I$57),"",ReferenceData!$I$57),"")</f>
        <v>2.712550266</v>
      </c>
      <c r="O57">
        <f ca="1">IFERROR(IF(0=LEN(ReferenceData!$H$57),"",ReferenceData!$H$57),"")</f>
        <v>2.397341795</v>
      </c>
      <c r="P57">
        <f ca="1">IFERROR(IF(0=LEN(ReferenceData!$G$57),"",ReferenceData!$G$57),"")</f>
        <v>2.451490653</v>
      </c>
      <c r="Q57">
        <f ca="1">IFERROR(IF(0=LEN(ReferenceData!$F$57),"",ReferenceData!$F$57),"")</f>
        <v>2.4023466560000002</v>
      </c>
    </row>
    <row r="58" spans="1:17" x14ac:dyDescent="0.25">
      <c r="A58" t="str">
        <f>IFERROR(IF(0=LEN(ReferenceData!$A$58),"",ReferenceData!$A$58),"")</f>
        <v>Interest Coverage</v>
      </c>
      <c r="B58" t="str">
        <f>IFERROR(IF(0=LEN(ReferenceData!$B$58),"",ReferenceData!$B$58),"")</f>
        <v/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Average</v>
      </c>
      <c r="F58">
        <f ca="1">IFERROR(IF(0=LEN(ReferenceData!$Q$58),"",ReferenceData!$Q$58),"")</f>
        <v>74.594574178000002</v>
      </c>
      <c r="G58">
        <f ca="1">IFERROR(IF(0=LEN(ReferenceData!$P$58),"",ReferenceData!$P$58),"")</f>
        <v>172.28184002133332</v>
      </c>
      <c r="H58">
        <f ca="1">IFERROR(IF(0=LEN(ReferenceData!$O$58),"",ReferenceData!$O$58),"")</f>
        <v>186.13474840429998</v>
      </c>
      <c r="I58">
        <f ca="1">IFERROR(IF(0=LEN(ReferenceData!$N$58),"",ReferenceData!$N$58),"")</f>
        <v>122.64611301990909</v>
      </c>
      <c r="J58">
        <f ca="1">IFERROR(IF(0=LEN(ReferenceData!$M$58),"",ReferenceData!$M$58),"")</f>
        <v>107.0915890428889</v>
      </c>
      <c r="K58">
        <f ca="1">IFERROR(IF(0=LEN(ReferenceData!$L$58),"",ReferenceData!$L$58),"")</f>
        <v>61.031221338777783</v>
      </c>
      <c r="L58">
        <f ca="1">IFERROR(IF(0=LEN(ReferenceData!$K$58),"",ReferenceData!$K$58),"")</f>
        <v>117.13399262820001</v>
      </c>
      <c r="M58">
        <f ca="1">IFERROR(IF(0=LEN(ReferenceData!$J$58),"",ReferenceData!$J$58),"")</f>
        <v>75.454987601499994</v>
      </c>
      <c r="N58">
        <f ca="1">IFERROR(IF(0=LEN(ReferenceData!$I$58),"",ReferenceData!$I$58),"")</f>
        <v>58.078860307090913</v>
      </c>
      <c r="O58">
        <f ca="1">IFERROR(IF(0=LEN(ReferenceData!$H$58),"",ReferenceData!$H$58),"")</f>
        <v>42.036963175200007</v>
      </c>
      <c r="P58">
        <f ca="1">IFERROR(IF(0=LEN(ReferenceData!$G$58),"",ReferenceData!$G$58),"")</f>
        <v>51.761481334300001</v>
      </c>
      <c r="Q58">
        <f ca="1">IFERROR(IF(0=LEN(ReferenceData!$F$58),"",ReferenceData!$F$58),"")</f>
        <v>32.893045374499998</v>
      </c>
    </row>
    <row r="59" spans="1:17" x14ac:dyDescent="0.25">
      <c r="A59" t="str">
        <f>IFERROR(IF(0=LEN(ReferenceData!$A$59),"",ReferenceData!$A$59),"")</f>
        <v xml:space="preserve">    Accenture PLC</v>
      </c>
      <c r="B59" t="str">
        <f>IFERROR(IF(0=LEN(ReferenceData!$B$59),"",ReferenceData!$B$59),"")</f>
        <v>ACN US Equity</v>
      </c>
      <c r="C59" t="str">
        <f>IFERROR(IF(0=LEN(ReferenceData!$C$59),"",ReferenceData!$C$59),"")</f>
        <v>RR060</v>
      </c>
      <c r="D59" t="str">
        <f>IFERROR(IF(0=LEN(ReferenceData!$D$59),"",ReferenceData!$D$59),"")</f>
        <v>INTEREST_COVERAGE_RATIO</v>
      </c>
      <c r="E59" t="str">
        <f>IFERROR(IF(0=LEN(ReferenceData!$E$59),"",ReferenceData!$E$59),"")</f>
        <v>Dynamic</v>
      </c>
      <c r="F59">
        <f ca="1">IFERROR(IF(0=LEN(ReferenceData!$Q$59),"",ReferenceData!$Q$59),"")</f>
        <v>239.53362859999999</v>
      </c>
      <c r="G59">
        <f ca="1">IFERROR(IF(0=LEN(ReferenceData!$P$59),"",ReferenceData!$P$59),"")</f>
        <v>264.17318660000001</v>
      </c>
      <c r="H59">
        <f ca="1">IFERROR(IF(0=LEN(ReferenceData!$O$59),"",ReferenceData!$O$59),"")</f>
        <v>318.28680689999999</v>
      </c>
      <c r="I59">
        <f ca="1">IFERROR(IF(0=LEN(ReferenceData!$N$59),"",ReferenceData!$N$59),"")</f>
        <v>337.51145830000002</v>
      </c>
      <c r="J59">
        <f ca="1">IFERROR(IF(0=LEN(ReferenceData!$M$59),"",ReferenceData!$M$59),"")</f>
        <v>279.99229320000001</v>
      </c>
      <c r="K59">
        <f ca="1">IFERROR(IF(0=LEN(ReferenceData!$L$59),"",ReferenceData!$L$59),"")</f>
        <v>285.2093926</v>
      </c>
      <c r="L59">
        <f ca="1">IFERROR(IF(0=LEN(ReferenceData!$K$59),"",ReferenceData!$K$59),"")</f>
        <v>361.60088789999998</v>
      </c>
      <c r="M59">
        <f ca="1">IFERROR(IF(0=LEN(ReferenceData!$J$59),"",ReferenceData!$J$59),"")</f>
        <v>246.77451500000001</v>
      </c>
      <c r="N59">
        <f ca="1">IFERROR(IF(0=LEN(ReferenceData!$I$59),"",ReferenceData!$I$59),"")</f>
        <v>321.23092739999998</v>
      </c>
      <c r="O59">
        <f ca="1">IFERROR(IF(0=LEN(ReferenceData!$H$59),"",ReferenceData!$H$59),"")</f>
        <v>209.78414100000001</v>
      </c>
      <c r="P59">
        <f ca="1">IFERROR(IF(0=LEN(ReferenceData!$G$59),"",ReferenceData!$G$59),"")</f>
        <v>322.84672999999998</v>
      </c>
      <c r="Q59">
        <f ca="1">IFERROR(IF(0=LEN(ReferenceData!$F$59),"",ReferenceData!$F$59),"")</f>
        <v>173.8000467</v>
      </c>
    </row>
    <row r="60" spans="1:17" x14ac:dyDescent="0.25">
      <c r="A60" t="str">
        <f>IFERROR(IF(0=LEN(ReferenceData!$A$60),"",ReferenceData!$A$60),"")</f>
        <v xml:space="preserve">    Amdocs Ltd</v>
      </c>
      <c r="B60" t="str">
        <f>IFERROR(IF(0=LEN(ReferenceData!$B$60),"",ReferenceData!$B$60),"")</f>
        <v>DOX US Equity</v>
      </c>
      <c r="C60" t="str">
        <f>IFERROR(IF(0=LEN(ReferenceData!$C$60),"",ReferenceData!$C$60),"")</f>
        <v>RR060</v>
      </c>
      <c r="D60" t="str">
        <f>IFERROR(IF(0=LEN(ReferenceData!$D$60),"",ReferenceData!$D$60),"")</f>
        <v>INTEREST_COVERAGE_RATIO</v>
      </c>
      <c r="E60" t="str">
        <f>IFERROR(IF(0=LEN(ReferenceData!$E$60),"",ReferenceData!$E$60),"")</f>
        <v>Dynamic</v>
      </c>
      <c r="F60" t="str">
        <f ca="1">IFERROR(IF(0=LEN(ReferenceData!$Q$60),"",ReferenceData!$Q$60),"")</f>
        <v/>
      </c>
      <c r="G60" t="str">
        <f ca="1">IFERROR(IF(0=LEN(ReferenceData!$P$60),"",ReferenceData!$P$60),"")</f>
        <v/>
      </c>
      <c r="H60" t="str">
        <f ca="1">IFERROR(IF(0=LEN(ReferenceData!$O$60),"",ReferenceData!$O$60),"")</f>
        <v/>
      </c>
      <c r="I60" t="str">
        <f ca="1">IFERROR(IF(0=LEN(ReferenceData!$N$60),"",ReferenceData!$N$60),"")</f>
        <v/>
      </c>
      <c r="J60" t="str">
        <f ca="1">IFERROR(IF(0=LEN(ReferenceData!$M$60),"",ReferenceData!$M$60),"")</f>
        <v/>
      </c>
      <c r="K60" t="str">
        <f ca="1">IFERROR(IF(0=LEN(ReferenceData!$L$60),"",ReferenceData!$L$60),"")</f>
        <v/>
      </c>
      <c r="L60" t="str">
        <f ca="1">IFERROR(IF(0=LEN(ReferenceData!$K$60),"",ReferenceData!$K$60),"")</f>
        <v/>
      </c>
      <c r="M60" t="str">
        <f ca="1">IFERROR(IF(0=LEN(ReferenceData!$J$60),"",ReferenceData!$J$60),"")</f>
        <v/>
      </c>
      <c r="N60" t="str">
        <f ca="1">IFERROR(IF(0=LEN(ReferenceData!$I$60),"",ReferenceData!$I$60),"")</f>
        <v/>
      </c>
      <c r="O60" t="str">
        <f ca="1">IFERROR(IF(0=LEN(ReferenceData!$H$60),"",ReferenceData!$H$60),"")</f>
        <v/>
      </c>
      <c r="P60" t="str">
        <f ca="1">IFERROR(IF(0=LEN(ReferenceData!$G$60),"",ReferenceData!$G$60),"")</f>
        <v/>
      </c>
      <c r="Q60" t="str">
        <f ca="1">IFERROR(IF(0=LEN(ReferenceData!$F$60),"",ReferenceData!$F$60),"")</f>
        <v/>
      </c>
    </row>
    <row r="61" spans="1:17" x14ac:dyDescent="0.25">
      <c r="A61" t="str">
        <f>IFERROR(IF(0=LEN(ReferenceData!$A$61),"",ReferenceData!$A$61),"")</f>
        <v xml:space="preserve">    Atos SE</v>
      </c>
      <c r="B61" t="str">
        <f>IFERROR(IF(0=LEN(ReferenceData!$B$61),"",ReferenceData!$B$61),"")</f>
        <v>ATO FP Equity</v>
      </c>
      <c r="C61" t="str">
        <f>IFERROR(IF(0=LEN(ReferenceData!$C$61),"",ReferenceData!$C$61),"")</f>
        <v>RR060</v>
      </c>
      <c r="D61" t="str">
        <f>IFERROR(IF(0=LEN(ReferenceData!$D$61),"",ReferenceData!$D$61),"")</f>
        <v>INTEREST_COVERAGE_RATIO</v>
      </c>
      <c r="E61" t="str">
        <f>IFERROR(IF(0=LEN(ReferenceData!$E$61),"",ReferenceData!$E$61),"")</f>
        <v>Dynamic</v>
      </c>
      <c r="F61" t="str">
        <f ca="1">IFERROR(IF(0=LEN(ReferenceData!$Q$61),"",ReferenceData!$Q$61),"")</f>
        <v/>
      </c>
      <c r="G61" t="str">
        <f ca="1">IFERROR(IF(0=LEN(ReferenceData!$P$61),"",ReferenceData!$P$61),"")</f>
        <v/>
      </c>
      <c r="H61" t="str">
        <f ca="1">IFERROR(IF(0=LEN(ReferenceData!$O$61),"",ReferenceData!$O$61),"")</f>
        <v/>
      </c>
      <c r="I61" t="str">
        <f ca="1">IFERROR(IF(0=LEN(ReferenceData!$N$61),"",ReferenceData!$N$61),"")</f>
        <v/>
      </c>
      <c r="J61" t="str">
        <f ca="1">IFERROR(IF(0=LEN(ReferenceData!$M$61),"",ReferenceData!$M$61),"")</f>
        <v/>
      </c>
      <c r="K61" t="str">
        <f ca="1">IFERROR(IF(0=LEN(ReferenceData!$L$61),"",ReferenceData!$L$61),"")</f>
        <v/>
      </c>
      <c r="L61" t="str">
        <f ca="1">IFERROR(IF(0=LEN(ReferenceData!$K$61),"",ReferenceData!$K$61),"")</f>
        <v/>
      </c>
      <c r="M61" t="str">
        <f ca="1">IFERROR(IF(0=LEN(ReferenceData!$J$61),"",ReferenceData!$J$61),"")</f>
        <v/>
      </c>
      <c r="N61" t="str">
        <f ca="1">IFERROR(IF(0=LEN(ReferenceData!$I$61),"",ReferenceData!$I$61),"")</f>
        <v/>
      </c>
      <c r="O61" t="str">
        <f ca="1">IFERROR(IF(0=LEN(ReferenceData!$H$61),"",ReferenceData!$H$61),"")</f>
        <v/>
      </c>
      <c r="P61" t="str">
        <f ca="1">IFERROR(IF(0=LEN(ReferenceData!$G$61),"",ReferenceData!$G$61),"")</f>
        <v/>
      </c>
      <c r="Q61" t="str">
        <f ca="1">IFERROR(IF(0=LEN(ReferenceData!$F$61),"",ReferenceData!$F$61),"")</f>
        <v/>
      </c>
    </row>
    <row r="62" spans="1:17" x14ac:dyDescent="0.25">
      <c r="A62" t="str">
        <f>IFERROR(IF(0=LEN(ReferenceData!$A$62),"",ReferenceData!$A$62),"")</f>
        <v xml:space="preserve">    Capgemini SE</v>
      </c>
      <c r="B62" t="str">
        <f>IFERROR(IF(0=LEN(ReferenceData!$B$62),"",ReferenceData!$B$62),"")</f>
        <v>CAP FP Equity</v>
      </c>
      <c r="C62" t="str">
        <f>IFERROR(IF(0=LEN(ReferenceData!$C$62),"",ReferenceData!$C$62),"")</f>
        <v>RR060</v>
      </c>
      <c r="D62" t="str">
        <f>IFERROR(IF(0=LEN(ReferenceData!$D$62),"",ReferenceData!$D$62),"")</f>
        <v>INTEREST_COVERAGE_RATIO</v>
      </c>
      <c r="E62" t="str">
        <f>IFERROR(IF(0=LEN(ReferenceData!$E$62),"",ReferenceData!$E$62),"")</f>
        <v>Dynamic</v>
      </c>
      <c r="F62" t="str">
        <f ca="1">IFERROR(IF(0=LEN(ReferenceData!$Q$62),"",ReferenceData!$Q$62),"")</f>
        <v/>
      </c>
      <c r="G62" t="str">
        <f ca="1">IFERROR(IF(0=LEN(ReferenceData!$P$62),"",ReferenceData!$P$62),"")</f>
        <v/>
      </c>
      <c r="H62" t="str">
        <f ca="1">IFERROR(IF(0=LEN(ReferenceData!$O$62),"",ReferenceData!$O$62),"")</f>
        <v/>
      </c>
      <c r="I62" t="str">
        <f ca="1">IFERROR(IF(0=LEN(ReferenceData!$N$62),"",ReferenceData!$N$62),"")</f>
        <v/>
      </c>
      <c r="J62" t="str">
        <f ca="1">IFERROR(IF(0=LEN(ReferenceData!$M$62),"",ReferenceData!$M$62),"")</f>
        <v/>
      </c>
      <c r="K62" t="str">
        <f ca="1">IFERROR(IF(0=LEN(ReferenceData!$L$62),"",ReferenceData!$L$62),"")</f>
        <v/>
      </c>
      <c r="L62" t="str">
        <f ca="1">IFERROR(IF(0=LEN(ReferenceData!$K$62),"",ReferenceData!$K$62),"")</f>
        <v/>
      </c>
      <c r="M62" t="str">
        <f ca="1">IFERROR(IF(0=LEN(ReferenceData!$J$62),"",ReferenceData!$J$62),"")</f>
        <v/>
      </c>
      <c r="N62" t="str">
        <f ca="1">IFERROR(IF(0=LEN(ReferenceData!$I$62),"",ReferenceData!$I$62),"")</f>
        <v/>
      </c>
      <c r="O62" t="str">
        <f ca="1">IFERROR(IF(0=LEN(ReferenceData!$H$62),"",ReferenceData!$H$62),"")</f>
        <v/>
      </c>
      <c r="P62" t="str">
        <f ca="1">IFERROR(IF(0=LEN(ReferenceData!$G$62),"",ReferenceData!$G$62),"")</f>
        <v/>
      </c>
      <c r="Q62" t="str">
        <f ca="1">IFERROR(IF(0=LEN(ReferenceData!$F$62),"",ReferenceData!$F$62),"")</f>
        <v/>
      </c>
    </row>
    <row r="63" spans="1:17" x14ac:dyDescent="0.25">
      <c r="A63" t="str">
        <f>IFERROR(IF(0=LEN(ReferenceData!$A$63),"",ReferenceData!$A$63),"")</f>
        <v xml:space="preserve">    CGI Inc</v>
      </c>
      <c r="B63" t="str">
        <f>IFERROR(IF(0=LEN(ReferenceData!$B$63),"",ReferenceData!$B$63),"")</f>
        <v>GIB US Equity</v>
      </c>
      <c r="C63" t="str">
        <f>IFERROR(IF(0=LEN(ReferenceData!$C$63),"",ReferenceData!$C$63),"")</f>
        <v>RR060</v>
      </c>
      <c r="D63" t="str">
        <f>IFERROR(IF(0=LEN(ReferenceData!$D$63),"",ReferenceData!$D$63),"")</f>
        <v>INTEREST_COVERAGE_RATIO</v>
      </c>
      <c r="E63" t="str">
        <f>IFERROR(IF(0=LEN(ReferenceData!$E$63),"",ReferenceData!$E$63),"")</f>
        <v>Dynamic</v>
      </c>
      <c r="F63" t="str">
        <f ca="1">IFERROR(IF(0=LEN(ReferenceData!$Q$63),"",ReferenceData!$Q$63),"")</f>
        <v/>
      </c>
      <c r="G63" t="str">
        <f ca="1">IFERROR(IF(0=LEN(ReferenceData!$P$63),"",ReferenceData!$P$63),"")</f>
        <v/>
      </c>
      <c r="H63">
        <f ca="1">IFERROR(IF(0=LEN(ReferenceData!$O$63),"",ReferenceData!$O$63),"")</f>
        <v>20.87918758</v>
      </c>
      <c r="I63">
        <f ca="1">IFERROR(IF(0=LEN(ReferenceData!$N$63),"",ReferenceData!$N$63),"")</f>
        <v>22.27898111</v>
      </c>
      <c r="J63" t="str">
        <f ca="1">IFERROR(IF(0=LEN(ReferenceData!$M$63),"",ReferenceData!$M$63),"")</f>
        <v/>
      </c>
      <c r="K63" t="str">
        <f ca="1">IFERROR(IF(0=LEN(ReferenceData!$L$63),"",ReferenceData!$L$63),"")</f>
        <v/>
      </c>
      <c r="L63">
        <f ca="1">IFERROR(IF(0=LEN(ReferenceData!$K$63),"",ReferenceData!$K$63),"")</f>
        <v>29.618001370000002</v>
      </c>
      <c r="M63">
        <f ca="1">IFERROR(IF(0=LEN(ReferenceData!$J$63),"",ReferenceData!$J$63),"")</f>
        <v>23.898088489999999</v>
      </c>
      <c r="N63">
        <f ca="1">IFERROR(IF(0=LEN(ReferenceData!$I$63),"",ReferenceData!$I$63),"")</f>
        <v>22.575379860000002</v>
      </c>
      <c r="O63">
        <f ca="1">IFERROR(IF(0=LEN(ReferenceData!$H$63),"",ReferenceData!$H$63),"")</f>
        <v>24.122643629999999</v>
      </c>
      <c r="P63">
        <f ca="1">IFERROR(IF(0=LEN(ReferenceData!$G$63),"",ReferenceData!$G$63),"")</f>
        <v>15.850647410000001</v>
      </c>
      <c r="Q63">
        <f ca="1">IFERROR(IF(0=LEN(ReferenceData!$F$63),"",ReferenceData!$F$63),"")</f>
        <v>17.049759649999999</v>
      </c>
    </row>
    <row r="64" spans="1:17" x14ac:dyDescent="0.25">
      <c r="A64" t="str">
        <f>IFERROR(IF(0=LEN(ReferenceData!$A$64),"",ReferenceData!$A$64),"")</f>
        <v xml:space="preserve">    Cognizant Technology Solutions Corp</v>
      </c>
      <c r="B64" t="str">
        <f>IFERROR(IF(0=LEN(ReferenceData!$B$64),"",ReferenceData!$B$64),"")</f>
        <v>CTSH US Equity</v>
      </c>
      <c r="C64" t="str">
        <f>IFERROR(IF(0=LEN(ReferenceData!$C$64),"",ReferenceData!$C$64),"")</f>
        <v>RR060</v>
      </c>
      <c r="D64" t="str">
        <f>IFERROR(IF(0=LEN(ReferenceData!$D$64),"",ReferenceData!$D$64),"")</f>
        <v>INTEREST_COVERAGE_RATIO</v>
      </c>
      <c r="E64" t="str">
        <f>IFERROR(IF(0=LEN(ReferenceData!$E$64),"",ReferenceData!$E$64),"")</f>
        <v>Dynamic</v>
      </c>
      <c r="F64">
        <f ca="1">IFERROR(IF(0=LEN(ReferenceData!$Q$64),"",ReferenceData!$Q$64),"")</f>
        <v>101</v>
      </c>
      <c r="G64">
        <f ca="1">IFERROR(IF(0=LEN(ReferenceData!$P$64),"",ReferenceData!$P$64),"")</f>
        <v>108</v>
      </c>
      <c r="H64">
        <f ca="1">IFERROR(IF(0=LEN(ReferenceData!$O$64),"",ReferenceData!$O$64),"")</f>
        <v>131.4</v>
      </c>
      <c r="I64">
        <f ca="1">IFERROR(IF(0=LEN(ReferenceData!$N$64),"",ReferenceData!$N$64),"")</f>
        <v>115.5</v>
      </c>
      <c r="J64">
        <f ca="1">IFERROR(IF(0=LEN(ReferenceData!$M$64),"",ReferenceData!$M$64),"")</f>
        <v>95.714285709999999</v>
      </c>
      <c r="K64">
        <f ca="1">IFERROR(IF(0=LEN(ReferenceData!$L$64),"",ReferenceData!$L$64),"")</f>
        <v>124.16666669999999</v>
      </c>
      <c r="L64">
        <f ca="1">IFERROR(IF(0=LEN(ReferenceData!$K$64),"",ReferenceData!$K$64),"")</f>
        <v>86.625</v>
      </c>
      <c r="M64">
        <f ca="1">IFERROR(IF(0=LEN(ReferenceData!$J$64),"",ReferenceData!$J$64),"")</f>
        <v>77</v>
      </c>
      <c r="N64">
        <f ca="1">IFERROR(IF(0=LEN(ReferenceData!$I$64),"",ReferenceData!$I$64),"")</f>
        <v>103.16666669999999</v>
      </c>
      <c r="O64">
        <f ca="1">IFERROR(IF(0=LEN(ReferenceData!$H$64),"",ReferenceData!$H$64),"")</f>
        <v>95.571428569999995</v>
      </c>
      <c r="P64">
        <f ca="1">IFERROR(IF(0=LEN(ReferenceData!$G$64),"",ReferenceData!$G$64),"")</f>
        <v>104.33333330000001</v>
      </c>
      <c r="Q64">
        <f ca="1">IFERROR(IF(0=LEN(ReferenceData!$F$64),"",ReferenceData!$F$64),"")</f>
        <v>96.5</v>
      </c>
    </row>
    <row r="65" spans="1:17" x14ac:dyDescent="0.25">
      <c r="A65" t="str">
        <f>IFERROR(IF(0=LEN(ReferenceData!$A$65),"",ReferenceData!$A$65),"")</f>
        <v xml:space="preserve">    Conduent Inc</v>
      </c>
      <c r="B65" t="str">
        <f>IFERROR(IF(0=LEN(ReferenceData!$B$65),"",ReferenceData!$B$65),"")</f>
        <v>CNDT US Equity</v>
      </c>
      <c r="C65" t="str">
        <f>IFERROR(IF(0=LEN(ReferenceData!$C$65),"",ReferenceData!$C$65),"")</f>
        <v>RR060</v>
      </c>
      <c r="D65" t="str">
        <f>IFERROR(IF(0=LEN(ReferenceData!$D$65),"",ReferenceData!$D$65),"")</f>
        <v>INTEREST_COVERAGE_RATIO</v>
      </c>
      <c r="E65" t="str">
        <f>IFERROR(IF(0=LEN(ReferenceData!$E$65),"",ReferenceData!$E$65),"")</f>
        <v>Dynamic</v>
      </c>
      <c r="F65">
        <f ca="1">IFERROR(IF(0=LEN(ReferenceData!$Q$65),"",ReferenceData!$Q$65),"")</f>
        <v>0.382352941</v>
      </c>
      <c r="G65">
        <f ca="1">IFERROR(IF(0=LEN(ReferenceData!$P$65),"",ReferenceData!$P$65),"")</f>
        <v>1.371428571</v>
      </c>
      <c r="H65">
        <f ca="1">IFERROR(IF(0=LEN(ReferenceData!$O$65),"",ReferenceData!$O$65),"")</f>
        <v>1.21875</v>
      </c>
      <c r="I65">
        <f ca="1">IFERROR(IF(0=LEN(ReferenceData!$N$65),"",ReferenceData!$N$65),"")</f>
        <v>-0.66666666699999999</v>
      </c>
      <c r="J65">
        <f ca="1">IFERROR(IF(0=LEN(ReferenceData!$M$65),"",ReferenceData!$M$65),"")</f>
        <v>2.4054054050000002</v>
      </c>
      <c r="K65">
        <f ca="1">IFERROR(IF(0=LEN(ReferenceData!$L$65),"",ReferenceData!$L$65),"")</f>
        <v>-10.454545449999999</v>
      </c>
      <c r="L65">
        <f ca="1">IFERROR(IF(0=LEN(ReferenceData!$K$65),"",ReferenceData!$K$65),"")</f>
        <v>-5.95</v>
      </c>
      <c r="M65">
        <f ca="1">IFERROR(IF(0=LEN(ReferenceData!$J$65),"",ReferenceData!$J$65),"")</f>
        <v>-15.95</v>
      </c>
      <c r="N65">
        <f ca="1">IFERROR(IF(0=LEN(ReferenceData!$I$65),"",ReferenceData!$I$65),"")</f>
        <v>-54.9</v>
      </c>
      <c r="O65">
        <f ca="1">IFERROR(IF(0=LEN(ReferenceData!$H$65),"",ReferenceData!$H$65),"")</f>
        <v>0.3</v>
      </c>
      <c r="P65">
        <f ca="1">IFERROR(IF(0=LEN(ReferenceData!$G$65),"",ReferenceData!$G$65),"")</f>
        <v>-34.277777780000001</v>
      </c>
      <c r="Q65">
        <f ca="1">IFERROR(IF(0=LEN(ReferenceData!$F$65),"",ReferenceData!$F$65),"")</f>
        <v>-2</v>
      </c>
    </row>
    <row r="66" spans="1:17" x14ac:dyDescent="0.25">
      <c r="A66" t="str">
        <f>IFERROR(IF(0=LEN(ReferenceData!$A$66),"",ReferenceData!$A$66),"")</f>
        <v xml:space="preserve">    DXC Technology Co</v>
      </c>
      <c r="B66" t="str">
        <f>IFERROR(IF(0=LEN(ReferenceData!$B$66),"",ReferenceData!$B$66),"")</f>
        <v>DXC US Equity</v>
      </c>
      <c r="C66" t="str">
        <f>IFERROR(IF(0=LEN(ReferenceData!$C$66),"",ReferenceData!$C$66),"")</f>
        <v>RR060</v>
      </c>
      <c r="D66" t="str">
        <f>IFERROR(IF(0=LEN(ReferenceData!$D$66),"",ReferenceData!$D$66),"")</f>
        <v>INTEREST_COVERAGE_RATIO</v>
      </c>
      <c r="E66" t="str">
        <f>IFERROR(IF(0=LEN(ReferenceData!$E$66),"",ReferenceData!$E$66),"")</f>
        <v>Dynamic</v>
      </c>
      <c r="F66">
        <f ca="1">IFERROR(IF(0=LEN(ReferenceData!$Q$66),"",ReferenceData!$Q$66),"")</f>
        <v>6.7567567999999995E-2</v>
      </c>
      <c r="G66">
        <f ca="1">IFERROR(IF(0=LEN(ReferenceData!$P$66),"",ReferenceData!$P$66),"")</f>
        <v>3.6849315069999999</v>
      </c>
      <c r="H66">
        <f ca="1">IFERROR(IF(0=LEN(ReferenceData!$O$66),"",ReferenceData!$O$66),"")</f>
        <v>4.2739726029999998</v>
      </c>
      <c r="I66">
        <f ca="1">IFERROR(IF(0=LEN(ReferenceData!$N$66),"",ReferenceData!$N$66),"")</f>
        <v>6.58</v>
      </c>
      <c r="J66">
        <f ca="1">IFERROR(IF(0=LEN(ReferenceData!$M$66),"",ReferenceData!$M$66),"")</f>
        <v>3.7529411760000002</v>
      </c>
      <c r="K66">
        <f ca="1">IFERROR(IF(0=LEN(ReferenceData!$L$66),"",ReferenceData!$L$66),"")</f>
        <v>3.4337349399999999</v>
      </c>
      <c r="L66">
        <f ca="1">IFERROR(IF(0=LEN(ReferenceData!$K$66),"",ReferenceData!$K$66),"")</f>
        <v>4.6666666670000003</v>
      </c>
      <c r="M66">
        <f ca="1">IFERROR(IF(0=LEN(ReferenceData!$J$66),"",ReferenceData!$J$66),"")</f>
        <v>4.7411764710000002</v>
      </c>
      <c r="N66">
        <f ca="1">IFERROR(IF(0=LEN(ReferenceData!$I$66),"",ReferenceData!$I$66),"")</f>
        <v>1.6373626370000001</v>
      </c>
      <c r="O66">
        <f ca="1">IFERROR(IF(0=LEN(ReferenceData!$H$66),"",ReferenceData!$H$66),"")</f>
        <v>-19.91346154</v>
      </c>
      <c r="P66">
        <f ca="1">IFERROR(IF(0=LEN(ReferenceData!$G$66),"",ReferenceData!$G$66),"")</f>
        <v>0.75268817200000004</v>
      </c>
      <c r="Q66">
        <f ca="1">IFERROR(IF(0=LEN(ReferenceData!$F$66),"",ReferenceData!$F$66),"")</f>
        <v>-40.821052629999997</v>
      </c>
    </row>
    <row r="67" spans="1:17" x14ac:dyDescent="0.25">
      <c r="A67" t="str">
        <f>IFERROR(IF(0=LEN(ReferenceData!$A$67),"",ReferenceData!$A$67),"")</f>
        <v xml:space="preserve">    EPAM Systems Inc</v>
      </c>
      <c r="B67" t="str">
        <f>IFERROR(IF(0=LEN(ReferenceData!$B$67),"",ReferenceData!$B$67),"")</f>
        <v>EPAM US Equity</v>
      </c>
      <c r="C67" t="str">
        <f>IFERROR(IF(0=LEN(ReferenceData!$C$67),"",ReferenceData!$C$67),"")</f>
        <v>RR060</v>
      </c>
      <c r="D67" t="str">
        <f>IFERROR(IF(0=LEN(ReferenceData!$D$67),"",ReferenceData!$D$67),"")</f>
        <v>INTEREST_COVERAGE_RATIO</v>
      </c>
      <c r="E67" t="str">
        <f>IFERROR(IF(0=LEN(ReferenceData!$E$67),"",ReferenceData!$E$67),"")</f>
        <v>Dynamic</v>
      </c>
      <c r="F67" t="str">
        <f ca="1">IFERROR(IF(0=LEN(ReferenceData!$Q$67),"",ReferenceData!$Q$67),"")</f>
        <v/>
      </c>
      <c r="G67" t="str">
        <f ca="1">IFERROR(IF(0=LEN(ReferenceData!$P$67),"",ReferenceData!$P$67),"")</f>
        <v/>
      </c>
      <c r="H67" t="str">
        <f ca="1">IFERROR(IF(0=LEN(ReferenceData!$O$67),"",ReferenceData!$O$67),"")</f>
        <v/>
      </c>
      <c r="I67" t="str">
        <f ca="1">IFERROR(IF(0=LEN(ReferenceData!$N$67),"",ReferenceData!$N$67),"")</f>
        <v/>
      </c>
      <c r="J67" t="str">
        <f ca="1">IFERROR(IF(0=LEN(ReferenceData!$M$67),"",ReferenceData!$M$67),"")</f>
        <v/>
      </c>
      <c r="K67" t="str">
        <f ca="1">IFERROR(IF(0=LEN(ReferenceData!$L$67),"",ReferenceData!$L$67),"")</f>
        <v/>
      </c>
      <c r="L67" t="str">
        <f ca="1">IFERROR(IF(0=LEN(ReferenceData!$K$67),"",ReferenceData!$K$67),"")</f>
        <v/>
      </c>
      <c r="M67" t="str">
        <f ca="1">IFERROR(IF(0=LEN(ReferenceData!$J$67),"",ReferenceData!$J$67),"")</f>
        <v/>
      </c>
      <c r="N67" t="str">
        <f ca="1">IFERROR(IF(0=LEN(ReferenceData!$I$67),"",ReferenceData!$I$67),"")</f>
        <v/>
      </c>
      <c r="O67" t="str">
        <f ca="1">IFERROR(IF(0=LEN(ReferenceData!$H$67),"",ReferenceData!$H$67),"")</f>
        <v/>
      </c>
      <c r="P67" t="str">
        <f ca="1">IFERROR(IF(0=LEN(ReferenceData!$G$67),"",ReferenceData!$G$67),"")</f>
        <v/>
      </c>
      <c r="Q67" t="str">
        <f ca="1">IFERROR(IF(0=LEN(ReferenceData!$F$67),"",ReferenceData!$F$67),"")</f>
        <v/>
      </c>
    </row>
    <row r="68" spans="1:17" x14ac:dyDescent="0.25">
      <c r="A68" t="str">
        <f>IFERROR(IF(0=LEN(ReferenceData!$A$68),"",ReferenceData!$A$68),"")</f>
        <v xml:space="preserve">    Genpact Ltd</v>
      </c>
      <c r="B68" t="str">
        <f>IFERROR(IF(0=LEN(ReferenceData!$B$68),"",ReferenceData!$B$68),"")</f>
        <v>G US Equity</v>
      </c>
      <c r="C68" t="str">
        <f>IFERROR(IF(0=LEN(ReferenceData!$C$68),"",ReferenceData!$C$68),"")</f>
        <v>RR060</v>
      </c>
      <c r="D68" t="str">
        <f>IFERROR(IF(0=LEN(ReferenceData!$D$68),"",ReferenceData!$D$68),"")</f>
        <v>INTEREST_COVERAGE_RATIO</v>
      </c>
      <c r="E68" t="str">
        <f>IFERROR(IF(0=LEN(ReferenceData!$E$68),"",ReferenceData!$E$68),"")</f>
        <v>Dynamic</v>
      </c>
      <c r="F68">
        <f ca="1">IFERROR(IF(0=LEN(ReferenceData!$Q$68),"",ReferenceData!$Q$68),"")</f>
        <v>7.5570801830000001</v>
      </c>
      <c r="G68">
        <f ca="1">IFERROR(IF(0=LEN(ReferenceData!$P$68),"",ReferenceData!$P$68),"")</f>
        <v>8.6861527540000001</v>
      </c>
      <c r="H68">
        <f ca="1">IFERROR(IF(0=LEN(ReferenceData!$O$68),"",ReferenceData!$O$68),"")</f>
        <v>6.4831520300000003</v>
      </c>
      <c r="I68">
        <f ca="1">IFERROR(IF(0=LEN(ReferenceData!$N$68),"",ReferenceData!$N$68),"")</f>
        <v>5.5589363560000002</v>
      </c>
      <c r="J68">
        <f ca="1">IFERROR(IF(0=LEN(ReferenceData!$M$68),"",ReferenceData!$M$68),"")</f>
        <v>6.5283638450000003</v>
      </c>
      <c r="K68">
        <f ca="1">IFERROR(IF(0=LEN(ReferenceData!$L$68),"",ReferenceData!$L$68),"")</f>
        <v>7.5421512789999996</v>
      </c>
      <c r="L68">
        <f ca="1">IFERROR(IF(0=LEN(ReferenceData!$K$68),"",ReferenceData!$K$68),"")</f>
        <v>8.9467269349999992</v>
      </c>
      <c r="M68">
        <f ca="1">IFERROR(IF(0=LEN(ReferenceData!$J$68),"",ReferenceData!$J$68),"")</f>
        <v>6.9893691320000002</v>
      </c>
      <c r="N68">
        <f ca="1">IFERROR(IF(0=LEN(ReferenceData!$I$68),"",ReferenceData!$I$68),"")</f>
        <v>8.0645455239999997</v>
      </c>
      <c r="O68">
        <f ca="1">IFERROR(IF(0=LEN(ReferenceData!$H$68),"",ReferenceData!$H$68),"")</f>
        <v>9.3185659199999993</v>
      </c>
      <c r="P68">
        <f ca="1">IFERROR(IF(0=LEN(ReferenceData!$G$68),"",ReferenceData!$G$68),"")</f>
        <v>9.5355034310000004</v>
      </c>
      <c r="Q68">
        <f ca="1">IFERROR(IF(0=LEN(ReferenceData!$F$68),"",ReferenceData!$F$68),"")</f>
        <v>7.9211166789999998</v>
      </c>
    </row>
    <row r="69" spans="1:17" x14ac:dyDescent="0.25">
      <c r="A69" t="str">
        <f>IFERROR(IF(0=LEN(ReferenceData!$A$69),"",ReferenceData!$A$69),"")</f>
        <v xml:space="preserve">    HCL Technologies Ltd</v>
      </c>
      <c r="B69" t="str">
        <f>IFERROR(IF(0=LEN(ReferenceData!$B$69),"",ReferenceData!$B$69),"")</f>
        <v>HCLT IN Equity</v>
      </c>
      <c r="C69" t="str">
        <f>IFERROR(IF(0=LEN(ReferenceData!$C$69),"",ReferenceData!$C$69),"")</f>
        <v>RR060</v>
      </c>
      <c r="D69" t="str">
        <f>IFERROR(IF(0=LEN(ReferenceData!$D$69),"",ReferenceData!$D$69),"")</f>
        <v>INTEREST_COVERAGE_RATIO</v>
      </c>
      <c r="E69" t="str">
        <f>IFERROR(IF(0=LEN(ReferenceData!$E$69),"",ReferenceData!$E$69),"")</f>
        <v>Dynamic</v>
      </c>
      <c r="F69" t="str">
        <f ca="1">IFERROR(IF(0=LEN(ReferenceData!$Q$69),"",ReferenceData!$Q$69),"")</f>
        <v/>
      </c>
      <c r="G69" t="str">
        <f ca="1">IFERROR(IF(0=LEN(ReferenceData!$P$69),"",ReferenceData!$P$69),"")</f>
        <v/>
      </c>
      <c r="H69" t="str">
        <f ca="1">IFERROR(IF(0=LEN(ReferenceData!$O$69),"",ReferenceData!$O$69),"")</f>
        <v/>
      </c>
      <c r="I69">
        <f ca="1">IFERROR(IF(0=LEN(ReferenceData!$N$69),"",ReferenceData!$N$69),"")</f>
        <v>136.47368420000001</v>
      </c>
      <c r="J69" t="str">
        <f ca="1">IFERROR(IF(0=LEN(ReferenceData!$M$69),"",ReferenceData!$M$69),"")</f>
        <v/>
      </c>
      <c r="K69" t="str">
        <f ca="1">IFERROR(IF(0=LEN(ReferenceData!$L$69),"",ReferenceData!$L$69),"")</f>
        <v/>
      </c>
      <c r="L69" t="str">
        <f ca="1">IFERROR(IF(0=LEN(ReferenceData!$K$69),"",ReferenceData!$K$69),"")</f>
        <v/>
      </c>
      <c r="M69" t="str">
        <f ca="1">IFERROR(IF(0=LEN(ReferenceData!$J$69),"",ReferenceData!$J$69),"")</f>
        <v/>
      </c>
      <c r="N69" t="str">
        <f ca="1">IFERROR(IF(0=LEN(ReferenceData!$I$69),"",ReferenceData!$I$69),"")</f>
        <v/>
      </c>
      <c r="O69" t="str">
        <f ca="1">IFERROR(IF(0=LEN(ReferenceData!$H$69),"",ReferenceData!$H$69),"")</f>
        <v/>
      </c>
      <c r="P69" t="str">
        <f ca="1">IFERROR(IF(0=LEN(ReferenceData!$G$69),"",ReferenceData!$G$69),"")</f>
        <v/>
      </c>
      <c r="Q69" t="str">
        <f ca="1">IFERROR(IF(0=LEN(ReferenceData!$F$69),"",ReferenceData!$F$69),"")</f>
        <v/>
      </c>
    </row>
    <row r="70" spans="1:17" x14ac:dyDescent="0.25">
      <c r="A70" t="str">
        <f>IFERROR(IF(0=LEN(ReferenceData!$A$70),"",ReferenceData!$A$70),"")</f>
        <v xml:space="preserve">    Indra Sistemas SA</v>
      </c>
      <c r="B70" t="str">
        <f>IFERROR(IF(0=LEN(ReferenceData!$B$70),"",ReferenceData!$B$70),"")</f>
        <v>IDR SM Equity</v>
      </c>
      <c r="C70" t="str">
        <f>IFERROR(IF(0=LEN(ReferenceData!$C$70),"",ReferenceData!$C$70),"")</f>
        <v>RR060</v>
      </c>
      <c r="D70" t="str">
        <f>IFERROR(IF(0=LEN(ReferenceData!$D$70),"",ReferenceData!$D$70),"")</f>
        <v>INTEREST_COVERAGE_RATIO</v>
      </c>
      <c r="E70" t="str">
        <f>IFERROR(IF(0=LEN(ReferenceData!$E$70),"",ReferenceData!$E$70),"")</f>
        <v>Dynamic</v>
      </c>
      <c r="F70" t="str">
        <f ca="1">IFERROR(IF(0=LEN(ReferenceData!$Q$70),"",ReferenceData!$Q$70),"")</f>
        <v/>
      </c>
      <c r="G70" t="str">
        <f ca="1">IFERROR(IF(0=LEN(ReferenceData!$P$70),"",ReferenceData!$P$70),"")</f>
        <v/>
      </c>
      <c r="H70" t="str">
        <f ca="1">IFERROR(IF(0=LEN(ReferenceData!$O$70),"",ReferenceData!$O$70),"")</f>
        <v/>
      </c>
      <c r="I70" t="str">
        <f ca="1">IFERROR(IF(0=LEN(ReferenceData!$N$70),"",ReferenceData!$N$70),"")</f>
        <v/>
      </c>
      <c r="J70" t="str">
        <f ca="1">IFERROR(IF(0=LEN(ReferenceData!$M$70),"",ReferenceData!$M$70),"")</f>
        <v/>
      </c>
      <c r="K70" t="str">
        <f ca="1">IFERROR(IF(0=LEN(ReferenceData!$L$70),"",ReferenceData!$L$70),"")</f>
        <v/>
      </c>
      <c r="L70" t="str">
        <f ca="1">IFERROR(IF(0=LEN(ReferenceData!$K$70),"",ReferenceData!$K$70),"")</f>
        <v/>
      </c>
      <c r="M70" t="str">
        <f ca="1">IFERROR(IF(0=LEN(ReferenceData!$J$70),"",ReferenceData!$J$70),"")</f>
        <v/>
      </c>
      <c r="N70" t="str">
        <f ca="1">IFERROR(IF(0=LEN(ReferenceData!$I$70),"",ReferenceData!$I$70),"")</f>
        <v/>
      </c>
      <c r="O70" t="str">
        <f ca="1">IFERROR(IF(0=LEN(ReferenceData!$H$70),"",ReferenceData!$H$70),"")</f>
        <v/>
      </c>
      <c r="P70" t="str">
        <f ca="1">IFERROR(IF(0=LEN(ReferenceData!$G$70),"",ReferenceData!$G$70),"")</f>
        <v/>
      </c>
      <c r="Q70" t="str">
        <f ca="1">IFERROR(IF(0=LEN(ReferenceData!$F$70),"",ReferenceData!$F$70),"")</f>
        <v/>
      </c>
    </row>
    <row r="71" spans="1:17" x14ac:dyDescent="0.25">
      <c r="A71" t="str">
        <f>IFERROR(IF(0=LEN(ReferenceData!$A$71),"",ReferenceData!$A$71),"")</f>
        <v xml:space="preserve">    Infosys Ltd</v>
      </c>
      <c r="B71" t="str">
        <f>IFERROR(IF(0=LEN(ReferenceData!$B$71),"",ReferenceData!$B$71),"")</f>
        <v>INFY US Equity</v>
      </c>
      <c r="C71" t="str">
        <f>IFERROR(IF(0=LEN(ReferenceData!$C$71),"",ReferenceData!$C$71),"")</f>
        <v>RR060</v>
      </c>
      <c r="D71" t="str">
        <f>IFERROR(IF(0=LEN(ReferenceData!$D$71),"",ReferenceData!$D$71),"")</f>
        <v>INTEREST_COVERAGE_RATIO</v>
      </c>
      <c r="E71" t="str">
        <f>IFERROR(IF(0=LEN(ReferenceData!$E$71),"",ReferenceData!$E$71),"")</f>
        <v>Dynamic</v>
      </c>
      <c r="F71" t="str">
        <f ca="1">IFERROR(IF(0=LEN(ReferenceData!$Q$71),"",ReferenceData!$Q$71),"")</f>
        <v/>
      </c>
      <c r="G71" t="str">
        <f ca="1">IFERROR(IF(0=LEN(ReferenceData!$P$71),"",ReferenceData!$P$71),"")</f>
        <v/>
      </c>
      <c r="H71" t="str">
        <f ca="1">IFERROR(IF(0=LEN(ReferenceData!$O$71),"",ReferenceData!$O$71),"")</f>
        <v/>
      </c>
      <c r="I71" t="str">
        <f ca="1">IFERROR(IF(0=LEN(ReferenceData!$N$71),"",ReferenceData!$N$71),"")</f>
        <v/>
      </c>
      <c r="J71" t="str">
        <f ca="1">IFERROR(IF(0=LEN(ReferenceData!$M$71),"",ReferenceData!$M$71),"")</f>
        <v/>
      </c>
      <c r="K71" t="str">
        <f ca="1">IFERROR(IF(0=LEN(ReferenceData!$L$71),"",ReferenceData!$L$71),"")</f>
        <v/>
      </c>
      <c r="L71" t="str">
        <f ca="1">IFERROR(IF(0=LEN(ReferenceData!$K$71),"",ReferenceData!$K$71),"")</f>
        <v/>
      </c>
      <c r="M71" t="str">
        <f ca="1">IFERROR(IF(0=LEN(ReferenceData!$J$71),"",ReferenceData!$J$71),"")</f>
        <v/>
      </c>
      <c r="N71">
        <f ca="1">IFERROR(IF(0=LEN(ReferenceData!$I$71),"",ReferenceData!$I$71),"")</f>
        <v>111.77500000000001</v>
      </c>
      <c r="O71" t="str">
        <f ca="1">IFERROR(IF(0=LEN(ReferenceData!$H$71),"",ReferenceData!$H$71),"")</f>
        <v/>
      </c>
      <c r="P71" t="str">
        <f ca="1">IFERROR(IF(0=LEN(ReferenceData!$G$71),"",ReferenceData!$G$71),"")</f>
        <v/>
      </c>
      <c r="Q71" t="str">
        <f ca="1">IFERROR(IF(0=LEN(ReferenceData!$F$71),"",ReferenceData!$F$71),"")</f>
        <v/>
      </c>
    </row>
    <row r="72" spans="1:17" x14ac:dyDescent="0.25">
      <c r="A72" t="str">
        <f>IFERROR(IF(0=LEN(ReferenceData!$A$72),"",ReferenceData!$A$72),"")</f>
        <v xml:space="preserve">    International Business Machines Corp</v>
      </c>
      <c r="B72" t="str">
        <f>IFERROR(IF(0=LEN(ReferenceData!$B$72),"",ReferenceData!$B$72),"")</f>
        <v>IBM US Equity</v>
      </c>
      <c r="C72" t="str">
        <f>IFERROR(IF(0=LEN(ReferenceData!$C$72),"",ReferenceData!$C$72),"")</f>
        <v>RR060</v>
      </c>
      <c r="D72" t="str">
        <f>IFERROR(IF(0=LEN(ReferenceData!$D$72),"",ReferenceData!$D$72),"")</f>
        <v>INTEREST_COVERAGE_RATIO</v>
      </c>
      <c r="E72" t="str">
        <f>IFERROR(IF(0=LEN(ReferenceData!$E$72),"",ReferenceData!$E$72),"")</f>
        <v>Dynamic</v>
      </c>
      <c r="F72">
        <f ca="1">IFERROR(IF(0=LEN(ReferenceData!$Q$72),"",ReferenceData!$Q$72),"")</f>
        <v>16.885135139999999</v>
      </c>
      <c r="G72">
        <f ca="1">IFERROR(IF(0=LEN(ReferenceData!$P$72),"",ReferenceData!$P$72),"")</f>
        <v>16.72619048</v>
      </c>
      <c r="H72">
        <f ca="1">IFERROR(IF(0=LEN(ReferenceData!$O$72),"",ReferenceData!$O$72),"")</f>
        <v>27.4</v>
      </c>
      <c r="I72">
        <f ca="1">IFERROR(IF(0=LEN(ReferenceData!$N$72),"",ReferenceData!$N$72),"")</f>
        <v>8.31547619</v>
      </c>
      <c r="J72">
        <f ca="1">IFERROR(IF(0=LEN(ReferenceData!$M$72),"",ReferenceData!$M$72),"")</f>
        <v>16.920454549999999</v>
      </c>
      <c r="K72">
        <f ca="1">IFERROR(IF(0=LEN(ReferenceData!$L$72),"",ReferenceData!$L$72),"")</f>
        <v>16.691099479999998</v>
      </c>
      <c r="L72">
        <f ca="1">IFERROR(IF(0=LEN(ReferenceData!$K$72),"",ReferenceData!$K$72),"")</f>
        <v>23.979274610000001</v>
      </c>
      <c r="M72">
        <f ca="1">IFERROR(IF(0=LEN(ReferenceData!$J$72),"",ReferenceData!$J$72),"")</f>
        <v>9.0518867919999995</v>
      </c>
      <c r="N72">
        <f ca="1">IFERROR(IF(0=LEN(ReferenceData!$I$72),"",ReferenceData!$I$72),"")</f>
        <v>6.1168091169999999</v>
      </c>
      <c r="O72">
        <f ca="1">IFERROR(IF(0=LEN(ReferenceData!$H$72),"",ReferenceData!$H$72),"")</f>
        <v>4.0529953919999997</v>
      </c>
      <c r="P72">
        <f ca="1">IFERROR(IF(0=LEN(ReferenceData!$G$72),"",ReferenceData!$G$72),"")</f>
        <v>11.5</v>
      </c>
      <c r="Q72">
        <f ca="1">IFERROR(IF(0=LEN(ReferenceData!$F$72),"",ReferenceData!$F$72),"")</f>
        <v>1.0362537759999999</v>
      </c>
    </row>
    <row r="73" spans="1:17" x14ac:dyDescent="0.25">
      <c r="A73" t="str">
        <f>IFERROR(IF(0=LEN(ReferenceData!$A$73),"",ReferenceData!$A$73),"")</f>
        <v xml:space="preserve">    Tata Consultancy Services Ltd</v>
      </c>
      <c r="B73" t="str">
        <f>IFERROR(IF(0=LEN(ReferenceData!$B$73),"",ReferenceData!$B$73),"")</f>
        <v>TCS IN Equity</v>
      </c>
      <c r="C73" t="str">
        <f>IFERROR(IF(0=LEN(ReferenceData!$C$73),"",ReferenceData!$C$73),"")</f>
        <v>RR060</v>
      </c>
      <c r="D73" t="str">
        <f>IFERROR(IF(0=LEN(ReferenceData!$D$73),"",ReferenceData!$D$73),"")</f>
        <v>INTEREST_COVERAGE_RATIO</v>
      </c>
      <c r="E73" t="str">
        <f>IFERROR(IF(0=LEN(ReferenceData!$E$73),"",ReferenceData!$E$73),"")</f>
        <v>Dynamic</v>
      </c>
      <c r="F73">
        <f ca="1">IFERROR(IF(0=LEN(ReferenceData!$Q$73),"",ReferenceData!$Q$73),"")</f>
        <v>256.07407410000002</v>
      </c>
      <c r="G73">
        <f ca="1">IFERROR(IF(0=LEN(ReferenceData!$P$73),"",ReferenceData!$P$73),"")</f>
        <v>1094.2857140000001</v>
      </c>
      <c r="H73">
        <f ca="1">IFERROR(IF(0=LEN(ReferenceData!$O$73),"",ReferenceData!$O$73),"")</f>
        <v>1296.833333</v>
      </c>
      <c r="I73">
        <f ca="1">IFERROR(IF(0=LEN(ReferenceData!$N$73),"",ReferenceData!$N$73),"")</f>
        <v>678.91666669999995</v>
      </c>
      <c r="J73">
        <f ca="1">IFERROR(IF(0=LEN(ReferenceData!$M$73),"",ReferenceData!$M$73),"")</f>
        <v>504.58823530000001</v>
      </c>
      <c r="K73">
        <f ca="1">IFERROR(IF(0=LEN(ReferenceData!$L$73),"",ReferenceData!$L$73),"")</f>
        <v>71.321167880000004</v>
      </c>
      <c r="L73">
        <f ca="1">IFERROR(IF(0=LEN(ReferenceData!$K$73),"",ReferenceData!$K$73),"")</f>
        <v>597.75</v>
      </c>
      <c r="M73">
        <f ca="1">IFERROR(IF(0=LEN(ReferenceData!$J$73),"",ReferenceData!$J$73),"")</f>
        <v>340.60714289999999</v>
      </c>
      <c r="N73">
        <f ca="1">IFERROR(IF(0=LEN(ReferenceData!$I$73),"",ReferenceData!$I$73),"")</f>
        <v>78.135593220000004</v>
      </c>
      <c r="O73">
        <f ca="1">IFERROR(IF(0=LEN(ReferenceData!$H$73),"",ReferenceData!$H$73),"")</f>
        <v>48.502590669999996</v>
      </c>
      <c r="P73">
        <f ca="1">IFERROR(IF(0=LEN(ReferenceData!$G$73),"",ReferenceData!$G$73),"")</f>
        <v>44.726457400000001</v>
      </c>
      <c r="Q73">
        <f ca="1">IFERROR(IF(0=LEN(ReferenceData!$F$73),"",ReferenceData!$F$73),"")</f>
        <v>39.940239040000002</v>
      </c>
    </row>
    <row r="74" spans="1:17" x14ac:dyDescent="0.25">
      <c r="A74" t="str">
        <f>IFERROR(IF(0=LEN(ReferenceData!$A$74),"",ReferenceData!$A$74),"")</f>
        <v xml:space="preserve">    Tech Mahindra Ltd</v>
      </c>
      <c r="B74" t="str">
        <f>IFERROR(IF(0=LEN(ReferenceData!$B$74),"",ReferenceData!$B$74),"")</f>
        <v>TECHM IN Equity</v>
      </c>
      <c r="C74" t="str">
        <f>IFERROR(IF(0=LEN(ReferenceData!$C$74),"",ReferenceData!$C$74),"")</f>
        <v>RR060</v>
      </c>
      <c r="D74" t="str">
        <f>IFERROR(IF(0=LEN(ReferenceData!$D$74),"",ReferenceData!$D$74),"")</f>
        <v>INTEREST_COVERAGE_RATIO</v>
      </c>
      <c r="E74" t="str">
        <f>IFERROR(IF(0=LEN(ReferenceData!$E$74),"",ReferenceData!$E$74),"")</f>
        <v>Dynamic</v>
      </c>
      <c r="F74">
        <f ca="1">IFERROR(IF(0=LEN(ReferenceData!$Q$74),"",ReferenceData!$Q$74),"")</f>
        <v>18.615696889999999</v>
      </c>
      <c r="G74">
        <f ca="1">IFERROR(IF(0=LEN(ReferenceData!$P$74),"",ReferenceData!$P$74),"")</f>
        <v>21.75</v>
      </c>
      <c r="H74">
        <f ca="1">IFERROR(IF(0=LEN(ReferenceData!$O$74),"",ReferenceData!$O$74),"")</f>
        <v>29.052801410000001</v>
      </c>
      <c r="I74">
        <f ca="1">IFERROR(IF(0=LEN(ReferenceData!$N$74),"",ReferenceData!$N$74),"")</f>
        <v>21.12428843</v>
      </c>
      <c r="J74">
        <f ca="1">IFERROR(IF(0=LEN(ReferenceData!$M$74),"",ReferenceData!$M$74),"")</f>
        <v>35.282950820000003</v>
      </c>
      <c r="K74">
        <f ca="1">IFERROR(IF(0=LEN(ReferenceData!$L$74),"",ReferenceData!$L$74),"")</f>
        <v>34.158369870000001</v>
      </c>
      <c r="L74">
        <f ca="1">IFERROR(IF(0=LEN(ReferenceData!$K$74),"",ReferenceData!$K$74),"")</f>
        <v>40.195530730000002</v>
      </c>
      <c r="M74">
        <f ca="1">IFERROR(IF(0=LEN(ReferenceData!$J$74),"",ReferenceData!$J$74),"")</f>
        <v>48.693950180000002</v>
      </c>
      <c r="N74">
        <f ca="1">IFERROR(IF(0=LEN(ReferenceData!$I$74),"",ReferenceData!$I$74),"")</f>
        <v>21.86784141</v>
      </c>
      <c r="O74">
        <f ca="1">IFERROR(IF(0=LEN(ReferenceData!$H$74),"",ReferenceData!$H$74),"")</f>
        <v>30.271177550000001</v>
      </c>
      <c r="P74">
        <f ca="1">IFERROR(IF(0=LEN(ReferenceData!$G$74),"",ReferenceData!$G$74),"")</f>
        <v>21.426947269999999</v>
      </c>
      <c r="Q74">
        <f ca="1">IFERROR(IF(0=LEN(ReferenceData!$F$74),"",ReferenceData!$F$74),"")</f>
        <v>13.76093985</v>
      </c>
    </row>
    <row r="75" spans="1:17" x14ac:dyDescent="0.25">
      <c r="A75" t="str">
        <f>IFERROR(IF(0=LEN(ReferenceData!$A$75),"",ReferenceData!$A$75),"")</f>
        <v xml:space="preserve">    Wipro Ltd</v>
      </c>
      <c r="B75" t="str">
        <f>IFERROR(IF(0=LEN(ReferenceData!$B$75),"",ReferenceData!$B$75),"")</f>
        <v>WIT US Equity</v>
      </c>
      <c r="C75" t="str">
        <f>IFERROR(IF(0=LEN(ReferenceData!$C$75),"",ReferenceData!$C$75),"")</f>
        <v>RR060</v>
      </c>
      <c r="D75" t="str">
        <f>IFERROR(IF(0=LEN(ReferenceData!$D$75),"",ReferenceData!$D$75),"")</f>
        <v>INTEREST_COVERAGE_RATIO</v>
      </c>
      <c r="E75" t="str">
        <f>IFERROR(IF(0=LEN(ReferenceData!$E$75),"",ReferenceData!$E$75),"")</f>
        <v>Dynamic</v>
      </c>
      <c r="F75">
        <f ca="1">IFERROR(IF(0=LEN(ReferenceData!$Q$75),"",ReferenceData!$Q$75),"")</f>
        <v>31.23563218</v>
      </c>
      <c r="G75">
        <f ca="1">IFERROR(IF(0=LEN(ReferenceData!$P$75),"",ReferenceData!$P$75),"")</f>
        <v>31.858956280000001</v>
      </c>
      <c r="H75">
        <f ca="1">IFERROR(IF(0=LEN(ReferenceData!$O$75),"",ReferenceData!$O$75),"")</f>
        <v>25.519480519999998</v>
      </c>
      <c r="I75">
        <f ca="1">IFERROR(IF(0=LEN(ReferenceData!$N$75),"",ReferenceData!$N$75),"")</f>
        <v>17.514418599999999</v>
      </c>
      <c r="J75">
        <f ca="1">IFERROR(IF(0=LEN(ReferenceData!$M$75),"",ReferenceData!$M$75),"")</f>
        <v>18.63937138</v>
      </c>
      <c r="K75">
        <f ca="1">IFERROR(IF(0=LEN(ReferenceData!$L$75),"",ReferenceData!$L$75),"")</f>
        <v>17.212954750000002</v>
      </c>
      <c r="L75">
        <f ca="1">IFERROR(IF(0=LEN(ReferenceData!$K$75),"",ReferenceData!$K$75),"")</f>
        <v>23.90783807</v>
      </c>
      <c r="M75">
        <f ca="1">IFERROR(IF(0=LEN(ReferenceData!$J$75),"",ReferenceData!$J$75),"")</f>
        <v>12.74374705</v>
      </c>
      <c r="N75">
        <f ca="1">IFERROR(IF(0=LEN(ReferenceData!$I$75),"",ReferenceData!$I$75),"")</f>
        <v>19.197337510000001</v>
      </c>
      <c r="O75">
        <f ca="1">IFERROR(IF(0=LEN(ReferenceData!$H$75),"",ReferenceData!$H$75),"")</f>
        <v>18.359550559999999</v>
      </c>
      <c r="P75">
        <f ca="1">IFERROR(IF(0=LEN(ReferenceData!$G$75),"",ReferenceData!$G$75),"")</f>
        <v>20.92028414</v>
      </c>
      <c r="Q75">
        <f ca="1">IFERROR(IF(0=LEN(ReferenceData!$F$75),"",ReferenceData!$F$75),"")</f>
        <v>21.743150679999999</v>
      </c>
    </row>
    <row r="76" spans="1:17" x14ac:dyDescent="0.25">
      <c r="A76" t="str">
        <f>IFERROR(IF(0=LEN(ReferenceData!$A$76),"",ReferenceData!$A$76),"")</f>
        <v>Leverage:</v>
      </c>
      <c r="B76" t="str">
        <f>IFERROR(IF(0=LEN(ReferenceData!$B$76),"",ReferenceData!$B$76),"")</f>
        <v/>
      </c>
      <c r="C76" t="str">
        <f>IFERROR(IF(0=LEN(ReferenceData!$C$76),"",ReferenceData!$C$76),"")</f>
        <v/>
      </c>
      <c r="D76" t="str">
        <f>IFERROR(IF(0=LEN(ReferenceData!$D$76),"",ReferenceData!$D$76),"")</f>
        <v/>
      </c>
      <c r="E76" t="str">
        <f>IFERROR(IF(0=LEN(ReferenceData!$E$76),"",ReferenceData!$E$76),"")</f>
        <v>Heading</v>
      </c>
      <c r="F76" t="str">
        <f>IFERROR(IF(0=LEN(ReferenceData!$Q$76),"",ReferenceData!$Q$76),"")</f>
        <v/>
      </c>
      <c r="G76" t="str">
        <f>IFERROR(IF(0=LEN(ReferenceData!$P$76),"",ReferenceData!$P$76),"")</f>
        <v/>
      </c>
      <c r="H76" t="str">
        <f>IFERROR(IF(0=LEN(ReferenceData!$O$76),"",ReferenceData!$O$76),"")</f>
        <v/>
      </c>
      <c r="I76" t="str">
        <f>IFERROR(IF(0=LEN(ReferenceData!$N$76),"",ReferenceData!$N$76),"")</f>
        <v/>
      </c>
      <c r="J76" t="str">
        <f>IFERROR(IF(0=LEN(ReferenceData!$M$76),"",ReferenceData!$M$76),"")</f>
        <v/>
      </c>
      <c r="K76" t="str">
        <f>IFERROR(IF(0=LEN(ReferenceData!$L$76),"",ReferenceData!$L$76),"")</f>
        <v/>
      </c>
      <c r="L76" t="str">
        <f>IFERROR(IF(0=LEN(ReferenceData!$K$76),"",ReferenceData!$K$76),"")</f>
        <v/>
      </c>
      <c r="M76" t="str">
        <f>IFERROR(IF(0=LEN(ReferenceData!$J$76),"",ReferenceData!$J$76),"")</f>
        <v/>
      </c>
      <c r="N76" t="str">
        <f>IFERROR(IF(0=LEN(ReferenceData!$I$76),"",ReferenceData!$I$76),"")</f>
        <v/>
      </c>
      <c r="O76" t="str">
        <f>IFERROR(IF(0=LEN(ReferenceData!$H$76),"",ReferenceData!$H$76),"")</f>
        <v/>
      </c>
      <c r="P76" t="str">
        <f>IFERROR(IF(0=LEN(ReferenceData!$G$76),"",ReferenceData!$G$76),"")</f>
        <v/>
      </c>
      <c r="Q76" t="str">
        <f>IFERROR(IF(0=LEN(ReferenceData!$F$76),"",ReferenceData!$F$76),"")</f>
        <v/>
      </c>
    </row>
    <row r="77" spans="1:17" x14ac:dyDescent="0.25">
      <c r="A77" t="str">
        <f>IFERROR(IF(0=LEN(ReferenceData!$A$77),"",ReferenceData!$A$77),"")</f>
        <v>Total Debt/EV</v>
      </c>
      <c r="B77" t="str">
        <f>IFERROR(IF(0=LEN(ReferenceData!$B$77),"",ReferenceData!$B$77),"")</f>
        <v>BRITBPOV Index</v>
      </c>
      <c r="C77" t="str">
        <f>IFERROR(IF(0=LEN(ReferenceData!$C$77),"",ReferenceData!$C$77),"")</f>
        <v/>
      </c>
      <c r="D77" t="str">
        <f>IFERROR(IF(0=LEN(ReferenceData!$D$77),"",ReferenceData!$D$77),"")</f>
        <v/>
      </c>
      <c r="E77" t="str">
        <f>IFERROR(IF(0=LEN(ReferenceData!$E$77),"",ReferenceData!$E$77),"")</f>
        <v>Average</v>
      </c>
      <c r="F77">
        <f ca="1">IFERROR(IF(0=LEN(ReferenceData!$Q$77),"",ReferenceData!$Q$77),"")</f>
        <v>0.1232660054</v>
      </c>
      <c r="G77">
        <f ca="1">IFERROR(IF(0=LEN(ReferenceData!$P$77),"",ReferenceData!$P$77),"")</f>
        <v>0.12156729659999997</v>
      </c>
      <c r="H77">
        <f ca="1">IFERROR(IF(0=LEN(ReferenceData!$O$77),"",ReferenceData!$O$77),"")</f>
        <v>0.1230273462</v>
      </c>
      <c r="I77">
        <f ca="1">IFERROR(IF(0=LEN(ReferenceData!$N$77),"",ReferenceData!$N$77),"")</f>
        <v>0.12223318386666668</v>
      </c>
      <c r="J77">
        <f ca="1">IFERROR(IF(0=LEN(ReferenceData!$M$77),"",ReferenceData!$M$77),"")</f>
        <v>0.13379184633999996</v>
      </c>
      <c r="K77">
        <f ca="1">IFERROR(IF(0=LEN(ReferenceData!$L$77),"",ReferenceData!$L$77),"")</f>
        <v>0.12028296848000002</v>
      </c>
      <c r="L77">
        <f ca="1">IFERROR(IF(0=LEN(ReferenceData!$K$77),"",ReferenceData!$K$77),"")</f>
        <v>0.15934025162666662</v>
      </c>
      <c r="M77">
        <f ca="1">IFERROR(IF(0=LEN(ReferenceData!$J$77),"",ReferenceData!$J$77),"")</f>
        <v>0.14527151648</v>
      </c>
      <c r="N77">
        <f ca="1">IFERROR(IF(0=LEN(ReferenceData!$I$77),"",ReferenceData!$I$77),"")</f>
        <v>0.17609335793333333</v>
      </c>
      <c r="O77">
        <f ca="1">IFERROR(IF(0=LEN(ReferenceData!$H$77),"",ReferenceData!$H$77),"")</f>
        <v>0.19256333140000004</v>
      </c>
      <c r="P77">
        <f ca="1">IFERROR(IF(0=LEN(ReferenceData!$G$77),"",ReferenceData!$G$77),"")</f>
        <v>0.19365825718750002</v>
      </c>
      <c r="Q77">
        <f ca="1">IFERROR(IF(0=LEN(ReferenceData!$F$77),"",ReferenceData!$F$77),"")</f>
        <v>0.27227157260000001</v>
      </c>
    </row>
    <row r="78" spans="1:17" x14ac:dyDescent="0.25">
      <c r="A78" t="str">
        <f>IFERROR(IF(0=LEN(ReferenceData!$A$78),"",ReferenceData!$A$78),"")</f>
        <v xml:space="preserve">    Accenture PLC</v>
      </c>
      <c r="B78" t="str">
        <f>IFERROR(IF(0=LEN(ReferenceData!$B$78),"",ReferenceData!$B$78),"")</f>
        <v>ACN US Equity</v>
      </c>
      <c r="C78" t="str">
        <f>IFERROR(IF(0=LEN(ReferenceData!$C$78),"",ReferenceData!$C$78),"")</f>
        <v>RR481</v>
      </c>
      <c r="D78" t="str">
        <f>IFERROR(IF(0=LEN(ReferenceData!$D$78),"",ReferenceData!$D$78),"")</f>
        <v>TOTAL_DEBT_TO_EV</v>
      </c>
      <c r="E78" t="str">
        <f>IFERROR(IF(0=LEN(ReferenceData!$E$78),"",ReferenceData!$E$78),"")</f>
        <v>Dynamic</v>
      </c>
      <c r="F78">
        <f ca="1">IFERROR(IF(0=LEN(ReferenceData!$Q$78),"",ReferenceData!$Q$78),"")</f>
        <v>3.60074E-4</v>
      </c>
      <c r="G78">
        <f ca="1">IFERROR(IF(0=LEN(ReferenceData!$P$78),"",ReferenceData!$P$78),"")</f>
        <v>3.14018E-4</v>
      </c>
      <c r="H78">
        <f ca="1">IFERROR(IF(0=LEN(ReferenceData!$O$78),"",ReferenceData!$O$78),"")</f>
        <v>2.7648700000000001E-4</v>
      </c>
      <c r="I78">
        <f ca="1">IFERROR(IF(0=LEN(ReferenceData!$N$78),"",ReferenceData!$N$78),"")</f>
        <v>2.8887100000000001E-4</v>
      </c>
      <c r="J78">
        <f ca="1">IFERROR(IF(0=LEN(ReferenceData!$M$78),"",ReferenceData!$M$78),"")</f>
        <v>2.9883500000000001E-4</v>
      </c>
      <c r="K78">
        <f ca="1">IFERROR(IF(0=LEN(ReferenceData!$L$78),"",ReferenceData!$L$78),"")</f>
        <v>2.4171899999999999E-4</v>
      </c>
      <c r="L78">
        <f ca="1">IFERROR(IF(0=LEN(ReferenceData!$K$78),"",ReferenceData!$K$78),"")</f>
        <v>2.4378600000000001E-4</v>
      </c>
      <c r="M78">
        <f ca="1">IFERROR(IF(0=LEN(ReferenceData!$J$78),"",ReferenceData!$J$78),"")</f>
        <v>2.43618E-4</v>
      </c>
      <c r="N78">
        <f ca="1">IFERROR(IF(0=LEN(ReferenceData!$I$78),"",ReferenceData!$I$78),"")</f>
        <v>2.1963399999999999E-4</v>
      </c>
      <c r="O78">
        <f ca="1">IFERROR(IF(0=LEN(ReferenceData!$H$78),"",ReferenceData!$H$78),"")</f>
        <v>1.8814E-4</v>
      </c>
      <c r="P78">
        <f ca="1">IFERROR(IF(0=LEN(ReferenceData!$G$78),"",ReferenceData!$G$78),"")</f>
        <v>2.687223E-2</v>
      </c>
      <c r="Q78">
        <f ca="1">IFERROR(IF(0=LEN(ReferenceData!$F$78),"",ReferenceData!$F$78),"")</f>
        <v>3.0019443999999999E-2</v>
      </c>
    </row>
    <row r="79" spans="1:17" x14ac:dyDescent="0.25">
      <c r="A79" t="str">
        <f>IFERROR(IF(0=LEN(ReferenceData!$A$79),"",ReferenceData!$A$79),"")</f>
        <v xml:space="preserve">    Amdocs Ltd</v>
      </c>
      <c r="B79" t="str">
        <f>IFERROR(IF(0=LEN(ReferenceData!$B$79),"",ReferenceData!$B$79),"")</f>
        <v>DOX US Equity</v>
      </c>
      <c r="C79" t="str">
        <f>IFERROR(IF(0=LEN(ReferenceData!$C$79),"",ReferenceData!$C$79),"")</f>
        <v>RR481</v>
      </c>
      <c r="D79" t="str">
        <f>IFERROR(IF(0=LEN(ReferenceData!$D$79),"",ReferenceData!$D$79),"")</f>
        <v>TOTAL_DEBT_TO_EV</v>
      </c>
      <c r="E79" t="str">
        <f>IFERROR(IF(0=LEN(ReferenceData!$E$79),"",ReferenceData!$E$79),"")</f>
        <v>Dynamic</v>
      </c>
      <c r="F79">
        <f ca="1">IFERROR(IF(0=LEN(ReferenceData!$Q$79),"",ReferenceData!$Q$79),"")</f>
        <v>0</v>
      </c>
      <c r="G79">
        <f ca="1">IFERROR(IF(0=LEN(ReferenceData!$P$79),"",ReferenceData!$P$79),"")</f>
        <v>0</v>
      </c>
      <c r="H79">
        <f ca="1">IFERROR(IF(0=LEN(ReferenceData!$O$79),"",ReferenceData!$O$79),"")</f>
        <v>0</v>
      </c>
      <c r="I79">
        <f ca="1">IFERROR(IF(0=LEN(ReferenceData!$N$79),"",ReferenceData!$N$79),"")</f>
        <v>1.3236994E-2</v>
      </c>
      <c r="J79">
        <f ca="1">IFERROR(IF(0=LEN(ReferenceData!$M$79),"",ReferenceData!$M$79),"")</f>
        <v>0</v>
      </c>
      <c r="K79">
        <f ca="1">IFERROR(IF(0=LEN(ReferenceData!$L$79),"",ReferenceData!$L$79),"")</f>
        <v>0</v>
      </c>
      <c r="L79">
        <f ca="1">IFERROR(IF(0=LEN(ReferenceData!$K$79),"",ReferenceData!$K$79),"")</f>
        <v>0</v>
      </c>
      <c r="M79">
        <f ca="1">IFERROR(IF(0=LEN(ReferenceData!$J$79),"",ReferenceData!$J$79),"")</f>
        <v>0</v>
      </c>
      <c r="N79">
        <f ca="1">IFERROR(IF(0=LEN(ReferenceData!$I$79),"",ReferenceData!$I$79),"")</f>
        <v>0</v>
      </c>
      <c r="O79">
        <f ca="1">IFERROR(IF(0=LEN(ReferenceData!$H$79),"",ReferenceData!$H$79),"")</f>
        <v>0</v>
      </c>
      <c r="P79">
        <f ca="1">IFERROR(IF(0=LEN(ReferenceData!$G$79),"",ReferenceData!$G$79),"")</f>
        <v>2.9414320000000001E-2</v>
      </c>
      <c r="Q79">
        <f ca="1">IFERROR(IF(0=LEN(ReferenceData!$F$79),"",ReferenceData!$F$79),"")</f>
        <v>8.5979226000000006E-2</v>
      </c>
    </row>
    <row r="80" spans="1:17" x14ac:dyDescent="0.25">
      <c r="A80" t="str">
        <f>IFERROR(IF(0=LEN(ReferenceData!$A$80),"",ReferenceData!$A$80),"")</f>
        <v xml:space="preserve">    Atos SE</v>
      </c>
      <c r="B80" t="str">
        <f>IFERROR(IF(0=LEN(ReferenceData!$B$80),"",ReferenceData!$B$80),"")</f>
        <v>ATO FP Equity</v>
      </c>
      <c r="C80" t="str">
        <f>IFERROR(IF(0=LEN(ReferenceData!$C$80),"",ReferenceData!$C$80),"")</f>
        <v>RR481</v>
      </c>
      <c r="D80" t="str">
        <f>IFERROR(IF(0=LEN(ReferenceData!$D$80),"",ReferenceData!$D$80),"")</f>
        <v>TOTAL_DEBT_TO_EV</v>
      </c>
      <c r="E80" t="str">
        <f>IFERROR(IF(0=LEN(ReferenceData!$E$80),"",ReferenceData!$E$80),"")</f>
        <v>Dynamic</v>
      </c>
      <c r="F80" t="str">
        <f ca="1">IFERROR(IF(0=LEN(ReferenceData!$Q$80),"",ReferenceData!$Q$80),"")</f>
        <v/>
      </c>
      <c r="G80" t="str">
        <f ca="1">IFERROR(IF(0=LEN(ReferenceData!$P$80),"",ReferenceData!$P$80),"")</f>
        <v/>
      </c>
      <c r="H80" t="str">
        <f ca="1">IFERROR(IF(0=LEN(ReferenceData!$O$80),"",ReferenceData!$O$80),"")</f>
        <v/>
      </c>
      <c r="I80" t="str">
        <f ca="1">IFERROR(IF(0=LEN(ReferenceData!$N$80),"",ReferenceData!$N$80),"")</f>
        <v/>
      </c>
      <c r="J80" t="str">
        <f ca="1">IFERROR(IF(0=LEN(ReferenceData!$M$80),"",ReferenceData!$M$80),"")</f>
        <v/>
      </c>
      <c r="K80" t="str">
        <f ca="1">IFERROR(IF(0=LEN(ReferenceData!$L$80),"",ReferenceData!$L$80),"")</f>
        <v/>
      </c>
      <c r="L80" t="str">
        <f ca="1">IFERROR(IF(0=LEN(ReferenceData!$K$80),"",ReferenceData!$K$80),"")</f>
        <v/>
      </c>
      <c r="M80" t="str">
        <f ca="1">IFERROR(IF(0=LEN(ReferenceData!$J$80),"",ReferenceData!$J$80),"")</f>
        <v/>
      </c>
      <c r="N80" t="str">
        <f ca="1">IFERROR(IF(0=LEN(ReferenceData!$I$80),"",ReferenceData!$I$80),"")</f>
        <v/>
      </c>
      <c r="O80" t="str">
        <f ca="1">IFERROR(IF(0=LEN(ReferenceData!$H$80),"",ReferenceData!$H$80),"")</f>
        <v/>
      </c>
      <c r="P80" t="str">
        <f ca="1">IFERROR(IF(0=LEN(ReferenceData!$G$80),"",ReferenceData!$G$80),"")</f>
        <v/>
      </c>
      <c r="Q80" t="str">
        <f ca="1">IFERROR(IF(0=LEN(ReferenceData!$F$80),"",ReferenceData!$F$80),"")</f>
        <v/>
      </c>
    </row>
    <row r="81" spans="1:17" x14ac:dyDescent="0.25">
      <c r="A81" t="str">
        <f>IFERROR(IF(0=LEN(ReferenceData!$A$81),"",ReferenceData!$A$81),"")</f>
        <v xml:space="preserve">    Capgemini SE</v>
      </c>
      <c r="B81" t="str">
        <f>IFERROR(IF(0=LEN(ReferenceData!$B$81),"",ReferenceData!$B$81),"")</f>
        <v>CAP FP Equity</v>
      </c>
      <c r="C81" t="str">
        <f>IFERROR(IF(0=LEN(ReferenceData!$C$81),"",ReferenceData!$C$81),"")</f>
        <v>RR481</v>
      </c>
      <c r="D81" t="str">
        <f>IFERROR(IF(0=LEN(ReferenceData!$D$81),"",ReferenceData!$D$81),"")</f>
        <v>TOTAL_DEBT_TO_EV</v>
      </c>
      <c r="E81" t="str">
        <f>IFERROR(IF(0=LEN(ReferenceData!$E$81),"",ReferenceData!$E$81),"")</f>
        <v>Dynamic</v>
      </c>
      <c r="F81" t="str">
        <f ca="1">IFERROR(IF(0=LEN(ReferenceData!$Q$81),"",ReferenceData!$Q$81),"")</f>
        <v/>
      </c>
      <c r="G81" t="str">
        <f ca="1">IFERROR(IF(0=LEN(ReferenceData!$P$81),"",ReferenceData!$P$81),"")</f>
        <v/>
      </c>
      <c r="H81" t="str">
        <f ca="1">IFERROR(IF(0=LEN(ReferenceData!$O$81),"",ReferenceData!$O$81),"")</f>
        <v/>
      </c>
      <c r="I81" t="str">
        <f ca="1">IFERROR(IF(0=LEN(ReferenceData!$N$81),"",ReferenceData!$N$81),"")</f>
        <v/>
      </c>
      <c r="J81" t="str">
        <f ca="1">IFERROR(IF(0=LEN(ReferenceData!$M$81),"",ReferenceData!$M$81),"")</f>
        <v/>
      </c>
      <c r="K81" t="str">
        <f ca="1">IFERROR(IF(0=LEN(ReferenceData!$L$81),"",ReferenceData!$L$81),"")</f>
        <v/>
      </c>
      <c r="L81" t="str">
        <f ca="1">IFERROR(IF(0=LEN(ReferenceData!$K$81),"",ReferenceData!$K$81),"")</f>
        <v/>
      </c>
      <c r="M81" t="str">
        <f ca="1">IFERROR(IF(0=LEN(ReferenceData!$J$81),"",ReferenceData!$J$81),"")</f>
        <v/>
      </c>
      <c r="N81" t="str">
        <f ca="1">IFERROR(IF(0=LEN(ReferenceData!$I$81),"",ReferenceData!$I$81),"")</f>
        <v/>
      </c>
      <c r="O81" t="str">
        <f ca="1">IFERROR(IF(0=LEN(ReferenceData!$H$81),"",ReferenceData!$H$81),"")</f>
        <v/>
      </c>
      <c r="P81">
        <f ca="1">IFERROR(IF(0=LEN(ReferenceData!$G$81),"",ReferenceData!$G$81),"")</f>
        <v>0.206177002</v>
      </c>
      <c r="Q81" t="str">
        <f ca="1">IFERROR(IF(0=LEN(ReferenceData!$F$81),"",ReferenceData!$F$81),"")</f>
        <v/>
      </c>
    </row>
    <row r="82" spans="1:17" x14ac:dyDescent="0.25">
      <c r="A82" t="str">
        <f>IFERROR(IF(0=LEN(ReferenceData!$A$82),"",ReferenceData!$A$82),"")</f>
        <v xml:space="preserve">    CGI Inc</v>
      </c>
      <c r="B82" t="str">
        <f>IFERROR(IF(0=LEN(ReferenceData!$B$82),"",ReferenceData!$B$82),"")</f>
        <v>GIB US Equity</v>
      </c>
      <c r="C82" t="str">
        <f>IFERROR(IF(0=LEN(ReferenceData!$C$82),"",ReferenceData!$C$82),"")</f>
        <v>RR481</v>
      </c>
      <c r="D82" t="str">
        <f>IFERROR(IF(0=LEN(ReferenceData!$D$82),"",ReferenceData!$D$82),"")</f>
        <v>TOTAL_DEBT_TO_EV</v>
      </c>
      <c r="E82" t="str">
        <f>IFERROR(IF(0=LEN(ReferenceData!$E$82),"",ReferenceData!$E$82),"")</f>
        <v>Dynamic</v>
      </c>
      <c r="F82">
        <f ca="1">IFERROR(IF(0=LEN(ReferenceData!$Q$82),"",ReferenceData!$Q$82),"")</f>
        <v>8.2261904999999996E-2</v>
      </c>
      <c r="G82">
        <f ca="1">IFERROR(IF(0=LEN(ReferenceData!$P$82),"",ReferenceData!$P$82),"")</f>
        <v>9.1894432999999998E-2</v>
      </c>
      <c r="H82">
        <f ca="1">IFERROR(IF(0=LEN(ReferenceData!$O$82),"",ReferenceData!$O$82),"")</f>
        <v>8.5818288000000006E-2</v>
      </c>
      <c r="I82">
        <f ca="1">IFERROR(IF(0=LEN(ReferenceData!$N$82),"",ReferenceData!$N$82),"")</f>
        <v>7.8446331999999994E-2</v>
      </c>
      <c r="J82">
        <f ca="1">IFERROR(IF(0=LEN(ReferenceData!$M$82),"",ReferenceData!$M$82),"")</f>
        <v>7.3326369000000002E-2</v>
      </c>
      <c r="K82">
        <f ca="1">IFERROR(IF(0=LEN(ReferenceData!$L$82),"",ReferenceData!$L$82),"")</f>
        <v>7.2375002999999993E-2</v>
      </c>
      <c r="L82">
        <f ca="1">IFERROR(IF(0=LEN(ReferenceData!$K$82),"",ReferenceData!$K$82),"")</f>
        <v>8.8207483000000003E-2</v>
      </c>
      <c r="M82">
        <f ca="1">IFERROR(IF(0=LEN(ReferenceData!$J$82),"",ReferenceData!$J$82),"")</f>
        <v>7.9838332999999997E-2</v>
      </c>
      <c r="N82">
        <f ca="1">IFERROR(IF(0=LEN(ReferenceData!$I$82),"",ReferenceData!$I$82),"")</f>
        <v>8.6064033999999998E-2</v>
      </c>
      <c r="O82">
        <f ca="1">IFERROR(IF(0=LEN(ReferenceData!$H$82),"",ReferenceData!$H$82),"")</f>
        <v>7.6995471999999995E-2</v>
      </c>
      <c r="P82">
        <f ca="1">IFERROR(IF(0=LEN(ReferenceData!$G$82),"",ReferenceData!$G$82),"")</f>
        <v>9.3793082999999999E-2</v>
      </c>
      <c r="Q82">
        <f ca="1">IFERROR(IF(0=LEN(ReferenceData!$F$82),"",ReferenceData!$F$82),"")</f>
        <v>0.17650228200000001</v>
      </c>
    </row>
    <row r="83" spans="1:17" x14ac:dyDescent="0.25">
      <c r="A83" t="str">
        <f>IFERROR(IF(0=LEN(ReferenceData!$A$83),"",ReferenceData!$A$83),"")</f>
        <v xml:space="preserve">    Cognizant Technology Solutions Corp</v>
      </c>
      <c r="B83" t="str">
        <f>IFERROR(IF(0=LEN(ReferenceData!$B$83),"",ReferenceData!$B$83),"")</f>
        <v>CTSH US Equity</v>
      </c>
      <c r="C83" t="str">
        <f>IFERROR(IF(0=LEN(ReferenceData!$C$83),"",ReferenceData!$C$83),"")</f>
        <v>RR481</v>
      </c>
      <c r="D83" t="str">
        <f>IFERROR(IF(0=LEN(ReferenceData!$D$83),"",ReferenceData!$D$83),"")</f>
        <v>TOTAL_DEBT_TO_EV</v>
      </c>
      <c r="E83" t="str">
        <f>IFERROR(IF(0=LEN(ReferenceData!$E$83),"",ReferenceData!$E$83),"")</f>
        <v>Dynamic</v>
      </c>
      <c r="F83">
        <f ca="1">IFERROR(IF(0=LEN(ReferenceData!$Q$83),"",ReferenceData!$Q$83),"")</f>
        <v>2.7690072E-2</v>
      </c>
      <c r="G83">
        <f ca="1">IFERROR(IF(0=LEN(ReferenceData!$P$83),"",ReferenceData!$P$83),"")</f>
        <v>2.1152135999999998E-2</v>
      </c>
      <c r="H83">
        <f ca="1">IFERROR(IF(0=LEN(ReferenceData!$O$83),"",ReferenceData!$O$83),"")</f>
        <v>2.3232445000000001E-2</v>
      </c>
      <c r="I83">
        <f ca="1">IFERROR(IF(0=LEN(ReferenceData!$N$83),"",ReferenceData!$N$83),"")</f>
        <v>1.7928379000000001E-2</v>
      </c>
      <c r="J83">
        <f ca="1">IFERROR(IF(0=LEN(ReferenceData!$M$83),"",ReferenceData!$M$83),"")</f>
        <v>1.7700077000000002E-2</v>
      </c>
      <c r="K83">
        <f ca="1">IFERROR(IF(0=LEN(ReferenceData!$L$83),"",ReferenceData!$L$83),"")</f>
        <v>1.7785202E-2</v>
      </c>
      <c r="L83">
        <f ca="1">IFERROR(IF(0=LEN(ReferenceData!$K$83),"",ReferenceData!$K$83),"")</f>
        <v>2.2670589000000001E-2</v>
      </c>
      <c r="M83">
        <f ca="1">IFERROR(IF(0=LEN(ReferenceData!$J$83),"",ReferenceData!$J$83),"")</f>
        <v>4.1131512000000002E-2</v>
      </c>
      <c r="N83">
        <f ca="1">IFERROR(IF(0=LEN(ReferenceData!$I$83),"",ReferenceData!$I$83),"")</f>
        <v>4.9164325000000002E-2</v>
      </c>
      <c r="O83">
        <f ca="1">IFERROR(IF(0=LEN(ReferenceData!$H$83),"",ReferenceData!$H$83),"")</f>
        <v>5.3511705999999999E-2</v>
      </c>
      <c r="P83">
        <f ca="1">IFERROR(IF(0=LEN(ReferenceData!$G$83),"",ReferenceData!$G$83),"")</f>
        <v>5.3014876000000002E-2</v>
      </c>
      <c r="Q83">
        <f ca="1">IFERROR(IF(0=LEN(ReferenceData!$F$83),"",ReferenceData!$F$83),"")</f>
        <v>0.140122941</v>
      </c>
    </row>
    <row r="84" spans="1:17" x14ac:dyDescent="0.25">
      <c r="A84" t="str">
        <f>IFERROR(IF(0=LEN(ReferenceData!$A$84),"",ReferenceData!$A$84),"")</f>
        <v xml:space="preserve">    Conduent Inc</v>
      </c>
      <c r="B84" t="str">
        <f>IFERROR(IF(0=LEN(ReferenceData!$B$84),"",ReferenceData!$B$84),"")</f>
        <v>CNDT US Equity</v>
      </c>
      <c r="C84" t="str">
        <f>IFERROR(IF(0=LEN(ReferenceData!$C$84),"",ReferenceData!$C$84),"")</f>
        <v>RR481</v>
      </c>
      <c r="D84" t="str">
        <f>IFERROR(IF(0=LEN(ReferenceData!$D$84),"",ReferenceData!$D$84),"")</f>
        <v>TOTAL_DEBT_TO_EV</v>
      </c>
      <c r="E84" t="str">
        <f>IFERROR(IF(0=LEN(ReferenceData!$E$84),"",ReferenceData!$E$84),"")</f>
        <v>Dynamic</v>
      </c>
      <c r="F84">
        <f ca="1">IFERROR(IF(0=LEN(ReferenceData!$Q$84),"",ReferenceData!$Q$84),"")</f>
        <v>0.40355288</v>
      </c>
      <c r="G84">
        <f ca="1">IFERROR(IF(0=LEN(ReferenceData!$P$84),"",ReferenceData!$P$84),"")</f>
        <v>0.41153337299999998</v>
      </c>
      <c r="H84">
        <f ca="1">IFERROR(IF(0=LEN(ReferenceData!$O$84),"",ReferenceData!$O$84),"")</f>
        <v>0.41858676299999997</v>
      </c>
      <c r="I84">
        <f ca="1">IFERROR(IF(0=LEN(ReferenceData!$N$84),"",ReferenceData!$N$84),"")</f>
        <v>0.37033642</v>
      </c>
      <c r="J84">
        <f ca="1">IFERROR(IF(0=LEN(ReferenceData!$M$84),"",ReferenceData!$M$84),"")</f>
        <v>0.409103247</v>
      </c>
      <c r="K84">
        <f ca="1">IFERROR(IF(0=LEN(ReferenceData!$L$84),"",ReferenceData!$L$84),"")</f>
        <v>0.26870187000000001</v>
      </c>
      <c r="L84">
        <f ca="1">IFERROR(IF(0=LEN(ReferenceData!$K$84),"",ReferenceData!$K$84),"")</f>
        <v>0.48981258900000002</v>
      </c>
      <c r="M84">
        <f ca="1">IFERROR(IF(0=LEN(ReferenceData!$J$84),"",ReferenceData!$J$84),"")</f>
        <v>0.43470030799999998</v>
      </c>
      <c r="N84">
        <f ca="1">IFERROR(IF(0=LEN(ReferenceData!$I$84),"",ReferenceData!$I$84),"")</f>
        <v>0.50343986100000004</v>
      </c>
      <c r="O84">
        <f ca="1">IFERROR(IF(0=LEN(ReferenceData!$H$84),"",ReferenceData!$H$84),"")</f>
        <v>0.60309771700000003</v>
      </c>
      <c r="P84">
        <f ca="1">IFERROR(IF(0=LEN(ReferenceData!$G$84),"",ReferenceData!$G$84),"")</f>
        <v>0.66309648700000001</v>
      </c>
      <c r="Q84">
        <f ca="1">IFERROR(IF(0=LEN(ReferenceData!$F$84),"",ReferenceData!$F$84),"")</f>
        <v>0.89239045900000002</v>
      </c>
    </row>
    <row r="85" spans="1:17" x14ac:dyDescent="0.25">
      <c r="A85" t="str">
        <f>IFERROR(IF(0=LEN(ReferenceData!$A$85),"",ReferenceData!$A$85),"")</f>
        <v xml:space="preserve">    DXC Technology Co</v>
      </c>
      <c r="B85" t="str">
        <f>IFERROR(IF(0=LEN(ReferenceData!$B$85),"",ReferenceData!$B$85),"")</f>
        <v>DXC US Equity</v>
      </c>
      <c r="C85" t="str">
        <f>IFERROR(IF(0=LEN(ReferenceData!$C$85),"",ReferenceData!$C$85),"")</f>
        <v>RR481</v>
      </c>
      <c r="D85" t="str">
        <f>IFERROR(IF(0=LEN(ReferenceData!$D$85),"",ReferenceData!$D$85),"")</f>
        <v>TOTAL_DEBT_TO_EV</v>
      </c>
      <c r="E85" t="str">
        <f>IFERROR(IF(0=LEN(ReferenceData!$E$85),"",ReferenceData!$E$85),"")</f>
        <v>Dynamic</v>
      </c>
      <c r="F85">
        <f ca="1">IFERROR(IF(0=LEN(ReferenceData!$Q$85),"",ReferenceData!$Q$85),"")</f>
        <v>0.27432883699999999</v>
      </c>
      <c r="G85">
        <f ca="1">IFERROR(IF(0=LEN(ReferenceData!$P$85),"",ReferenceData!$P$85),"")</f>
        <v>0.27698585100000001</v>
      </c>
      <c r="H85">
        <f ca="1">IFERROR(IF(0=LEN(ReferenceData!$O$85),"",ReferenceData!$O$85),"")</f>
        <v>0.258177816</v>
      </c>
      <c r="I85">
        <f ca="1">IFERROR(IF(0=LEN(ReferenceData!$N$85),"",ReferenceData!$N$85),"")</f>
        <v>0.232471278</v>
      </c>
      <c r="J85">
        <f ca="1">IFERROR(IF(0=LEN(ReferenceData!$M$85),"",ReferenceData!$M$85),"")</f>
        <v>0.25620721800000001</v>
      </c>
      <c r="K85">
        <f ca="1">IFERROR(IF(0=LEN(ReferenceData!$L$85),"",ReferenceData!$L$85),"")</f>
        <v>0.227491004</v>
      </c>
      <c r="L85">
        <f ca="1">IFERROR(IF(0=LEN(ReferenceData!$K$85),"",ReferenceData!$K$85),"")</f>
        <v>0.38242933400000001</v>
      </c>
      <c r="M85">
        <f ca="1">IFERROR(IF(0=LEN(ReferenceData!$J$85),"",ReferenceData!$J$85),"")</f>
        <v>0.33540849299999997</v>
      </c>
      <c r="N85">
        <f ca="1">IFERROR(IF(0=LEN(ReferenceData!$I$85),"",ReferenceData!$I$85),"")</f>
        <v>0.46351375099999997</v>
      </c>
      <c r="O85">
        <f ca="1">IFERROR(IF(0=LEN(ReferenceData!$H$85),"",ReferenceData!$H$85),"")</f>
        <v>0.68433149100000001</v>
      </c>
      <c r="P85">
        <f ca="1">IFERROR(IF(0=LEN(ReferenceData!$G$85),"",ReferenceData!$G$85),"")</f>
        <v>0.58901663699999995</v>
      </c>
      <c r="Q85">
        <f ca="1">IFERROR(IF(0=LEN(ReferenceData!$F$85),"",ReferenceData!$F$85),"")</f>
        <v>1.0023105919999999</v>
      </c>
    </row>
    <row r="86" spans="1:17" x14ac:dyDescent="0.25">
      <c r="A86" t="str">
        <f>IFERROR(IF(0=LEN(ReferenceData!$A$86),"",ReferenceData!$A$86),"")</f>
        <v xml:space="preserve">    EPAM Systems Inc</v>
      </c>
      <c r="B86" t="str">
        <f>IFERROR(IF(0=LEN(ReferenceData!$B$86),"",ReferenceData!$B$86),"")</f>
        <v>EPAM US Equity</v>
      </c>
      <c r="C86" t="str">
        <f>IFERROR(IF(0=LEN(ReferenceData!$C$86),"",ReferenceData!$C$86),"")</f>
        <v>RR481</v>
      </c>
      <c r="D86" t="str">
        <f>IFERROR(IF(0=LEN(ReferenceData!$D$86),"",ReferenceData!$D$86),"")</f>
        <v>TOTAL_DEBT_TO_EV</v>
      </c>
      <c r="E86" t="str">
        <f>IFERROR(IF(0=LEN(ReferenceData!$E$86),"",ReferenceData!$E$86),"")</f>
        <v>Dynamic</v>
      </c>
      <c r="F86">
        <f ca="1">IFERROR(IF(0=LEN(ReferenceData!$Q$86),"",ReferenceData!$Q$86),"")</f>
        <v>6.2743740000000001E-3</v>
      </c>
      <c r="G86">
        <f ca="1">IFERROR(IF(0=LEN(ReferenceData!$P$86),"",ReferenceData!$P$86),"")</f>
        <v>6.03551E-3</v>
      </c>
      <c r="H86">
        <f ca="1">IFERROR(IF(0=LEN(ReferenceData!$O$86),"",ReferenceData!$O$86),"")</f>
        <v>4.8754640000000004E-3</v>
      </c>
      <c r="I86">
        <f ca="1">IFERROR(IF(0=LEN(ReferenceData!$N$86),"",ReferenceData!$N$86),"")</f>
        <v>4.4736350000000001E-3</v>
      </c>
      <c r="J86">
        <f ca="1">IFERROR(IF(0=LEN(ReferenceData!$M$86),"",ReferenceData!$M$86),"")</f>
        <v>4.0911580000000001E-3</v>
      </c>
      <c r="K86">
        <f ca="1">IFERROR(IF(0=LEN(ReferenceData!$L$86),"",ReferenceData!$L$86),"")</f>
        <v>3.6943900000000001E-3</v>
      </c>
      <c r="L86">
        <f ca="1">IFERROR(IF(0=LEN(ReferenceData!$K$86),"",ReferenceData!$K$86),"")</f>
        <v>4.5277820000000002E-3</v>
      </c>
      <c r="M86">
        <f ca="1">IFERROR(IF(0=LEN(ReferenceData!$J$86),"",ReferenceData!$J$86),"")</f>
        <v>2.2265435E-2</v>
      </c>
      <c r="N86">
        <f ca="1">IFERROR(IF(0=LEN(ReferenceData!$I$86),"",ReferenceData!$I$86),"")</f>
        <v>2.5912393999999998E-2</v>
      </c>
      <c r="O86">
        <f ca="1">IFERROR(IF(0=LEN(ReferenceData!$H$86),"",ReferenceData!$H$86),"")</f>
        <v>2.4522848999999999E-2</v>
      </c>
      <c r="P86">
        <f ca="1">IFERROR(IF(0=LEN(ReferenceData!$G$86),"",ReferenceData!$G$86),"")</f>
        <v>2.3874144999999999E-2</v>
      </c>
      <c r="Q86">
        <f ca="1">IFERROR(IF(0=LEN(ReferenceData!$F$86),"",ReferenceData!$F$86),"")</f>
        <v>2.8357191E-2</v>
      </c>
    </row>
    <row r="87" spans="1:17" x14ac:dyDescent="0.25">
      <c r="A87" t="str">
        <f>IFERROR(IF(0=LEN(ReferenceData!$A$87),"",ReferenceData!$A$87),"")</f>
        <v xml:space="preserve">    Genpact Ltd</v>
      </c>
      <c r="B87" t="str">
        <f>IFERROR(IF(0=LEN(ReferenceData!$B$87),"",ReferenceData!$B$87),"")</f>
        <v>G US Equity</v>
      </c>
      <c r="C87" t="str">
        <f>IFERROR(IF(0=LEN(ReferenceData!$C$87),"",ReferenceData!$C$87),"")</f>
        <v>RR481</v>
      </c>
      <c r="D87" t="str">
        <f>IFERROR(IF(0=LEN(ReferenceData!$D$87),"",ReferenceData!$D$87),"")</f>
        <v>TOTAL_DEBT_TO_EV</v>
      </c>
      <c r="E87" t="str">
        <f>IFERROR(IF(0=LEN(ReferenceData!$E$87),"",ReferenceData!$E$87),"")</f>
        <v>Dynamic</v>
      </c>
      <c r="F87">
        <f ca="1">IFERROR(IF(0=LEN(ReferenceData!$Q$87),"",ReferenceData!$Q$87),"")</f>
        <v>0.204834249</v>
      </c>
      <c r="G87">
        <f ca="1">IFERROR(IF(0=LEN(ReferenceData!$P$87),"",ReferenceData!$P$87),"")</f>
        <v>0.19206432400000001</v>
      </c>
      <c r="H87">
        <f ca="1">IFERROR(IF(0=LEN(ReferenceData!$O$87),"",ReferenceData!$O$87),"")</f>
        <v>0.177856923</v>
      </c>
      <c r="I87">
        <f ca="1">IFERROR(IF(0=LEN(ReferenceData!$N$87),"",ReferenceData!$N$87),"")</f>
        <v>0.18584624199999999</v>
      </c>
      <c r="J87">
        <f ca="1">IFERROR(IF(0=LEN(ReferenceData!$M$87),"",ReferenceData!$M$87),"")</f>
        <v>0.19141923399999999</v>
      </c>
      <c r="K87">
        <f ca="1">IFERROR(IF(0=LEN(ReferenceData!$L$87),"",ReferenceData!$L$87),"")</f>
        <v>0.19920575700000001</v>
      </c>
      <c r="L87">
        <f ca="1">IFERROR(IF(0=LEN(ReferenceData!$K$87),"",ReferenceData!$K$87),"")</f>
        <v>0.215694421</v>
      </c>
      <c r="M87">
        <f ca="1">IFERROR(IF(0=LEN(ReferenceData!$J$87),"",ReferenceData!$J$87),"")</f>
        <v>0.20627763099999999</v>
      </c>
      <c r="N87">
        <f ca="1">IFERROR(IF(0=LEN(ReferenceData!$I$87),"",ReferenceData!$I$87),"")</f>
        <v>0.19298269400000001</v>
      </c>
      <c r="O87">
        <f ca="1">IFERROR(IF(0=LEN(ReferenceData!$H$87),"",ReferenceData!$H$87),"")</f>
        <v>0.18688553099999999</v>
      </c>
      <c r="P87">
        <f ca="1">IFERROR(IF(0=LEN(ReferenceData!$G$87),"",ReferenceData!$G$87),"")</f>
        <v>0.195395181</v>
      </c>
      <c r="Q87">
        <f ca="1">IFERROR(IF(0=LEN(ReferenceData!$F$87),"",ReferenceData!$F$87),"")</f>
        <v>0.273500929</v>
      </c>
    </row>
    <row r="88" spans="1:17" x14ac:dyDescent="0.25">
      <c r="A88" t="str">
        <f>IFERROR(IF(0=LEN(ReferenceData!$A$88),"",ReferenceData!$A$88),"")</f>
        <v xml:space="preserve">    HCL Technologies Ltd</v>
      </c>
      <c r="B88" t="str">
        <f>IFERROR(IF(0=LEN(ReferenceData!$B$88),"",ReferenceData!$B$88),"")</f>
        <v>HCLT IN Equity</v>
      </c>
      <c r="C88" t="str">
        <f>IFERROR(IF(0=LEN(ReferenceData!$C$88),"",ReferenceData!$C$88),"")</f>
        <v>RR481</v>
      </c>
      <c r="D88" t="str">
        <f>IFERROR(IF(0=LEN(ReferenceData!$D$88),"",ReferenceData!$D$88),"")</f>
        <v>TOTAL_DEBT_TO_EV</v>
      </c>
      <c r="E88" t="str">
        <f>IFERROR(IF(0=LEN(ReferenceData!$E$88),"",ReferenceData!$E$88),"")</f>
        <v>Dynamic</v>
      </c>
      <c r="F88">
        <f ca="1">IFERROR(IF(0=LEN(ReferenceData!$Q$88),"",ReferenceData!$Q$88),"")</f>
        <v>5.1677429999999998E-3</v>
      </c>
      <c r="G88">
        <f ca="1">IFERROR(IF(0=LEN(ReferenceData!$P$88),"",ReferenceData!$P$88),"")</f>
        <v>6.2849200000000003E-3</v>
      </c>
      <c r="H88">
        <f ca="1">IFERROR(IF(0=LEN(ReferenceData!$O$88),"",ReferenceData!$O$88),"")</f>
        <v>4.277108E-3</v>
      </c>
      <c r="I88">
        <f ca="1">IFERROR(IF(0=LEN(ReferenceData!$N$88),"",ReferenceData!$N$88),"")</f>
        <v>3.8533109999999999E-3</v>
      </c>
      <c r="J88">
        <f ca="1">IFERROR(IF(0=LEN(ReferenceData!$M$88),"",ReferenceData!$M$88),"")</f>
        <v>3.000581E-3</v>
      </c>
      <c r="K88">
        <f ca="1">IFERROR(IF(0=LEN(ReferenceData!$L$88),"",ReferenceData!$L$88),"")</f>
        <v>2.1213480999999999E-2</v>
      </c>
      <c r="L88">
        <f ca="1">IFERROR(IF(0=LEN(ReferenceData!$K$88),"",ReferenceData!$K$88),"")</f>
        <v>3.0062866000000001E-2</v>
      </c>
      <c r="M88">
        <f ca="1">IFERROR(IF(0=LEN(ReferenceData!$J$88),"",ReferenceData!$J$88),"")</f>
        <v>2.9892279000000001E-2</v>
      </c>
      <c r="N88">
        <f ca="1">IFERROR(IF(0=LEN(ReferenceData!$I$88),"",ReferenceData!$I$88),"")</f>
        <v>2.8915264999999999E-2</v>
      </c>
      <c r="O88">
        <f ca="1">IFERROR(IF(0=LEN(ReferenceData!$H$88),"",ReferenceData!$H$88),"")</f>
        <v>4.4392156000000002E-2</v>
      </c>
      <c r="P88">
        <f ca="1">IFERROR(IF(0=LEN(ReferenceData!$G$88),"",ReferenceData!$G$88),"")</f>
        <v>4.2738181E-2</v>
      </c>
      <c r="Q88">
        <f ca="1">IFERROR(IF(0=LEN(ReferenceData!$F$88),"",ReferenceData!$F$88),"")</f>
        <v>7.1272872000000001E-2</v>
      </c>
    </row>
    <row r="89" spans="1:17" x14ac:dyDescent="0.25">
      <c r="A89" t="str">
        <f>IFERROR(IF(0=LEN(ReferenceData!$A$89),"",ReferenceData!$A$89),"")</f>
        <v xml:space="preserve">    Indra Sistemas SA</v>
      </c>
      <c r="B89" t="str">
        <f>IFERROR(IF(0=LEN(ReferenceData!$B$89),"",ReferenceData!$B$89),"")</f>
        <v>IDR SM Equity</v>
      </c>
      <c r="C89" t="str">
        <f>IFERROR(IF(0=LEN(ReferenceData!$C$89),"",ReferenceData!$C$89),"")</f>
        <v>RR481</v>
      </c>
      <c r="D89" t="str">
        <f>IFERROR(IF(0=LEN(ReferenceData!$D$89),"",ReferenceData!$D$89),"")</f>
        <v>TOTAL_DEBT_TO_EV</v>
      </c>
      <c r="E89" t="str">
        <f>IFERROR(IF(0=LEN(ReferenceData!$E$89),"",ReferenceData!$E$89),"")</f>
        <v>Dynamic</v>
      </c>
      <c r="F89">
        <f ca="1">IFERROR(IF(0=LEN(ReferenceData!$Q$89),"",ReferenceData!$Q$89),"")</f>
        <v>0.44450788200000002</v>
      </c>
      <c r="G89">
        <f ca="1">IFERROR(IF(0=LEN(ReferenceData!$P$89),"",ReferenceData!$P$89),"")</f>
        <v>0.43125461900000001</v>
      </c>
      <c r="H89">
        <f ca="1">IFERROR(IF(0=LEN(ReferenceData!$O$89),"",ReferenceData!$O$89),"")</f>
        <v>0.49152152700000001</v>
      </c>
      <c r="I89">
        <f ca="1">IFERROR(IF(0=LEN(ReferenceData!$N$89),"",ReferenceData!$N$89),"")</f>
        <v>0.52066267200000005</v>
      </c>
      <c r="J89">
        <f ca="1">IFERROR(IF(0=LEN(ReferenceData!$M$89),"",ReferenceData!$M$89),"")</f>
        <v>0.64552399299999996</v>
      </c>
      <c r="K89">
        <f ca="1">IFERROR(IF(0=LEN(ReferenceData!$L$89),"",ReferenceData!$L$89),"")</f>
        <v>0.62949987500000004</v>
      </c>
      <c r="L89">
        <f ca="1">IFERROR(IF(0=LEN(ReferenceData!$K$89),"",ReferenceData!$K$89),"")</f>
        <v>0.71523900299999998</v>
      </c>
      <c r="M89">
        <f ca="1">IFERROR(IF(0=LEN(ReferenceData!$J$89),"",ReferenceData!$J$89),"")</f>
        <v>0.60609644200000001</v>
      </c>
      <c r="N89">
        <f ca="1">IFERROR(IF(0=LEN(ReferenceData!$I$89),"",ReferenceData!$I$89),"")</f>
        <v>0.65849457899999997</v>
      </c>
      <c r="O89">
        <f ca="1">IFERROR(IF(0=LEN(ReferenceData!$H$89),"",ReferenceData!$H$89),"")</f>
        <v>0.69751346700000005</v>
      </c>
      <c r="P89">
        <f ca="1">IFERROR(IF(0=LEN(ReferenceData!$G$89),"",ReferenceData!$G$89),"")</f>
        <v>0.62238852499999997</v>
      </c>
      <c r="Q89">
        <f ca="1">IFERROR(IF(0=LEN(ReferenceData!$F$89),"",ReferenceData!$F$89),"")</f>
        <v>0.74292644799999996</v>
      </c>
    </row>
    <row r="90" spans="1:17" x14ac:dyDescent="0.25">
      <c r="A90" t="str">
        <f>IFERROR(IF(0=LEN(ReferenceData!$A$90),"",ReferenceData!$A$90),"")</f>
        <v xml:space="preserve">    Infosys Ltd</v>
      </c>
      <c r="B90" t="str">
        <f>IFERROR(IF(0=LEN(ReferenceData!$B$90),"",ReferenceData!$B$90),"")</f>
        <v>INFY US Equity</v>
      </c>
      <c r="C90" t="str">
        <f>IFERROR(IF(0=LEN(ReferenceData!$C$90),"",ReferenceData!$C$90),"")</f>
        <v>RR481</v>
      </c>
      <c r="D90" t="str">
        <f>IFERROR(IF(0=LEN(ReferenceData!$D$90),"",ReferenceData!$D$90),"")</f>
        <v>TOTAL_DEBT_TO_EV</v>
      </c>
      <c r="E90" t="str">
        <f>IFERROR(IF(0=LEN(ReferenceData!$E$90),"",ReferenceData!$E$90),"")</f>
        <v>Dynamic</v>
      </c>
      <c r="F90">
        <f ca="1">IFERROR(IF(0=LEN(ReferenceData!$Q$90),"",ReferenceData!$Q$90),"")</f>
        <v>0</v>
      </c>
      <c r="G90">
        <f ca="1">IFERROR(IF(0=LEN(ReferenceData!$P$90),"",ReferenceData!$P$90),"")</f>
        <v>0</v>
      </c>
      <c r="H90">
        <f ca="1">IFERROR(IF(0=LEN(ReferenceData!$O$90),"",ReferenceData!$O$90),"")</f>
        <v>0</v>
      </c>
      <c r="I90">
        <f ca="1">IFERROR(IF(0=LEN(ReferenceData!$N$90),"",ReferenceData!$N$90),"")</f>
        <v>0</v>
      </c>
      <c r="J90">
        <f ca="1">IFERROR(IF(0=LEN(ReferenceData!$M$90),"",ReferenceData!$M$90),"")</f>
        <v>0</v>
      </c>
      <c r="K90">
        <f ca="1">IFERROR(IF(0=LEN(ReferenceData!$L$90),"",ReferenceData!$L$90),"")</f>
        <v>0</v>
      </c>
      <c r="L90">
        <f ca="1">IFERROR(IF(0=LEN(ReferenceData!$K$90),"",ReferenceData!$K$90),"")</f>
        <v>0</v>
      </c>
      <c r="M90">
        <f ca="1">IFERROR(IF(0=LEN(ReferenceData!$J$90),"",ReferenceData!$J$90),"")</f>
        <v>0</v>
      </c>
      <c r="N90">
        <f ca="1">IFERROR(IF(0=LEN(ReferenceData!$I$90),"",ReferenceData!$I$90),"")</f>
        <v>1.2952082E-2</v>
      </c>
      <c r="O90">
        <f ca="1">IFERROR(IF(0=LEN(ReferenceData!$H$90),"",ReferenceData!$H$90),"")</f>
        <v>1.2506138E-2</v>
      </c>
      <c r="P90">
        <f ca="1">IFERROR(IF(0=LEN(ReferenceData!$G$90),"",ReferenceData!$G$90),"")</f>
        <v>1.4085009000000001E-2</v>
      </c>
      <c r="Q90">
        <f ca="1">IFERROR(IF(0=LEN(ReferenceData!$F$90),"",ReferenceData!$F$90),"")</f>
        <v>1.8256881999999999E-2</v>
      </c>
    </row>
    <row r="91" spans="1:17" x14ac:dyDescent="0.25">
      <c r="A91" t="str">
        <f>IFERROR(IF(0=LEN(ReferenceData!$A$91),"",ReferenceData!$A$91),"")</f>
        <v xml:space="preserve">    International Business Machines Corp</v>
      </c>
      <c r="B91" t="str">
        <f>IFERROR(IF(0=LEN(ReferenceData!$B$91),"",ReferenceData!$B$91),"")</f>
        <v>IBM US Equity</v>
      </c>
      <c r="C91" t="str">
        <f>IFERROR(IF(0=LEN(ReferenceData!$C$91),"",ReferenceData!$C$91),"")</f>
        <v>RR481</v>
      </c>
      <c r="D91" t="str">
        <f>IFERROR(IF(0=LEN(ReferenceData!$D$91),"",ReferenceData!$D$91),"")</f>
        <v>TOTAL_DEBT_TO_EV</v>
      </c>
      <c r="E91" t="str">
        <f>IFERROR(IF(0=LEN(ReferenceData!$E$91),"",ReferenceData!$E$91),"")</f>
        <v>Dynamic</v>
      </c>
      <c r="F91">
        <f ca="1">IFERROR(IF(0=LEN(ReferenceData!$Q$91),"",ReferenceData!$Q$91),"")</f>
        <v>0.210554344</v>
      </c>
      <c r="G91">
        <f ca="1">IFERROR(IF(0=LEN(ReferenceData!$P$91),"",ReferenceData!$P$91),"")</f>
        <v>0.21744166000000001</v>
      </c>
      <c r="H91">
        <f ca="1">IFERROR(IF(0=LEN(ReferenceData!$O$91),"",ReferenceData!$O$91),"")</f>
        <v>0.23823068999999999</v>
      </c>
      <c r="I91">
        <f ca="1">IFERROR(IF(0=LEN(ReferenceData!$N$91),"",ReferenceData!$N$91),"")</f>
        <v>0.23653195399999999</v>
      </c>
      <c r="J91">
        <f ca="1">IFERROR(IF(0=LEN(ReferenceData!$M$91),"",ReferenceData!$M$91),"")</f>
        <v>0.25241374799999999</v>
      </c>
      <c r="K91">
        <f ca="1">IFERROR(IF(0=LEN(ReferenceData!$L$91),"",ReferenceData!$L$91),"")</f>
        <v>0.24820278400000001</v>
      </c>
      <c r="L91">
        <f ca="1">IFERROR(IF(0=LEN(ReferenceData!$K$91),"",ReferenceData!$K$91),"")</f>
        <v>0.33377948000000002</v>
      </c>
      <c r="M91">
        <f ca="1">IFERROR(IF(0=LEN(ReferenceData!$J$91),"",ReferenceData!$J$91),"")</f>
        <v>0.31235107600000001</v>
      </c>
      <c r="N91">
        <f ca="1">IFERROR(IF(0=LEN(ReferenceData!$I$91),"",ReferenceData!$I$91),"")</f>
        <v>0.48655542899999998</v>
      </c>
      <c r="O91">
        <f ca="1">IFERROR(IF(0=LEN(ReferenceData!$H$91),"",ReferenceData!$H$91),"")</f>
        <v>0.35650267699999999</v>
      </c>
      <c r="P91">
        <f ca="1">IFERROR(IF(0=LEN(ReferenceData!$G$91),"",ReferenceData!$G$91),"")</f>
        <v>0.38217199400000001</v>
      </c>
      <c r="Q91">
        <f ca="1">IFERROR(IF(0=LEN(ReferenceData!$F$91),"",ReferenceData!$F$91),"")</f>
        <v>0.44461058799999997</v>
      </c>
    </row>
    <row r="92" spans="1:17" x14ac:dyDescent="0.25">
      <c r="A92" t="str">
        <f>IFERROR(IF(0=LEN(ReferenceData!$A$92),"",ReferenceData!$A$92),"")</f>
        <v xml:space="preserve">    Tata Consultancy Services Ltd</v>
      </c>
      <c r="B92" t="str">
        <f>IFERROR(IF(0=LEN(ReferenceData!$B$92),"",ReferenceData!$B$92),"")</f>
        <v>TCS IN Equity</v>
      </c>
      <c r="C92" t="str">
        <f>IFERROR(IF(0=LEN(ReferenceData!$C$92),"",ReferenceData!$C$92),"")</f>
        <v>RR481</v>
      </c>
      <c r="D92" t="str">
        <f>IFERROR(IF(0=LEN(ReferenceData!$D$92),"",ReferenceData!$D$92),"")</f>
        <v>TOTAL_DEBT_TO_EV</v>
      </c>
      <c r="E92" t="str">
        <f>IFERROR(IF(0=LEN(ReferenceData!$E$92),"",ReferenceData!$E$92),"")</f>
        <v>Dynamic</v>
      </c>
      <c r="F92">
        <f ca="1">IFERROR(IF(0=LEN(ReferenceData!$Q$92),"",ReferenceData!$Q$92),"")</f>
        <v>1.97264E-4</v>
      </c>
      <c r="G92">
        <f ca="1">IFERROR(IF(0=LEN(ReferenceData!$P$92),"",ReferenceData!$P$92),"")</f>
        <v>1.8236000000000001E-4</v>
      </c>
      <c r="H92">
        <f ca="1">IFERROR(IF(0=LEN(ReferenceData!$O$92),"",ReferenceData!$O$92),"")</f>
        <v>1.5807000000000001E-4</v>
      </c>
      <c r="I92">
        <f ca="1">IFERROR(IF(0=LEN(ReferenceData!$N$92),"",ReferenceData!$N$92),"")</f>
        <v>4.9065199999999995E-4</v>
      </c>
      <c r="J92">
        <f ca="1">IFERROR(IF(0=LEN(ReferenceData!$M$92),"",ReferenceData!$M$92),"")</f>
        <v>9.7085100000000003E-5</v>
      </c>
      <c r="K92">
        <f ca="1">IFERROR(IF(0=LEN(ReferenceData!$L$92),"",ReferenceData!$L$92),"")</f>
        <v>8.0151199999999999E-5</v>
      </c>
      <c r="L92">
        <f ca="1">IFERROR(IF(0=LEN(ReferenceData!$K$92),"",ReferenceData!$K$92),"")</f>
        <v>9.3366400000000001E-5</v>
      </c>
      <c r="M92">
        <f ca="1">IFERROR(IF(0=LEN(ReferenceData!$J$92),"",ReferenceData!$J$92),"")</f>
        <v>8.7340200000000001E-5</v>
      </c>
      <c r="N92">
        <f ca="1">IFERROR(IF(0=LEN(ReferenceData!$I$92),"",ReferenceData!$I$92),"")</f>
        <v>8.5504980000000001E-3</v>
      </c>
      <c r="O92">
        <f ca="1">IFERROR(IF(0=LEN(ReferenceData!$H$92),"",ReferenceData!$H$92),"")</f>
        <v>9.0622840000000003E-3</v>
      </c>
      <c r="P92">
        <f ca="1">IFERROR(IF(0=LEN(ReferenceData!$G$92),"",ReferenceData!$G$92),"")</f>
        <v>9.0390959999999999E-3</v>
      </c>
      <c r="Q92">
        <f ca="1">IFERROR(IF(0=LEN(ReferenceData!$F$92),"",ReferenceData!$F$92),"")</f>
        <v>1.2414399E-2</v>
      </c>
    </row>
    <row r="93" spans="1:17" x14ac:dyDescent="0.25">
      <c r="A93" t="str">
        <f>IFERROR(IF(0=LEN(ReferenceData!$A$93),"",ReferenceData!$A$93),"")</f>
        <v xml:space="preserve">    Tech Mahindra Ltd</v>
      </c>
      <c r="B93" t="str">
        <f>IFERROR(IF(0=LEN(ReferenceData!$B$93),"",ReferenceData!$B$93),"")</f>
        <v>TECHM IN Equity</v>
      </c>
      <c r="C93" t="str">
        <f>IFERROR(IF(0=LEN(ReferenceData!$C$93),"",ReferenceData!$C$93),"")</f>
        <v>RR481</v>
      </c>
      <c r="D93" t="str">
        <f>IFERROR(IF(0=LEN(ReferenceData!$D$93),"",ReferenceData!$D$93),"")</f>
        <v>TOTAL_DEBT_TO_EV</v>
      </c>
      <c r="E93" t="str">
        <f>IFERROR(IF(0=LEN(ReferenceData!$E$93),"",ReferenceData!$E$93),"")</f>
        <v>Dynamic</v>
      </c>
      <c r="F93">
        <f ca="1">IFERROR(IF(0=LEN(ReferenceData!$Q$93),"",ReferenceData!$Q$93),"")</f>
        <v>4.7837658999999998E-2</v>
      </c>
      <c r="G93">
        <f ca="1">IFERROR(IF(0=LEN(ReferenceData!$P$93),"",ReferenceData!$P$93),"")</f>
        <v>3.9411092000000002E-2</v>
      </c>
      <c r="H93">
        <f ca="1">IFERROR(IF(0=LEN(ReferenceData!$O$93),"",ReferenceData!$O$93),"")</f>
        <v>3.8223557999999998E-2</v>
      </c>
      <c r="I93">
        <f ca="1">IFERROR(IF(0=LEN(ReferenceData!$N$93),"",ReferenceData!$N$93),"")</f>
        <v>4.5321259000000003E-2</v>
      </c>
      <c r="J93">
        <f ca="1">IFERROR(IF(0=LEN(ReferenceData!$M$93),"",ReferenceData!$M$93),"")</f>
        <v>3.3750451000000001E-2</v>
      </c>
      <c r="K93">
        <f ca="1">IFERROR(IF(0=LEN(ReferenceData!$L$93),"",ReferenceData!$L$93),"")</f>
        <v>2.4042075E-2</v>
      </c>
      <c r="L93">
        <f ca="1">IFERROR(IF(0=LEN(ReferenceData!$K$93),"",ReferenceData!$K$93),"")</f>
        <v>2.4175094000000001E-2</v>
      </c>
      <c r="M93">
        <f ca="1">IFERROR(IF(0=LEN(ReferenceData!$J$93),"",ReferenceData!$J$93),"")</f>
        <v>3.1857366999999998E-2</v>
      </c>
      <c r="N93">
        <f ca="1">IFERROR(IF(0=LEN(ReferenceData!$I$93),"",ReferenceData!$I$93),"")</f>
        <v>3.7438952999999997E-2</v>
      </c>
      <c r="O93">
        <f ca="1">IFERROR(IF(0=LEN(ReferenceData!$H$93),"",ReferenceData!$H$93),"")</f>
        <v>5.4111815000000001E-2</v>
      </c>
      <c r="P93">
        <f ca="1">IFERROR(IF(0=LEN(ReferenceData!$G$93),"",ReferenceData!$G$93),"")</f>
        <v>5.1710954000000003E-2</v>
      </c>
      <c r="Q93">
        <f ca="1">IFERROR(IF(0=LEN(ReferenceData!$F$93),"",ReferenceData!$F$93),"")</f>
        <v>5.6003197999999997E-2</v>
      </c>
    </row>
    <row r="94" spans="1:17" x14ac:dyDescent="0.25">
      <c r="A94" t="str">
        <f>IFERROR(IF(0=LEN(ReferenceData!$A$94),"",ReferenceData!$A$94),"")</f>
        <v xml:space="preserve">    Wipro Ltd</v>
      </c>
      <c r="B94" t="str">
        <f>IFERROR(IF(0=LEN(ReferenceData!$B$94),"",ReferenceData!$B$94),"")</f>
        <v>WIT US Equity</v>
      </c>
      <c r="C94" t="str">
        <f>IFERROR(IF(0=LEN(ReferenceData!$C$94),"",ReferenceData!$C$94),"")</f>
        <v>RR481</v>
      </c>
      <c r="D94" t="str">
        <f>IFERROR(IF(0=LEN(ReferenceData!$D$94),"",ReferenceData!$D$94),"")</f>
        <v>TOTAL_DEBT_TO_EV</v>
      </c>
      <c r="E94" t="str">
        <f>IFERROR(IF(0=LEN(ReferenceData!$E$94),"",ReferenceData!$E$94),"")</f>
        <v>Dynamic</v>
      </c>
      <c r="F94">
        <f ca="1">IFERROR(IF(0=LEN(ReferenceData!$Q$94),"",ReferenceData!$Q$94),"")</f>
        <v>0.14142279799999999</v>
      </c>
      <c r="G94">
        <f ca="1">IFERROR(IF(0=LEN(ReferenceData!$P$94),"",ReferenceData!$P$94),"")</f>
        <v>0.12895515299999999</v>
      </c>
      <c r="H94">
        <f ca="1">IFERROR(IF(0=LEN(ReferenceData!$O$94),"",ReferenceData!$O$94),"")</f>
        <v>0.104175054</v>
      </c>
      <c r="I94">
        <f ca="1">IFERROR(IF(0=LEN(ReferenceData!$N$94),"",ReferenceData!$N$94),"")</f>
        <v>0.123609759</v>
      </c>
      <c r="J94">
        <f ca="1">IFERROR(IF(0=LEN(ReferenceData!$M$94),"",ReferenceData!$M$94),"")</f>
        <v>0.119945699</v>
      </c>
      <c r="K94">
        <f ca="1">IFERROR(IF(0=LEN(ReferenceData!$L$94),"",ReferenceData!$L$94),"")</f>
        <v>9.1711215999999998E-2</v>
      </c>
      <c r="L94">
        <f ca="1">IFERROR(IF(0=LEN(ReferenceData!$K$94),"",ReferenceData!$K$94),"")</f>
        <v>8.3167981000000002E-2</v>
      </c>
      <c r="M94">
        <f ca="1">IFERROR(IF(0=LEN(ReferenceData!$J$94),"",ReferenceData!$J$94),"")</f>
        <v>7.8922912999999997E-2</v>
      </c>
      <c r="N94">
        <f ca="1">IFERROR(IF(0=LEN(ReferenceData!$I$94),"",ReferenceData!$I$94),"")</f>
        <v>8.7196869999999996E-2</v>
      </c>
      <c r="O94">
        <f ca="1">IFERROR(IF(0=LEN(ReferenceData!$H$94),"",ReferenceData!$H$94),"")</f>
        <v>8.4828528E-2</v>
      </c>
      <c r="P94">
        <f ca="1">IFERROR(IF(0=LEN(ReferenceData!$G$94),"",ReferenceData!$G$94),"")</f>
        <v>9.5744394999999996E-2</v>
      </c>
      <c r="Q94">
        <f ca="1">IFERROR(IF(0=LEN(ReferenceData!$F$94),"",ReferenceData!$F$94),"")</f>
        <v>0.109406138</v>
      </c>
    </row>
    <row r="95" spans="1:17" x14ac:dyDescent="0.25">
      <c r="A95" t="str">
        <f>IFERROR(IF(0=LEN(ReferenceData!$A$95),"",ReferenceData!$A$95),"")</f>
        <v>Total Debt/EBITDA</v>
      </c>
      <c r="B95" t="str">
        <f>IFERROR(IF(0=LEN(ReferenceData!$B$95),"",ReferenceData!$B$95),"")</f>
        <v>BRITBPOV Index</v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Average</v>
      </c>
      <c r="F95">
        <f ca="1">IFERROR(IF(0=LEN(ReferenceData!$Q$95),"",ReferenceData!$Q$95),"")</f>
        <v>1.0794048243076924</v>
      </c>
      <c r="G95">
        <f ca="1">IFERROR(IF(0=LEN(ReferenceData!$P$95),"",ReferenceData!$P$95),"")</f>
        <v>1.0225831850769229</v>
      </c>
      <c r="H95">
        <f ca="1">IFERROR(IF(0=LEN(ReferenceData!$O$95),"",ReferenceData!$O$95),"")</f>
        <v>1.1872210210714285</v>
      </c>
      <c r="I95">
        <f ca="1">IFERROR(IF(0=LEN(ReferenceData!$N$95),"",ReferenceData!$N$95),"")</f>
        <v>1.3318217153999998</v>
      </c>
      <c r="J95">
        <f ca="1">IFERROR(IF(0=LEN(ReferenceData!$M$95),"",ReferenceData!$M$95),"")</f>
        <v>1.2589032960666666</v>
      </c>
      <c r="K95">
        <f ca="1">IFERROR(IF(0=LEN(ReferenceData!$L$95),"",ReferenceData!$L$95),"")</f>
        <v>1.3677990543333334</v>
      </c>
      <c r="L95">
        <f ca="1">IFERROR(IF(0=LEN(ReferenceData!$K$95),"",ReferenceData!$K$95),"")</f>
        <v>1.5960887612666665</v>
      </c>
      <c r="M95">
        <f ca="1">IFERROR(IF(0=LEN(ReferenceData!$J$95),"",ReferenceData!$J$95),"")</f>
        <v>1.1240654794285714</v>
      </c>
      <c r="N95">
        <f ca="1">IFERROR(IF(0=LEN(ReferenceData!$I$95),"",ReferenceData!$I$95),"")</f>
        <v>1.3663718945714287</v>
      </c>
      <c r="O95">
        <f ca="1">IFERROR(IF(0=LEN(ReferenceData!$H$95),"",ReferenceData!$H$95),"")</f>
        <v>1.6234766228571427</v>
      </c>
      <c r="P95">
        <f ca="1">IFERROR(IF(0=LEN(ReferenceData!$G$95),"",ReferenceData!$G$95),"")</f>
        <v>1.8737500219285714</v>
      </c>
      <c r="Q95">
        <f ca="1">IFERROR(IF(0=LEN(ReferenceData!$F$95),"",ReferenceData!$F$95),"")</f>
        <v>1.4543590546153846</v>
      </c>
    </row>
    <row r="96" spans="1:17" x14ac:dyDescent="0.25">
      <c r="A96" t="str">
        <f>IFERROR(IF(0=LEN(ReferenceData!$A$96),"",ReferenceData!$A$96),"")</f>
        <v xml:space="preserve">    Accenture PLC</v>
      </c>
      <c r="B96" t="str">
        <f>IFERROR(IF(0=LEN(ReferenceData!$B$96),"",ReferenceData!$B$96),"")</f>
        <v>ACN US Equity</v>
      </c>
      <c r="C96" t="str">
        <f>IFERROR(IF(0=LEN(ReferenceData!$C$96),"",ReferenceData!$C$96),"")</f>
        <v>RR052</v>
      </c>
      <c r="D96" t="str">
        <f>IFERROR(IF(0=LEN(ReferenceData!$D$96),"",ReferenceData!$D$96),"")</f>
        <v>TOT_DEBT_TO_EBITDA</v>
      </c>
      <c r="E96" t="str">
        <f>IFERROR(IF(0=LEN(ReferenceData!$E$96),"",ReferenceData!$E$96),"")</f>
        <v>Dynamic</v>
      </c>
      <c r="F96">
        <f ca="1">IFERROR(IF(0=LEN(ReferenceData!$Q$96),"",ReferenceData!$Q$96),"")</f>
        <v>5.2270520000000003E-3</v>
      </c>
      <c r="G96">
        <f ca="1">IFERROR(IF(0=LEN(ReferenceData!$P$96),"",ReferenceData!$P$96),"")</f>
        <v>4.6132059999999999E-3</v>
      </c>
      <c r="H96">
        <f ca="1">IFERROR(IF(0=LEN(ReferenceData!$O$96),"",ReferenceData!$O$96),"")</f>
        <v>4.4643690000000001E-3</v>
      </c>
      <c r="I96">
        <f ca="1">IFERROR(IF(0=LEN(ReferenceData!$N$96),"",ReferenceData!$N$96),"")</f>
        <v>4.9411739999999996E-3</v>
      </c>
      <c r="J96">
        <f ca="1">IFERROR(IF(0=LEN(ReferenceData!$M$96),"",ReferenceData!$M$96),"")</f>
        <v>4.330909E-3</v>
      </c>
      <c r="K96">
        <f ca="1">IFERROR(IF(0=LEN(ReferenceData!$L$96),"",ReferenceData!$L$96),"")</f>
        <v>3.6228639999999999E-3</v>
      </c>
      <c r="L96">
        <f ca="1">IFERROR(IF(0=LEN(ReferenceData!$K$96),"",ReferenceData!$K$96),"")</f>
        <v>3.5105029999999999E-3</v>
      </c>
      <c r="M96">
        <f ca="1">IFERROR(IF(0=LEN(ReferenceData!$J$96),"",ReferenceData!$J$96),"")</f>
        <v>3.3951749999999998E-3</v>
      </c>
      <c r="N96">
        <f ca="1">IFERROR(IF(0=LEN(ReferenceData!$I$96),"",ReferenceData!$I$96),"")</f>
        <v>3.3463519999999999E-3</v>
      </c>
      <c r="O96">
        <f ca="1">IFERROR(IF(0=LEN(ReferenceData!$H$96),"",ReferenceData!$H$96),"")</f>
        <v>3.1360569999999998E-3</v>
      </c>
      <c r="P96">
        <f ca="1">IFERROR(IF(0=LEN(ReferenceData!$G$96),"",ReferenceData!$G$96),"")</f>
        <v>0.40998790600000001</v>
      </c>
      <c r="Q96">
        <f ca="1">IFERROR(IF(0=LEN(ReferenceData!$F$96),"",ReferenceData!$F$96),"")</f>
        <v>0.39732855500000003</v>
      </c>
    </row>
    <row r="97" spans="1:17" x14ac:dyDescent="0.25">
      <c r="A97" t="str">
        <f>IFERROR(IF(0=LEN(ReferenceData!$A$97),"",ReferenceData!$A$97),"")</f>
        <v xml:space="preserve">    Amdocs Ltd</v>
      </c>
      <c r="B97" t="str">
        <f>IFERROR(IF(0=LEN(ReferenceData!$B$97),"",ReferenceData!$B$97),"")</f>
        <v>DOX US Equity</v>
      </c>
      <c r="C97" t="str">
        <f>IFERROR(IF(0=LEN(ReferenceData!$C$97),"",ReferenceData!$C$97),"")</f>
        <v>RR052</v>
      </c>
      <c r="D97" t="str">
        <f>IFERROR(IF(0=LEN(ReferenceData!$D$97),"",ReferenceData!$D$97),"")</f>
        <v>TOT_DEBT_TO_EBITDA</v>
      </c>
      <c r="E97" t="str">
        <f>IFERROR(IF(0=LEN(ReferenceData!$E$97),"",ReferenceData!$E$97),"")</f>
        <v>Dynamic</v>
      </c>
      <c r="F97">
        <f ca="1">IFERROR(IF(0=LEN(ReferenceData!$Q$97),"",ReferenceData!$Q$97),"")</f>
        <v>0</v>
      </c>
      <c r="G97">
        <f ca="1">IFERROR(IF(0=LEN(ReferenceData!$P$97),"",ReferenceData!$P$97),"")</f>
        <v>0</v>
      </c>
      <c r="H97">
        <f ca="1">IFERROR(IF(0=LEN(ReferenceData!$O$97),"",ReferenceData!$O$97),"")</f>
        <v>0</v>
      </c>
      <c r="I97">
        <f ca="1">IFERROR(IF(0=LEN(ReferenceData!$N$97),"",ReferenceData!$N$97),"")</f>
        <v>0.165591244</v>
      </c>
      <c r="J97">
        <f ca="1">IFERROR(IF(0=LEN(ReferenceData!$M$97),"",ReferenceData!$M$97),"")</f>
        <v>0</v>
      </c>
      <c r="K97">
        <f ca="1">IFERROR(IF(0=LEN(ReferenceData!$L$97),"",ReferenceData!$L$97),"")</f>
        <v>0</v>
      </c>
      <c r="L97">
        <f ca="1">IFERROR(IF(0=LEN(ReferenceData!$K$97),"",ReferenceData!$K$97),"")</f>
        <v>0</v>
      </c>
      <c r="M97">
        <f ca="1">IFERROR(IF(0=LEN(ReferenceData!$J$97),"",ReferenceData!$J$97),"")</f>
        <v>0</v>
      </c>
      <c r="N97">
        <f ca="1">IFERROR(IF(0=LEN(ReferenceData!$I$97),"",ReferenceData!$I$97),"")</f>
        <v>0</v>
      </c>
      <c r="O97">
        <f ca="1">IFERROR(IF(0=LEN(ReferenceData!$H$97),"",ReferenceData!$H$97),"")</f>
        <v>0</v>
      </c>
      <c r="P97">
        <f ca="1">IFERROR(IF(0=LEN(ReferenceData!$G$97),"",ReferenceData!$G$97),"")</f>
        <v>0.359168879</v>
      </c>
      <c r="Q97">
        <f ca="1">IFERROR(IF(0=LEN(ReferenceData!$F$97),"",ReferenceData!$F$97),"")</f>
        <v>0.79635745400000002</v>
      </c>
    </row>
    <row r="98" spans="1:17" x14ac:dyDescent="0.25">
      <c r="A98" t="str">
        <f>IFERROR(IF(0=LEN(ReferenceData!$A$98),"",ReferenceData!$A$98),"")</f>
        <v xml:space="preserve">    Atos SE</v>
      </c>
      <c r="B98" t="str">
        <f>IFERROR(IF(0=LEN(ReferenceData!$B$98),"",ReferenceData!$B$98),"")</f>
        <v>ATO FP Equity</v>
      </c>
      <c r="C98" t="str">
        <f>IFERROR(IF(0=LEN(ReferenceData!$C$98),"",ReferenceData!$C$98),"")</f>
        <v>RR052</v>
      </c>
      <c r="D98" t="str">
        <f>IFERROR(IF(0=LEN(ReferenceData!$D$98),"",ReferenceData!$D$98),"")</f>
        <v>TOT_DEBT_TO_EBITDA</v>
      </c>
      <c r="E98" t="str">
        <f>IFERROR(IF(0=LEN(ReferenceData!$E$98),"",ReferenceData!$E$98),"")</f>
        <v>Dynamic</v>
      </c>
      <c r="F98" t="str">
        <f ca="1">IFERROR(IF(0=LEN(ReferenceData!$Q$98),"",ReferenceData!$Q$98),"")</f>
        <v/>
      </c>
      <c r="G98" t="str">
        <f ca="1">IFERROR(IF(0=LEN(ReferenceData!$P$98),"",ReferenceData!$P$98),"")</f>
        <v/>
      </c>
      <c r="H98" t="str">
        <f ca="1">IFERROR(IF(0=LEN(ReferenceData!$O$98),"",ReferenceData!$O$98),"")</f>
        <v/>
      </c>
      <c r="I98" t="str">
        <f ca="1">IFERROR(IF(0=LEN(ReferenceData!$N$98),"",ReferenceData!$N$98),"")</f>
        <v/>
      </c>
      <c r="J98" t="str">
        <f ca="1">IFERROR(IF(0=LEN(ReferenceData!$M$98),"",ReferenceData!$M$98),"")</f>
        <v/>
      </c>
      <c r="K98" t="str">
        <f ca="1">IFERROR(IF(0=LEN(ReferenceData!$L$98),"",ReferenceData!$L$98),"")</f>
        <v/>
      </c>
      <c r="L98" t="str">
        <f ca="1">IFERROR(IF(0=LEN(ReferenceData!$K$98),"",ReferenceData!$K$98),"")</f>
        <v/>
      </c>
      <c r="M98" t="str">
        <f ca="1">IFERROR(IF(0=LEN(ReferenceData!$J$98),"",ReferenceData!$J$98),"")</f>
        <v/>
      </c>
      <c r="N98" t="str">
        <f ca="1">IFERROR(IF(0=LEN(ReferenceData!$I$98),"",ReferenceData!$I$98),"")</f>
        <v/>
      </c>
      <c r="O98" t="str">
        <f ca="1">IFERROR(IF(0=LEN(ReferenceData!$H$98),"",ReferenceData!$H$98),"")</f>
        <v/>
      </c>
      <c r="P98" t="str">
        <f ca="1">IFERROR(IF(0=LEN(ReferenceData!$G$98),"",ReferenceData!$G$98),"")</f>
        <v/>
      </c>
      <c r="Q98" t="str">
        <f ca="1">IFERROR(IF(0=LEN(ReferenceData!$F$98),"",ReferenceData!$F$98),"")</f>
        <v/>
      </c>
    </row>
    <row r="99" spans="1:17" x14ac:dyDescent="0.25">
      <c r="A99" t="str">
        <f>IFERROR(IF(0=LEN(ReferenceData!$A$99),"",ReferenceData!$A$99),"")</f>
        <v xml:space="preserve">    Capgemini SE</v>
      </c>
      <c r="B99" t="str">
        <f>IFERROR(IF(0=LEN(ReferenceData!$B$99),"",ReferenceData!$B$99),"")</f>
        <v>CAP FP Equity</v>
      </c>
      <c r="C99" t="str">
        <f>IFERROR(IF(0=LEN(ReferenceData!$C$99),"",ReferenceData!$C$99),"")</f>
        <v>RR052</v>
      </c>
      <c r="D99" t="str">
        <f>IFERROR(IF(0=LEN(ReferenceData!$D$99),"",ReferenceData!$D$99),"")</f>
        <v>TOT_DEBT_TO_EBITDA</v>
      </c>
      <c r="E99" t="str">
        <f>IFERROR(IF(0=LEN(ReferenceData!$E$99),"",ReferenceData!$E$99),"")</f>
        <v>Dynamic</v>
      </c>
      <c r="F99" t="str">
        <f ca="1">IFERROR(IF(0=LEN(ReferenceData!$Q$99),"",ReferenceData!$Q$99),"")</f>
        <v/>
      </c>
      <c r="G99" t="str">
        <f ca="1">IFERROR(IF(0=LEN(ReferenceData!$P$99),"",ReferenceData!$P$99),"")</f>
        <v/>
      </c>
      <c r="H99" t="str">
        <f ca="1">IFERROR(IF(0=LEN(ReferenceData!$O$99),"",ReferenceData!$O$99),"")</f>
        <v/>
      </c>
      <c r="I99" t="str">
        <f ca="1">IFERROR(IF(0=LEN(ReferenceData!$N$99),"",ReferenceData!$N$99),"")</f>
        <v/>
      </c>
      <c r="J99" t="str">
        <f ca="1">IFERROR(IF(0=LEN(ReferenceData!$M$99),"",ReferenceData!$M$99),"")</f>
        <v/>
      </c>
      <c r="K99" t="str">
        <f ca="1">IFERROR(IF(0=LEN(ReferenceData!$L$99),"",ReferenceData!$L$99),"")</f>
        <v/>
      </c>
      <c r="L99" t="str">
        <f ca="1">IFERROR(IF(0=LEN(ReferenceData!$K$99),"",ReferenceData!$K$99),"")</f>
        <v/>
      </c>
      <c r="M99" t="str">
        <f ca="1">IFERROR(IF(0=LEN(ReferenceData!$J$99),"",ReferenceData!$J$99),"")</f>
        <v/>
      </c>
      <c r="N99" t="str">
        <f ca="1">IFERROR(IF(0=LEN(ReferenceData!$I$99),"",ReferenceData!$I$99),"")</f>
        <v/>
      </c>
      <c r="O99" t="str">
        <f ca="1">IFERROR(IF(0=LEN(ReferenceData!$H$99),"",ReferenceData!$H$99),"")</f>
        <v/>
      </c>
      <c r="P99" t="str">
        <f ca="1">IFERROR(IF(0=LEN(ReferenceData!$G$99),"",ReferenceData!$G$99),"")</f>
        <v/>
      </c>
      <c r="Q99" t="str">
        <f ca="1">IFERROR(IF(0=LEN(ReferenceData!$F$99),"",ReferenceData!$F$99),"")</f>
        <v/>
      </c>
    </row>
    <row r="100" spans="1:17" x14ac:dyDescent="0.25">
      <c r="A100" t="str">
        <f>IFERROR(IF(0=LEN(ReferenceData!$A$100),"",ReferenceData!$A$100),"")</f>
        <v xml:space="preserve">    CGI Inc</v>
      </c>
      <c r="B100" t="str">
        <f>IFERROR(IF(0=LEN(ReferenceData!$B$100),"",ReferenceData!$B$100),"")</f>
        <v>GIB US Equity</v>
      </c>
      <c r="C100" t="str">
        <f>IFERROR(IF(0=LEN(ReferenceData!$C$100),"",ReferenceData!$C$100),"")</f>
        <v>RR052</v>
      </c>
      <c r="D100" t="str">
        <f>IFERROR(IF(0=LEN(ReferenceData!$D$100),"",ReferenceData!$D$100),"")</f>
        <v>TOT_DEBT_TO_EBITDA</v>
      </c>
      <c r="E100" t="str">
        <f>IFERROR(IF(0=LEN(ReferenceData!$E$100),"",ReferenceData!$E$100),"")</f>
        <v>Dynamic</v>
      </c>
      <c r="F100">
        <f ca="1">IFERROR(IF(0=LEN(ReferenceData!$Q$100),"",ReferenceData!$Q$100),"")</f>
        <v>0.88328928900000003</v>
      </c>
      <c r="G100">
        <f ca="1">IFERROR(IF(0=LEN(ReferenceData!$P$100),"",ReferenceData!$P$100),"")</f>
        <v>0.99803074199999997</v>
      </c>
      <c r="H100">
        <f ca="1">IFERROR(IF(0=LEN(ReferenceData!$O$100),"",ReferenceData!$O$100),"")</f>
        <v>0.99530980899999999</v>
      </c>
      <c r="I100">
        <f ca="1">IFERROR(IF(0=LEN(ReferenceData!$N$100),"",ReferenceData!$N$100),"")</f>
        <v>0.97508433999999999</v>
      </c>
      <c r="J100">
        <f ca="1">IFERROR(IF(0=LEN(ReferenceData!$M$100),"",ReferenceData!$M$100),"")</f>
        <v>0.99888706900000002</v>
      </c>
      <c r="K100">
        <f ca="1">IFERROR(IF(0=LEN(ReferenceData!$L$100),"",ReferenceData!$L$100),"")</f>
        <v>0.91889797100000004</v>
      </c>
      <c r="L100">
        <f ca="1">IFERROR(IF(0=LEN(ReferenceData!$K$100),"",ReferenceData!$K$100),"")</f>
        <v>1.0731779749999999</v>
      </c>
      <c r="M100">
        <f ca="1">IFERROR(IF(0=LEN(ReferenceData!$J$100),"",ReferenceData!$J$100),"")</f>
        <v>1.017501419</v>
      </c>
      <c r="N100">
        <f ca="1">IFERROR(IF(0=LEN(ReferenceData!$I$100),"",ReferenceData!$I$100),"")</f>
        <v>1.187936184</v>
      </c>
      <c r="O100">
        <f ca="1">IFERROR(IF(0=LEN(ReferenceData!$H$100),"",ReferenceData!$H$100),"")</f>
        <v>1.088274521</v>
      </c>
      <c r="P100">
        <f ca="1">IFERROR(IF(0=LEN(ReferenceData!$G$100),"",ReferenceData!$G$100),"")</f>
        <v>1.385215308</v>
      </c>
      <c r="Q100">
        <f ca="1">IFERROR(IF(0=LEN(ReferenceData!$F$100),"",ReferenceData!$F$100),"")</f>
        <v>1.8872556949999999</v>
      </c>
    </row>
    <row r="101" spans="1:17" x14ac:dyDescent="0.25">
      <c r="A101" t="str">
        <f>IFERROR(IF(0=LEN(ReferenceData!$A$101),"",ReferenceData!$A$101),"")</f>
        <v xml:space="preserve">    Cognizant Technology Solutions Corp</v>
      </c>
      <c r="B101" t="str">
        <f>IFERROR(IF(0=LEN(ReferenceData!$B$101),"",ReferenceData!$B$101),"")</f>
        <v>CTSH US Equity</v>
      </c>
      <c r="C101" t="str">
        <f>IFERROR(IF(0=LEN(ReferenceData!$C$101),"",ReferenceData!$C$101),"")</f>
        <v>RR052</v>
      </c>
      <c r="D101" t="str">
        <f>IFERROR(IF(0=LEN(ReferenceData!$D$101),"",ReferenceData!$D$101),"")</f>
        <v>TOT_DEBT_TO_EBITDA</v>
      </c>
      <c r="E101" t="str">
        <f>IFERROR(IF(0=LEN(ReferenceData!$E$101),"",ReferenceData!$E$101),"")</f>
        <v>Dynamic</v>
      </c>
      <c r="F101">
        <f ca="1">IFERROR(IF(0=LEN(ReferenceData!$Q$101),"",ReferenceData!$Q$101),"")</f>
        <v>0.35030045900000001</v>
      </c>
      <c r="G101">
        <f ca="1">IFERROR(IF(0=LEN(ReferenceData!$P$101),"",ReferenceData!$P$101),"")</f>
        <v>0.28272071500000001</v>
      </c>
      <c r="H101">
        <f ca="1">IFERROR(IF(0=LEN(ReferenceData!$O$101),"",ReferenceData!$O$101),"")</f>
        <v>0.288309115</v>
      </c>
      <c r="I101">
        <f ca="1">IFERROR(IF(0=LEN(ReferenceData!$N$101),"",ReferenceData!$N$101),"")</f>
        <v>0.244310999</v>
      </c>
      <c r="J101">
        <f ca="1">IFERROR(IF(0=LEN(ReferenceData!$M$101),"",ReferenceData!$M$101),"")</f>
        <v>0.23823155200000001</v>
      </c>
      <c r="K101">
        <f ca="1">IFERROR(IF(0=LEN(ReferenceData!$L$101),"",ReferenceData!$L$101),"")</f>
        <v>0.22249538999999999</v>
      </c>
      <c r="L101">
        <f ca="1">IFERROR(IF(0=LEN(ReferenceData!$K$101),"",ReferenceData!$K$101),"")</f>
        <v>0.22582600799999999</v>
      </c>
      <c r="M101">
        <f ca="1">IFERROR(IF(0=LEN(ReferenceData!$J$101),"",ReferenceData!$J$101),"")</f>
        <v>0.50964884499999996</v>
      </c>
      <c r="N101">
        <f ca="1">IFERROR(IF(0=LEN(ReferenceData!$I$101),"",ReferenceData!$I$101),"")</f>
        <v>0.50923645299999998</v>
      </c>
      <c r="O101">
        <f ca="1">IFERROR(IF(0=LEN(ReferenceData!$H$101),"",ReferenceData!$H$101),"")</f>
        <v>0.52904564300000001</v>
      </c>
      <c r="P101">
        <f ca="1">IFERROR(IF(0=LEN(ReferenceData!$G$101),"",ReferenceData!$G$101),"")</f>
        <v>0.54060031600000003</v>
      </c>
      <c r="Q101">
        <f ca="1">IFERROR(IF(0=LEN(ReferenceData!$F$101),"",ReferenceData!$F$101),"")</f>
        <v>1.0595386529999999</v>
      </c>
    </row>
    <row r="102" spans="1:17" x14ac:dyDescent="0.25">
      <c r="A102" t="str">
        <f>IFERROR(IF(0=LEN(ReferenceData!$A$102),"",ReferenceData!$A$102),"")</f>
        <v xml:space="preserve">    Conduent Inc</v>
      </c>
      <c r="B102" t="str">
        <f>IFERROR(IF(0=LEN(ReferenceData!$B$102),"",ReferenceData!$B$102),"")</f>
        <v>CNDT US Equity</v>
      </c>
      <c r="C102" t="str">
        <f>IFERROR(IF(0=LEN(ReferenceData!$C$102),"",ReferenceData!$C$102),"")</f>
        <v>RR052</v>
      </c>
      <c r="D102" t="str">
        <f>IFERROR(IF(0=LEN(ReferenceData!$D$102),"",ReferenceData!$D$102),"")</f>
        <v>TOT_DEBT_TO_EBITDA</v>
      </c>
      <c r="E102" t="str">
        <f>IFERROR(IF(0=LEN(ReferenceData!$E$102),"",ReferenceData!$E$102),"")</f>
        <v>Dynamic</v>
      </c>
      <c r="F102" t="str">
        <f ca="1">IFERROR(IF(0=LEN(ReferenceData!$Q$102),"",ReferenceData!$Q$102),"")</f>
        <v/>
      </c>
      <c r="G102" t="str">
        <f ca="1">IFERROR(IF(0=LEN(ReferenceData!$P$102),"",ReferenceData!$P$102),"")</f>
        <v/>
      </c>
      <c r="H102">
        <f ca="1">IFERROR(IF(0=LEN(ReferenceData!$O$102),"",ReferenceData!$O$102),"")</f>
        <v>3.3898026319999999</v>
      </c>
      <c r="I102">
        <f ca="1">IFERROR(IF(0=LEN(ReferenceData!$N$102),"",ReferenceData!$N$102),"")</f>
        <v>3.6336283190000001</v>
      </c>
      <c r="J102">
        <f ca="1">IFERROR(IF(0=LEN(ReferenceData!$M$102),"",ReferenceData!$M$102),"")</f>
        <v>3.2651757190000001</v>
      </c>
      <c r="K102">
        <f ca="1">IFERROR(IF(0=LEN(ReferenceData!$L$102),"",ReferenceData!$L$102),"")</f>
        <v>4.6656804730000001</v>
      </c>
      <c r="L102">
        <f ca="1">IFERROR(IF(0=LEN(ReferenceData!$K$102),"",ReferenceData!$K$102),"")</f>
        <v>8.8033707870000004</v>
      </c>
      <c r="M102" t="str">
        <f ca="1">IFERROR(IF(0=LEN(ReferenceData!$J$102),"",ReferenceData!$J$102),"")</f>
        <v/>
      </c>
      <c r="N102" t="str">
        <f ca="1">IFERROR(IF(0=LEN(ReferenceData!$I$102),"",ReferenceData!$I$102),"")</f>
        <v/>
      </c>
      <c r="O102" t="str">
        <f ca="1">IFERROR(IF(0=LEN(ReferenceData!$H$102),"",ReferenceData!$H$102),"")</f>
        <v/>
      </c>
      <c r="P102" t="str">
        <f ca="1">IFERROR(IF(0=LEN(ReferenceData!$G$102),"",ReferenceData!$G$102),"")</f>
        <v/>
      </c>
      <c r="Q102" t="str">
        <f ca="1">IFERROR(IF(0=LEN(ReferenceData!$F$102),"",ReferenceData!$F$102),"")</f>
        <v/>
      </c>
    </row>
    <row r="103" spans="1:17" x14ac:dyDescent="0.25">
      <c r="A103" t="str">
        <f>IFERROR(IF(0=LEN(ReferenceData!$A$103),"",ReferenceData!$A$103),"")</f>
        <v xml:space="preserve">    DXC Technology Co</v>
      </c>
      <c r="B103" t="str">
        <f>IFERROR(IF(0=LEN(ReferenceData!$B$103),"",ReferenceData!$B$103),"")</f>
        <v>DXC US Equity</v>
      </c>
      <c r="C103" t="str">
        <f>IFERROR(IF(0=LEN(ReferenceData!$C$103),"",ReferenceData!$C$103),"")</f>
        <v>RR052</v>
      </c>
      <c r="D103" t="str">
        <f>IFERROR(IF(0=LEN(ReferenceData!$D$103),"",ReferenceData!$D$103),"")</f>
        <v>TOT_DEBT_TO_EBITDA</v>
      </c>
      <c r="E103" t="str">
        <f>IFERROR(IF(0=LEN(ReferenceData!$E$103),"",ReferenceData!$E$103),"")</f>
        <v>Dynamic</v>
      </c>
      <c r="F103" t="str">
        <f ca="1">IFERROR(IF(0=LEN(ReferenceData!$Q$103),"",ReferenceData!$Q$103),"")</f>
        <v/>
      </c>
      <c r="G103" t="str">
        <f ca="1">IFERROR(IF(0=LEN(ReferenceData!$P$103),"",ReferenceData!$P$103),"")</f>
        <v/>
      </c>
      <c r="H103" t="str">
        <f ca="1">IFERROR(IF(0=LEN(ReferenceData!$O$103),"",ReferenceData!$O$103),"")</f>
        <v/>
      </c>
      <c r="I103">
        <f ca="1">IFERROR(IF(0=LEN(ReferenceData!$N$103),"",ReferenceData!$N$103),"")</f>
        <v>2.2120961060000002</v>
      </c>
      <c r="J103">
        <f ca="1">IFERROR(IF(0=LEN(ReferenceData!$M$103),"",ReferenceData!$M$103),"")</f>
        <v>1.7284979170000001</v>
      </c>
      <c r="K103">
        <f ca="1">IFERROR(IF(0=LEN(ReferenceData!$L$103),"",ReferenceData!$L$103),"")</f>
        <v>1.9064026039999999</v>
      </c>
      <c r="L103">
        <f ca="1">IFERROR(IF(0=LEN(ReferenceData!$K$103),"",ReferenceData!$K$103),"")</f>
        <v>1.9994710389999999</v>
      </c>
      <c r="M103">
        <f ca="1">IFERROR(IF(0=LEN(ReferenceData!$J$103),"",ReferenceData!$J$103),"")</f>
        <v>2.1748826289999998</v>
      </c>
      <c r="N103">
        <f ca="1">IFERROR(IF(0=LEN(ReferenceData!$I$103),"",ReferenceData!$I$103),"")</f>
        <v>2.8723843969999998</v>
      </c>
      <c r="O103">
        <f ca="1">IFERROR(IF(0=LEN(ReferenceData!$H$103),"",ReferenceData!$H$103),"")</f>
        <v>7.3549046320000002</v>
      </c>
      <c r="P103">
        <f ca="1">IFERROR(IF(0=LEN(ReferenceData!$G$103),"",ReferenceData!$G$103),"")</f>
        <v>9.3142941700000002</v>
      </c>
      <c r="Q103" t="str">
        <f ca="1">IFERROR(IF(0=LEN(ReferenceData!$F$103),"",ReferenceData!$F$103),"")</f>
        <v/>
      </c>
    </row>
    <row r="104" spans="1:17" x14ac:dyDescent="0.25">
      <c r="A104" t="str">
        <f>IFERROR(IF(0=LEN(ReferenceData!$A$104),"",ReferenceData!$A$104),"")</f>
        <v xml:space="preserve">    EPAM Systems Inc</v>
      </c>
      <c r="B104" t="str">
        <f>IFERROR(IF(0=LEN(ReferenceData!$B$104),"",ReferenceData!$B$104),"")</f>
        <v>EPAM US Equity</v>
      </c>
      <c r="C104" t="str">
        <f>IFERROR(IF(0=LEN(ReferenceData!$C$104),"",ReferenceData!$C$104),"")</f>
        <v>RR052</v>
      </c>
      <c r="D104" t="str">
        <f>IFERROR(IF(0=LEN(ReferenceData!$D$104),"",ReferenceData!$D$104),"")</f>
        <v>TOT_DEBT_TO_EBITDA</v>
      </c>
      <c r="E104" t="str">
        <f>IFERROR(IF(0=LEN(ReferenceData!$E$104),"",ReferenceData!$E$104),"")</f>
        <v>Dynamic</v>
      </c>
      <c r="F104">
        <f ca="1">IFERROR(IF(0=LEN(ReferenceData!$Q$104),"",ReferenceData!$Q$104),"")</f>
        <v>0.14831118500000001</v>
      </c>
      <c r="G104">
        <f ca="1">IFERROR(IF(0=LEN(ReferenceData!$P$104),"",ReferenceData!$P$104),"")</f>
        <v>0.13507783900000001</v>
      </c>
      <c r="H104">
        <f ca="1">IFERROR(IF(0=LEN(ReferenceData!$O$104),"",ReferenceData!$O$104),"")</f>
        <v>0.124228319</v>
      </c>
      <c r="I104">
        <f ca="1">IFERROR(IF(0=LEN(ReferenceData!$N$104),"",ReferenceData!$N$104),"")</f>
        <v>0.113367128</v>
      </c>
      <c r="J104">
        <f ca="1">IFERROR(IF(0=LEN(ReferenceData!$M$104),"",ReferenceData!$M$104),"")</f>
        <v>0.105909245</v>
      </c>
      <c r="K104">
        <f ca="1">IFERROR(IF(0=LEN(ReferenceData!$L$104),"",ReferenceData!$L$104),"")</f>
        <v>9.8653117999999998E-2</v>
      </c>
      <c r="L104">
        <f ca="1">IFERROR(IF(0=LEN(ReferenceData!$K$104),"",ReferenceData!$K$104),"")</f>
        <v>8.8635430000000001E-2</v>
      </c>
      <c r="M104">
        <f ca="1">IFERROR(IF(0=LEN(ReferenceData!$J$104),"",ReferenceData!$J$104),"")</f>
        <v>0.54546251899999998</v>
      </c>
      <c r="N104">
        <f ca="1">IFERROR(IF(0=LEN(ReferenceData!$I$104),"",ReferenceData!$I$104),"")</f>
        <v>0.61412590899999997</v>
      </c>
      <c r="O104">
        <f ca="1">IFERROR(IF(0=LEN(ReferenceData!$H$104),"",ReferenceData!$H$104),"")</f>
        <v>0.58043338600000005</v>
      </c>
      <c r="P104">
        <f ca="1">IFERROR(IF(0=LEN(ReferenceData!$G$104),"",ReferenceData!$G$104),"")</f>
        <v>0.64367681300000001</v>
      </c>
      <c r="Q104">
        <f ca="1">IFERROR(IF(0=LEN(ReferenceData!$F$104),"",ReferenceData!$F$104),"")</f>
        <v>0.62026074499999995</v>
      </c>
    </row>
    <row r="105" spans="1:17" x14ac:dyDescent="0.25">
      <c r="A105" t="str">
        <f>IFERROR(IF(0=LEN(ReferenceData!$A$105),"",ReferenceData!$A$105),"")</f>
        <v xml:space="preserve">    Genpact Ltd</v>
      </c>
      <c r="B105" t="str">
        <f>IFERROR(IF(0=LEN(ReferenceData!$B$105),"",ReferenceData!$B$105),"")</f>
        <v>G US Equity</v>
      </c>
      <c r="C105" t="str">
        <f>IFERROR(IF(0=LEN(ReferenceData!$C$105),"",ReferenceData!$C$105),"")</f>
        <v>RR052</v>
      </c>
      <c r="D105" t="str">
        <f>IFERROR(IF(0=LEN(ReferenceData!$D$105),"",ReferenceData!$D$105),"")</f>
        <v>TOT_DEBT_TO_EBITDA</v>
      </c>
      <c r="E105" t="str">
        <f>IFERROR(IF(0=LEN(ReferenceData!$E$105),"",ReferenceData!$E$105),"")</f>
        <v>Dynamic</v>
      </c>
      <c r="F105">
        <f ca="1">IFERROR(IF(0=LEN(ReferenceData!$Q$105),"",ReferenceData!$Q$105),"")</f>
        <v>2.951999163</v>
      </c>
      <c r="G105">
        <f ca="1">IFERROR(IF(0=LEN(ReferenceData!$P$105),"",ReferenceData!$P$105),"")</f>
        <v>2.727292104</v>
      </c>
      <c r="H105">
        <f ca="1">IFERROR(IF(0=LEN(ReferenceData!$O$105),"",ReferenceData!$O$105),"")</f>
        <v>2.852956635</v>
      </c>
      <c r="I105">
        <f ca="1">IFERROR(IF(0=LEN(ReferenceData!$N$105),"",ReferenceData!$N$105),"")</f>
        <v>3.1577025889999999</v>
      </c>
      <c r="J105">
        <f ca="1">IFERROR(IF(0=LEN(ReferenceData!$M$105),"",ReferenceData!$M$105),"")</f>
        <v>2.9712700070000002</v>
      </c>
      <c r="K105">
        <f ca="1">IFERROR(IF(0=LEN(ReferenceData!$L$105),"",ReferenceData!$L$105),"")</f>
        <v>3.2527171159999999</v>
      </c>
      <c r="L105">
        <f ca="1">IFERROR(IF(0=LEN(ReferenceData!$K$105),"",ReferenceData!$K$105),"")</f>
        <v>2.8860690020000002</v>
      </c>
      <c r="M105">
        <f ca="1">IFERROR(IF(0=LEN(ReferenceData!$J$105),"",ReferenceData!$J$105),"")</f>
        <v>3.05335702</v>
      </c>
      <c r="N105">
        <f ca="1">IFERROR(IF(0=LEN(ReferenceData!$I$105),"",ReferenceData!$I$105),"")</f>
        <v>2.8362987300000002</v>
      </c>
      <c r="O105">
        <f ca="1">IFERROR(IF(0=LEN(ReferenceData!$H$105),"",ReferenceData!$H$105),"")</f>
        <v>2.6084972749999999</v>
      </c>
      <c r="P105">
        <f ca="1">IFERROR(IF(0=LEN(ReferenceData!$G$105),"",ReferenceData!$G$105),"")</f>
        <v>2.8987534089999998</v>
      </c>
      <c r="Q105">
        <f ca="1">IFERROR(IF(0=LEN(ReferenceData!$F$105),"",ReferenceData!$F$105),"")</f>
        <v>2.9941495100000002</v>
      </c>
    </row>
    <row r="106" spans="1:17" x14ac:dyDescent="0.25">
      <c r="A106" t="str">
        <f>IFERROR(IF(0=LEN(ReferenceData!$A$106),"",ReferenceData!$A$106),"")</f>
        <v xml:space="preserve">    HCL Technologies Ltd</v>
      </c>
      <c r="B106" t="str">
        <f>IFERROR(IF(0=LEN(ReferenceData!$B$106),"",ReferenceData!$B$106),"")</f>
        <v>HCLT IN Equity</v>
      </c>
      <c r="C106" t="str">
        <f>IFERROR(IF(0=LEN(ReferenceData!$C$106),"",ReferenceData!$C$106),"")</f>
        <v>RR052</v>
      </c>
      <c r="D106" t="str">
        <f>IFERROR(IF(0=LEN(ReferenceData!$D$106),"",ReferenceData!$D$106),"")</f>
        <v>TOT_DEBT_TO_EBITDA</v>
      </c>
      <c r="E106" t="str">
        <f>IFERROR(IF(0=LEN(ReferenceData!$E$106),"",ReferenceData!$E$106),"")</f>
        <v>Dynamic</v>
      </c>
      <c r="F106">
        <f ca="1">IFERROR(IF(0=LEN(ReferenceData!$Q$106),"",ReferenceData!$Q$106),"")</f>
        <v>5.5511029000000003E-2</v>
      </c>
      <c r="G106">
        <f ca="1">IFERROR(IF(0=LEN(ReferenceData!$P$106),"",ReferenceData!$P$106),"")</f>
        <v>6.7878260999999995E-2</v>
      </c>
      <c r="H106">
        <f ca="1">IFERROR(IF(0=LEN(ReferenceData!$O$106),"",ReferenceData!$O$106),"")</f>
        <v>4.6616787999999999E-2</v>
      </c>
      <c r="I106">
        <f ca="1">IFERROR(IF(0=LEN(ReferenceData!$N$106),"",ReferenceData!$N$106),"")</f>
        <v>4.3479642999999998E-2</v>
      </c>
      <c r="J106">
        <f ca="1">IFERROR(IF(0=LEN(ReferenceData!$M$106),"",ReferenceData!$M$106),"")</f>
        <v>2.8505330999999998E-2</v>
      </c>
      <c r="K106">
        <f ca="1">IFERROR(IF(0=LEN(ReferenceData!$L$106),"",ReferenceData!$L$106),"")</f>
        <v>0.22327580299999999</v>
      </c>
      <c r="L106">
        <f ca="1">IFERROR(IF(0=LEN(ReferenceData!$K$106),"",ReferenceData!$K$106),"")</f>
        <v>0.285810385</v>
      </c>
      <c r="M106">
        <f ca="1">IFERROR(IF(0=LEN(ReferenceData!$J$106),"",ReferenceData!$J$106),"")</f>
        <v>0.30492914599999998</v>
      </c>
      <c r="N106">
        <f ca="1">IFERROR(IF(0=LEN(ReferenceData!$I$106),"",ReferenceData!$I$106),"")</f>
        <v>0.28809071800000002</v>
      </c>
      <c r="O106">
        <f ca="1">IFERROR(IF(0=LEN(ReferenceData!$H$106),"",ReferenceData!$H$106),"")</f>
        <v>0.43781379999999998</v>
      </c>
      <c r="P106">
        <f ca="1">IFERROR(IF(0=LEN(ReferenceData!$G$106),"",ReferenceData!$G$106),"")</f>
        <v>0.40505183099999997</v>
      </c>
      <c r="Q106">
        <f ca="1">IFERROR(IF(0=LEN(ReferenceData!$F$106),"",ReferenceData!$F$106),"")</f>
        <v>0.450200879</v>
      </c>
    </row>
    <row r="107" spans="1:17" x14ac:dyDescent="0.25">
      <c r="A107" t="str">
        <f>IFERROR(IF(0=LEN(ReferenceData!$A$107),"",ReferenceData!$A$107),"")</f>
        <v xml:space="preserve">    Indra Sistemas SA</v>
      </c>
      <c r="B107" t="str">
        <f>IFERROR(IF(0=LEN(ReferenceData!$B$107),"",ReferenceData!$B$107),"")</f>
        <v>IDR SM Equity</v>
      </c>
      <c r="C107" t="str">
        <f>IFERROR(IF(0=LEN(ReferenceData!$C$107),"",ReferenceData!$C$107),"")</f>
        <v>RR052</v>
      </c>
      <c r="D107" t="str">
        <f>IFERROR(IF(0=LEN(ReferenceData!$D$107),"",ReferenceData!$D$107),"")</f>
        <v>TOT_DEBT_TO_EBITDA</v>
      </c>
      <c r="E107" t="str">
        <f>IFERROR(IF(0=LEN(ReferenceData!$E$107),"",ReferenceData!$E$107),"")</f>
        <v>Dynamic</v>
      </c>
      <c r="F107">
        <f ca="1">IFERROR(IF(0=LEN(ReferenceData!$Q$107),"",ReferenceData!$Q$107),"")</f>
        <v>5.7805899150000002</v>
      </c>
      <c r="G107">
        <f ca="1">IFERROR(IF(0=LEN(ReferenceData!$P$107),"",ReferenceData!$P$107),"")</f>
        <v>5.2902646139999998</v>
      </c>
      <c r="H107">
        <f ca="1">IFERROR(IF(0=LEN(ReferenceData!$O$107),"",ReferenceData!$O$107),"")</f>
        <v>4.8362047590000001</v>
      </c>
      <c r="I107">
        <f ca="1">IFERROR(IF(0=LEN(ReferenceData!$N$107),"",ReferenceData!$N$107),"")</f>
        <v>5.0877298360000003</v>
      </c>
      <c r="J107">
        <f ca="1">IFERROR(IF(0=LEN(ReferenceData!$M$107),"",ReferenceData!$M$107),"")</f>
        <v>5.8263690620000004</v>
      </c>
      <c r="K107">
        <f ca="1">IFERROR(IF(0=LEN(ReferenceData!$L$107),"",ReferenceData!$L$107),"")</f>
        <v>5.5363830729999997</v>
      </c>
      <c r="L107">
        <f ca="1">IFERROR(IF(0=LEN(ReferenceData!$K$107),"",ReferenceData!$K$107),"")</f>
        <v>4.7808941410000001</v>
      </c>
      <c r="M107">
        <f ca="1">IFERROR(IF(0=LEN(ReferenceData!$J$107),"",ReferenceData!$J$107),"")</f>
        <v>4.540798691</v>
      </c>
      <c r="N107">
        <f ca="1">IFERROR(IF(0=LEN(ReferenceData!$I$107),"",ReferenceData!$I$107),"")</f>
        <v>5.1692380130000002</v>
      </c>
      <c r="O107">
        <f ca="1">IFERROR(IF(0=LEN(ReferenceData!$H$107),"",ReferenceData!$H$107),"")</f>
        <v>4.6575013150000002</v>
      </c>
      <c r="P107">
        <f ca="1">IFERROR(IF(0=LEN(ReferenceData!$G$107),"",ReferenceData!$G$107),"")</f>
        <v>4.6041347799999999</v>
      </c>
      <c r="Q107">
        <f ca="1">IFERROR(IF(0=LEN(ReferenceData!$F$107),"",ReferenceData!$F$107),"")</f>
        <v>4.6769170530000004</v>
      </c>
    </row>
    <row r="108" spans="1:17" x14ac:dyDescent="0.25">
      <c r="A108" t="str">
        <f>IFERROR(IF(0=LEN(ReferenceData!$A$108),"",ReferenceData!$A$108),"")</f>
        <v xml:space="preserve">    Infosys Ltd</v>
      </c>
      <c r="B108" t="str">
        <f>IFERROR(IF(0=LEN(ReferenceData!$B$108),"",ReferenceData!$B$108),"")</f>
        <v>INFY US Equity</v>
      </c>
      <c r="C108" t="str">
        <f>IFERROR(IF(0=LEN(ReferenceData!$C$108),"",ReferenceData!$C$108),"")</f>
        <v>RR052</v>
      </c>
      <c r="D108" t="str">
        <f>IFERROR(IF(0=LEN(ReferenceData!$D$108),"",ReferenceData!$D$108),"")</f>
        <v>TOT_DEBT_TO_EBITDA</v>
      </c>
      <c r="E108" t="str">
        <f>IFERROR(IF(0=LEN(ReferenceData!$E$108),"",ReferenceData!$E$108),"")</f>
        <v>Dynamic</v>
      </c>
      <c r="F108">
        <f ca="1">IFERROR(IF(0=LEN(ReferenceData!$Q$108),"",ReferenceData!$Q$108),"")</f>
        <v>0</v>
      </c>
      <c r="G108">
        <f ca="1">IFERROR(IF(0=LEN(ReferenceData!$P$108),"",ReferenceData!$P$108),"")</f>
        <v>0</v>
      </c>
      <c r="H108">
        <f ca="1">IFERROR(IF(0=LEN(ReferenceData!$O$108),"",ReferenceData!$O$108),"")</f>
        <v>0</v>
      </c>
      <c r="I108">
        <f ca="1">IFERROR(IF(0=LEN(ReferenceData!$N$108),"",ReferenceData!$N$108),"")</f>
        <v>0</v>
      </c>
      <c r="J108">
        <f ca="1">IFERROR(IF(0=LEN(ReferenceData!$M$108),"",ReferenceData!$M$108),"")</f>
        <v>0</v>
      </c>
      <c r="K108">
        <f ca="1">IFERROR(IF(0=LEN(ReferenceData!$L$108),"",ReferenceData!$L$108),"")</f>
        <v>0</v>
      </c>
      <c r="L108">
        <f ca="1">IFERROR(IF(0=LEN(ReferenceData!$K$108),"",ReferenceData!$K$108),"")</f>
        <v>0</v>
      </c>
      <c r="M108">
        <f ca="1">IFERROR(IF(0=LEN(ReferenceData!$J$108),"",ReferenceData!$J$108),"")</f>
        <v>0</v>
      </c>
      <c r="N108">
        <f ca="1">IFERROR(IF(0=LEN(ReferenceData!$I$108),"",ReferenceData!$I$108),"")</f>
        <v>0.18187858900000001</v>
      </c>
      <c r="O108">
        <f ca="1">IFERROR(IF(0=LEN(ReferenceData!$H$108),"",ReferenceData!$H$108),"")</f>
        <v>0.190960187</v>
      </c>
      <c r="P108">
        <f ca="1">IFERROR(IF(0=LEN(ReferenceData!$G$108),"",ReferenceData!$G$108),"")</f>
        <v>0.19057037700000001</v>
      </c>
      <c r="Q108">
        <f ca="1">IFERROR(IF(0=LEN(ReferenceData!$F$108),"",ReferenceData!$F$108),"")</f>
        <v>0.20806574799999999</v>
      </c>
    </row>
    <row r="109" spans="1:17" x14ac:dyDescent="0.25">
      <c r="A109" t="str">
        <f>IFERROR(IF(0=LEN(ReferenceData!$A$109),"",ReferenceData!$A$109),"")</f>
        <v xml:space="preserve">    International Business Machines Corp</v>
      </c>
      <c r="B109" t="str">
        <f>IFERROR(IF(0=LEN(ReferenceData!$B$109),"",ReferenceData!$B$109),"")</f>
        <v>IBM US Equity</v>
      </c>
      <c r="C109" t="str">
        <f>IFERROR(IF(0=LEN(ReferenceData!$C$109),"",ReferenceData!$C$109),"")</f>
        <v>RR052</v>
      </c>
      <c r="D109" t="str">
        <f>IFERROR(IF(0=LEN(ReferenceData!$D$109),"",ReferenceData!$D$109),"")</f>
        <v>TOT_DEBT_TO_EBITDA</v>
      </c>
      <c r="E109" t="str">
        <f>IFERROR(IF(0=LEN(ReferenceData!$E$109),"",ReferenceData!$E$109),"")</f>
        <v>Dynamic</v>
      </c>
      <c r="F109">
        <f ca="1">IFERROR(IF(0=LEN(ReferenceData!$Q$109),"",ReferenceData!$Q$109),"")</f>
        <v>2.2184884610000002</v>
      </c>
      <c r="G109">
        <f ca="1">IFERROR(IF(0=LEN(ReferenceData!$P$109),"",ReferenceData!$P$109),"")</f>
        <v>2.1691115769999998</v>
      </c>
      <c r="H109">
        <f ca="1">IFERROR(IF(0=LEN(ReferenceData!$O$109),"",ReferenceData!$O$109),"")</f>
        <v>2.5313970270000001</v>
      </c>
      <c r="I109">
        <f ca="1">IFERROR(IF(0=LEN(ReferenceData!$N$109),"",ReferenceData!$N$109),"")</f>
        <v>2.4934045230000002</v>
      </c>
      <c r="J109">
        <f ca="1">IFERROR(IF(0=LEN(ReferenceData!$M$109),"",ReferenceData!$M$109),"")</f>
        <v>2.2352672450000002</v>
      </c>
      <c r="K109">
        <f ca="1">IFERROR(IF(0=LEN(ReferenceData!$L$109),"",ReferenceData!$L$109),"")</f>
        <v>2.2757674209999998</v>
      </c>
      <c r="L109">
        <f ca="1">IFERROR(IF(0=LEN(ReferenceData!$K$109),"",ReferenceData!$K$109),"")</f>
        <v>2.5760233920000002</v>
      </c>
      <c r="M109">
        <f ca="1">IFERROR(IF(0=LEN(ReferenceData!$J$109),"",ReferenceData!$J$109),"")</f>
        <v>2.4142460589999999</v>
      </c>
      <c r="N109">
        <f ca="1">IFERROR(IF(0=LEN(ReferenceData!$I$109),"",ReferenceData!$I$109),"")</f>
        <v>3.895052717</v>
      </c>
      <c r="O109">
        <f ca="1">IFERROR(IF(0=LEN(ReferenceData!$H$109),"",ReferenceData!$H$109),"")</f>
        <v>3.7156025819999998</v>
      </c>
      <c r="P109">
        <f ca="1">IFERROR(IF(0=LEN(ReferenceData!$G$109),"",ReferenceData!$G$109),"")</f>
        <v>3.8772398890000002</v>
      </c>
      <c r="Q109">
        <f ca="1">IFERROR(IF(0=LEN(ReferenceData!$F$109),"",ReferenceData!$F$109),"")</f>
        <v>4.3938128680000004</v>
      </c>
    </row>
    <row r="110" spans="1:17" x14ac:dyDescent="0.25">
      <c r="A110" t="str">
        <f>IFERROR(IF(0=LEN(ReferenceData!$A$110),"",ReferenceData!$A$110),"")</f>
        <v xml:space="preserve">    Tata Consultancy Services Ltd</v>
      </c>
      <c r="B110" t="str">
        <f>IFERROR(IF(0=LEN(ReferenceData!$B$110),"",ReferenceData!$B$110),"")</f>
        <v>TCS IN Equity</v>
      </c>
      <c r="C110" t="str">
        <f>IFERROR(IF(0=LEN(ReferenceData!$C$110),"",ReferenceData!$C$110),"")</f>
        <v>RR052</v>
      </c>
      <c r="D110" t="str">
        <f>IFERROR(IF(0=LEN(ReferenceData!$D$110),"",ReferenceData!$D$110),"")</f>
        <v>TOT_DEBT_TO_EBITDA</v>
      </c>
      <c r="E110" t="str">
        <f>IFERROR(IF(0=LEN(ReferenceData!$E$110),"",ReferenceData!$E$110),"")</f>
        <v>Dynamic</v>
      </c>
      <c r="F110">
        <f ca="1">IFERROR(IF(0=LEN(ReferenceData!$Q$110),"",ReferenceData!$Q$110),"")</f>
        <v>2.6030229999999999E-3</v>
      </c>
      <c r="G110">
        <f ca="1">IFERROR(IF(0=LEN(ReferenceData!$P$110),"",ReferenceData!$P$110),"")</f>
        <v>2.473542E-3</v>
      </c>
      <c r="H110">
        <f ca="1">IFERROR(IF(0=LEN(ReferenceData!$O$110),"",ReferenceData!$O$110),"")</f>
        <v>2.3752970000000002E-3</v>
      </c>
      <c r="I110">
        <f ca="1">IFERROR(IF(0=LEN(ReferenceData!$N$110),"",ReferenceData!$N$110),"")</f>
        <v>7.5962599999999996E-3</v>
      </c>
      <c r="J110">
        <f ca="1">IFERROR(IF(0=LEN(ReferenceData!$M$110),"",ReferenceData!$M$110),"")</f>
        <v>1.902031E-3</v>
      </c>
      <c r="K110">
        <f ca="1">IFERROR(IF(0=LEN(ReferenceData!$L$110),"",ReferenceData!$L$110),"")</f>
        <v>1.736111E-3</v>
      </c>
      <c r="L110">
        <f ca="1">IFERROR(IF(0=LEN(ReferenceData!$K$110),"",ReferenceData!$K$110),"")</f>
        <v>1.6542379999999999E-3</v>
      </c>
      <c r="M110">
        <f ca="1">IFERROR(IF(0=LEN(ReferenceData!$J$110),"",ReferenceData!$J$110),"")</f>
        <v>1.569382E-3</v>
      </c>
      <c r="N110">
        <f ca="1">IFERROR(IF(0=LEN(ReferenceData!$I$110),"",ReferenceData!$I$110),"")</f>
        <v>0.16915398300000001</v>
      </c>
      <c r="O110">
        <f ca="1">IFERROR(IF(0=LEN(ReferenceData!$H$110),"",ReferenceData!$H$110),"")</f>
        <v>0.16784185700000001</v>
      </c>
      <c r="P110">
        <f ca="1">IFERROR(IF(0=LEN(ReferenceData!$G$110),"",ReferenceData!$G$110),"")</f>
        <v>0.17149998799999999</v>
      </c>
      <c r="Q110">
        <f ca="1">IFERROR(IF(0=LEN(ReferenceData!$F$110),"",ReferenceData!$F$110),"")</f>
        <v>0.19411527200000001</v>
      </c>
    </row>
    <row r="111" spans="1:17" x14ac:dyDescent="0.25">
      <c r="A111" t="str">
        <f>IFERROR(IF(0=LEN(ReferenceData!$A$111),"",ReferenceData!$A$111),"")</f>
        <v xml:space="preserve">    Tech Mahindra Ltd</v>
      </c>
      <c r="B111" t="str">
        <f>IFERROR(IF(0=LEN(ReferenceData!$B$111),"",ReferenceData!$B$111),"")</f>
        <v>TECHM IN Equity</v>
      </c>
      <c r="C111" t="str">
        <f>IFERROR(IF(0=LEN(ReferenceData!$C$111),"",ReferenceData!$C$111),"")</f>
        <v>RR052</v>
      </c>
      <c r="D111" t="str">
        <f>IFERROR(IF(0=LEN(ReferenceData!$D$111),"",ReferenceData!$D$111),"")</f>
        <v>TOT_DEBT_TO_EBITDA</v>
      </c>
      <c r="E111" t="str">
        <f>IFERROR(IF(0=LEN(ReferenceData!$E$111),"",ReferenceData!$E$111),"")</f>
        <v>Dynamic</v>
      </c>
      <c r="F111">
        <f ca="1">IFERROR(IF(0=LEN(ReferenceData!$Q$111),"",ReferenceData!$Q$111),"")</f>
        <v>0.34631230200000002</v>
      </c>
      <c r="G111">
        <f ca="1">IFERROR(IF(0=LEN(ReferenceData!$P$111),"",ReferenceData!$P$111),"")</f>
        <v>0.34784442399999999</v>
      </c>
      <c r="H111">
        <f ca="1">IFERROR(IF(0=LEN(ReferenceData!$O$111),"",ReferenceData!$O$111),"")</f>
        <v>0.36793864399999998</v>
      </c>
      <c r="I111">
        <f ca="1">IFERROR(IF(0=LEN(ReferenceData!$N$111),"",ReferenceData!$N$111),"")</f>
        <v>0.50808470800000005</v>
      </c>
      <c r="J111">
        <f ca="1">IFERROR(IF(0=LEN(ReferenceData!$M$111),"",ReferenceData!$M$111),"")</f>
        <v>0.34849714300000001</v>
      </c>
      <c r="K111">
        <f ca="1">IFERROR(IF(0=LEN(ReferenceData!$L$111),"",ReferenceData!$L$111),"")</f>
        <v>0.26194178899999998</v>
      </c>
      <c r="L111">
        <f ca="1">IFERROR(IF(0=LEN(ReferenceData!$K$111),"",ReferenceData!$K$111),"")</f>
        <v>0.26267552599999999</v>
      </c>
      <c r="M111">
        <f ca="1">IFERROR(IF(0=LEN(ReferenceData!$J$111),"",ReferenceData!$J$111),"")</f>
        <v>0.314899123</v>
      </c>
      <c r="N111">
        <f ca="1">IFERROR(IF(0=LEN(ReferenceData!$I$111),"",ReferenceData!$I$111),"")</f>
        <v>0.385010136</v>
      </c>
      <c r="O111">
        <f ca="1">IFERROR(IF(0=LEN(ReferenceData!$H$111),"",ReferenceData!$H$111),"")</f>
        <v>0.51140765600000004</v>
      </c>
      <c r="P111">
        <f ca="1">IFERROR(IF(0=LEN(ReferenceData!$G$111),"",ReferenceData!$G$111),"")</f>
        <v>0.53221155499999995</v>
      </c>
      <c r="Q111">
        <f ca="1">IFERROR(IF(0=LEN(ReferenceData!$F$111),"",ReferenceData!$F$111),"")</f>
        <v>0.44080564100000003</v>
      </c>
    </row>
    <row r="112" spans="1:17" x14ac:dyDescent="0.25">
      <c r="A112" t="str">
        <f>IFERROR(IF(0=LEN(ReferenceData!$A$112),"",ReferenceData!$A$112),"")</f>
        <v xml:space="preserve">    Wipro Ltd</v>
      </c>
      <c r="B112" t="str">
        <f>IFERROR(IF(0=LEN(ReferenceData!$B$112),"",ReferenceData!$B$112),"")</f>
        <v>WIT US Equity</v>
      </c>
      <c r="C112" t="str">
        <f>IFERROR(IF(0=LEN(ReferenceData!$C$112),"",ReferenceData!$C$112),"")</f>
        <v>RR052</v>
      </c>
      <c r="D112" t="str">
        <f>IFERROR(IF(0=LEN(ReferenceData!$D$112),"",ReferenceData!$D$112),"")</f>
        <v>TOT_DEBT_TO_EBITDA</v>
      </c>
      <c r="E112" t="str">
        <f>IFERROR(IF(0=LEN(ReferenceData!$E$112),"",ReferenceData!$E$112),"")</f>
        <v>Dynamic</v>
      </c>
      <c r="F112">
        <f ca="1">IFERROR(IF(0=LEN(ReferenceData!$Q$112),"",ReferenceData!$Q$112),"")</f>
        <v>1.2896308379999999</v>
      </c>
      <c r="G112">
        <f ca="1">IFERROR(IF(0=LEN(ReferenceData!$P$112),"",ReferenceData!$P$112),"")</f>
        <v>1.268274382</v>
      </c>
      <c r="H112">
        <f ca="1">IFERROR(IF(0=LEN(ReferenceData!$O$112),"",ReferenceData!$O$112),"")</f>
        <v>1.1814909010000001</v>
      </c>
      <c r="I112">
        <f ca="1">IFERROR(IF(0=LEN(ReferenceData!$N$112),"",ReferenceData!$N$112),"")</f>
        <v>1.3303088620000001</v>
      </c>
      <c r="J112">
        <f ca="1">IFERROR(IF(0=LEN(ReferenceData!$M$112),"",ReferenceData!$M$112),"")</f>
        <v>1.1307062109999999</v>
      </c>
      <c r="K112">
        <f ca="1">IFERROR(IF(0=LEN(ReferenceData!$L$112),"",ReferenceData!$L$112),"")</f>
        <v>1.149412082</v>
      </c>
      <c r="L112">
        <f ca="1">IFERROR(IF(0=LEN(ReferenceData!$K$112),"",ReferenceData!$K$112),"")</f>
        <v>0.95421299299999995</v>
      </c>
      <c r="M112">
        <f ca="1">IFERROR(IF(0=LEN(ReferenceData!$J$112),"",ReferenceData!$J$112),"")</f>
        <v>0.85622670400000001</v>
      </c>
      <c r="N112">
        <f ca="1">IFERROR(IF(0=LEN(ReferenceData!$I$112),"",ReferenceData!$I$112),"")</f>
        <v>1.017454343</v>
      </c>
      <c r="O112">
        <f ca="1">IFERROR(IF(0=LEN(ReferenceData!$H$112),"",ReferenceData!$H$112),"")</f>
        <v>0.88325380899999995</v>
      </c>
      <c r="P112">
        <f ca="1">IFERROR(IF(0=LEN(ReferenceData!$G$112),"",ReferenceData!$G$112),"")</f>
        <v>0.90009508599999999</v>
      </c>
      <c r="Q112">
        <f ca="1">IFERROR(IF(0=LEN(ReferenceData!$F$112),"",ReferenceData!$F$112),"")</f>
        <v>0.78785963699999995</v>
      </c>
    </row>
    <row r="113" spans="1:17" x14ac:dyDescent="0.25">
      <c r="A113" t="str">
        <f>IFERROR(IF(0=LEN(ReferenceData!$A$113),"",ReferenceData!$A$113),"")</f>
        <v>Total Debt/Capital</v>
      </c>
      <c r="B113" t="str">
        <f>IFERROR(IF(0=LEN(ReferenceData!$B$113),"",ReferenceData!$B$113),"")</f>
        <v>BRITBPOV Index</v>
      </c>
      <c r="C113" t="str">
        <f>IFERROR(IF(0=LEN(ReferenceData!$C$113),"",ReferenceData!$C$113),"")</f>
        <v/>
      </c>
      <c r="D113" t="str">
        <f>IFERROR(IF(0=LEN(ReferenceData!$D$113),"",ReferenceData!$D$113),"")</f>
        <v/>
      </c>
      <c r="E113" t="str">
        <f>IFERROR(IF(0=LEN(ReferenceData!$E$113),"",ReferenceData!$E$113),"")</f>
        <v>Average</v>
      </c>
      <c r="F113">
        <f ca="1">IFERROR(IF(0=LEN(ReferenceData!$Q$113),"",ReferenceData!$Q$113),"")</f>
        <v>21.662922903066665</v>
      </c>
      <c r="G113">
        <f ca="1">IFERROR(IF(0=LEN(ReferenceData!$P$113),"",ReferenceData!$P$113),"")</f>
        <v>21.405039078533331</v>
      </c>
      <c r="H113">
        <f ca="1">IFERROR(IF(0=LEN(ReferenceData!$O$113),"",ReferenceData!$O$113),"")</f>
        <v>21.364268956466667</v>
      </c>
      <c r="I113">
        <f ca="1">IFERROR(IF(0=LEN(ReferenceData!$N$113),"",ReferenceData!$N$113),"")</f>
        <v>21.839086394133336</v>
      </c>
      <c r="J113">
        <f ca="1">IFERROR(IF(0=LEN(ReferenceData!$M$113),"",ReferenceData!$M$113),"")</f>
        <v>21.407421583866665</v>
      </c>
      <c r="K113">
        <f ca="1">IFERROR(IF(0=LEN(ReferenceData!$L$113),"",ReferenceData!$L$113),"")</f>
        <v>21.306559935266662</v>
      </c>
      <c r="L113">
        <f ca="1">IFERROR(IF(0=LEN(ReferenceData!$K$113),"",ReferenceData!$K$113),"")</f>
        <v>21.625727965133329</v>
      </c>
      <c r="M113">
        <f ca="1">IFERROR(IF(0=LEN(ReferenceData!$J$113),"",ReferenceData!$J$113),"")</f>
        <v>23.54110566473333</v>
      </c>
      <c r="N113">
        <f ca="1">IFERROR(IF(0=LEN(ReferenceData!$I$113),"",ReferenceData!$I$113),"")</f>
        <v>26.858464896133334</v>
      </c>
      <c r="O113">
        <f ca="1">IFERROR(IF(0=LEN(ReferenceData!$H$113),"",ReferenceData!$H$113),"")</f>
        <v>27.128031955999994</v>
      </c>
      <c r="P113">
        <f ca="1">IFERROR(IF(0=LEN(ReferenceData!$G$113),"",ReferenceData!$G$113),"")</f>
        <v>29.677301961125</v>
      </c>
      <c r="Q113">
        <f ca="1">IFERROR(IF(0=LEN(ReferenceData!$F$113),"",ReferenceData!$F$113),"")</f>
        <v>32.576093182333331</v>
      </c>
    </row>
    <row r="114" spans="1:17" x14ac:dyDescent="0.25">
      <c r="A114" t="str">
        <f>IFERROR(IF(0=LEN(ReferenceData!$A$114),"",ReferenceData!$A$114),"")</f>
        <v xml:space="preserve">    Accenture PLC</v>
      </c>
      <c r="B114" t="str">
        <f>IFERROR(IF(0=LEN(ReferenceData!$B$114),"",ReferenceData!$B$114),"")</f>
        <v>ACN US Equity</v>
      </c>
      <c r="C114" t="str">
        <f>IFERROR(IF(0=LEN(ReferenceData!$C$114),"",ReferenceData!$C$114),"")</f>
        <v>RR045</v>
      </c>
      <c r="D114" t="str">
        <f>IFERROR(IF(0=LEN(ReferenceData!$D$114),"",ReferenceData!$D$114),"")</f>
        <v>TOT_DEBT_TO_TOT_CAP</v>
      </c>
      <c r="E114" t="str">
        <f>IFERROR(IF(0=LEN(ReferenceData!$E$114),"",ReferenceData!$E$114),"")</f>
        <v>Dynamic</v>
      </c>
      <c r="F114">
        <f ca="1">IFERROR(IF(0=LEN(ReferenceData!$Q$114),"",ReferenceData!$Q$114),"")</f>
        <v>0.31079247500000001</v>
      </c>
      <c r="G114">
        <f ca="1">IFERROR(IF(0=LEN(ReferenceData!$P$114),"",ReferenceData!$P$114),"")</f>
        <v>0.25751725399999997</v>
      </c>
      <c r="H114">
        <f ca="1">IFERROR(IF(0=LEN(ReferenceData!$O$114),"",ReferenceData!$O$114),"")</f>
        <v>0.254117449</v>
      </c>
      <c r="I114">
        <f ca="1">IFERROR(IF(0=LEN(ReferenceData!$N$114),"",ReferenceData!$N$114),"")</f>
        <v>0.275497043</v>
      </c>
      <c r="J114">
        <f ca="1">IFERROR(IF(0=LEN(ReferenceData!$M$114),"",ReferenceData!$M$114),"")</f>
        <v>0.28284539400000003</v>
      </c>
      <c r="K114">
        <f ca="1">IFERROR(IF(0=LEN(ReferenceData!$L$114),"",ReferenceData!$L$114),"")</f>
        <v>0.23268770599999999</v>
      </c>
      <c r="L114">
        <f ca="1">IFERROR(IF(0=LEN(ReferenceData!$K$114),"",ReferenceData!$K$114),"")</f>
        <v>0.18824648699999999</v>
      </c>
      <c r="M114">
        <f ca="1">IFERROR(IF(0=LEN(ReferenceData!$J$114),"",ReferenceData!$J$114),"")</f>
        <v>0.175369672</v>
      </c>
      <c r="N114">
        <f ca="1">IFERROR(IF(0=LEN(ReferenceData!$I$114),"",ReferenceData!$I$114),"")</f>
        <v>0.169351907</v>
      </c>
      <c r="O114">
        <f ca="1">IFERROR(IF(0=LEN(ReferenceData!$H$114),"",ReferenceData!$H$114),"")</f>
        <v>0.15257553900000001</v>
      </c>
      <c r="P114">
        <f ca="1">IFERROR(IF(0=LEN(ReferenceData!$G$114),"",ReferenceData!$G$114),"")</f>
        <v>17.816052750000001</v>
      </c>
      <c r="Q114">
        <f ca="1">IFERROR(IF(0=LEN(ReferenceData!$F$114),"",ReferenceData!$F$114),"")</f>
        <v>17.641127480000002</v>
      </c>
    </row>
    <row r="115" spans="1:17" x14ac:dyDescent="0.25">
      <c r="A115" t="str">
        <f>IFERROR(IF(0=LEN(ReferenceData!$A$115),"",ReferenceData!$A$115),"")</f>
        <v xml:space="preserve">    Amdocs Ltd</v>
      </c>
      <c r="B115" t="str">
        <f>IFERROR(IF(0=LEN(ReferenceData!$B$115),"",ReferenceData!$B$115),"")</f>
        <v>DOX US Equity</v>
      </c>
      <c r="C115" t="str">
        <f>IFERROR(IF(0=LEN(ReferenceData!$C$115),"",ReferenceData!$C$115),"")</f>
        <v>RR045</v>
      </c>
      <c r="D115" t="str">
        <f>IFERROR(IF(0=LEN(ReferenceData!$D$115),"",ReferenceData!$D$115),"")</f>
        <v>TOT_DEBT_TO_TOT_CAP</v>
      </c>
      <c r="E115" t="str">
        <f>IFERROR(IF(0=LEN(ReferenceData!$E$115),"",ReferenceData!$E$115),"")</f>
        <v>Dynamic</v>
      </c>
      <c r="F115">
        <f ca="1">IFERROR(IF(0=LEN(ReferenceData!$Q$115),"",ReferenceData!$Q$115),"")</f>
        <v>0</v>
      </c>
      <c r="G115">
        <f ca="1">IFERROR(IF(0=LEN(ReferenceData!$P$115),"",ReferenceData!$P$115),"")</f>
        <v>0</v>
      </c>
      <c r="H115">
        <f ca="1">IFERROR(IF(0=LEN(ReferenceData!$O$115),"",ReferenceData!$O$115),"")</f>
        <v>0</v>
      </c>
      <c r="I115">
        <f ca="1">IFERROR(IF(0=LEN(ReferenceData!$N$115),"",ReferenceData!$N$115),"")</f>
        <v>3.2204243610000001</v>
      </c>
      <c r="J115">
        <f ca="1">IFERROR(IF(0=LEN(ReferenceData!$M$115),"",ReferenceData!$M$115),"")</f>
        <v>0</v>
      </c>
      <c r="K115">
        <f ca="1">IFERROR(IF(0=LEN(ReferenceData!$L$115),"",ReferenceData!$L$115),"")</f>
        <v>0</v>
      </c>
      <c r="L115">
        <f ca="1">IFERROR(IF(0=LEN(ReferenceData!$K$115),"",ReferenceData!$K$115),"")</f>
        <v>0</v>
      </c>
      <c r="M115">
        <f ca="1">IFERROR(IF(0=LEN(ReferenceData!$J$115),"",ReferenceData!$J$115),"")</f>
        <v>0</v>
      </c>
      <c r="N115">
        <f ca="1">IFERROR(IF(0=LEN(ReferenceData!$I$115),"",ReferenceData!$I$115),"")</f>
        <v>0</v>
      </c>
      <c r="O115">
        <f ca="1">IFERROR(IF(0=LEN(ReferenceData!$H$115),"",ReferenceData!$H$115),"")</f>
        <v>0</v>
      </c>
      <c r="P115">
        <f ca="1">IFERROR(IF(0=LEN(ReferenceData!$G$115),"",ReferenceData!$G$115),"")</f>
        <v>7.2844932470000003</v>
      </c>
      <c r="Q115">
        <f ca="1">IFERROR(IF(0=LEN(ReferenceData!$F$115),"",ReferenceData!$F$115),"")</f>
        <v>14.931363899999999</v>
      </c>
    </row>
    <row r="116" spans="1:17" x14ac:dyDescent="0.25">
      <c r="A116" t="str">
        <f>IFERROR(IF(0=LEN(ReferenceData!$A$116),"",ReferenceData!$A$116),"")</f>
        <v xml:space="preserve">    Atos SE</v>
      </c>
      <c r="B116" t="str">
        <f>IFERROR(IF(0=LEN(ReferenceData!$B$116),"",ReferenceData!$B$116),"")</f>
        <v>ATO FP Equity</v>
      </c>
      <c r="C116" t="str">
        <f>IFERROR(IF(0=LEN(ReferenceData!$C$116),"",ReferenceData!$C$116),"")</f>
        <v>RR045</v>
      </c>
      <c r="D116" t="str">
        <f>IFERROR(IF(0=LEN(ReferenceData!$D$116),"",ReferenceData!$D$116),"")</f>
        <v>TOT_DEBT_TO_TOT_CAP</v>
      </c>
      <c r="E116" t="str">
        <f>IFERROR(IF(0=LEN(ReferenceData!$E$116),"",ReferenceData!$E$116),"")</f>
        <v>Dynamic</v>
      </c>
      <c r="F116" t="str">
        <f ca="1">IFERROR(IF(0=LEN(ReferenceData!$Q$116),"",ReferenceData!$Q$116),"")</f>
        <v/>
      </c>
      <c r="G116" t="str">
        <f ca="1">IFERROR(IF(0=LEN(ReferenceData!$P$116),"",ReferenceData!$P$116),"")</f>
        <v/>
      </c>
      <c r="H116" t="str">
        <f ca="1">IFERROR(IF(0=LEN(ReferenceData!$O$116),"",ReferenceData!$O$116),"")</f>
        <v/>
      </c>
      <c r="I116" t="str">
        <f ca="1">IFERROR(IF(0=LEN(ReferenceData!$N$116),"",ReferenceData!$N$116),"")</f>
        <v/>
      </c>
      <c r="J116" t="str">
        <f ca="1">IFERROR(IF(0=LEN(ReferenceData!$M$116),"",ReferenceData!$M$116),"")</f>
        <v/>
      </c>
      <c r="K116" t="str">
        <f ca="1">IFERROR(IF(0=LEN(ReferenceData!$L$116),"",ReferenceData!$L$116),"")</f>
        <v/>
      </c>
      <c r="L116" t="str">
        <f ca="1">IFERROR(IF(0=LEN(ReferenceData!$K$116),"",ReferenceData!$K$116),"")</f>
        <v/>
      </c>
      <c r="M116" t="str">
        <f ca="1">IFERROR(IF(0=LEN(ReferenceData!$J$116),"",ReferenceData!$J$116),"")</f>
        <v/>
      </c>
      <c r="N116" t="str">
        <f ca="1">IFERROR(IF(0=LEN(ReferenceData!$I$116),"",ReferenceData!$I$116),"")</f>
        <v/>
      </c>
      <c r="O116" t="str">
        <f ca="1">IFERROR(IF(0=LEN(ReferenceData!$H$116),"",ReferenceData!$H$116),"")</f>
        <v/>
      </c>
      <c r="P116" t="str">
        <f ca="1">IFERROR(IF(0=LEN(ReferenceData!$G$116),"",ReferenceData!$G$116),"")</f>
        <v/>
      </c>
      <c r="Q116" t="str">
        <f ca="1">IFERROR(IF(0=LEN(ReferenceData!$F$116),"",ReferenceData!$F$116),"")</f>
        <v/>
      </c>
    </row>
    <row r="117" spans="1:17" x14ac:dyDescent="0.25">
      <c r="A117" t="str">
        <f>IFERROR(IF(0=LEN(ReferenceData!$A$117),"",ReferenceData!$A$117),"")</f>
        <v xml:space="preserve">    Capgemini SE</v>
      </c>
      <c r="B117" t="str">
        <f>IFERROR(IF(0=LEN(ReferenceData!$B$117),"",ReferenceData!$B$117),"")</f>
        <v>CAP FP Equity</v>
      </c>
      <c r="C117" t="str">
        <f>IFERROR(IF(0=LEN(ReferenceData!$C$117),"",ReferenceData!$C$117),"")</f>
        <v>RR045</v>
      </c>
      <c r="D117" t="str">
        <f>IFERROR(IF(0=LEN(ReferenceData!$D$117),"",ReferenceData!$D$117),"")</f>
        <v>TOT_DEBT_TO_TOT_CAP</v>
      </c>
      <c r="E117" t="str">
        <f>IFERROR(IF(0=LEN(ReferenceData!$E$117),"",ReferenceData!$E$117),"")</f>
        <v>Dynamic</v>
      </c>
      <c r="F117" t="str">
        <f ca="1">IFERROR(IF(0=LEN(ReferenceData!$Q$117),"",ReferenceData!$Q$117),"")</f>
        <v/>
      </c>
      <c r="G117" t="str">
        <f ca="1">IFERROR(IF(0=LEN(ReferenceData!$P$117),"",ReferenceData!$P$117),"")</f>
        <v/>
      </c>
      <c r="H117" t="str">
        <f ca="1">IFERROR(IF(0=LEN(ReferenceData!$O$117),"",ReferenceData!$O$117),"")</f>
        <v/>
      </c>
      <c r="I117" t="str">
        <f ca="1">IFERROR(IF(0=LEN(ReferenceData!$N$117),"",ReferenceData!$N$117),"")</f>
        <v/>
      </c>
      <c r="J117" t="str">
        <f ca="1">IFERROR(IF(0=LEN(ReferenceData!$M$117),"",ReferenceData!$M$117),"")</f>
        <v/>
      </c>
      <c r="K117" t="str">
        <f ca="1">IFERROR(IF(0=LEN(ReferenceData!$L$117),"",ReferenceData!$L$117),"")</f>
        <v/>
      </c>
      <c r="L117" t="str">
        <f ca="1">IFERROR(IF(0=LEN(ReferenceData!$K$117),"",ReferenceData!$K$117),"")</f>
        <v/>
      </c>
      <c r="M117" t="str">
        <f ca="1">IFERROR(IF(0=LEN(ReferenceData!$J$117),"",ReferenceData!$J$117),"")</f>
        <v/>
      </c>
      <c r="N117" t="str">
        <f ca="1">IFERROR(IF(0=LEN(ReferenceData!$I$117),"",ReferenceData!$I$117),"")</f>
        <v/>
      </c>
      <c r="O117" t="str">
        <f ca="1">IFERROR(IF(0=LEN(ReferenceData!$H$117),"",ReferenceData!$H$117),"")</f>
        <v/>
      </c>
      <c r="P117">
        <f ca="1">IFERROR(IF(0=LEN(ReferenceData!$G$117),"",ReferenceData!$G$117),"")</f>
        <v>32.717973309999998</v>
      </c>
      <c r="Q117" t="str">
        <f ca="1">IFERROR(IF(0=LEN(ReferenceData!$F$117),"",ReferenceData!$F$117),"")</f>
        <v/>
      </c>
    </row>
    <row r="118" spans="1:17" x14ac:dyDescent="0.25">
      <c r="A118" t="str">
        <f>IFERROR(IF(0=LEN(ReferenceData!$A$118),"",ReferenceData!$A$118),"")</f>
        <v xml:space="preserve">    CGI Inc</v>
      </c>
      <c r="B118" t="str">
        <f>IFERROR(IF(0=LEN(ReferenceData!$B$118),"",ReferenceData!$B$118),"")</f>
        <v>GIB US Equity</v>
      </c>
      <c r="C118" t="str">
        <f>IFERROR(IF(0=LEN(ReferenceData!$C$118),"",ReferenceData!$C$118),"")</f>
        <v>RR045</v>
      </c>
      <c r="D118" t="str">
        <f>IFERROR(IF(0=LEN(ReferenceData!$D$118),"",ReferenceData!$D$118),"")</f>
        <v>TOT_DEBT_TO_TOT_CAP</v>
      </c>
      <c r="E118" t="str">
        <f>IFERROR(IF(0=LEN(ReferenceData!$E$118),"",ReferenceData!$E$118),"")</f>
        <v>Dynamic</v>
      </c>
      <c r="F118">
        <f ca="1">IFERROR(IF(0=LEN(ReferenceData!$Q$118),"",ReferenceData!$Q$118),"")</f>
        <v>20.658139039999998</v>
      </c>
      <c r="G118">
        <f ca="1">IFERROR(IF(0=LEN(ReferenceData!$P$118),"",ReferenceData!$P$118),"")</f>
        <v>23.088514050000001</v>
      </c>
      <c r="H118">
        <f ca="1">IFERROR(IF(0=LEN(ReferenceData!$O$118),"",ReferenceData!$O$118),"")</f>
        <v>21.763348780000001</v>
      </c>
      <c r="I118">
        <f ca="1">IFERROR(IF(0=LEN(ReferenceData!$N$118),"",ReferenceData!$N$118),"")</f>
        <v>20.616473760000002</v>
      </c>
      <c r="J118">
        <f ca="1">IFERROR(IF(0=LEN(ReferenceData!$M$118),"",ReferenceData!$M$118),"")</f>
        <v>21.495589420000002</v>
      </c>
      <c r="K118">
        <f ca="1">IFERROR(IF(0=LEN(ReferenceData!$L$118),"",ReferenceData!$L$118),"")</f>
        <v>21.22268051</v>
      </c>
      <c r="L118">
        <f ca="1">IFERROR(IF(0=LEN(ReferenceData!$K$118),"",ReferenceData!$K$118),"")</f>
        <v>23.977143519999998</v>
      </c>
      <c r="M118">
        <f ca="1">IFERROR(IF(0=LEN(ReferenceData!$J$118),"",ReferenceData!$J$118),"")</f>
        <v>23.442201959999998</v>
      </c>
      <c r="N118">
        <f ca="1">IFERROR(IF(0=LEN(ReferenceData!$I$118),"",ReferenceData!$I$118),"")</f>
        <v>27.515903860000002</v>
      </c>
      <c r="O118">
        <f ca="1">IFERROR(IF(0=LEN(ReferenceData!$H$118),"",ReferenceData!$H$118),"")</f>
        <v>25.297108829999999</v>
      </c>
      <c r="P118">
        <f ca="1">IFERROR(IF(0=LEN(ReferenceData!$G$118),"",ReferenceData!$G$118),"")</f>
        <v>29.78544149</v>
      </c>
      <c r="Q118">
        <f ca="1">IFERROR(IF(0=LEN(ReferenceData!$F$118),"",ReferenceData!$F$118),"")</f>
        <v>38.131801369999998</v>
      </c>
    </row>
    <row r="119" spans="1:17" x14ac:dyDescent="0.25">
      <c r="A119" t="str">
        <f>IFERROR(IF(0=LEN(ReferenceData!$A$119),"",ReferenceData!$A$119),"")</f>
        <v xml:space="preserve">    Cognizant Technology Solutions Corp</v>
      </c>
      <c r="B119" t="str">
        <f>IFERROR(IF(0=LEN(ReferenceData!$B$119),"",ReferenceData!$B$119),"")</f>
        <v>CTSH US Equity</v>
      </c>
      <c r="C119" t="str">
        <f>IFERROR(IF(0=LEN(ReferenceData!$C$119),"",ReferenceData!$C$119),"")</f>
        <v>RR045</v>
      </c>
      <c r="D119" t="str">
        <f>IFERROR(IF(0=LEN(ReferenceData!$D$119),"",ReferenceData!$D$119),"")</f>
        <v>TOT_DEBT_TO_TOT_CAP</v>
      </c>
      <c r="E119" t="str">
        <f>IFERROR(IF(0=LEN(ReferenceData!$E$119),"",ReferenceData!$E$119),"")</f>
        <v>Dynamic</v>
      </c>
      <c r="F119">
        <f ca="1">IFERROR(IF(0=LEN(ReferenceData!$Q$119),"",ReferenceData!$Q$119),"")</f>
        <v>8.6369182500000008</v>
      </c>
      <c r="G119">
        <f ca="1">IFERROR(IF(0=LEN(ReferenceData!$P$119),"",ReferenceData!$P$119),"")</f>
        <v>6.9733943399999996</v>
      </c>
      <c r="H119">
        <f ca="1">IFERROR(IF(0=LEN(ReferenceData!$O$119),"",ReferenceData!$O$119),"")</f>
        <v>7.5636804709999996</v>
      </c>
      <c r="I119">
        <f ca="1">IFERROR(IF(0=LEN(ReferenceData!$N$119),"",ReferenceData!$N$119),"")</f>
        <v>6.5725703600000003</v>
      </c>
      <c r="J119">
        <f ca="1">IFERROR(IF(0=LEN(ReferenceData!$M$119),"",ReferenceData!$M$119),"")</f>
        <v>6.5719048869999996</v>
      </c>
      <c r="K119">
        <f ca="1">IFERROR(IF(0=LEN(ReferenceData!$L$119),"",ReferenceData!$L$119),"")</f>
        <v>6.186976585</v>
      </c>
      <c r="L119">
        <f ca="1">IFERROR(IF(0=LEN(ReferenceData!$K$119),"",ReferenceData!$K$119),"")</f>
        <v>6.1221135670000004</v>
      </c>
      <c r="M119">
        <f ca="1">IFERROR(IF(0=LEN(ReferenceData!$J$119),"",ReferenceData!$J$119),"")</f>
        <v>12.63826783</v>
      </c>
      <c r="N119">
        <f ca="1">IFERROR(IF(0=LEN(ReferenceData!$I$119),"",ReferenceData!$I$119),"")</f>
        <v>13.5451642</v>
      </c>
      <c r="O119">
        <f ca="1">IFERROR(IF(0=LEN(ReferenceData!$H$119),"",ReferenceData!$H$119),"")</f>
        <v>13.70746654</v>
      </c>
      <c r="P119">
        <f ca="1">IFERROR(IF(0=LEN(ReferenceData!$G$119),"",ReferenceData!$G$119),"")</f>
        <v>13.43752454</v>
      </c>
      <c r="Q119">
        <f ca="1">IFERROR(IF(0=LEN(ReferenceData!$F$119),"",ReferenceData!$F$119),"")</f>
        <v>24.25777905</v>
      </c>
    </row>
    <row r="120" spans="1:17" x14ac:dyDescent="0.25">
      <c r="A120" t="str">
        <f>IFERROR(IF(0=LEN(ReferenceData!$A$120),"",ReferenceData!$A$120),"")</f>
        <v xml:space="preserve">    Conduent Inc</v>
      </c>
      <c r="B120" t="str">
        <f>IFERROR(IF(0=LEN(ReferenceData!$B$120),"",ReferenceData!$B$120),"")</f>
        <v>CNDT US Equity</v>
      </c>
      <c r="C120" t="str">
        <f>IFERROR(IF(0=LEN(ReferenceData!$C$120),"",ReferenceData!$C$120),"")</f>
        <v>RR045</v>
      </c>
      <c r="D120" t="str">
        <f>IFERROR(IF(0=LEN(ReferenceData!$D$120),"",ReferenceData!$D$120),"")</f>
        <v>TOT_DEBT_TO_TOT_CAP</v>
      </c>
      <c r="E120" t="str">
        <f>IFERROR(IF(0=LEN(ReferenceData!$E$120),"",ReferenceData!$E$120),"")</f>
        <v>Dynamic</v>
      </c>
      <c r="F120">
        <f ca="1">IFERROR(IF(0=LEN(ReferenceData!$Q$120),"",ReferenceData!$Q$120),"")</f>
        <v>38.110574339999999</v>
      </c>
      <c r="G120">
        <f ca="1">IFERROR(IF(0=LEN(ReferenceData!$P$120),"",ReferenceData!$P$120),"")</f>
        <v>37.382160990000003</v>
      </c>
      <c r="H120">
        <f ca="1">IFERROR(IF(0=LEN(ReferenceData!$O$120),"",ReferenceData!$O$120),"")</f>
        <v>35.95603629</v>
      </c>
      <c r="I120">
        <f ca="1">IFERROR(IF(0=LEN(ReferenceData!$N$120),"",ReferenceData!$N$120),"")</f>
        <v>35.985977210000001</v>
      </c>
      <c r="J120">
        <f ca="1">IFERROR(IF(0=LEN(ReferenceData!$M$120),"",ReferenceData!$M$120),"")</f>
        <v>35.95426561</v>
      </c>
      <c r="K120">
        <f ca="1">IFERROR(IF(0=LEN(ReferenceData!$L$120),"",ReferenceData!$L$120),"")</f>
        <v>31.055533669999999</v>
      </c>
      <c r="L120">
        <f ca="1">IFERROR(IF(0=LEN(ReferenceData!$K$120),"",ReferenceData!$K$120),"")</f>
        <v>31.77854391</v>
      </c>
      <c r="M120">
        <f ca="1">IFERROR(IF(0=LEN(ReferenceData!$J$120),"",ReferenceData!$J$120),"")</f>
        <v>38.766959300000003</v>
      </c>
      <c r="N120">
        <f ca="1">IFERROR(IF(0=LEN(ReferenceData!$I$120),"",ReferenceData!$I$120),"")</f>
        <v>48.317733369999999</v>
      </c>
      <c r="O120">
        <f ca="1">IFERROR(IF(0=LEN(ReferenceData!$H$120),"",ReferenceData!$H$120),"")</f>
        <v>48.15579056</v>
      </c>
      <c r="P120">
        <f ca="1">IFERROR(IF(0=LEN(ReferenceData!$G$120),"",ReferenceData!$G$120),"")</f>
        <v>56.076759060000001</v>
      </c>
      <c r="Q120">
        <f ca="1">IFERROR(IF(0=LEN(ReferenceData!$F$120),"",ReferenceData!$F$120),"")</f>
        <v>57.988895739999997</v>
      </c>
    </row>
    <row r="121" spans="1:17" x14ac:dyDescent="0.25">
      <c r="A121" t="str">
        <f>IFERROR(IF(0=LEN(ReferenceData!$A$121),"",ReferenceData!$A$121),"")</f>
        <v xml:space="preserve">    DXC Technology Co</v>
      </c>
      <c r="B121" t="str">
        <f>IFERROR(IF(0=LEN(ReferenceData!$B$121),"",ReferenceData!$B$121),"")</f>
        <v>DXC US Equity</v>
      </c>
      <c r="C121" t="str">
        <f>IFERROR(IF(0=LEN(ReferenceData!$C$121),"",ReferenceData!$C$121),"")</f>
        <v>RR045</v>
      </c>
      <c r="D121" t="str">
        <f>IFERROR(IF(0=LEN(ReferenceData!$D$121),"",ReferenceData!$D$121),"")</f>
        <v>TOT_DEBT_TO_TOT_CAP</v>
      </c>
      <c r="E121" t="str">
        <f>IFERROR(IF(0=LEN(ReferenceData!$E$121),"",ReferenceData!$E$121),"")</f>
        <v>Dynamic</v>
      </c>
      <c r="F121">
        <f ca="1">IFERROR(IF(0=LEN(ReferenceData!$Q$121),"",ReferenceData!$Q$121),"")</f>
        <v>37.642066980000003</v>
      </c>
      <c r="G121">
        <f ca="1">IFERROR(IF(0=LEN(ReferenceData!$P$121),"",ReferenceData!$P$121),"")</f>
        <v>40.533472799999998</v>
      </c>
      <c r="H121">
        <f ca="1">IFERROR(IF(0=LEN(ReferenceData!$O$121),"",ReferenceData!$O$121),"")</f>
        <v>39.278815199999997</v>
      </c>
      <c r="I121">
        <f ca="1">IFERROR(IF(0=LEN(ReferenceData!$N$121),"",ReferenceData!$N$121),"")</f>
        <v>36.664072869999998</v>
      </c>
      <c r="J121">
        <f ca="1">IFERROR(IF(0=LEN(ReferenceData!$M$121),"",ReferenceData!$M$121),"")</f>
        <v>37.38605046</v>
      </c>
      <c r="K121">
        <f ca="1">IFERROR(IF(0=LEN(ReferenceData!$L$121),"",ReferenceData!$L$121),"")</f>
        <v>37.250848179999998</v>
      </c>
      <c r="L121">
        <f ca="1">IFERROR(IF(0=LEN(ReferenceData!$K$121),"",ReferenceData!$K$121),"")</f>
        <v>39.966166209999997</v>
      </c>
      <c r="M121">
        <f ca="1">IFERROR(IF(0=LEN(ReferenceData!$J$121),"",ReferenceData!$J$121),"")</f>
        <v>38.731253590000001</v>
      </c>
      <c r="N121">
        <f ca="1">IFERROR(IF(0=LEN(ReferenceData!$I$121),"",ReferenceData!$I$121),"")</f>
        <v>49.780623210000002</v>
      </c>
      <c r="O121">
        <f ca="1">IFERROR(IF(0=LEN(ReferenceData!$H$121),"",ReferenceData!$H$121),"")</f>
        <v>54.899069509999997</v>
      </c>
      <c r="P121">
        <f ca="1">IFERROR(IF(0=LEN(ReferenceData!$G$121),"",ReferenceData!$G$121),"")</f>
        <v>53.547366269999998</v>
      </c>
      <c r="Q121">
        <f ca="1">IFERROR(IF(0=LEN(ReferenceData!$F$121),"",ReferenceData!$F$121),"")</f>
        <v>69.143304049999998</v>
      </c>
    </row>
    <row r="122" spans="1:17" x14ac:dyDescent="0.25">
      <c r="A122" t="str">
        <f>IFERROR(IF(0=LEN(ReferenceData!$A$122),"",ReferenceData!$A$122),"")</f>
        <v xml:space="preserve">    EPAM Systems Inc</v>
      </c>
      <c r="B122" t="str">
        <f>IFERROR(IF(0=LEN(ReferenceData!$B$122),"",ReferenceData!$B$122),"")</f>
        <v>EPAM US Equity</v>
      </c>
      <c r="C122" t="str">
        <f>IFERROR(IF(0=LEN(ReferenceData!$C$122),"",ReferenceData!$C$122),"")</f>
        <v>RR045</v>
      </c>
      <c r="D122" t="str">
        <f>IFERROR(IF(0=LEN(ReferenceData!$D$122),"",ReferenceData!$D$122),"")</f>
        <v>TOT_DEBT_TO_TOT_CAP</v>
      </c>
      <c r="E122" t="str">
        <f>IFERROR(IF(0=LEN(ReferenceData!$E$122),"",ReferenceData!$E$122),"")</f>
        <v>Dynamic</v>
      </c>
      <c r="F122">
        <f ca="1">IFERROR(IF(0=LEN(ReferenceData!$Q$122),"",ReferenceData!$Q$122),"")</f>
        <v>2.6497265379999999</v>
      </c>
      <c r="G122">
        <f ca="1">IFERROR(IF(0=LEN(ReferenceData!$P$122),"",ReferenceData!$P$122),"")</f>
        <v>2.47885043</v>
      </c>
      <c r="H122">
        <f ca="1">IFERROR(IF(0=LEN(ReferenceData!$O$122),"",ReferenceData!$O$122),"")</f>
        <v>2.503350067</v>
      </c>
      <c r="I122">
        <f ca="1">IFERROR(IF(0=LEN(ReferenceData!$N$122),"",ReferenceData!$N$122),"")</f>
        <v>2.316329638</v>
      </c>
      <c r="J122">
        <f ca="1">IFERROR(IF(0=LEN(ReferenceData!$M$122),"",ReferenceData!$M$122),"")</f>
        <v>2.1989360379999998</v>
      </c>
      <c r="K122">
        <f ca="1">IFERROR(IF(0=LEN(ReferenceData!$L$122),"",ReferenceData!$L$122),"")</f>
        <v>2.049857367</v>
      </c>
      <c r="L122">
        <f ca="1">IFERROR(IF(0=LEN(ReferenceData!$K$122),"",ReferenceData!$K$122),"")</f>
        <v>1.943963586</v>
      </c>
      <c r="M122">
        <f ca="1">IFERROR(IF(0=LEN(ReferenceData!$J$122),"",ReferenceData!$J$122),"")</f>
        <v>12.592356970000001</v>
      </c>
      <c r="N122">
        <f ca="1">IFERROR(IF(0=LEN(ReferenceData!$I$122),"",ReferenceData!$I$122),"")</f>
        <v>14.00194581</v>
      </c>
      <c r="O122">
        <f ca="1">IFERROR(IF(0=LEN(ReferenceData!$H$122),"",ReferenceData!$H$122),"")</f>
        <v>13.37597626</v>
      </c>
      <c r="P122">
        <f ca="1">IFERROR(IF(0=LEN(ReferenceData!$G$122),"",ReferenceData!$G$122),"")</f>
        <v>14.16770945</v>
      </c>
      <c r="Q122">
        <f ca="1">IFERROR(IF(0=LEN(ReferenceData!$F$122),"",ReferenceData!$F$122),"")</f>
        <v>14.28061529</v>
      </c>
    </row>
    <row r="123" spans="1:17" x14ac:dyDescent="0.25">
      <c r="A123" t="str">
        <f>IFERROR(IF(0=LEN(ReferenceData!$A$123),"",ReferenceData!$A$123),"")</f>
        <v xml:space="preserve">    Genpact Ltd</v>
      </c>
      <c r="B123" t="str">
        <f>IFERROR(IF(0=LEN(ReferenceData!$B$123),"",ReferenceData!$B$123),"")</f>
        <v>G US Equity</v>
      </c>
      <c r="C123" t="str">
        <f>IFERROR(IF(0=LEN(ReferenceData!$C$123),"",ReferenceData!$C$123),"")</f>
        <v>RR045</v>
      </c>
      <c r="D123" t="str">
        <f>IFERROR(IF(0=LEN(ReferenceData!$D$123),"",ReferenceData!$D$123),"")</f>
        <v>TOT_DEBT_TO_TOT_CAP</v>
      </c>
      <c r="E123" t="str">
        <f>IFERROR(IF(0=LEN(ReferenceData!$E$123),"",ReferenceData!$E$123),"")</f>
        <v>Dynamic</v>
      </c>
      <c r="F123">
        <f ca="1">IFERROR(IF(0=LEN(ReferenceData!$Q$123),"",ReferenceData!$Q$123),"")</f>
        <v>50.141314299999998</v>
      </c>
      <c r="G123">
        <f ca="1">IFERROR(IF(0=LEN(ReferenceData!$P$123),"",ReferenceData!$P$123),"")</f>
        <v>47.975421769999997</v>
      </c>
      <c r="H123">
        <f ca="1">IFERROR(IF(0=LEN(ReferenceData!$O$123),"",ReferenceData!$O$123),"")</f>
        <v>45.975338669999999</v>
      </c>
      <c r="I123">
        <f ca="1">IFERROR(IF(0=LEN(ReferenceData!$N$123),"",ReferenceData!$N$123),"")</f>
        <v>48.977283640000003</v>
      </c>
      <c r="J123">
        <f ca="1">IFERROR(IF(0=LEN(ReferenceData!$M$123),"",ReferenceData!$M$123),"")</f>
        <v>48.919183230000002</v>
      </c>
      <c r="K123">
        <f ca="1">IFERROR(IF(0=LEN(ReferenceData!$L$123),"",ReferenceData!$L$123),"")</f>
        <v>51.184138449999999</v>
      </c>
      <c r="L123">
        <f ca="1">IFERROR(IF(0=LEN(ReferenceData!$K$123),"",ReferenceData!$K$123),"")</f>
        <v>48.152833319999999</v>
      </c>
      <c r="M123">
        <f ca="1">IFERROR(IF(0=LEN(ReferenceData!$J$123),"",ReferenceData!$J$123),"")</f>
        <v>52.409857909999999</v>
      </c>
      <c r="N123">
        <f ca="1">IFERROR(IF(0=LEN(ReferenceData!$I$123),"",ReferenceData!$I$123),"")</f>
        <v>50.949067100000001</v>
      </c>
      <c r="O123">
        <f ca="1">IFERROR(IF(0=LEN(ReferenceData!$H$123),"",ReferenceData!$H$123),"")</f>
        <v>49.726194929999998</v>
      </c>
      <c r="P123">
        <f ca="1">IFERROR(IF(0=LEN(ReferenceData!$G$123),"",ReferenceData!$G$123),"")</f>
        <v>52.049036180000002</v>
      </c>
      <c r="Q123">
        <f ca="1">IFERROR(IF(0=LEN(ReferenceData!$F$123),"",ReferenceData!$F$123),"")</f>
        <v>55.217586619999999</v>
      </c>
    </row>
    <row r="124" spans="1:17" x14ac:dyDescent="0.25">
      <c r="A124" t="str">
        <f>IFERROR(IF(0=LEN(ReferenceData!$A$124),"",ReferenceData!$A$124),"")</f>
        <v xml:space="preserve">    HCL Technologies Ltd</v>
      </c>
      <c r="B124" t="str">
        <f>IFERROR(IF(0=LEN(ReferenceData!$B$124),"",ReferenceData!$B$124),"")</f>
        <v>HCLT IN Equity</v>
      </c>
      <c r="C124" t="str">
        <f>IFERROR(IF(0=LEN(ReferenceData!$C$124),"",ReferenceData!$C$124),"")</f>
        <v>RR045</v>
      </c>
      <c r="D124" t="str">
        <f>IFERROR(IF(0=LEN(ReferenceData!$D$124),"",ReferenceData!$D$124),"")</f>
        <v>TOT_DEBT_TO_TOT_CAP</v>
      </c>
      <c r="E124" t="str">
        <f>IFERROR(IF(0=LEN(ReferenceData!$E$124),"",ReferenceData!$E$124),"")</f>
        <v>Dynamic</v>
      </c>
      <c r="F124">
        <f ca="1">IFERROR(IF(0=LEN(ReferenceData!$Q$124),"",ReferenceData!$Q$124),"")</f>
        <v>1.614467976</v>
      </c>
      <c r="G124">
        <f ca="1">IFERROR(IF(0=LEN(ReferenceData!$P$124),"",ReferenceData!$P$124),"")</f>
        <v>2.1558230439999999</v>
      </c>
      <c r="H124">
        <f ca="1">IFERROR(IF(0=LEN(ReferenceData!$O$124),"",ReferenceData!$O$124),"")</f>
        <v>1.448067129</v>
      </c>
      <c r="I124">
        <f ca="1">IFERROR(IF(0=LEN(ReferenceData!$N$124),"",ReferenceData!$N$124),"")</f>
        <v>1.3475042699999999</v>
      </c>
      <c r="J124">
        <f ca="1">IFERROR(IF(0=LEN(ReferenceData!$M$124),"",ReferenceData!$M$124),"")</f>
        <v>0.91272403599999996</v>
      </c>
      <c r="K124">
        <f ca="1">IFERROR(IF(0=LEN(ReferenceData!$L$124),"",ReferenceData!$L$124),"")</f>
        <v>6.8418675179999999</v>
      </c>
      <c r="L124">
        <f ca="1">IFERROR(IF(0=LEN(ReferenceData!$K$124),"",ReferenceData!$K$124),"")</f>
        <v>8.8731003279999996</v>
      </c>
      <c r="M124">
        <f ca="1">IFERROR(IF(0=LEN(ReferenceData!$J$124),"",ReferenceData!$J$124),"")</f>
        <v>9.0353708380000004</v>
      </c>
      <c r="N124">
        <f ca="1">IFERROR(IF(0=LEN(ReferenceData!$I$124),"",ReferenceData!$I$124),"")</f>
        <v>8.6257441139999997</v>
      </c>
      <c r="O124">
        <f ca="1">IFERROR(IF(0=LEN(ReferenceData!$H$124),"",ReferenceData!$H$124),"")</f>
        <v>12.241787329999999</v>
      </c>
      <c r="P124">
        <f ca="1">IFERROR(IF(0=LEN(ReferenceData!$G$124),"",ReferenceData!$G$124),"")</f>
        <v>11.4150125</v>
      </c>
      <c r="Q124">
        <f ca="1">IFERROR(IF(0=LEN(ReferenceData!$F$124),"",ReferenceData!$F$124),"")</f>
        <v>13.26729428</v>
      </c>
    </row>
    <row r="125" spans="1:17" x14ac:dyDescent="0.25">
      <c r="A125" t="str">
        <f>IFERROR(IF(0=LEN(ReferenceData!$A$125),"",ReferenceData!$A$125),"")</f>
        <v xml:space="preserve">    Indra Sistemas SA</v>
      </c>
      <c r="B125" t="str">
        <f>IFERROR(IF(0=LEN(ReferenceData!$B$125),"",ReferenceData!$B$125),"")</f>
        <v>IDR SM Equity</v>
      </c>
      <c r="C125" t="str">
        <f>IFERROR(IF(0=LEN(ReferenceData!$C$125),"",ReferenceData!$C$125),"")</f>
        <v>RR045</v>
      </c>
      <c r="D125" t="str">
        <f>IFERROR(IF(0=LEN(ReferenceData!$D$125),"",ReferenceData!$D$125),"")</f>
        <v>TOT_DEBT_TO_TOT_CAP</v>
      </c>
      <c r="E125" t="str">
        <f>IFERROR(IF(0=LEN(ReferenceData!$E$125),"",ReferenceData!$E$125),"")</f>
        <v>Dynamic</v>
      </c>
      <c r="F125">
        <f ca="1">IFERROR(IF(0=LEN(ReferenceData!$Q$125),"",ReferenceData!$Q$125),"")</f>
        <v>71.135069999999999</v>
      </c>
      <c r="G125">
        <f ca="1">IFERROR(IF(0=LEN(ReferenceData!$P$125),"",ReferenceData!$P$125),"")</f>
        <v>68.785855850000004</v>
      </c>
      <c r="H125">
        <f ca="1">IFERROR(IF(0=LEN(ReferenceData!$O$125),"",ReferenceData!$O$125),"")</f>
        <v>66.485561039999993</v>
      </c>
      <c r="I125">
        <f ca="1">IFERROR(IF(0=LEN(ReferenceData!$N$125),"",ReferenceData!$N$125),"")</f>
        <v>69.681233930000005</v>
      </c>
      <c r="J125">
        <f ca="1">IFERROR(IF(0=LEN(ReferenceData!$M$125),"",ReferenceData!$M$125),"")</f>
        <v>72.625663880000005</v>
      </c>
      <c r="K125">
        <f ca="1">IFERROR(IF(0=LEN(ReferenceData!$L$125),"",ReferenceData!$L$125),"")</f>
        <v>71.419316030000005</v>
      </c>
      <c r="L125">
        <f ca="1">IFERROR(IF(0=LEN(ReferenceData!$K$125),"",ReferenceData!$K$125),"")</f>
        <v>67.398283050000003</v>
      </c>
      <c r="M125">
        <f ca="1">IFERROR(IF(0=LEN(ReferenceData!$J$125),"",ReferenceData!$J$125),"")</f>
        <v>67.074198989999999</v>
      </c>
      <c r="N125">
        <f ca="1">IFERROR(IF(0=LEN(ReferenceData!$I$125),"",ReferenceData!$I$125),"")</f>
        <v>69.592340570000005</v>
      </c>
      <c r="O125">
        <f ca="1">IFERROR(IF(0=LEN(ReferenceData!$H$125),"",ReferenceData!$H$125),"")</f>
        <v>67.663494279999995</v>
      </c>
      <c r="P125">
        <f ca="1">IFERROR(IF(0=LEN(ReferenceData!$G$125),"",ReferenceData!$G$125),"")</f>
        <v>66.566781430000006</v>
      </c>
      <c r="Q125">
        <f ca="1">IFERROR(IF(0=LEN(ReferenceData!$F$125),"",ReferenceData!$F$125),"")</f>
        <v>66.408930979999994</v>
      </c>
    </row>
    <row r="126" spans="1:17" x14ac:dyDescent="0.25">
      <c r="A126" t="str">
        <f>IFERROR(IF(0=LEN(ReferenceData!$A$126),"",ReferenceData!$A$126),"")</f>
        <v xml:space="preserve">    Infosys Ltd</v>
      </c>
      <c r="B126" t="str">
        <f>IFERROR(IF(0=LEN(ReferenceData!$B$126),"",ReferenceData!$B$126),"")</f>
        <v>INFY US Equity</v>
      </c>
      <c r="C126" t="str">
        <f>IFERROR(IF(0=LEN(ReferenceData!$C$126),"",ReferenceData!$C$126),"")</f>
        <v>RR045</v>
      </c>
      <c r="D126" t="str">
        <f>IFERROR(IF(0=LEN(ReferenceData!$D$126),"",ReferenceData!$D$126),"")</f>
        <v>TOT_DEBT_TO_TOT_CAP</v>
      </c>
      <c r="E126" t="str">
        <f>IFERROR(IF(0=LEN(ReferenceData!$E$126),"",ReferenceData!$E$126),"")</f>
        <v>Dynamic</v>
      </c>
      <c r="F126">
        <f ca="1">IFERROR(IF(0=LEN(ReferenceData!$Q$126),"",ReferenceData!$Q$126),"")</f>
        <v>0</v>
      </c>
      <c r="G126">
        <f ca="1">IFERROR(IF(0=LEN(ReferenceData!$P$126),"",ReferenceData!$P$126),"")</f>
        <v>0</v>
      </c>
      <c r="H126">
        <f ca="1">IFERROR(IF(0=LEN(ReferenceData!$O$126),"",ReferenceData!$O$126),"")</f>
        <v>0</v>
      </c>
      <c r="I126">
        <f ca="1">IFERROR(IF(0=LEN(ReferenceData!$N$126),"",ReferenceData!$N$126),"")</f>
        <v>0</v>
      </c>
      <c r="J126">
        <f ca="1">IFERROR(IF(0=LEN(ReferenceData!$M$126),"",ReferenceData!$M$126),"")</f>
        <v>0</v>
      </c>
      <c r="K126">
        <f ca="1">IFERROR(IF(0=LEN(ReferenceData!$L$126),"",ReferenceData!$L$126),"")</f>
        <v>0</v>
      </c>
      <c r="L126">
        <f ca="1">IFERROR(IF(0=LEN(ReferenceData!$K$126),"",ReferenceData!$K$126),"")</f>
        <v>0</v>
      </c>
      <c r="M126">
        <f ca="1">IFERROR(IF(0=LEN(ReferenceData!$J$126),"",ReferenceData!$J$126),"")</f>
        <v>0</v>
      </c>
      <c r="N126">
        <f ca="1">IFERROR(IF(0=LEN(ReferenceData!$I$126),"",ReferenceData!$I$126),"")</f>
        <v>6.3142631160000002</v>
      </c>
      <c r="O126">
        <f ca="1">IFERROR(IF(0=LEN(ReferenceData!$H$126),"",ReferenceData!$H$126),"")</f>
        <v>6.2763631889999996</v>
      </c>
      <c r="P126">
        <f ca="1">IFERROR(IF(0=LEN(ReferenceData!$G$126),"",ReferenceData!$G$126),"")</f>
        <v>6.3373818340000003</v>
      </c>
      <c r="Q126">
        <f ca="1">IFERROR(IF(0=LEN(ReferenceData!$F$126),"",ReferenceData!$F$126),"")</f>
        <v>6.5737758419999999</v>
      </c>
    </row>
    <row r="127" spans="1:17" x14ac:dyDescent="0.25">
      <c r="A127" t="str">
        <f>IFERROR(IF(0=LEN(ReferenceData!$A$127),"",ReferenceData!$A$127),"")</f>
        <v xml:space="preserve">    International Business Machines Corp</v>
      </c>
      <c r="B127" t="str">
        <f>IFERROR(IF(0=LEN(ReferenceData!$B$127),"",ReferenceData!$B$127),"")</f>
        <v>IBM US Equity</v>
      </c>
      <c r="C127" t="str">
        <f>IFERROR(IF(0=LEN(ReferenceData!$C$127),"",ReferenceData!$C$127),"")</f>
        <v>RR045</v>
      </c>
      <c r="D127" t="str">
        <f>IFERROR(IF(0=LEN(ReferenceData!$D$127),"",ReferenceData!$D$127),"")</f>
        <v>TOT_DEBT_TO_TOT_CAP</v>
      </c>
      <c r="E127" t="str">
        <f>IFERROR(IF(0=LEN(ReferenceData!$E$127),"",ReferenceData!$E$127),"")</f>
        <v>Dynamic</v>
      </c>
      <c r="F127">
        <f ca="1">IFERROR(IF(0=LEN(ReferenceData!$Q$127),"",ReferenceData!$Q$127),"")</f>
        <v>65.36033175</v>
      </c>
      <c r="G127">
        <f ca="1">IFERROR(IF(0=LEN(ReferenceData!$P$127),"",ReferenceData!$P$127),"")</f>
        <v>63.354601770000002</v>
      </c>
      <c r="H127">
        <f ca="1">IFERROR(IF(0=LEN(ReferenceData!$O$127),"",ReferenceData!$O$127),"")</f>
        <v>69.480698369999999</v>
      </c>
      <c r="I127">
        <f ca="1">IFERROR(IF(0=LEN(ReferenceData!$N$127),"",ReferenceData!$N$127),"")</f>
        <v>68.457359659999995</v>
      </c>
      <c r="J127">
        <f ca="1">IFERROR(IF(0=LEN(ReferenceData!$M$127),"",ReferenceData!$M$127),"")</f>
        <v>67.732558139999995</v>
      </c>
      <c r="K127">
        <f ca="1">IFERROR(IF(0=LEN(ReferenceData!$L$127),"",ReferenceData!$L$127),"")</f>
        <v>67.101047140000006</v>
      </c>
      <c r="L127">
        <f ca="1">IFERROR(IF(0=LEN(ReferenceData!$K$127),"",ReferenceData!$K$127),"")</f>
        <v>73.016480189999996</v>
      </c>
      <c r="M127">
        <f ca="1">IFERROR(IF(0=LEN(ReferenceData!$J$127),"",ReferenceData!$J$127),"")</f>
        <v>74.573961510000004</v>
      </c>
      <c r="N127">
        <f ca="1">IFERROR(IF(0=LEN(ReferenceData!$I$127),"",ReferenceData!$I$127),"")</f>
        <v>80.208205759999998</v>
      </c>
      <c r="O127">
        <f ca="1">IFERROR(IF(0=LEN(ReferenceData!$H$127),"",ReferenceData!$H$127),"")</f>
        <v>78.335667849999993</v>
      </c>
      <c r="P127">
        <f ca="1">IFERROR(IF(0=LEN(ReferenceData!$G$127),"",ReferenceData!$G$127),"")</f>
        <v>76.460030059999994</v>
      </c>
      <c r="Q127">
        <f ca="1">IFERROR(IF(0=LEN(ReferenceData!$F$127),"",ReferenceData!$F$127),"")</f>
        <v>77.530949640000003</v>
      </c>
    </row>
    <row r="128" spans="1:17" x14ac:dyDescent="0.25">
      <c r="A128" t="str">
        <f>IFERROR(IF(0=LEN(ReferenceData!$A$128),"",ReferenceData!$A$128),"")</f>
        <v xml:space="preserve">    Tata Consultancy Services Ltd</v>
      </c>
      <c r="B128" t="str">
        <f>IFERROR(IF(0=LEN(ReferenceData!$B$128),"",ReferenceData!$B$128),"")</f>
        <v>TCS IN Equity</v>
      </c>
      <c r="C128" t="str">
        <f>IFERROR(IF(0=LEN(ReferenceData!$C$128),"",ReferenceData!$C$128),"")</f>
        <v>RR045</v>
      </c>
      <c r="D128" t="str">
        <f>IFERROR(IF(0=LEN(ReferenceData!$D$128),"",ReferenceData!$D$128),"")</f>
        <v>TOT_DEBT_TO_TOT_CAP</v>
      </c>
      <c r="E128" t="str">
        <f>IFERROR(IF(0=LEN(ReferenceData!$E$128),"",ReferenceData!$E$128),"")</f>
        <v>Dynamic</v>
      </c>
      <c r="F128">
        <f ca="1">IFERROR(IF(0=LEN(ReferenceData!$Q$128),"",ReferenceData!$Q$128),"")</f>
        <v>0.114081506</v>
      </c>
      <c r="G128">
        <f ca="1">IFERROR(IF(0=LEN(ReferenceData!$P$128),"",ReferenceData!$P$128),"")</f>
        <v>0.101805436</v>
      </c>
      <c r="H128">
        <f ca="1">IFERROR(IF(0=LEN(ReferenceData!$O$128),"",ReferenceData!$O$128),"")</f>
        <v>9.2652419E-2</v>
      </c>
      <c r="I128">
        <f ca="1">IFERROR(IF(0=LEN(ReferenceData!$N$128),"",ReferenceData!$N$128),"")</f>
        <v>0.28103310999999997</v>
      </c>
      <c r="J128">
        <f ca="1">IFERROR(IF(0=LEN(ReferenceData!$M$128),"",ReferenceData!$M$128),"")</f>
        <v>7.3652722000000004E-2</v>
      </c>
      <c r="K128">
        <f ca="1">IFERROR(IF(0=LEN(ReferenceData!$L$128),"",ReferenceData!$L$128),"")</f>
        <v>8.0002032000000001E-2</v>
      </c>
      <c r="L128">
        <f ca="1">IFERROR(IF(0=LEN(ReferenceData!$K$128),"",ReferenceData!$K$128),"")</f>
        <v>7.3413739000000006E-2</v>
      </c>
      <c r="M128">
        <f ca="1">IFERROR(IF(0=LEN(ReferenceData!$J$128),"",ReferenceData!$J$128),"")</f>
        <v>6.7339336E-2</v>
      </c>
      <c r="N128">
        <f ca="1">IFERROR(IF(0=LEN(ReferenceData!$I$128),"",ReferenceData!$I$128),"")</f>
        <v>6.9303422650000002</v>
      </c>
      <c r="O128">
        <f ca="1">IFERROR(IF(0=LEN(ReferenceData!$H$128),"",ReferenceData!$H$128),"")</f>
        <v>6.4949736720000004</v>
      </c>
      <c r="P128">
        <f ca="1">IFERROR(IF(0=LEN(ReferenceData!$G$128),"",ReferenceData!$G$128),"")</f>
        <v>7.6141530370000003</v>
      </c>
      <c r="Q128">
        <f ca="1">IFERROR(IF(0=LEN(ReferenceData!$F$128),"",ReferenceData!$F$128),"")</f>
        <v>8.6008607169999998</v>
      </c>
    </row>
    <row r="129" spans="1:17" x14ac:dyDescent="0.25">
      <c r="A129" t="str">
        <f>IFERROR(IF(0=LEN(ReferenceData!$A$129),"",ReferenceData!$A$129),"")</f>
        <v xml:space="preserve">    Tech Mahindra Ltd</v>
      </c>
      <c r="B129" t="str">
        <f>IFERROR(IF(0=LEN(ReferenceData!$B$129),"",ReferenceData!$B$129),"")</f>
        <v>TECHM IN Equity</v>
      </c>
      <c r="C129" t="str">
        <f>IFERROR(IF(0=LEN(ReferenceData!$C$129),"",ReferenceData!$C$129),"")</f>
        <v>RR045</v>
      </c>
      <c r="D129" t="str">
        <f>IFERROR(IF(0=LEN(ReferenceData!$D$129),"",ReferenceData!$D$129),"")</f>
        <v>TOT_DEBT_TO_TOT_CAP</v>
      </c>
      <c r="E129" t="str">
        <f>IFERROR(IF(0=LEN(ReferenceData!$E$129),"",ReferenceData!$E$129),"")</f>
        <v>Dynamic</v>
      </c>
      <c r="F129">
        <f ca="1">IFERROR(IF(0=LEN(ReferenceData!$Q$129),"",ReferenceData!$Q$129),"")</f>
        <v>7.3622438109999999</v>
      </c>
      <c r="G129">
        <f ca="1">IFERROR(IF(0=LEN(ReferenceData!$P$129),"",ReferenceData!$P$129),"")</f>
        <v>7.5220554740000001</v>
      </c>
      <c r="H129">
        <f ca="1">IFERROR(IF(0=LEN(ReferenceData!$O$129),"",ReferenceData!$O$129),"")</f>
        <v>7.8476439820000001</v>
      </c>
      <c r="I129">
        <f ca="1">IFERROR(IF(0=LEN(ReferenceData!$N$129),"",ReferenceData!$N$129),"")</f>
        <v>11.019610549999999</v>
      </c>
      <c r="J129">
        <f ca="1">IFERROR(IF(0=LEN(ReferenceData!$M$129),"",ReferenceData!$M$129),"")</f>
        <v>7.9558629510000003</v>
      </c>
      <c r="K129">
        <f ca="1">IFERROR(IF(0=LEN(ReferenceData!$L$129),"",ReferenceData!$L$129),"")</f>
        <v>6.9501689009999996</v>
      </c>
      <c r="L129">
        <f ca="1">IFERROR(IF(0=LEN(ReferenceData!$K$129),"",ReferenceData!$K$129),"")</f>
        <v>7.0053685999999997</v>
      </c>
      <c r="M129">
        <f ca="1">IFERROR(IF(0=LEN(ReferenceData!$J$129),"",ReferenceData!$J$129),"")</f>
        <v>8.7684993149999997</v>
      </c>
      <c r="N129">
        <f ca="1">IFERROR(IF(0=LEN(ReferenceData!$I$129),"",ReferenceData!$I$129),"")</f>
        <v>10.06132371</v>
      </c>
      <c r="O129">
        <f ca="1">IFERROR(IF(0=LEN(ReferenceData!$H$129),"",ReferenceData!$H$129),"")</f>
        <v>12.866275290000001</v>
      </c>
      <c r="P129">
        <f ca="1">IFERROR(IF(0=LEN(ReferenceData!$G$129),"",ReferenceData!$G$129),"")</f>
        <v>12.453720990000001</v>
      </c>
      <c r="Q129">
        <f ca="1">IFERROR(IF(0=LEN(ReferenceData!$F$129),"",ReferenceData!$F$129),"")</f>
        <v>9.8568784259999997</v>
      </c>
    </row>
    <row r="130" spans="1:17" x14ac:dyDescent="0.25">
      <c r="A130" t="str">
        <f>IFERROR(IF(0=LEN(ReferenceData!$A$130),"",ReferenceData!$A$130),"")</f>
        <v xml:space="preserve">    Wipro Ltd</v>
      </c>
      <c r="B130" t="str">
        <f>IFERROR(IF(0=LEN(ReferenceData!$B$130),"",ReferenceData!$B$130),"")</f>
        <v>WIT US Equity</v>
      </c>
      <c r="C130" t="str">
        <f>IFERROR(IF(0=LEN(ReferenceData!$C$130),"",ReferenceData!$C$130),"")</f>
        <v>RR045</v>
      </c>
      <c r="D130" t="str">
        <f>IFERROR(IF(0=LEN(ReferenceData!$D$130),"",ReferenceData!$D$130),"")</f>
        <v>TOT_DEBT_TO_TOT_CAP</v>
      </c>
      <c r="E130" t="str">
        <f>IFERROR(IF(0=LEN(ReferenceData!$E$130),"",ReferenceData!$E$130),"")</f>
        <v>Dynamic</v>
      </c>
      <c r="F130">
        <f ca="1">IFERROR(IF(0=LEN(ReferenceData!$Q$130),"",ReferenceData!$Q$130),"")</f>
        <v>21.208116579999999</v>
      </c>
      <c r="G130">
        <f ca="1">IFERROR(IF(0=LEN(ReferenceData!$P$130),"",ReferenceData!$P$130),"")</f>
        <v>20.466112970000001</v>
      </c>
      <c r="H130">
        <f ca="1">IFERROR(IF(0=LEN(ReferenceData!$O$130),"",ReferenceData!$O$130),"")</f>
        <v>21.814724479999999</v>
      </c>
      <c r="I130">
        <f ca="1">IFERROR(IF(0=LEN(ReferenceData!$N$130),"",ReferenceData!$N$130),"")</f>
        <v>22.17092551</v>
      </c>
      <c r="J130">
        <f ca="1">IFERROR(IF(0=LEN(ReferenceData!$M$130),"",ReferenceData!$M$130),"")</f>
        <v>19.002086989999999</v>
      </c>
      <c r="K130">
        <f ca="1">IFERROR(IF(0=LEN(ReferenceData!$L$130),"",ReferenceData!$L$130),"")</f>
        <v>18.02327494</v>
      </c>
      <c r="L130">
        <f ca="1">IFERROR(IF(0=LEN(ReferenceData!$K$130),"",ReferenceData!$K$130),"")</f>
        <v>15.89026297</v>
      </c>
      <c r="M130">
        <f ca="1">IFERROR(IF(0=LEN(ReferenceData!$J$130),"",ReferenceData!$J$130),"")</f>
        <v>14.84094775</v>
      </c>
      <c r="N130">
        <f ca="1">IFERROR(IF(0=LEN(ReferenceData!$I$130),"",ReferenceData!$I$130),"")</f>
        <v>16.864964449999999</v>
      </c>
      <c r="O130">
        <f ca="1">IFERROR(IF(0=LEN(ReferenceData!$H$130),"",ReferenceData!$H$130),"")</f>
        <v>17.727735559999999</v>
      </c>
      <c r="P130">
        <f ca="1">IFERROR(IF(0=LEN(ReferenceData!$G$130),"",ReferenceData!$G$130),"")</f>
        <v>17.107395230000002</v>
      </c>
      <c r="Q130">
        <f ca="1">IFERROR(IF(0=LEN(ReferenceData!$F$130),"",ReferenceData!$F$130),"")</f>
        <v>14.81023435</v>
      </c>
    </row>
    <row r="131" spans="1:17" x14ac:dyDescent="0.25">
      <c r="A131" t="str">
        <f>IFERROR(IF(0=LEN(ReferenceData!$A$131),"",ReferenceData!$A$131),"")</f>
        <v>Total Debt/Equity</v>
      </c>
      <c r="B131" t="str">
        <f>IFERROR(IF(0=LEN(ReferenceData!$B$131),"",ReferenceData!$B$131),"")</f>
        <v>BRITBPOV Index</v>
      </c>
      <c r="C131" t="str">
        <f>IFERROR(IF(0=LEN(ReferenceData!$C$131),"",ReferenceData!$C$131),"")</f>
        <v/>
      </c>
      <c r="D131" t="str">
        <f>IFERROR(IF(0=LEN(ReferenceData!$D$131),"",ReferenceData!$D$131),"")</f>
        <v/>
      </c>
      <c r="E131" t="str">
        <f>IFERROR(IF(0=LEN(ReferenceData!$E$131),"",ReferenceData!$E$131),"")</f>
        <v>Average</v>
      </c>
      <c r="F131">
        <f ca="1">IFERROR(IF(0=LEN(ReferenceData!$Q$131),"",ReferenceData!$Q$131),"")</f>
        <v>48.852028775000001</v>
      </c>
      <c r="G131">
        <f ca="1">IFERROR(IF(0=LEN(ReferenceData!$P$131),"",ReferenceData!$P$131),"")</f>
        <v>45.987877925333336</v>
      </c>
      <c r="H131">
        <f ca="1">IFERROR(IF(0=LEN(ReferenceData!$O$131),"",ReferenceData!$O$131),"")</f>
        <v>47.25150462780001</v>
      </c>
      <c r="I131">
        <f ca="1">IFERROR(IF(0=LEN(ReferenceData!$N$131),"",ReferenceData!$N$131),"")</f>
        <v>49.230304807333333</v>
      </c>
      <c r="J131">
        <f ca="1">IFERROR(IF(0=LEN(ReferenceData!$M$131),"",ReferenceData!$M$131),"")</f>
        <v>50.458463454333334</v>
      </c>
      <c r="K131">
        <f ca="1">IFERROR(IF(0=LEN(ReferenceData!$L$131),"",ReferenceData!$L$131),"")</f>
        <v>49.056585171533335</v>
      </c>
      <c r="L131">
        <f ca="1">IFERROR(IF(0=LEN(ReferenceData!$K$131),"",ReferenceData!$K$131),"")</f>
        <v>50.65502875466666</v>
      </c>
      <c r="M131">
        <f ca="1">IFERROR(IF(0=LEN(ReferenceData!$J$131),"",ReferenceData!$J$131),"")</f>
        <v>55.358136335533331</v>
      </c>
      <c r="N131">
        <f ca="1">IFERROR(IF(0=LEN(ReferenceData!$I$131),"",ReferenceData!$I$131),"")</f>
        <v>70.38598300533333</v>
      </c>
      <c r="O131">
        <f ca="1">IFERROR(IF(0=LEN(ReferenceData!$H$131),"",ReferenceData!$H$131),"")</f>
        <v>67.573745607399985</v>
      </c>
      <c r="P131">
        <f ca="1">IFERROR(IF(0=LEN(ReferenceData!$G$131),"",ReferenceData!$G$131),"")</f>
        <v>68.173320599437488</v>
      </c>
      <c r="Q131">
        <f ca="1">IFERROR(IF(0=LEN(ReferenceData!$F$131),"",ReferenceData!$F$131),"")</f>
        <v>82.501547412866657</v>
      </c>
    </row>
    <row r="132" spans="1:17" x14ac:dyDescent="0.25">
      <c r="A132" t="str">
        <f>IFERROR(IF(0=LEN(ReferenceData!$A$132),"",ReferenceData!$A$132),"")</f>
        <v xml:space="preserve">    Accenture PLC</v>
      </c>
      <c r="B132" t="str">
        <f>IFERROR(IF(0=LEN(ReferenceData!$B$132),"",ReferenceData!$B$132),"")</f>
        <v>ACN US Equity</v>
      </c>
      <c r="C132" t="str">
        <f>IFERROR(IF(0=LEN(ReferenceData!$C$132),"",ReferenceData!$C$132),"")</f>
        <v>RR732</v>
      </c>
      <c r="D132" t="str">
        <f>IFERROR(IF(0=LEN(ReferenceData!$D$132),"",ReferenceData!$D$132),"")</f>
        <v>TOT_DEBT_TO_TOT_EQY</v>
      </c>
      <c r="E132" t="str">
        <f>IFERROR(IF(0=LEN(ReferenceData!$E$132),"",ReferenceData!$E$132),"")</f>
        <v>Dynamic</v>
      </c>
      <c r="F132">
        <f ca="1">IFERROR(IF(0=LEN(ReferenceData!$Q$132),"",ReferenceData!$Q$132),"")</f>
        <v>0.31176140600000002</v>
      </c>
      <c r="G132">
        <f ca="1">IFERROR(IF(0=LEN(ReferenceData!$P$132),"",ReferenceData!$P$132),"")</f>
        <v>0.25818211800000002</v>
      </c>
      <c r="H132">
        <f ca="1">IFERROR(IF(0=LEN(ReferenceData!$O$132),"",ReferenceData!$O$132),"")</f>
        <v>0.25476485100000001</v>
      </c>
      <c r="I132">
        <f ca="1">IFERROR(IF(0=LEN(ReferenceData!$N$132),"",ReferenceData!$N$132),"")</f>
        <v>0.27625812599999999</v>
      </c>
      <c r="J132">
        <f ca="1">IFERROR(IF(0=LEN(ReferenceData!$M$132),"",ReferenceData!$M$132),"")</f>
        <v>0.28364767899999999</v>
      </c>
      <c r="K132">
        <f ca="1">IFERROR(IF(0=LEN(ReferenceData!$L$132),"",ReferenceData!$L$132),"")</f>
        <v>0.233230405</v>
      </c>
      <c r="L132">
        <f ca="1">IFERROR(IF(0=LEN(ReferenceData!$K$132),"",ReferenceData!$K$132),"")</f>
        <v>0.18860152199999999</v>
      </c>
      <c r="M132">
        <f ca="1">IFERROR(IF(0=LEN(ReferenceData!$J$132),"",ReferenceData!$J$132),"")</f>
        <v>0.17567775799999999</v>
      </c>
      <c r="N132">
        <f ca="1">IFERROR(IF(0=LEN(ReferenceData!$I$132),"",ReferenceData!$I$132),"")</f>
        <v>0.16963919399999999</v>
      </c>
      <c r="O132">
        <f ca="1">IFERROR(IF(0=LEN(ReferenceData!$H$132),"",ReferenceData!$H$132),"")</f>
        <v>0.152808688</v>
      </c>
      <c r="P132">
        <f ca="1">IFERROR(IF(0=LEN(ReferenceData!$G$132),"",ReferenceData!$G$132),"")</f>
        <v>21.67826363</v>
      </c>
      <c r="Q132">
        <f ca="1">IFERROR(IF(0=LEN(ReferenceData!$F$132),"",ReferenceData!$F$132),"")</f>
        <v>21.419826359999998</v>
      </c>
    </row>
    <row r="133" spans="1:17" x14ac:dyDescent="0.25">
      <c r="A133" t="str">
        <f>IFERROR(IF(0=LEN(ReferenceData!$A$133),"",ReferenceData!$A$133),"")</f>
        <v xml:space="preserve">    Amdocs Ltd</v>
      </c>
      <c r="B133" t="str">
        <f>IFERROR(IF(0=LEN(ReferenceData!$B$133),"",ReferenceData!$B$133),"")</f>
        <v>DOX US Equity</v>
      </c>
      <c r="C133" t="str">
        <f>IFERROR(IF(0=LEN(ReferenceData!$C$133),"",ReferenceData!$C$133),"")</f>
        <v>RR732</v>
      </c>
      <c r="D133" t="str">
        <f>IFERROR(IF(0=LEN(ReferenceData!$D$133),"",ReferenceData!$D$133),"")</f>
        <v>TOT_DEBT_TO_TOT_EQY</v>
      </c>
      <c r="E133" t="str">
        <f>IFERROR(IF(0=LEN(ReferenceData!$E$133),"",ReferenceData!$E$133),"")</f>
        <v>Dynamic</v>
      </c>
      <c r="F133">
        <f ca="1">IFERROR(IF(0=LEN(ReferenceData!$Q$133),"",ReferenceData!$Q$133),"")</f>
        <v>0</v>
      </c>
      <c r="G133">
        <f ca="1">IFERROR(IF(0=LEN(ReferenceData!$P$133),"",ReferenceData!$P$133),"")</f>
        <v>0</v>
      </c>
      <c r="H133">
        <f ca="1">IFERROR(IF(0=LEN(ReferenceData!$O$133),"",ReferenceData!$O$133),"")</f>
        <v>0</v>
      </c>
      <c r="I133">
        <f ca="1">IFERROR(IF(0=LEN(ReferenceData!$N$133),"",ReferenceData!$N$133),"")</f>
        <v>3.327586776</v>
      </c>
      <c r="J133">
        <f ca="1">IFERROR(IF(0=LEN(ReferenceData!$M$133),"",ReferenceData!$M$133),"")</f>
        <v>0</v>
      </c>
      <c r="K133">
        <f ca="1">IFERROR(IF(0=LEN(ReferenceData!$L$133),"",ReferenceData!$L$133),"")</f>
        <v>0</v>
      </c>
      <c r="L133">
        <f ca="1">IFERROR(IF(0=LEN(ReferenceData!$K$133),"",ReferenceData!$K$133),"")</f>
        <v>0</v>
      </c>
      <c r="M133">
        <f ca="1">IFERROR(IF(0=LEN(ReferenceData!$J$133),"",ReferenceData!$J$133),"")</f>
        <v>0</v>
      </c>
      <c r="N133">
        <f ca="1">IFERROR(IF(0=LEN(ReferenceData!$I$133),"",ReferenceData!$I$133),"")</f>
        <v>0</v>
      </c>
      <c r="O133">
        <f ca="1">IFERROR(IF(0=LEN(ReferenceData!$H$133),"",ReferenceData!$H$133),"")</f>
        <v>0</v>
      </c>
      <c r="P133">
        <f ca="1">IFERROR(IF(0=LEN(ReferenceData!$G$133),"",ReferenceData!$G$133),"")</f>
        <v>7.8568229860000001</v>
      </c>
      <c r="Q133">
        <f ca="1">IFERROR(IF(0=LEN(ReferenceData!$F$133),"",ReferenceData!$F$133),"")</f>
        <v>17.55213741</v>
      </c>
    </row>
    <row r="134" spans="1:17" x14ac:dyDescent="0.25">
      <c r="A134" t="str">
        <f>IFERROR(IF(0=LEN(ReferenceData!$A$134),"",ReferenceData!$A$134),"")</f>
        <v xml:space="preserve">    Atos SE</v>
      </c>
      <c r="B134" t="str">
        <f>IFERROR(IF(0=LEN(ReferenceData!$B$134),"",ReferenceData!$B$134),"")</f>
        <v>ATO FP Equity</v>
      </c>
      <c r="C134" t="str">
        <f>IFERROR(IF(0=LEN(ReferenceData!$C$134),"",ReferenceData!$C$134),"")</f>
        <v>RR732</v>
      </c>
      <c r="D134" t="str">
        <f>IFERROR(IF(0=LEN(ReferenceData!$D$134),"",ReferenceData!$D$134),"")</f>
        <v>TOT_DEBT_TO_TOT_EQY</v>
      </c>
      <c r="E134" t="str">
        <f>IFERROR(IF(0=LEN(ReferenceData!$E$134),"",ReferenceData!$E$134),"")</f>
        <v>Dynamic</v>
      </c>
      <c r="F134" t="str">
        <f ca="1">IFERROR(IF(0=LEN(ReferenceData!$Q$134),"",ReferenceData!$Q$134),"")</f>
        <v/>
      </c>
      <c r="G134" t="str">
        <f ca="1">IFERROR(IF(0=LEN(ReferenceData!$P$134),"",ReferenceData!$P$134),"")</f>
        <v/>
      </c>
      <c r="H134" t="str">
        <f ca="1">IFERROR(IF(0=LEN(ReferenceData!$O$134),"",ReferenceData!$O$134),"")</f>
        <v/>
      </c>
      <c r="I134" t="str">
        <f ca="1">IFERROR(IF(0=LEN(ReferenceData!$N$134),"",ReferenceData!$N$134),"")</f>
        <v/>
      </c>
      <c r="J134" t="str">
        <f ca="1">IFERROR(IF(0=LEN(ReferenceData!$M$134),"",ReferenceData!$M$134),"")</f>
        <v/>
      </c>
      <c r="K134" t="str">
        <f ca="1">IFERROR(IF(0=LEN(ReferenceData!$L$134),"",ReferenceData!$L$134),"")</f>
        <v/>
      </c>
      <c r="L134" t="str">
        <f ca="1">IFERROR(IF(0=LEN(ReferenceData!$K$134),"",ReferenceData!$K$134),"")</f>
        <v/>
      </c>
      <c r="M134" t="str">
        <f ca="1">IFERROR(IF(0=LEN(ReferenceData!$J$134),"",ReferenceData!$J$134),"")</f>
        <v/>
      </c>
      <c r="N134" t="str">
        <f ca="1">IFERROR(IF(0=LEN(ReferenceData!$I$134),"",ReferenceData!$I$134),"")</f>
        <v/>
      </c>
      <c r="O134" t="str">
        <f ca="1">IFERROR(IF(0=LEN(ReferenceData!$H$134),"",ReferenceData!$H$134),"")</f>
        <v/>
      </c>
      <c r="P134" t="str">
        <f ca="1">IFERROR(IF(0=LEN(ReferenceData!$G$134),"",ReferenceData!$G$134),"")</f>
        <v/>
      </c>
      <c r="Q134" t="str">
        <f ca="1">IFERROR(IF(0=LEN(ReferenceData!$F$134),"",ReferenceData!$F$134),"")</f>
        <v/>
      </c>
    </row>
    <row r="135" spans="1:17" x14ac:dyDescent="0.25">
      <c r="A135" t="str">
        <f>IFERROR(IF(0=LEN(ReferenceData!$A$135),"",ReferenceData!$A$135),"")</f>
        <v xml:space="preserve">    Capgemini SE</v>
      </c>
      <c r="B135" t="str">
        <f>IFERROR(IF(0=LEN(ReferenceData!$B$135),"",ReferenceData!$B$135),"")</f>
        <v>CAP FP Equity</v>
      </c>
      <c r="C135" t="str">
        <f>IFERROR(IF(0=LEN(ReferenceData!$C$135),"",ReferenceData!$C$135),"")</f>
        <v>RR732</v>
      </c>
      <c r="D135" t="str">
        <f>IFERROR(IF(0=LEN(ReferenceData!$D$135),"",ReferenceData!$D$135),"")</f>
        <v>TOT_DEBT_TO_TOT_EQY</v>
      </c>
      <c r="E135" t="str">
        <f>IFERROR(IF(0=LEN(ReferenceData!$E$135),"",ReferenceData!$E$135),"")</f>
        <v>Dynamic</v>
      </c>
      <c r="F135" t="str">
        <f ca="1">IFERROR(IF(0=LEN(ReferenceData!$Q$135),"",ReferenceData!$Q$135),"")</f>
        <v/>
      </c>
      <c r="G135" t="str">
        <f ca="1">IFERROR(IF(0=LEN(ReferenceData!$P$135),"",ReferenceData!$P$135),"")</f>
        <v/>
      </c>
      <c r="H135" t="str">
        <f ca="1">IFERROR(IF(0=LEN(ReferenceData!$O$135),"",ReferenceData!$O$135),"")</f>
        <v/>
      </c>
      <c r="I135" t="str">
        <f ca="1">IFERROR(IF(0=LEN(ReferenceData!$N$135),"",ReferenceData!$N$135),"")</f>
        <v/>
      </c>
      <c r="J135" t="str">
        <f ca="1">IFERROR(IF(0=LEN(ReferenceData!$M$135),"",ReferenceData!$M$135),"")</f>
        <v/>
      </c>
      <c r="K135" t="str">
        <f ca="1">IFERROR(IF(0=LEN(ReferenceData!$L$135),"",ReferenceData!$L$135),"")</f>
        <v/>
      </c>
      <c r="L135" t="str">
        <f ca="1">IFERROR(IF(0=LEN(ReferenceData!$K$135),"",ReferenceData!$K$135),"")</f>
        <v/>
      </c>
      <c r="M135" t="str">
        <f ca="1">IFERROR(IF(0=LEN(ReferenceData!$J$135),"",ReferenceData!$J$135),"")</f>
        <v/>
      </c>
      <c r="N135" t="str">
        <f ca="1">IFERROR(IF(0=LEN(ReferenceData!$I$135),"",ReferenceData!$I$135),"")</f>
        <v/>
      </c>
      <c r="O135" t="str">
        <f ca="1">IFERROR(IF(0=LEN(ReferenceData!$H$135),"",ReferenceData!$H$135),"")</f>
        <v/>
      </c>
      <c r="P135">
        <f ca="1">IFERROR(IF(0=LEN(ReferenceData!$G$135),"",ReferenceData!$G$135),"")</f>
        <v>48.628103099999997</v>
      </c>
      <c r="Q135" t="str">
        <f ca="1">IFERROR(IF(0=LEN(ReferenceData!$F$135),"",ReferenceData!$F$135),"")</f>
        <v/>
      </c>
    </row>
    <row r="136" spans="1:17" x14ac:dyDescent="0.25">
      <c r="A136" t="str">
        <f>IFERROR(IF(0=LEN(ReferenceData!$A$136),"",ReferenceData!$A$136),"")</f>
        <v xml:space="preserve">    CGI Inc</v>
      </c>
      <c r="B136" t="str">
        <f>IFERROR(IF(0=LEN(ReferenceData!$B$136),"",ReferenceData!$B$136),"")</f>
        <v>GIB US Equity</v>
      </c>
      <c r="C136" t="str">
        <f>IFERROR(IF(0=LEN(ReferenceData!$C$136),"",ReferenceData!$C$136),"")</f>
        <v>RR732</v>
      </c>
      <c r="D136" t="str">
        <f>IFERROR(IF(0=LEN(ReferenceData!$D$136),"",ReferenceData!$D$136),"")</f>
        <v>TOT_DEBT_TO_TOT_EQY</v>
      </c>
      <c r="E136" t="str">
        <f>IFERROR(IF(0=LEN(ReferenceData!$E$136),"",ReferenceData!$E$136),"")</f>
        <v>Dynamic</v>
      </c>
      <c r="F136">
        <f ca="1">IFERROR(IF(0=LEN(ReferenceData!$Q$136),"",ReferenceData!$Q$136),"")</f>
        <v>26.036872330000001</v>
      </c>
      <c r="G136">
        <f ca="1">IFERROR(IF(0=LEN(ReferenceData!$P$136),"",ReferenceData!$P$136),"")</f>
        <v>30.019591699999999</v>
      </c>
      <c r="H136">
        <f ca="1">IFERROR(IF(0=LEN(ReferenceData!$O$136),"",ReferenceData!$O$136),"")</f>
        <v>27.8173317</v>
      </c>
      <c r="I136">
        <f ca="1">IFERROR(IF(0=LEN(ReferenceData!$N$136),"",ReferenceData!$N$136),"")</f>
        <v>25.970720549999999</v>
      </c>
      <c r="J136">
        <f ca="1">IFERROR(IF(0=LEN(ReferenceData!$M$136),"",ReferenceData!$M$136),"")</f>
        <v>27.381378009999999</v>
      </c>
      <c r="K136">
        <f ca="1">IFERROR(IF(0=LEN(ReferenceData!$L$136),"",ReferenceData!$L$136),"")</f>
        <v>26.940089669999999</v>
      </c>
      <c r="L136">
        <f ca="1">IFERROR(IF(0=LEN(ReferenceData!$K$136),"",ReferenceData!$K$136),"")</f>
        <v>31.539387789999999</v>
      </c>
      <c r="M136">
        <f ca="1">IFERROR(IF(0=LEN(ReferenceData!$J$136),"",ReferenceData!$J$136),"")</f>
        <v>30.620266730000001</v>
      </c>
      <c r="N136">
        <f ca="1">IFERROR(IF(0=LEN(ReferenceData!$I$136),"",ReferenceData!$I$136),"")</f>
        <v>37.961298159999998</v>
      </c>
      <c r="O136">
        <f ca="1">IFERROR(IF(0=LEN(ReferenceData!$H$136),"",ReferenceData!$H$136),"")</f>
        <v>33.863627549999997</v>
      </c>
      <c r="P136">
        <f ca="1">IFERROR(IF(0=LEN(ReferenceData!$G$136),"",ReferenceData!$G$136),"")</f>
        <v>42.420606380000002</v>
      </c>
      <c r="Q136">
        <f ca="1">IFERROR(IF(0=LEN(ReferenceData!$F$136),"",ReferenceData!$F$136),"")</f>
        <v>61.633928589999996</v>
      </c>
    </row>
    <row r="137" spans="1:17" x14ac:dyDescent="0.25">
      <c r="A137" t="str">
        <f>IFERROR(IF(0=LEN(ReferenceData!$A$137),"",ReferenceData!$A$137),"")</f>
        <v xml:space="preserve">    Cognizant Technology Solutions Corp</v>
      </c>
      <c r="B137" t="str">
        <f>IFERROR(IF(0=LEN(ReferenceData!$B$137),"",ReferenceData!$B$137),"")</f>
        <v>CTSH US Equity</v>
      </c>
      <c r="C137" t="str">
        <f>IFERROR(IF(0=LEN(ReferenceData!$C$137),"",ReferenceData!$C$137),"")</f>
        <v>RR732</v>
      </c>
      <c r="D137" t="str">
        <f>IFERROR(IF(0=LEN(ReferenceData!$D$137),"",ReferenceData!$D$137),"")</f>
        <v>TOT_DEBT_TO_TOT_EQY</v>
      </c>
      <c r="E137" t="str">
        <f>IFERROR(IF(0=LEN(ReferenceData!$E$137),"",ReferenceData!$E$137),"")</f>
        <v>Dynamic</v>
      </c>
      <c r="F137">
        <f ca="1">IFERROR(IF(0=LEN(ReferenceData!$Q$137),"",ReferenceData!$Q$137),"")</f>
        <v>9.4534007439999996</v>
      </c>
      <c r="G137">
        <f ca="1">IFERROR(IF(0=LEN(ReferenceData!$P$137),"",ReferenceData!$P$137),"")</f>
        <v>7.4961289730000003</v>
      </c>
      <c r="H137">
        <f ca="1">IFERROR(IF(0=LEN(ReferenceData!$O$137),"",ReferenceData!$O$137),"")</f>
        <v>8.1825850599999992</v>
      </c>
      <c r="I137">
        <f ca="1">IFERROR(IF(0=LEN(ReferenceData!$N$137),"",ReferenceData!$N$137),"")</f>
        <v>7.0349472149999999</v>
      </c>
      <c r="J137">
        <f ca="1">IFERROR(IF(0=LEN(ReferenceData!$M$137),"",ReferenceData!$M$137),"")</f>
        <v>7.0341848230000004</v>
      </c>
      <c r="K137">
        <f ca="1">IFERROR(IF(0=LEN(ReferenceData!$L$137),"",ReferenceData!$L$137),"")</f>
        <v>6.5950081980000004</v>
      </c>
      <c r="L137">
        <f ca="1">IFERROR(IF(0=LEN(ReferenceData!$K$137),"",ReferenceData!$K$137),"")</f>
        <v>6.5213585429999998</v>
      </c>
      <c r="M137">
        <f ca="1">IFERROR(IF(0=LEN(ReferenceData!$J$137),"",ReferenceData!$J$137),"")</f>
        <v>14.46659483</v>
      </c>
      <c r="N137">
        <f ca="1">IFERROR(IF(0=LEN(ReferenceData!$I$137),"",ReferenceData!$I$137),"")</f>
        <v>15.667329730000001</v>
      </c>
      <c r="O137">
        <f ca="1">IFERROR(IF(0=LEN(ReferenceData!$H$137),"",ReferenceData!$H$137),"")</f>
        <v>15.884881330000001</v>
      </c>
      <c r="P137">
        <f ca="1">IFERROR(IF(0=LEN(ReferenceData!$G$137),"",ReferenceData!$G$137),"")</f>
        <v>15.523498460000001</v>
      </c>
      <c r="Q137">
        <f ca="1">IFERROR(IF(0=LEN(ReferenceData!$F$137),"",ReferenceData!$F$137),"")</f>
        <v>32.026759630000001</v>
      </c>
    </row>
    <row r="138" spans="1:17" x14ac:dyDescent="0.25">
      <c r="A138" t="str">
        <f>IFERROR(IF(0=LEN(ReferenceData!$A$138),"",ReferenceData!$A$138),"")</f>
        <v xml:space="preserve">    Conduent Inc</v>
      </c>
      <c r="B138" t="str">
        <f>IFERROR(IF(0=LEN(ReferenceData!$B$138),"",ReferenceData!$B$138),"")</f>
        <v>CNDT US Equity</v>
      </c>
      <c r="C138" t="str">
        <f>IFERROR(IF(0=LEN(ReferenceData!$C$138),"",ReferenceData!$C$138),"")</f>
        <v>RR732</v>
      </c>
      <c r="D138" t="str">
        <f>IFERROR(IF(0=LEN(ReferenceData!$D$138),"",ReferenceData!$D$138),"")</f>
        <v>TOT_DEBT_TO_TOT_EQY</v>
      </c>
      <c r="E138" t="str">
        <f>IFERROR(IF(0=LEN(ReferenceData!$E$138),"",ReferenceData!$E$138),"")</f>
        <v>Dynamic</v>
      </c>
      <c r="F138">
        <f ca="1">IFERROR(IF(0=LEN(ReferenceData!$Q$138),"",ReferenceData!$Q$138),"")</f>
        <v>61.578490889999998</v>
      </c>
      <c r="G138">
        <f ca="1">IFERROR(IF(0=LEN(ReferenceData!$P$138),"",ReferenceData!$P$138),"")</f>
        <v>59.698899830000002</v>
      </c>
      <c r="H138">
        <f ca="1">IFERROR(IF(0=LEN(ReferenceData!$O$138),"",ReferenceData!$O$138),"")</f>
        <v>56.142740400000001</v>
      </c>
      <c r="I138">
        <f ca="1">IFERROR(IF(0=LEN(ReferenceData!$N$138),"",ReferenceData!$N$138),"")</f>
        <v>56.215772180000002</v>
      </c>
      <c r="J138">
        <f ca="1">IFERROR(IF(0=LEN(ReferenceData!$M$138),"",ReferenceData!$M$138),"")</f>
        <v>56.138423510000003</v>
      </c>
      <c r="K138">
        <f ca="1">IFERROR(IF(0=LEN(ReferenceData!$L$138),"",ReferenceData!$L$138),"")</f>
        <v>45.044273060000002</v>
      </c>
      <c r="L138">
        <f ca="1">IFERROR(IF(0=LEN(ReferenceData!$K$138),"",ReferenceData!$K$138),"")</f>
        <v>46.581450650000001</v>
      </c>
      <c r="M138">
        <f ca="1">IFERROR(IF(0=LEN(ReferenceData!$J$138),"",ReferenceData!$J$138),"")</f>
        <v>63.310524600000001</v>
      </c>
      <c r="N138">
        <f ca="1">IFERROR(IF(0=LEN(ReferenceData!$I$138),"",ReferenceData!$I$138),"")</f>
        <v>93.489965740000002</v>
      </c>
      <c r="O138">
        <f ca="1">IFERROR(IF(0=LEN(ReferenceData!$H$138),"",ReferenceData!$H$138),"")</f>
        <v>92.885572139999994</v>
      </c>
      <c r="P138">
        <f ca="1">IFERROR(IF(0=LEN(ReferenceData!$G$138),"",ReferenceData!$G$138),"")</f>
        <v>127.6699029</v>
      </c>
      <c r="Q138">
        <f ca="1">IFERROR(IF(0=LEN(ReferenceData!$F$138),"",ReferenceData!$F$138),"")</f>
        <v>138.03230540000001</v>
      </c>
    </row>
    <row r="139" spans="1:17" x14ac:dyDescent="0.25">
      <c r="A139" t="str">
        <f>IFERROR(IF(0=LEN(ReferenceData!$A$139),"",ReferenceData!$A$139),"")</f>
        <v xml:space="preserve">    DXC Technology Co</v>
      </c>
      <c r="B139" t="str">
        <f>IFERROR(IF(0=LEN(ReferenceData!$B$139),"",ReferenceData!$B$139),"")</f>
        <v>DXC US Equity</v>
      </c>
      <c r="C139" t="str">
        <f>IFERROR(IF(0=LEN(ReferenceData!$C$139),"",ReferenceData!$C$139),"")</f>
        <v>RR732</v>
      </c>
      <c r="D139" t="str">
        <f>IFERROR(IF(0=LEN(ReferenceData!$D$139),"",ReferenceData!$D$139),"")</f>
        <v>TOT_DEBT_TO_TOT_EQY</v>
      </c>
      <c r="E139" t="str">
        <f>IFERROR(IF(0=LEN(ReferenceData!$E$139),"",ReferenceData!$E$139),"")</f>
        <v>Dynamic</v>
      </c>
      <c r="F139">
        <f ca="1">IFERROR(IF(0=LEN(ReferenceData!$Q$139),"",ReferenceData!$Q$139),"")</f>
        <v>60.364520050000003</v>
      </c>
      <c r="G139">
        <f ca="1">IFERROR(IF(0=LEN(ReferenceData!$P$139),"",ReferenceData!$P$139),"")</f>
        <v>68.16182938</v>
      </c>
      <c r="H139">
        <f ca="1">IFERROR(IF(0=LEN(ReferenceData!$O$139),"",ReferenceData!$O$139),"")</f>
        <v>64.687168610000001</v>
      </c>
      <c r="I139">
        <f ca="1">IFERROR(IF(0=LEN(ReferenceData!$N$139),"",ReferenceData!$N$139),"")</f>
        <v>57.888270579999997</v>
      </c>
      <c r="J139">
        <f ca="1">IFERROR(IF(0=LEN(ReferenceData!$M$139),"",ReferenceData!$M$139),"")</f>
        <v>59.708820039999999</v>
      </c>
      <c r="K139">
        <f ca="1">IFERROR(IF(0=LEN(ReferenceData!$L$139),"",ReferenceData!$L$139),"")</f>
        <v>59.364703890000001</v>
      </c>
      <c r="L139">
        <f ca="1">IFERROR(IF(0=LEN(ReferenceData!$K$139),"",ReferenceData!$K$139),"")</f>
        <v>66.572736879999994</v>
      </c>
      <c r="M139">
        <f ca="1">IFERROR(IF(0=LEN(ReferenceData!$J$139),"",ReferenceData!$J$139),"")</f>
        <v>63.215351810000001</v>
      </c>
      <c r="N139">
        <f ca="1">IFERROR(IF(0=LEN(ReferenceData!$I$139),"",ReferenceData!$I$139),"")</f>
        <v>99.126326109999994</v>
      </c>
      <c r="O139">
        <f ca="1">IFERROR(IF(0=LEN(ReferenceData!$H$139),"",ReferenceData!$H$139),"")</f>
        <v>121.7249154</v>
      </c>
      <c r="P139">
        <f ca="1">IFERROR(IF(0=LEN(ReferenceData!$G$139),"",ReferenceData!$G$139),"")</f>
        <v>115.2730469</v>
      </c>
      <c r="Q139">
        <f ca="1">IFERROR(IF(0=LEN(ReferenceData!$F$139),"",ReferenceData!$F$139),"")</f>
        <v>224.07876780000001</v>
      </c>
    </row>
    <row r="140" spans="1:17" x14ac:dyDescent="0.25">
      <c r="A140" t="str">
        <f>IFERROR(IF(0=LEN(ReferenceData!$A$140),"",ReferenceData!$A$140),"")</f>
        <v xml:space="preserve">    EPAM Systems Inc</v>
      </c>
      <c r="B140" t="str">
        <f>IFERROR(IF(0=LEN(ReferenceData!$B$140),"",ReferenceData!$B$140),"")</f>
        <v>EPAM US Equity</v>
      </c>
      <c r="C140" t="str">
        <f>IFERROR(IF(0=LEN(ReferenceData!$C$140),"",ReferenceData!$C$140),"")</f>
        <v>RR732</v>
      </c>
      <c r="D140" t="str">
        <f>IFERROR(IF(0=LEN(ReferenceData!$D$140),"",ReferenceData!$D$140),"")</f>
        <v>TOT_DEBT_TO_TOT_EQY</v>
      </c>
      <c r="E140" t="str">
        <f>IFERROR(IF(0=LEN(ReferenceData!$E$140),"",ReferenceData!$E$140),"")</f>
        <v>Dynamic</v>
      </c>
      <c r="F140">
        <f ca="1">IFERROR(IF(0=LEN(ReferenceData!$Q$140),"",ReferenceData!$Q$140),"")</f>
        <v>2.721848069</v>
      </c>
      <c r="G140">
        <f ca="1">IFERROR(IF(0=LEN(ReferenceData!$P$140),"",ReferenceData!$P$140),"")</f>
        <v>2.5418593199999999</v>
      </c>
      <c r="H140">
        <f ca="1">IFERROR(IF(0=LEN(ReferenceData!$O$140),"",ReferenceData!$O$140),"")</f>
        <v>2.5676267529999999</v>
      </c>
      <c r="I140">
        <f ca="1">IFERROR(IF(0=LEN(ReferenceData!$N$140),"",ReferenceData!$N$140),"")</f>
        <v>2.3712557369999998</v>
      </c>
      <c r="J140">
        <f ca="1">IFERROR(IF(0=LEN(ReferenceData!$M$140),"",ReferenceData!$M$140),"")</f>
        <v>2.2483763969999999</v>
      </c>
      <c r="K140">
        <f ca="1">IFERROR(IF(0=LEN(ReferenceData!$L$140),"",ReferenceData!$L$140),"")</f>
        <v>2.0927558770000001</v>
      </c>
      <c r="L140">
        <f ca="1">IFERROR(IF(0=LEN(ReferenceData!$K$140),"",ReferenceData!$K$140),"")</f>
        <v>1.982502717</v>
      </c>
      <c r="M140">
        <f ca="1">IFERROR(IF(0=LEN(ReferenceData!$J$140),"",ReferenceData!$J$140),"")</f>
        <v>14.40647126</v>
      </c>
      <c r="N140">
        <f ca="1">IFERROR(IF(0=LEN(ReferenceData!$I$140),"",ReferenceData!$I$140),"")</f>
        <v>16.28170072</v>
      </c>
      <c r="O140">
        <f ca="1">IFERROR(IF(0=LEN(ReferenceData!$H$140),"",ReferenceData!$H$140),"")</f>
        <v>15.441416459999999</v>
      </c>
      <c r="P140">
        <f ca="1">IFERROR(IF(0=LEN(ReferenceData!$G$140),"",ReferenceData!$G$140),"")</f>
        <v>16.506269790000001</v>
      </c>
      <c r="Q140">
        <f ca="1">IFERROR(IF(0=LEN(ReferenceData!$F$140),"",ReferenceData!$F$140),"")</f>
        <v>16.65972678</v>
      </c>
    </row>
    <row r="141" spans="1:17" x14ac:dyDescent="0.25">
      <c r="A141" t="str">
        <f>IFERROR(IF(0=LEN(ReferenceData!$A$141),"",ReferenceData!$A$141),"")</f>
        <v xml:space="preserve">    Genpact Ltd</v>
      </c>
      <c r="B141" t="str">
        <f>IFERROR(IF(0=LEN(ReferenceData!$B$141),"",ReferenceData!$B$141),"")</f>
        <v>G US Equity</v>
      </c>
      <c r="C141" t="str">
        <f>IFERROR(IF(0=LEN(ReferenceData!$C$141),"",ReferenceData!$C$141),"")</f>
        <v>RR732</v>
      </c>
      <c r="D141" t="str">
        <f>IFERROR(IF(0=LEN(ReferenceData!$D$141),"",ReferenceData!$D$141),"")</f>
        <v>TOT_DEBT_TO_TOT_EQY</v>
      </c>
      <c r="E141" t="str">
        <f>IFERROR(IF(0=LEN(ReferenceData!$E$141),"",ReferenceData!$E$141),"")</f>
        <v>Dynamic</v>
      </c>
      <c r="F141">
        <f ca="1">IFERROR(IF(0=LEN(ReferenceData!$Q$141),"",ReferenceData!$Q$141),"")</f>
        <v>100.5668593</v>
      </c>
      <c r="G141">
        <f ca="1">IFERROR(IF(0=LEN(ReferenceData!$P$141),"",ReferenceData!$P$141),"")</f>
        <v>92.216839429999993</v>
      </c>
      <c r="H141">
        <f ca="1">IFERROR(IF(0=LEN(ReferenceData!$O$141),"",ReferenceData!$O$141),"")</f>
        <v>85.100651319999997</v>
      </c>
      <c r="I141">
        <f ca="1">IFERROR(IF(0=LEN(ReferenceData!$N$141),"",ReferenceData!$N$141),"")</f>
        <v>95.991133219999995</v>
      </c>
      <c r="J141">
        <f ca="1">IFERROR(IF(0=LEN(ReferenceData!$M$141),"",ReferenceData!$M$141),"")</f>
        <v>95.768208729999998</v>
      </c>
      <c r="K141">
        <f ca="1">IFERROR(IF(0=LEN(ReferenceData!$L$141),"",ReferenceData!$L$141),"")</f>
        <v>104.8514496</v>
      </c>
      <c r="L141">
        <f ca="1">IFERROR(IF(0=LEN(ReferenceData!$K$141),"",ReferenceData!$K$141),"")</f>
        <v>92.874570390000002</v>
      </c>
      <c r="M141">
        <f ca="1">IFERROR(IF(0=LEN(ReferenceData!$J$141),"",ReferenceData!$J$141),"")</f>
        <v>110.12755079999999</v>
      </c>
      <c r="N141">
        <f ca="1">IFERROR(IF(0=LEN(ReferenceData!$I$141),"",ReferenceData!$I$141),"")</f>
        <v>103.8697209</v>
      </c>
      <c r="O141">
        <f ca="1">IFERROR(IF(0=LEN(ReferenceData!$H$141),"",ReferenceData!$H$141),"")</f>
        <v>98.910744579999999</v>
      </c>
      <c r="P141">
        <f ca="1">IFERROR(IF(0=LEN(ReferenceData!$G$141),"",ReferenceData!$G$141),"")</f>
        <v>108.5463816</v>
      </c>
      <c r="Q141">
        <f ca="1">IFERROR(IF(0=LEN(ReferenceData!$F$141),"",ReferenceData!$F$141),"")</f>
        <v>123.3019448</v>
      </c>
    </row>
    <row r="142" spans="1:17" x14ac:dyDescent="0.25">
      <c r="A142" t="str">
        <f>IFERROR(IF(0=LEN(ReferenceData!$A$142),"",ReferenceData!$A$142),"")</f>
        <v xml:space="preserve">    HCL Technologies Ltd</v>
      </c>
      <c r="B142" t="str">
        <f>IFERROR(IF(0=LEN(ReferenceData!$B$142),"",ReferenceData!$B$142),"")</f>
        <v>HCLT IN Equity</v>
      </c>
      <c r="C142" t="str">
        <f>IFERROR(IF(0=LEN(ReferenceData!$C$142),"",ReferenceData!$C$142),"")</f>
        <v>RR732</v>
      </c>
      <c r="D142" t="str">
        <f>IFERROR(IF(0=LEN(ReferenceData!$D$142),"",ReferenceData!$D$142),"")</f>
        <v>TOT_DEBT_TO_TOT_EQY</v>
      </c>
      <c r="E142" t="str">
        <f>IFERROR(IF(0=LEN(ReferenceData!$E$142),"",ReferenceData!$E$142),"")</f>
        <v>Dynamic</v>
      </c>
      <c r="F142">
        <f ca="1">IFERROR(IF(0=LEN(ReferenceData!$Q$142),"",ReferenceData!$Q$142),"")</f>
        <v>1.640960762</v>
      </c>
      <c r="G142">
        <f ca="1">IFERROR(IF(0=LEN(ReferenceData!$P$142),"",ReferenceData!$P$142),"")</f>
        <v>2.2033227850000001</v>
      </c>
      <c r="H142">
        <f ca="1">IFERROR(IF(0=LEN(ReferenceData!$O$142),"",ReferenceData!$O$142),"")</f>
        <v>1.46934422</v>
      </c>
      <c r="I142">
        <f ca="1">IFERROR(IF(0=LEN(ReferenceData!$N$142),"",ReferenceData!$N$142),"")</f>
        <v>1.3659099649999999</v>
      </c>
      <c r="J142">
        <f ca="1">IFERROR(IF(0=LEN(ReferenceData!$M$142),"",ReferenceData!$M$142),"")</f>
        <v>0.92113142400000003</v>
      </c>
      <c r="K142">
        <f ca="1">IFERROR(IF(0=LEN(ReferenceData!$L$142),"",ReferenceData!$L$142),"")</f>
        <v>7.344358819</v>
      </c>
      <c r="L142">
        <f ca="1">IFERROR(IF(0=LEN(ReferenceData!$K$142),"",ReferenceData!$K$142),"")</f>
        <v>9.737081323</v>
      </c>
      <c r="M142">
        <f ca="1">IFERROR(IF(0=LEN(ReferenceData!$J$142),"",ReferenceData!$J$142),"")</f>
        <v>9.9328397430000006</v>
      </c>
      <c r="N142">
        <f ca="1">IFERROR(IF(0=LEN(ReferenceData!$I$142),"",ReferenceData!$I$142),"")</f>
        <v>9.4400157139999994</v>
      </c>
      <c r="O142">
        <f ca="1">IFERROR(IF(0=LEN(ReferenceData!$H$142),"",ReferenceData!$H$142),"")</f>
        <v>13.94944924</v>
      </c>
      <c r="P142">
        <f ca="1">IFERROR(IF(0=LEN(ReferenceData!$G$142),"",ReferenceData!$G$142),"")</f>
        <v>12.8859447</v>
      </c>
      <c r="Q142">
        <f ca="1">IFERROR(IF(0=LEN(ReferenceData!$F$142),"",ReferenceData!$F$142),"")</f>
        <v>15.29676051</v>
      </c>
    </row>
    <row r="143" spans="1:17" x14ac:dyDescent="0.25">
      <c r="A143" t="str">
        <f>IFERROR(IF(0=LEN(ReferenceData!$A$143),"",ReferenceData!$A$143),"")</f>
        <v xml:space="preserve">    Indra Sistemas SA</v>
      </c>
      <c r="B143" t="str">
        <f>IFERROR(IF(0=LEN(ReferenceData!$B$143),"",ReferenceData!$B$143),"")</f>
        <v>IDR SM Equity</v>
      </c>
      <c r="C143" t="str">
        <f>IFERROR(IF(0=LEN(ReferenceData!$C$143),"",ReferenceData!$C$143),"")</f>
        <v>RR732</v>
      </c>
      <c r="D143" t="str">
        <f>IFERROR(IF(0=LEN(ReferenceData!$D$143),"",ReferenceData!$D$143),"")</f>
        <v>TOT_DEBT_TO_TOT_EQY</v>
      </c>
      <c r="E143" t="str">
        <f>IFERROR(IF(0=LEN(ReferenceData!$E$143),"",ReferenceData!$E$143),"")</f>
        <v>Dynamic</v>
      </c>
      <c r="F143">
        <f ca="1">IFERROR(IF(0=LEN(ReferenceData!$Q$143),"",ReferenceData!$Q$143),"")</f>
        <v>246.44116579999999</v>
      </c>
      <c r="G143">
        <f ca="1">IFERROR(IF(0=LEN(ReferenceData!$P$143),"",ReferenceData!$P$143),"")</f>
        <v>220.36758560000001</v>
      </c>
      <c r="H143">
        <f ca="1">IFERROR(IF(0=LEN(ReferenceData!$O$143),"",ReferenceData!$O$143),"")</f>
        <v>198.37885729999999</v>
      </c>
      <c r="I143">
        <f ca="1">IFERROR(IF(0=LEN(ReferenceData!$N$143),"",ReferenceData!$N$143),"")</f>
        <v>229.82872649999999</v>
      </c>
      <c r="J143">
        <f ca="1">IFERROR(IF(0=LEN(ReferenceData!$M$143),"",ReferenceData!$M$143),"")</f>
        <v>265.30566279999999</v>
      </c>
      <c r="K143">
        <f ca="1">IFERROR(IF(0=LEN(ReferenceData!$L$143),"",ReferenceData!$L$143),"")</f>
        <v>249.88665800000001</v>
      </c>
      <c r="L143">
        <f ca="1">IFERROR(IF(0=LEN(ReferenceData!$K$143),"",ReferenceData!$K$143),"")</f>
        <v>206.73231150000001</v>
      </c>
      <c r="M143">
        <f ca="1">IFERROR(IF(0=LEN(ReferenceData!$J$143),"",ReferenceData!$J$143),"")</f>
        <v>203.71318819999999</v>
      </c>
      <c r="N143">
        <f ca="1">IFERROR(IF(0=LEN(ReferenceData!$I$143),"",ReferenceData!$I$143),"")</f>
        <v>228.8645094</v>
      </c>
      <c r="O143">
        <f ca="1">IFERROR(IF(0=LEN(ReferenceData!$H$143),"",ReferenceData!$H$143),"")</f>
        <v>209.24800859999999</v>
      </c>
      <c r="P143">
        <f ca="1">IFERROR(IF(0=LEN(ReferenceData!$G$143),"",ReferenceData!$G$143),"")</f>
        <v>199.10371860000001</v>
      </c>
      <c r="Q143">
        <f ca="1">IFERROR(IF(0=LEN(ReferenceData!$F$143),"",ReferenceData!$F$143),"")</f>
        <v>197.69817660000001</v>
      </c>
    </row>
    <row r="144" spans="1:17" x14ac:dyDescent="0.25">
      <c r="A144" t="str">
        <f>IFERROR(IF(0=LEN(ReferenceData!$A$144),"",ReferenceData!$A$144),"")</f>
        <v xml:space="preserve">    Infosys Ltd</v>
      </c>
      <c r="B144" t="str">
        <f>IFERROR(IF(0=LEN(ReferenceData!$B$144),"",ReferenceData!$B$144),"")</f>
        <v>INFY US Equity</v>
      </c>
      <c r="C144" t="str">
        <f>IFERROR(IF(0=LEN(ReferenceData!$C$144),"",ReferenceData!$C$144),"")</f>
        <v>RR732</v>
      </c>
      <c r="D144" t="str">
        <f>IFERROR(IF(0=LEN(ReferenceData!$D$144),"",ReferenceData!$D$144),"")</f>
        <v>TOT_DEBT_TO_TOT_EQY</v>
      </c>
      <c r="E144" t="str">
        <f>IFERROR(IF(0=LEN(ReferenceData!$E$144),"",ReferenceData!$E$144),"")</f>
        <v>Dynamic</v>
      </c>
      <c r="F144">
        <f ca="1">IFERROR(IF(0=LEN(ReferenceData!$Q$144),"",ReferenceData!$Q$144),"")</f>
        <v>0</v>
      </c>
      <c r="G144">
        <f ca="1">IFERROR(IF(0=LEN(ReferenceData!$P$144),"",ReferenceData!$P$144),"")</f>
        <v>0</v>
      </c>
      <c r="H144">
        <f ca="1">IFERROR(IF(0=LEN(ReferenceData!$O$144),"",ReferenceData!$O$144),"")</f>
        <v>0</v>
      </c>
      <c r="I144">
        <f ca="1">IFERROR(IF(0=LEN(ReferenceData!$N$144),"",ReferenceData!$N$144),"")</f>
        <v>0</v>
      </c>
      <c r="J144">
        <f ca="1">IFERROR(IF(0=LEN(ReferenceData!$M$144),"",ReferenceData!$M$144),"")</f>
        <v>0</v>
      </c>
      <c r="K144">
        <f ca="1">IFERROR(IF(0=LEN(ReferenceData!$L$144),"",ReferenceData!$L$144),"")</f>
        <v>0</v>
      </c>
      <c r="L144">
        <f ca="1">IFERROR(IF(0=LEN(ReferenceData!$K$144),"",ReferenceData!$K$144),"")</f>
        <v>0</v>
      </c>
      <c r="M144">
        <f ca="1">IFERROR(IF(0=LEN(ReferenceData!$J$144),"",ReferenceData!$J$144),"")</f>
        <v>0</v>
      </c>
      <c r="N144">
        <f ca="1">IFERROR(IF(0=LEN(ReferenceData!$I$144),"",ReferenceData!$I$144),"")</f>
        <v>6.739833967</v>
      </c>
      <c r="O144">
        <f ca="1">IFERROR(IF(0=LEN(ReferenceData!$H$144),"",ReferenceData!$H$144),"")</f>
        <v>6.6966705539999998</v>
      </c>
      <c r="P144">
        <f ca="1">IFERROR(IF(0=LEN(ReferenceData!$G$144),"",ReferenceData!$G$144),"")</f>
        <v>6.7661805289999997</v>
      </c>
      <c r="Q144">
        <f ca="1">IFERROR(IF(0=LEN(ReferenceData!$F$144),"",ReferenceData!$F$144),"")</f>
        <v>7.0363282910000002</v>
      </c>
    </row>
    <row r="145" spans="1:17" x14ac:dyDescent="0.25">
      <c r="A145" t="str">
        <f>IFERROR(IF(0=LEN(ReferenceData!$A$145),"",ReferenceData!$A$145),"")</f>
        <v xml:space="preserve">    International Business Machines Corp</v>
      </c>
      <c r="B145" t="str">
        <f>IFERROR(IF(0=LEN(ReferenceData!$B$145),"",ReferenceData!$B$145),"")</f>
        <v>IBM US Equity</v>
      </c>
      <c r="C145" t="str">
        <f>IFERROR(IF(0=LEN(ReferenceData!$C$145),"",ReferenceData!$C$145),"")</f>
        <v>RR732</v>
      </c>
      <c r="D145" t="str">
        <f>IFERROR(IF(0=LEN(ReferenceData!$D$145),"",ReferenceData!$D$145),"")</f>
        <v>TOT_DEBT_TO_TOT_EQY</v>
      </c>
      <c r="E145" t="str">
        <f>IFERROR(IF(0=LEN(ReferenceData!$E$145),"",ReferenceData!$E$145),"")</f>
        <v>Dynamic</v>
      </c>
      <c r="F145">
        <f ca="1">IFERROR(IF(0=LEN(ReferenceData!$Q$145),"",ReferenceData!$Q$145),"")</f>
        <v>188.68636760000001</v>
      </c>
      <c r="G145">
        <f ca="1">IFERROR(IF(0=LEN(ReferenceData!$P$145),"",ReferenceData!$P$145),"")</f>
        <v>172.8855595</v>
      </c>
      <c r="H145">
        <f ca="1">IFERROR(IF(0=LEN(ReferenceData!$O$145),"",ReferenceData!$O$145),"")</f>
        <v>227.6614951</v>
      </c>
      <c r="I145">
        <f ca="1">IFERROR(IF(0=LEN(ReferenceData!$N$145),"",ReferenceData!$N$145),"")</f>
        <v>217.03116460000001</v>
      </c>
      <c r="J145">
        <f ca="1">IFERROR(IF(0=LEN(ReferenceData!$M$145),"",ReferenceData!$M$145),"")</f>
        <v>209.9099099</v>
      </c>
      <c r="K145">
        <f ca="1">IFERROR(IF(0=LEN(ReferenceData!$L$145),"",ReferenceData!$L$145),"")</f>
        <v>203.96104220000001</v>
      </c>
      <c r="L145">
        <f ca="1">IFERROR(IF(0=LEN(ReferenceData!$K$145),"",ReferenceData!$K$145),"")</f>
        <v>270.5965741</v>
      </c>
      <c r="M145">
        <f ca="1">IFERROR(IF(0=LEN(ReferenceData!$J$145),"",ReferenceData!$J$145),"")</f>
        <v>293.29760329999999</v>
      </c>
      <c r="N145">
        <f ca="1">IFERROR(IF(0=LEN(ReferenceData!$I$145),"",ReferenceData!$I$145),"")</f>
        <v>405.25990100000001</v>
      </c>
      <c r="O145">
        <f ca="1">IFERROR(IF(0=LEN(ReferenceData!$H$145),"",ReferenceData!$H$145),"")</f>
        <v>361.58819629999999</v>
      </c>
      <c r="P145">
        <f ca="1">IFERROR(IF(0=LEN(ReferenceData!$G$145),"",ReferenceData!$G$145),"")</f>
        <v>324.8093786</v>
      </c>
      <c r="Q145">
        <f ca="1">IFERROR(IF(0=LEN(ReferenceData!$F$145),"",ReferenceData!$F$145),"")</f>
        <v>345.05663750000002</v>
      </c>
    </row>
    <row r="146" spans="1:17" x14ac:dyDescent="0.25">
      <c r="A146" t="str">
        <f>IFERROR(IF(0=LEN(ReferenceData!$A$146),"",ReferenceData!$A$146),"")</f>
        <v xml:space="preserve">    Tata Consultancy Services Ltd</v>
      </c>
      <c r="B146" t="str">
        <f>IFERROR(IF(0=LEN(ReferenceData!$B$146),"",ReferenceData!$B$146),"")</f>
        <v>TCS IN Equity</v>
      </c>
      <c r="C146" t="str">
        <f>IFERROR(IF(0=LEN(ReferenceData!$C$146),"",ReferenceData!$C$146),"")</f>
        <v>RR732</v>
      </c>
      <c r="D146" t="str">
        <f>IFERROR(IF(0=LEN(ReferenceData!$D$146),"",ReferenceData!$D$146),"")</f>
        <v>TOT_DEBT_TO_TOT_EQY</v>
      </c>
      <c r="E146" t="str">
        <f>IFERROR(IF(0=LEN(ReferenceData!$E$146),"",ReferenceData!$E$146),"")</f>
        <v>Dynamic</v>
      </c>
      <c r="F146">
        <f ca="1">IFERROR(IF(0=LEN(ReferenceData!$Q$146),"",ReferenceData!$Q$146),"")</f>
        <v>0.114211801</v>
      </c>
      <c r="G146">
        <f ca="1">IFERROR(IF(0=LEN(ReferenceData!$P$146),"",ReferenceData!$P$146),"")</f>
        <v>0.101909185</v>
      </c>
      <c r="H146">
        <f ca="1">IFERROR(IF(0=LEN(ReferenceData!$O$146),"",ReferenceData!$O$146),"")</f>
        <v>9.2738344E-2</v>
      </c>
      <c r="I146">
        <f ca="1">IFERROR(IF(0=LEN(ReferenceData!$N$146),"",ReferenceData!$N$146),"")</f>
        <v>0.28182513100000001</v>
      </c>
      <c r="J146">
        <f ca="1">IFERROR(IF(0=LEN(ReferenceData!$M$146),"",ReferenceData!$M$146),"")</f>
        <v>7.3707009000000004E-2</v>
      </c>
      <c r="K146">
        <f ca="1">IFERROR(IF(0=LEN(ReferenceData!$L$146),"",ReferenceData!$L$146),"")</f>
        <v>8.0066085999999995E-2</v>
      </c>
      <c r="L146">
        <f ca="1">IFERROR(IF(0=LEN(ReferenceData!$K$146),"",ReferenceData!$K$146),"")</f>
        <v>7.3467673999999997E-2</v>
      </c>
      <c r="M146">
        <f ca="1">IFERROR(IF(0=LEN(ReferenceData!$J$146),"",ReferenceData!$J$146),"")</f>
        <v>6.7384711999999999E-2</v>
      </c>
      <c r="N146">
        <f ca="1">IFERROR(IF(0=LEN(ReferenceData!$I$146),"",ReferenceData!$I$146),"")</f>
        <v>7.4464035150000001</v>
      </c>
      <c r="O146">
        <f ca="1">IFERROR(IF(0=LEN(ReferenceData!$H$146),"",ReferenceData!$H$146),"")</f>
        <v>6.9461224990000003</v>
      </c>
      <c r="P146">
        <f ca="1">IFERROR(IF(0=LEN(ReferenceData!$G$146),"",ReferenceData!$G$146),"")</f>
        <v>8.2416877559999993</v>
      </c>
      <c r="Q146">
        <f ca="1">IFERROR(IF(0=LEN(ReferenceData!$F$146),"",ReferenceData!$F$146),"")</f>
        <v>9.4102206919999993</v>
      </c>
    </row>
    <row r="147" spans="1:17" x14ac:dyDescent="0.25">
      <c r="A147" t="str">
        <f>IFERROR(IF(0=LEN(ReferenceData!$A$147),"",ReferenceData!$A$147),"")</f>
        <v xml:space="preserve">    Tech Mahindra Ltd</v>
      </c>
      <c r="B147" t="str">
        <f>IFERROR(IF(0=LEN(ReferenceData!$B$147),"",ReferenceData!$B$147),"")</f>
        <v>TECHM IN Equity</v>
      </c>
      <c r="C147" t="str">
        <f>IFERROR(IF(0=LEN(ReferenceData!$C$147),"",ReferenceData!$C$147),"")</f>
        <v>RR732</v>
      </c>
      <c r="D147" t="str">
        <f>IFERROR(IF(0=LEN(ReferenceData!$D$147),"",ReferenceData!$D$147),"")</f>
        <v>TOT_DEBT_TO_TOT_EQY</v>
      </c>
      <c r="E147" t="str">
        <f>IFERROR(IF(0=LEN(ReferenceData!$E$147),"",ReferenceData!$E$147),"")</f>
        <v>Dynamic</v>
      </c>
      <c r="F147">
        <f ca="1">IFERROR(IF(0=LEN(ReferenceData!$Q$147),"",ReferenceData!$Q$147),"")</f>
        <v>7.9473468629999999</v>
      </c>
      <c r="G147">
        <f ca="1">IFERROR(IF(0=LEN(ReferenceData!$P$147),"",ReferenceData!$P$147),"")</f>
        <v>8.1338912889999992</v>
      </c>
      <c r="H147">
        <f ca="1">IFERROR(IF(0=LEN(ReferenceData!$O$147),"",ReferenceData!$O$147),"")</f>
        <v>8.5159450289999992</v>
      </c>
      <c r="I147">
        <f ca="1">IFERROR(IF(0=LEN(ReferenceData!$N$147),"",ReferenceData!$N$147),"")</f>
        <v>12.38431368</v>
      </c>
      <c r="J147">
        <f ca="1">IFERROR(IF(0=LEN(ReferenceData!$M$147),"",ReferenceData!$M$147),"")</f>
        <v>8.6435303829999999</v>
      </c>
      <c r="K147">
        <f ca="1">IFERROR(IF(0=LEN(ReferenceData!$L$147),"",ReferenceData!$L$147),"")</f>
        <v>7.469297708</v>
      </c>
      <c r="L147">
        <f ca="1">IFERROR(IF(0=LEN(ReferenceData!$K$147),"",ReferenceData!$K$147),"")</f>
        <v>7.5330892709999997</v>
      </c>
      <c r="M147">
        <f ca="1">IFERROR(IF(0=LEN(ReferenceData!$J$147),"",ReferenceData!$J$147),"")</f>
        <v>9.6112628299999994</v>
      </c>
      <c r="N147">
        <f ca="1">IFERROR(IF(0=LEN(ReferenceData!$I$147),"",ReferenceData!$I$147),"")</f>
        <v>11.18687102</v>
      </c>
      <c r="O147">
        <f ca="1">IFERROR(IF(0=LEN(ReferenceData!$H$147),"",ReferenceData!$H$147),"")</f>
        <v>14.766125669999999</v>
      </c>
      <c r="P147">
        <f ca="1">IFERROR(IF(0=LEN(ReferenceData!$G$147),"",ReferenceData!$G$147),"")</f>
        <v>14.22530018</v>
      </c>
      <c r="Q147">
        <f ca="1">IFERROR(IF(0=LEN(ReferenceData!$F$147),"",ReferenceData!$F$147),"")</f>
        <v>10.93469835</v>
      </c>
    </row>
    <row r="148" spans="1:17" x14ac:dyDescent="0.25">
      <c r="A148" t="str">
        <f>IFERROR(IF(0=LEN(ReferenceData!$A$148),"",ReferenceData!$A$148),"")</f>
        <v xml:space="preserve">    Wipro Ltd</v>
      </c>
      <c r="B148" t="str">
        <f>IFERROR(IF(0=LEN(ReferenceData!$B$148),"",ReferenceData!$B$148),"")</f>
        <v>WIT US Equity</v>
      </c>
      <c r="C148" t="str">
        <f>IFERROR(IF(0=LEN(ReferenceData!$C$148),"",ReferenceData!$C$148),"")</f>
        <v>RR732</v>
      </c>
      <c r="D148" t="str">
        <f>IFERROR(IF(0=LEN(ReferenceData!$D$148),"",ReferenceData!$D$148),"")</f>
        <v>TOT_DEBT_TO_TOT_EQY</v>
      </c>
      <c r="E148" t="str">
        <f>IFERROR(IF(0=LEN(ReferenceData!$E$148),"",ReferenceData!$E$148),"")</f>
        <v>Dynamic</v>
      </c>
      <c r="F148">
        <f ca="1">IFERROR(IF(0=LEN(ReferenceData!$Q$148),"",ReferenceData!$Q$148),"")</f>
        <v>26.916626010000002</v>
      </c>
      <c r="G148">
        <f ca="1">IFERROR(IF(0=LEN(ReferenceData!$P$148),"",ReferenceData!$P$148),"")</f>
        <v>25.732569770000001</v>
      </c>
      <c r="H148">
        <f ca="1">IFERROR(IF(0=LEN(ReferenceData!$O$148),"",ReferenceData!$O$148),"")</f>
        <v>27.901320729999998</v>
      </c>
      <c r="I148">
        <f ca="1">IFERROR(IF(0=LEN(ReferenceData!$N$148),"",ReferenceData!$N$148),"")</f>
        <v>28.486687849999999</v>
      </c>
      <c r="J148">
        <f ca="1">IFERROR(IF(0=LEN(ReferenceData!$M$148),"",ReferenceData!$M$148),"")</f>
        <v>23.459971110000001</v>
      </c>
      <c r="K148">
        <f ca="1">IFERROR(IF(0=LEN(ReferenceData!$L$148),"",ReferenceData!$L$148),"")</f>
        <v>21.985844060000002</v>
      </c>
      <c r="L148">
        <f ca="1">IFERROR(IF(0=LEN(ReferenceData!$K$148),"",ReferenceData!$K$148),"")</f>
        <v>18.892298960000002</v>
      </c>
      <c r="M148">
        <f ca="1">IFERROR(IF(0=LEN(ReferenceData!$J$148),"",ReferenceData!$J$148),"")</f>
        <v>17.427328459999998</v>
      </c>
      <c r="N148">
        <f ca="1">IFERROR(IF(0=LEN(ReferenceData!$I$148),"",ReferenceData!$I$148),"")</f>
        <v>20.286229909999999</v>
      </c>
      <c r="O148">
        <f ca="1">IFERROR(IF(0=LEN(ReferenceData!$H$148),"",ReferenceData!$H$148),"")</f>
        <v>21.5476451</v>
      </c>
      <c r="P148">
        <f ca="1">IFERROR(IF(0=LEN(ReferenceData!$G$148),"",ReferenceData!$G$148),"")</f>
        <v>20.638023480000001</v>
      </c>
      <c r="Q148">
        <f ca="1">IFERROR(IF(0=LEN(ReferenceData!$F$148),"",ReferenceData!$F$148),"")</f>
        <v>17.384992480000001</v>
      </c>
    </row>
    <row r="149" spans="1:17" x14ac:dyDescent="0.25">
      <c r="A149" t="str">
        <f>IFERROR(IF(0=LEN(ReferenceData!$A$149),"",ReferenceData!$A$149),"")</f>
        <v>Composition:</v>
      </c>
      <c r="B149" t="str">
        <f>IFERROR(IF(0=LEN(ReferenceData!$B$149),"",ReferenceData!$B$149),"")</f>
        <v/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Heading</v>
      </c>
      <c r="F149" t="str">
        <f>IFERROR(IF(0=LEN(ReferenceData!$Q$149),"",ReferenceData!$Q$149),"")</f>
        <v/>
      </c>
      <c r="G149" t="str">
        <f>IFERROR(IF(0=LEN(ReferenceData!$P$149),"",ReferenceData!$P$149),"")</f>
        <v/>
      </c>
      <c r="H149" t="str">
        <f>IFERROR(IF(0=LEN(ReferenceData!$O$149),"",ReferenceData!$O$149),"")</f>
        <v/>
      </c>
      <c r="I149" t="str">
        <f>IFERROR(IF(0=LEN(ReferenceData!$N$149),"",ReferenceData!$N$149),"")</f>
        <v/>
      </c>
      <c r="J149" t="str">
        <f>IFERROR(IF(0=LEN(ReferenceData!$M$149),"",ReferenceData!$M$149),"")</f>
        <v/>
      </c>
      <c r="K149" t="str">
        <f>IFERROR(IF(0=LEN(ReferenceData!$L$149),"",ReferenceData!$L$149),"")</f>
        <v/>
      </c>
      <c r="L149" t="str">
        <f>IFERROR(IF(0=LEN(ReferenceData!$K$149),"",ReferenceData!$K$149),"")</f>
        <v/>
      </c>
      <c r="M149" t="str">
        <f>IFERROR(IF(0=LEN(ReferenceData!$J$149),"",ReferenceData!$J$149),"")</f>
        <v/>
      </c>
      <c r="N149" t="str">
        <f>IFERROR(IF(0=LEN(ReferenceData!$I$149),"",ReferenceData!$I$149),"")</f>
        <v/>
      </c>
      <c r="O149" t="str">
        <f>IFERROR(IF(0=LEN(ReferenceData!$H$149),"",ReferenceData!$H$149),"")</f>
        <v/>
      </c>
      <c r="P149" t="str">
        <f>IFERROR(IF(0=LEN(ReferenceData!$G$149),"",ReferenceData!$G$149),"")</f>
        <v/>
      </c>
      <c r="Q149" t="str">
        <f>IFERROR(IF(0=LEN(ReferenceData!$F$149),"",ReferenceData!$F$149),"")</f>
        <v/>
      </c>
    </row>
    <row r="150" spans="1:17" x14ac:dyDescent="0.25">
      <c r="A150" t="str">
        <f>IFERROR(IF(0=LEN(ReferenceData!$A$150),"",ReferenceData!$A$150),"")</f>
        <v>Net Debt per Share</v>
      </c>
      <c r="B150" t="str">
        <f>IFERROR(IF(0=LEN(ReferenceData!$B$150),"",ReferenceData!$B$150),"")</f>
        <v>BRITBPOV Index</v>
      </c>
      <c r="C150" t="str">
        <f>IFERROR(IF(0=LEN(ReferenceData!$C$150),"",ReferenceData!$C$150),"")</f>
        <v/>
      </c>
      <c r="D150" t="str">
        <f>IFERROR(IF(0=LEN(ReferenceData!$D$150),"",ReferenceData!$D$150),"")</f>
        <v/>
      </c>
      <c r="E150" t="str">
        <f>IFERROR(IF(0=LEN(ReferenceData!$E$150),"",ReferenceData!$E$150),"")</f>
        <v>Average</v>
      </c>
      <c r="F150">
        <f ca="1">IFERROR(IF(0=LEN(ReferenceData!$Q$150),"",ReferenceData!$Q$150),"")</f>
        <v>2.6195755395833333</v>
      </c>
      <c r="G150">
        <f ca="1">IFERROR(IF(0=LEN(ReferenceData!$P$150),"",ReferenceData!$P$150),"")</f>
        <v>2.4484528634166662</v>
      </c>
      <c r="H150">
        <f ca="1">IFERROR(IF(0=LEN(ReferenceData!$O$150),"",ReferenceData!$O$150),"")</f>
        <v>2.5297473626666664</v>
      </c>
      <c r="I150">
        <f ca="1">IFERROR(IF(0=LEN(ReferenceData!$N$150),"",ReferenceData!$N$150),"")</f>
        <v>2.9356023767500008</v>
      </c>
      <c r="J150">
        <f ca="1">IFERROR(IF(0=LEN(ReferenceData!$M$150),"",ReferenceData!$M$150),"")</f>
        <v>2.5144924496666672</v>
      </c>
      <c r="K150">
        <f ca="1">IFERROR(IF(0=LEN(ReferenceData!$L$150),"",ReferenceData!$L$150),"")</f>
        <v>2.0661834653333337</v>
      </c>
      <c r="L150">
        <f ca="1">IFERROR(IF(0=LEN(ReferenceData!$K$150),"",ReferenceData!$K$150),"")</f>
        <v>2.9593221442500002</v>
      </c>
      <c r="M150">
        <f ca="1">IFERROR(IF(0=LEN(ReferenceData!$J$150),"",ReferenceData!$J$150),"")</f>
        <v>3.4536503439166668</v>
      </c>
      <c r="N150">
        <f ca="1">IFERROR(IF(0=LEN(ReferenceData!$I$150),"",ReferenceData!$I$150),"")</f>
        <v>4.8173539748333329</v>
      </c>
      <c r="O150">
        <f ca="1">IFERROR(IF(0=LEN(ReferenceData!$H$150),"",ReferenceData!$H$150),"")</f>
        <v>6.7941866293333328</v>
      </c>
      <c r="P150">
        <f ca="1">IFERROR(IF(0=LEN(ReferenceData!$G$150),"",ReferenceData!$G$150),"")</f>
        <v>7.727719598666666</v>
      </c>
      <c r="Q150">
        <f ca="1">IFERROR(IF(0=LEN(ReferenceData!$F$150),"",ReferenceData!$F$150),"")</f>
        <v>7.9496140269166666</v>
      </c>
    </row>
    <row r="151" spans="1:17" x14ac:dyDescent="0.25">
      <c r="A151" t="str">
        <f>IFERROR(IF(0=LEN(ReferenceData!$A$151),"",ReferenceData!$A$151),"")</f>
        <v xml:space="preserve">    Accenture PLC</v>
      </c>
      <c r="B151" t="str">
        <f>IFERROR(IF(0=LEN(ReferenceData!$B$151),"",ReferenceData!$B$151),"")</f>
        <v>ACN US Equity</v>
      </c>
      <c r="C151" t="str">
        <f>IFERROR(IF(0=LEN(ReferenceData!$C$151),"",ReferenceData!$C$151),"")</f>
        <v>RX547</v>
      </c>
      <c r="D151" t="str">
        <f>IFERROR(IF(0=LEN(ReferenceData!$D$151),"",ReferenceData!$D$151),"")</f>
        <v>NET_DEBT_PER_DILUTED_SHARE</v>
      </c>
      <c r="E151" t="str">
        <f>IFERROR(IF(0=LEN(ReferenceData!$E$151),"",ReferenceData!$E$151),"")</f>
        <v>Dynamic</v>
      </c>
      <c r="F151">
        <f ca="1">IFERROR(IF(0=LEN(ReferenceData!$Q$151),"",ReferenceData!$Q$151),"")</f>
        <v>-5.0961197900000004</v>
      </c>
      <c r="G151">
        <f ca="1">IFERROR(IF(0=LEN(ReferenceData!$P$151),"",ReferenceData!$P$151),"")</f>
        <v>-6.2346590710000003</v>
      </c>
      <c r="H151">
        <f ca="1">IFERROR(IF(0=LEN(ReferenceData!$O$151),"",ReferenceData!$O$151),"")</f>
        <v>-5.5692815390000003</v>
      </c>
      <c r="I151">
        <f ca="1">IFERROR(IF(0=LEN(ReferenceData!$N$151),"",ReferenceData!$N$151),"")</f>
        <v>-5.4405696370000003</v>
      </c>
      <c r="J151">
        <f ca="1">IFERROR(IF(0=LEN(ReferenceData!$M$151),"",ReferenceData!$M$151),"")</f>
        <v>-5.962890078</v>
      </c>
      <c r="K151">
        <f ca="1">IFERROR(IF(0=LEN(ReferenceData!$L$151),"",ReferenceData!$L$151),"")</f>
        <v>-7.7061796019999997</v>
      </c>
      <c r="L151">
        <f ca="1">IFERROR(IF(0=LEN(ReferenceData!$K$151),"",ReferenceData!$K$151),"")</f>
        <v>-6.658396604</v>
      </c>
      <c r="M151">
        <f ca="1">IFERROR(IF(0=LEN(ReferenceData!$J$151),"",ReferenceData!$J$151),"")</f>
        <v>-6.8454753220000004</v>
      </c>
      <c r="N151">
        <f ca="1">IFERROR(IF(0=LEN(ReferenceData!$I$151),"",ReferenceData!$I$151),"")</f>
        <v>-7.3132923090000004</v>
      </c>
      <c r="O151">
        <f ca="1">IFERROR(IF(0=LEN(ReferenceData!$H$151),"",ReferenceData!$H$151),"")</f>
        <v>-9.3886059139999993</v>
      </c>
      <c r="P151">
        <f ca="1">IFERROR(IF(0=LEN(ReferenceData!$G$151),"",ReferenceData!$G$151),"")</f>
        <v>-3.744700538</v>
      </c>
      <c r="Q151">
        <f ca="1">IFERROR(IF(0=LEN(ReferenceData!$F$151),"",ReferenceData!$F$151),"")</f>
        <v>-3.1285203539999999</v>
      </c>
    </row>
    <row r="152" spans="1:17" x14ac:dyDescent="0.25">
      <c r="A152" t="str">
        <f>IFERROR(IF(0=LEN(ReferenceData!$A$152),"",ReferenceData!$A$152),"")</f>
        <v xml:space="preserve">    Amdocs Ltd</v>
      </c>
      <c r="B152" t="str">
        <f>IFERROR(IF(0=LEN(ReferenceData!$B$152),"",ReferenceData!$B$152),"")</f>
        <v>DOX US Equity</v>
      </c>
      <c r="C152" t="str">
        <f>IFERROR(IF(0=LEN(ReferenceData!$C$152),"",ReferenceData!$C$152),"")</f>
        <v>RX547</v>
      </c>
      <c r="D152" t="str">
        <f>IFERROR(IF(0=LEN(ReferenceData!$D$152),"",ReferenceData!$D$152),"")</f>
        <v>NET_DEBT_PER_DILUTED_SHARE</v>
      </c>
      <c r="E152" t="str">
        <f>IFERROR(IF(0=LEN(ReferenceData!$E$152),"",ReferenceData!$E$152),"")</f>
        <v>Dynamic</v>
      </c>
      <c r="F152">
        <f ca="1">IFERROR(IF(0=LEN(ReferenceData!$Q$152),"",ReferenceData!$Q$152),"")</f>
        <v>-6.5397632740000002</v>
      </c>
      <c r="G152">
        <f ca="1">IFERROR(IF(0=LEN(ReferenceData!$P$152),"",ReferenceData!$P$152),"")</f>
        <v>-6.7031702260000001</v>
      </c>
      <c r="H152">
        <f ca="1">IFERROR(IF(0=LEN(ReferenceData!$O$152),"",ReferenceData!$O$152),"")</f>
        <v>-6.6457831660000002</v>
      </c>
      <c r="I152">
        <f ca="1">IFERROR(IF(0=LEN(ReferenceData!$N$152),"",ReferenceData!$N$152),"")</f>
        <v>-3.7872636609999999</v>
      </c>
      <c r="J152">
        <f ca="1">IFERROR(IF(0=LEN(ReferenceData!$M$152),"",ReferenceData!$M$152),"")</f>
        <v>-3.9469070749999999</v>
      </c>
      <c r="K152">
        <f ca="1">IFERROR(IF(0=LEN(ReferenceData!$L$152),"",ReferenceData!$L$152),"")</f>
        <v>-3.6597496330000001</v>
      </c>
      <c r="L152">
        <f ca="1">IFERROR(IF(0=LEN(ReferenceData!$K$152),"",ReferenceData!$K$152),"")</f>
        <v>-3.2865414099999999</v>
      </c>
      <c r="M152">
        <f ca="1">IFERROR(IF(0=LEN(ReferenceData!$J$152),"",ReferenceData!$J$152),"")</f>
        <v>-3.2422673720000001</v>
      </c>
      <c r="N152">
        <f ca="1">IFERROR(IF(0=LEN(ReferenceData!$I$152),"",ReferenceData!$I$152),"")</f>
        <v>-3.338928525</v>
      </c>
      <c r="O152">
        <f ca="1">IFERROR(IF(0=LEN(ReferenceData!$H$152),"",ReferenceData!$H$152),"")</f>
        <v>-3.4640362539999998</v>
      </c>
      <c r="P152">
        <f ca="1">IFERROR(IF(0=LEN(ReferenceData!$G$152),"",ReferenceData!$G$152),"")</f>
        <v>-1.5076207260000001</v>
      </c>
      <c r="Q152">
        <f ca="1">IFERROR(IF(0=LEN(ReferenceData!$F$152),"",ReferenceData!$F$152),"")</f>
        <v>-0.99544643499999996</v>
      </c>
    </row>
    <row r="153" spans="1:17" x14ac:dyDescent="0.25">
      <c r="A153" t="str">
        <f>IFERROR(IF(0=LEN(ReferenceData!$A$153),"",ReferenceData!$A$153),"")</f>
        <v xml:space="preserve">    Atos SE</v>
      </c>
      <c r="B153" t="str">
        <f>IFERROR(IF(0=LEN(ReferenceData!$B$153),"",ReferenceData!$B$153),"")</f>
        <v>ATO FP Equity</v>
      </c>
      <c r="C153" t="str">
        <f>IFERROR(IF(0=LEN(ReferenceData!$C$153),"",ReferenceData!$C$153),"")</f>
        <v>RX547</v>
      </c>
      <c r="D153" t="str">
        <f>IFERROR(IF(0=LEN(ReferenceData!$D$153),"",ReferenceData!$D$153),"")</f>
        <v>NET_DEBT_PER_DILUTED_SHARE</v>
      </c>
      <c r="E153" t="str">
        <f>IFERROR(IF(0=LEN(ReferenceData!$E$153),"",ReferenceData!$E$153),"")</f>
        <v>Dynamic</v>
      </c>
      <c r="F153" t="str">
        <f ca="1">IFERROR(IF(0=LEN(ReferenceData!$Q$153),"",ReferenceData!$Q$153),"")</f>
        <v/>
      </c>
      <c r="G153" t="str">
        <f ca="1">IFERROR(IF(0=LEN(ReferenceData!$P$153),"",ReferenceData!$P$153),"")</f>
        <v/>
      </c>
      <c r="H153" t="str">
        <f ca="1">IFERROR(IF(0=LEN(ReferenceData!$O$153),"",ReferenceData!$O$153),"")</f>
        <v/>
      </c>
      <c r="I153" t="str">
        <f ca="1">IFERROR(IF(0=LEN(ReferenceData!$N$153),"",ReferenceData!$N$153),"")</f>
        <v/>
      </c>
      <c r="J153" t="str">
        <f ca="1">IFERROR(IF(0=LEN(ReferenceData!$M$153),"",ReferenceData!$M$153),"")</f>
        <v/>
      </c>
      <c r="K153" t="str">
        <f ca="1">IFERROR(IF(0=LEN(ReferenceData!$L$153),"",ReferenceData!$L$153),"")</f>
        <v/>
      </c>
      <c r="L153" t="str">
        <f ca="1">IFERROR(IF(0=LEN(ReferenceData!$K$153),"",ReferenceData!$K$153),"")</f>
        <v/>
      </c>
      <c r="M153" t="str">
        <f ca="1">IFERROR(IF(0=LEN(ReferenceData!$J$153),"",ReferenceData!$J$153),"")</f>
        <v/>
      </c>
      <c r="N153" t="str">
        <f ca="1">IFERROR(IF(0=LEN(ReferenceData!$I$153),"",ReferenceData!$I$153),"")</f>
        <v/>
      </c>
      <c r="O153" t="str">
        <f ca="1">IFERROR(IF(0=LEN(ReferenceData!$H$153),"",ReferenceData!$H$153),"")</f>
        <v/>
      </c>
      <c r="P153" t="str">
        <f ca="1">IFERROR(IF(0=LEN(ReferenceData!$G$153),"",ReferenceData!$G$153),"")</f>
        <v/>
      </c>
      <c r="Q153" t="str">
        <f ca="1">IFERROR(IF(0=LEN(ReferenceData!$F$153),"",ReferenceData!$F$153),"")</f>
        <v/>
      </c>
    </row>
    <row r="154" spans="1:17" x14ac:dyDescent="0.25">
      <c r="A154" t="str">
        <f>IFERROR(IF(0=LEN(ReferenceData!$A$154),"",ReferenceData!$A$154),"")</f>
        <v xml:space="preserve">    Capgemini SE</v>
      </c>
      <c r="B154" t="str">
        <f>IFERROR(IF(0=LEN(ReferenceData!$B$154),"",ReferenceData!$B$154),"")</f>
        <v>CAP FP Equity</v>
      </c>
      <c r="C154" t="str">
        <f>IFERROR(IF(0=LEN(ReferenceData!$C$154),"",ReferenceData!$C$154),"")</f>
        <v>RX547</v>
      </c>
      <c r="D154" t="str">
        <f>IFERROR(IF(0=LEN(ReferenceData!$D$154),"",ReferenceData!$D$154),"")</f>
        <v>NET_DEBT_PER_DILUTED_SHARE</v>
      </c>
      <c r="E154" t="str">
        <f>IFERROR(IF(0=LEN(ReferenceData!$E$154),"",ReferenceData!$E$154),"")</f>
        <v>Dynamic</v>
      </c>
      <c r="F154" t="str">
        <f ca="1">IFERROR(IF(0=LEN(ReferenceData!$Q$154),"",ReferenceData!$Q$154),"")</f>
        <v/>
      </c>
      <c r="G154" t="str">
        <f ca="1">IFERROR(IF(0=LEN(ReferenceData!$P$154),"",ReferenceData!$P$154),"")</f>
        <v/>
      </c>
      <c r="H154" t="str">
        <f ca="1">IFERROR(IF(0=LEN(ReferenceData!$O$154),"",ReferenceData!$O$154),"")</f>
        <v/>
      </c>
      <c r="I154" t="str">
        <f ca="1">IFERROR(IF(0=LEN(ReferenceData!$N$154),"",ReferenceData!$N$154),"")</f>
        <v/>
      </c>
      <c r="J154" t="str">
        <f ca="1">IFERROR(IF(0=LEN(ReferenceData!$M$154),"",ReferenceData!$M$154),"")</f>
        <v/>
      </c>
      <c r="K154" t="str">
        <f ca="1">IFERROR(IF(0=LEN(ReferenceData!$L$154),"",ReferenceData!$L$154),"")</f>
        <v/>
      </c>
      <c r="L154" t="str">
        <f ca="1">IFERROR(IF(0=LEN(ReferenceData!$K$154),"",ReferenceData!$K$154),"")</f>
        <v/>
      </c>
      <c r="M154" t="str">
        <f ca="1">IFERROR(IF(0=LEN(ReferenceData!$J$154),"",ReferenceData!$J$154),"")</f>
        <v/>
      </c>
      <c r="N154" t="str">
        <f ca="1">IFERROR(IF(0=LEN(ReferenceData!$I$154),"",ReferenceData!$I$154),"")</f>
        <v/>
      </c>
      <c r="O154" t="str">
        <f ca="1">IFERROR(IF(0=LEN(ReferenceData!$H$154),"",ReferenceData!$H$154),"")</f>
        <v/>
      </c>
      <c r="P154" t="str">
        <f ca="1">IFERROR(IF(0=LEN(ReferenceData!$G$154),"",ReferenceData!$G$154),"")</f>
        <v/>
      </c>
      <c r="Q154" t="str">
        <f ca="1">IFERROR(IF(0=LEN(ReferenceData!$F$154),"",ReferenceData!$F$154),"")</f>
        <v/>
      </c>
    </row>
    <row r="155" spans="1:17" x14ac:dyDescent="0.25">
      <c r="A155" t="str">
        <f>IFERROR(IF(0=LEN(ReferenceData!$A$155),"",ReferenceData!$A$155),"")</f>
        <v xml:space="preserve">    CGI Inc</v>
      </c>
      <c r="B155" t="str">
        <f>IFERROR(IF(0=LEN(ReferenceData!$B$155),"",ReferenceData!$B$155),"")</f>
        <v>GIB US Equity</v>
      </c>
      <c r="C155" t="str">
        <f>IFERROR(IF(0=LEN(ReferenceData!$C$155),"",ReferenceData!$C$155),"")</f>
        <v>RX547</v>
      </c>
      <c r="D155" t="str">
        <f>IFERROR(IF(0=LEN(ReferenceData!$D$155),"",ReferenceData!$D$155),"")</f>
        <v>NET_DEBT_PER_DILUTED_SHARE</v>
      </c>
      <c r="E155" t="str">
        <f>IFERROR(IF(0=LEN(ReferenceData!$E$155),"",ReferenceData!$E$155),"")</f>
        <v>Dynamic</v>
      </c>
      <c r="F155" t="str">
        <f ca="1">IFERROR(IF(0=LEN(ReferenceData!$Q$155),"",ReferenceData!$Q$155),"")</f>
        <v/>
      </c>
      <c r="G155" t="str">
        <f ca="1">IFERROR(IF(0=LEN(ReferenceData!$P$155),"",ReferenceData!$P$155),"")</f>
        <v/>
      </c>
      <c r="H155" t="str">
        <f ca="1">IFERROR(IF(0=LEN(ReferenceData!$O$155),"",ReferenceData!$O$155),"")</f>
        <v/>
      </c>
      <c r="I155" t="str">
        <f ca="1">IFERROR(IF(0=LEN(ReferenceData!$N$155),"",ReferenceData!$N$155),"")</f>
        <v/>
      </c>
      <c r="J155" t="str">
        <f ca="1">IFERROR(IF(0=LEN(ReferenceData!$M$155),"",ReferenceData!$M$155),"")</f>
        <v/>
      </c>
      <c r="K155" t="str">
        <f ca="1">IFERROR(IF(0=LEN(ReferenceData!$L$155),"",ReferenceData!$L$155),"")</f>
        <v/>
      </c>
      <c r="L155" t="str">
        <f ca="1">IFERROR(IF(0=LEN(ReferenceData!$K$155),"",ReferenceData!$K$155),"")</f>
        <v/>
      </c>
      <c r="M155" t="str">
        <f ca="1">IFERROR(IF(0=LEN(ReferenceData!$J$155),"",ReferenceData!$J$155),"")</f>
        <v/>
      </c>
      <c r="N155" t="str">
        <f ca="1">IFERROR(IF(0=LEN(ReferenceData!$I$155),"",ReferenceData!$I$155),"")</f>
        <v/>
      </c>
      <c r="O155" t="str">
        <f ca="1">IFERROR(IF(0=LEN(ReferenceData!$H$155),"",ReferenceData!$H$155),"")</f>
        <v/>
      </c>
      <c r="P155" t="str">
        <f ca="1">IFERROR(IF(0=LEN(ReferenceData!$G$155),"",ReferenceData!$G$155),"")</f>
        <v/>
      </c>
      <c r="Q155" t="str">
        <f ca="1">IFERROR(IF(0=LEN(ReferenceData!$F$155),"",ReferenceData!$F$155),"")</f>
        <v/>
      </c>
    </row>
    <row r="156" spans="1:17" x14ac:dyDescent="0.25">
      <c r="A156" t="str">
        <f>IFERROR(IF(0=LEN(ReferenceData!$A$156),"",ReferenceData!$A$156),"")</f>
        <v xml:space="preserve">    Cognizant Technology Solutions Corp</v>
      </c>
      <c r="B156" t="str">
        <f>IFERROR(IF(0=LEN(ReferenceData!$B$156),"",ReferenceData!$B$156),"")</f>
        <v>CTSH US Equity</v>
      </c>
      <c r="C156" t="str">
        <f>IFERROR(IF(0=LEN(ReferenceData!$C$156),"",ReferenceData!$C$156),"")</f>
        <v>RX547</v>
      </c>
      <c r="D156" t="str">
        <f>IFERROR(IF(0=LEN(ReferenceData!$D$156),"",ReferenceData!$D$156),"")</f>
        <v>NET_DEBT_PER_DILUTED_SHARE</v>
      </c>
      <c r="E156" t="str">
        <f>IFERROR(IF(0=LEN(ReferenceData!$E$156),"",ReferenceData!$E$156),"")</f>
        <v>Dynamic</v>
      </c>
      <c r="F156">
        <f ca="1">IFERROR(IF(0=LEN(ReferenceData!$Q$156),"",ReferenceData!$Q$156),"")</f>
        <v>-5.7309644669999997</v>
      </c>
      <c r="G156">
        <f ca="1">IFERROR(IF(0=LEN(ReferenceData!$P$156),"",ReferenceData!$P$156),"")</f>
        <v>-6.5709459460000001</v>
      </c>
      <c r="H156">
        <f ca="1">IFERROR(IF(0=LEN(ReferenceData!$O$156),"",ReferenceData!$O$156),"")</f>
        <v>-7.1018675719999997</v>
      </c>
      <c r="I156">
        <f ca="1">IFERROR(IF(0=LEN(ReferenceData!$N$156),"",ReferenceData!$N$156),"")</f>
        <v>-6.8879456709999998</v>
      </c>
      <c r="J156">
        <f ca="1">IFERROR(IF(0=LEN(ReferenceData!$M$156),"",ReferenceData!$M$156),"")</f>
        <v>-5.9692832759999996</v>
      </c>
      <c r="K156">
        <f ca="1">IFERROR(IF(0=LEN(ReferenceData!$L$156),"",ReferenceData!$L$156),"")</f>
        <v>-6.9637931030000004</v>
      </c>
      <c r="L156">
        <f ca="1">IFERROR(IF(0=LEN(ReferenceData!$K$156),"",ReferenceData!$K$156),"")</f>
        <v>-6.5043177889999999</v>
      </c>
      <c r="M156">
        <f ca="1">IFERROR(IF(0=LEN(ReferenceData!$J$156),"",ReferenceData!$J$156),"")</f>
        <v>-3.5773913039999998</v>
      </c>
      <c r="N156">
        <f ca="1">IFERROR(IF(0=LEN(ReferenceData!$I$156),"",ReferenceData!$I$156),"")</f>
        <v>-2.3918439720000002</v>
      </c>
      <c r="O156">
        <f ca="1">IFERROR(IF(0=LEN(ReferenceData!$H$156),"",ReferenceData!$H$156),"")</f>
        <v>-2.4990925590000002</v>
      </c>
      <c r="P156">
        <f ca="1">IFERROR(IF(0=LEN(ReferenceData!$G$156),"",ReferenceData!$G$156),"")</f>
        <v>-3.1259124090000001</v>
      </c>
      <c r="Q156">
        <f ca="1">IFERROR(IF(0=LEN(ReferenceData!$F$156),"",ReferenceData!$F$156),"")</f>
        <v>-1.6172161169999999</v>
      </c>
    </row>
    <row r="157" spans="1:17" x14ac:dyDescent="0.25">
      <c r="A157" t="str">
        <f>IFERROR(IF(0=LEN(ReferenceData!$A$157),"",ReferenceData!$A$157),"")</f>
        <v xml:space="preserve">    Conduent Inc</v>
      </c>
      <c r="B157" t="str">
        <f>IFERROR(IF(0=LEN(ReferenceData!$B$157),"",ReferenceData!$B$157),"")</f>
        <v>CNDT US Equity</v>
      </c>
      <c r="C157" t="str">
        <f>IFERROR(IF(0=LEN(ReferenceData!$C$157),"",ReferenceData!$C$157),"")</f>
        <v>RX547</v>
      </c>
      <c r="D157" t="str">
        <f>IFERROR(IF(0=LEN(ReferenceData!$D$157),"",ReferenceData!$D$157),"")</f>
        <v>NET_DEBT_PER_DILUTED_SHARE</v>
      </c>
      <c r="E157" t="str">
        <f>IFERROR(IF(0=LEN(ReferenceData!$E$157),"",ReferenceData!$E$157),"")</f>
        <v>Dynamic</v>
      </c>
      <c r="F157">
        <f ca="1">IFERROR(IF(0=LEN(ReferenceData!$Q$157),"",ReferenceData!$Q$157),"")</f>
        <v>8.9408021679999994</v>
      </c>
      <c r="G157">
        <f ca="1">IFERROR(IF(0=LEN(ReferenceData!$P$157),"",ReferenceData!$P$157),"")</f>
        <v>7.8001135269999997</v>
      </c>
      <c r="H157">
        <f ca="1">IFERROR(IF(0=LEN(ReferenceData!$O$157),"",ReferenceData!$O$157),"")</f>
        <v>6.6102884619999998</v>
      </c>
      <c r="I157">
        <f ca="1">IFERROR(IF(0=LEN(ReferenceData!$N$157),"",ReferenceData!$N$157),"")</f>
        <v>7.3137552230000002</v>
      </c>
      <c r="J157">
        <f ca="1">IFERROR(IF(0=LEN(ReferenceData!$M$157),"",ReferenceData!$M$157),"")</f>
        <v>5.0313803019999996</v>
      </c>
      <c r="K157">
        <f ca="1">IFERROR(IF(0=LEN(ReferenceData!$L$157),"",ReferenceData!$L$157),"")</f>
        <v>4.796592532</v>
      </c>
      <c r="L157">
        <f ca="1">IFERROR(IF(0=LEN(ReferenceData!$K$157),"",ReferenceData!$K$157),"")</f>
        <v>3.9970724280000001</v>
      </c>
      <c r="M157">
        <f ca="1">IFERROR(IF(0=LEN(ReferenceData!$J$157),"",ReferenceData!$J$157),"")</f>
        <v>6.8431885509999999</v>
      </c>
      <c r="N157">
        <f ca="1">IFERROR(IF(0=LEN(ReferenceData!$I$157),"",ReferenceData!$I$157),"")</f>
        <v>7.8370808070000004</v>
      </c>
      <c r="O157">
        <f ca="1">IFERROR(IF(0=LEN(ReferenceData!$H$157),"",ReferenceData!$H$157),"")</f>
        <v>7.8186866129999997</v>
      </c>
      <c r="P157">
        <f ca="1">IFERROR(IF(0=LEN(ReferenceData!$G$157),"",ReferenceData!$G$157),"")</f>
        <v>6.3686727589999999</v>
      </c>
      <c r="Q157">
        <f ca="1">IFERROR(IF(0=LEN(ReferenceData!$F$157),"",ReferenceData!$F$157),"")</f>
        <v>7.4469546600000003</v>
      </c>
    </row>
    <row r="158" spans="1:17" x14ac:dyDescent="0.25">
      <c r="A158" t="str">
        <f>IFERROR(IF(0=LEN(ReferenceData!$A$158),"",ReferenceData!$A$158),"")</f>
        <v xml:space="preserve">    DXC Technology Co</v>
      </c>
      <c r="B158" t="str">
        <f>IFERROR(IF(0=LEN(ReferenceData!$B$158),"",ReferenceData!$B$158),"")</f>
        <v>DXC US Equity</v>
      </c>
      <c r="C158" t="str">
        <f>IFERROR(IF(0=LEN(ReferenceData!$C$158),"",ReferenceData!$C$158),"")</f>
        <v>RX547</v>
      </c>
      <c r="D158" t="str">
        <f>IFERROR(IF(0=LEN(ReferenceData!$D$158),"",ReferenceData!$D$158),"")</f>
        <v>NET_DEBT_PER_DILUTED_SHARE</v>
      </c>
      <c r="E158" t="str">
        <f>IFERROR(IF(0=LEN(ReferenceData!$E$158),"",ReferenceData!$E$158),"")</f>
        <v>Dynamic</v>
      </c>
      <c r="F158">
        <f ca="1">IFERROR(IF(0=LEN(ReferenceData!$Q$158),"",ReferenceData!$Q$158),"")</f>
        <v>17.048398800000001</v>
      </c>
      <c r="G158">
        <f ca="1">IFERROR(IF(0=LEN(ReferenceData!$P$158),"",ReferenceData!$P$158),"")</f>
        <v>20.235749590000001</v>
      </c>
      <c r="H158">
        <f ca="1">IFERROR(IF(0=LEN(ReferenceData!$O$158),"",ReferenceData!$O$158),"")</f>
        <v>19.373986259999999</v>
      </c>
      <c r="I158">
        <f ca="1">IFERROR(IF(0=LEN(ReferenceData!$N$158),"",ReferenceData!$N$158),"")</f>
        <v>18.666436940000001</v>
      </c>
      <c r="J158">
        <f ca="1">IFERROR(IF(0=LEN(ReferenceData!$M$158),"",ReferenceData!$M$158),"")</f>
        <v>15.46837193</v>
      </c>
      <c r="K158">
        <f ca="1">IFERROR(IF(0=LEN(ReferenceData!$L$158),"",ReferenceData!$L$158),"")</f>
        <v>14.861081950000001</v>
      </c>
      <c r="L158">
        <f ca="1">IFERROR(IF(0=LEN(ReferenceData!$K$158),"",ReferenceData!$K$158),"")</f>
        <v>18.226459729999998</v>
      </c>
      <c r="M158">
        <f ca="1">IFERROR(IF(0=LEN(ReferenceData!$J$158),"",ReferenceData!$J$158),"")</f>
        <v>16.66420501</v>
      </c>
      <c r="N158">
        <f ca="1">IFERROR(IF(0=LEN(ReferenceData!$I$158),"",ReferenceData!$I$158),"")</f>
        <v>34.394170350000003</v>
      </c>
      <c r="O158">
        <f ca="1">IFERROR(IF(0=LEN(ReferenceData!$H$158),"",ReferenceData!$H$158),"")</f>
        <v>30.601832170000002</v>
      </c>
      <c r="P158">
        <f ca="1">IFERROR(IF(0=LEN(ReferenceData!$G$158),"",ReferenceData!$G$158),"")</f>
        <v>30.974419059999999</v>
      </c>
      <c r="Q158">
        <f ca="1">IFERROR(IF(0=LEN(ReferenceData!$F$158),"",ReferenceData!$F$158),"")</f>
        <v>30.82324169</v>
      </c>
    </row>
    <row r="159" spans="1:17" x14ac:dyDescent="0.25">
      <c r="A159" t="str">
        <f>IFERROR(IF(0=LEN(ReferenceData!$A$159),"",ReferenceData!$A$159),"")</f>
        <v xml:space="preserve">    EPAM Systems Inc</v>
      </c>
      <c r="B159" t="str">
        <f>IFERROR(IF(0=LEN(ReferenceData!$B$159),"",ReferenceData!$B$159),"")</f>
        <v>EPAM US Equity</v>
      </c>
      <c r="C159" t="str">
        <f>IFERROR(IF(0=LEN(ReferenceData!$C$159),"",ReferenceData!$C$159),"")</f>
        <v>RX547</v>
      </c>
      <c r="D159" t="str">
        <f>IFERROR(IF(0=LEN(ReferenceData!$D$159),"",ReferenceData!$D$159),"")</f>
        <v>NET_DEBT_PER_DILUTED_SHARE</v>
      </c>
      <c r="E159" t="str">
        <f>IFERROR(IF(0=LEN(ReferenceData!$E$159),"",ReferenceData!$E$159),"")</f>
        <v>Dynamic</v>
      </c>
      <c r="F159">
        <f ca="1">IFERROR(IF(0=LEN(ReferenceData!$Q$159),"",ReferenceData!$Q$159),"")</f>
        <v>-7.6827413939999998</v>
      </c>
      <c r="G159">
        <f ca="1">IFERROR(IF(0=LEN(ReferenceData!$P$159),"",ReferenceData!$P$159),"")</f>
        <v>-8.8260153179999996</v>
      </c>
      <c r="H159">
        <f ca="1">IFERROR(IF(0=LEN(ReferenceData!$O$159),"",ReferenceData!$O$159),"")</f>
        <v>-10.54392103</v>
      </c>
      <c r="I159">
        <f ca="1">IFERROR(IF(0=LEN(ReferenceData!$N$159),"",ReferenceData!$N$159),"")</f>
        <v>-9.0829854959999992</v>
      </c>
      <c r="J159">
        <f ca="1">IFERROR(IF(0=LEN(ReferenceData!$M$159),"",ReferenceData!$M$159),"")</f>
        <v>-9.8796704379999998</v>
      </c>
      <c r="K159">
        <f ca="1">IFERROR(IF(0=LEN(ReferenceData!$L$159),"",ReferenceData!$L$159),"")</f>
        <v>-11.587899889999999</v>
      </c>
      <c r="L159">
        <f ca="1">IFERROR(IF(0=LEN(ReferenceData!$K$159),"",ReferenceData!$K$159),"")</f>
        <v>-13.105437090000001</v>
      </c>
      <c r="M159">
        <f ca="1">IFERROR(IF(0=LEN(ReferenceData!$J$159),"",ReferenceData!$J$159),"")</f>
        <v>-9.95411541</v>
      </c>
      <c r="N159">
        <f ca="1">IFERROR(IF(0=LEN(ReferenceData!$I$159),"",ReferenceData!$I$159),"")</f>
        <v>-9.4733278300000006</v>
      </c>
      <c r="O159">
        <f ca="1">IFERROR(IF(0=LEN(ReferenceData!$H$159),"",ReferenceData!$H$159),"")</f>
        <v>-10.767463830000001</v>
      </c>
      <c r="P159">
        <f ca="1">IFERROR(IF(0=LEN(ReferenceData!$G$159),"",ReferenceData!$G$159),"")</f>
        <v>-11.611972740000001</v>
      </c>
      <c r="Q159">
        <f ca="1">IFERROR(IF(0=LEN(ReferenceData!$F$159),"",ReferenceData!$F$159),"")</f>
        <v>-11.03816016</v>
      </c>
    </row>
    <row r="160" spans="1:17" x14ac:dyDescent="0.25">
      <c r="A160" t="str">
        <f>IFERROR(IF(0=LEN(ReferenceData!$A$160),"",ReferenceData!$A$160),"")</f>
        <v xml:space="preserve">    Genpact Ltd</v>
      </c>
      <c r="B160" t="str">
        <f>IFERROR(IF(0=LEN(ReferenceData!$B$160),"",ReferenceData!$B$160),"")</f>
        <v>G US Equity</v>
      </c>
      <c r="C160" t="str">
        <f>IFERROR(IF(0=LEN(ReferenceData!$C$160),"",ReferenceData!$C$160),"")</f>
        <v>RX547</v>
      </c>
      <c r="D160" t="str">
        <f>IFERROR(IF(0=LEN(ReferenceData!$D$160),"",ReferenceData!$D$160),"")</f>
        <v>NET_DEBT_PER_DILUTED_SHARE</v>
      </c>
      <c r="E160" t="str">
        <f>IFERROR(IF(0=LEN(ReferenceData!$E$160),"",ReferenceData!$E$160),"")</f>
        <v>Dynamic</v>
      </c>
      <c r="F160">
        <f ca="1">IFERROR(IF(0=LEN(ReferenceData!$Q$160),"",ReferenceData!$Q$160),"")</f>
        <v>4.2801099569999996</v>
      </c>
      <c r="G160">
        <f ca="1">IFERROR(IF(0=LEN(ReferenceData!$P$160),"",ReferenceData!$P$160),"")</f>
        <v>3.9781951979999999</v>
      </c>
      <c r="H160">
        <f ca="1">IFERROR(IF(0=LEN(ReferenceData!$O$160),"",ReferenceData!$O$160),"")</f>
        <v>3.6139244389999998</v>
      </c>
      <c r="I160">
        <f ca="1">IFERROR(IF(0=LEN(ReferenceData!$N$160),"",ReferenceData!$N$160),"")</f>
        <v>4.5189080779999999</v>
      </c>
      <c r="J160">
        <f ca="1">IFERROR(IF(0=LEN(ReferenceData!$M$160),"",ReferenceData!$M$160),"")</f>
        <v>4.6940006099999998</v>
      </c>
      <c r="K160">
        <f ca="1">IFERROR(IF(0=LEN(ReferenceData!$L$160),"",ReferenceData!$L$160),"")</f>
        <v>4.8992891930000004</v>
      </c>
      <c r="L160">
        <f ca="1">IFERROR(IF(0=LEN(ReferenceData!$K$160),"",ReferenceData!$K$160),"")</f>
        <v>4.844591222</v>
      </c>
      <c r="M160">
        <f ca="1">IFERROR(IF(0=LEN(ReferenceData!$J$160),"",ReferenceData!$J$160),"")</f>
        <v>6.8317247639999996</v>
      </c>
      <c r="N160">
        <f ca="1">IFERROR(IF(0=LEN(ReferenceData!$I$160),"",ReferenceData!$I$160),"")</f>
        <v>6.5032484850000003</v>
      </c>
      <c r="O160">
        <f ca="1">IFERROR(IF(0=LEN(ReferenceData!$H$160),"",ReferenceData!$H$160),"")</f>
        <v>5.7752674610000003</v>
      </c>
      <c r="P160">
        <f ca="1">IFERROR(IF(0=LEN(ReferenceData!$G$160),"",ReferenceData!$G$160),"")</f>
        <v>6.9506172230000001</v>
      </c>
      <c r="Q160">
        <f ca="1">IFERROR(IF(0=LEN(ReferenceData!$F$160),"",ReferenceData!$F$160),"")</f>
        <v>7.8257433159999996</v>
      </c>
    </row>
    <row r="161" spans="1:17" x14ac:dyDescent="0.25">
      <c r="A161" t="str">
        <f>IFERROR(IF(0=LEN(ReferenceData!$A$161),"",ReferenceData!$A$161),"")</f>
        <v xml:space="preserve">    HCL Technologies Ltd</v>
      </c>
      <c r="B161" t="str">
        <f>IFERROR(IF(0=LEN(ReferenceData!$B$161),"",ReferenceData!$B$161),"")</f>
        <v>HCLT IN Equity</v>
      </c>
      <c r="C161" t="str">
        <f>IFERROR(IF(0=LEN(ReferenceData!$C$161),"",ReferenceData!$C$161),"")</f>
        <v>RX547</v>
      </c>
      <c r="D161" t="str">
        <f>IFERROR(IF(0=LEN(ReferenceData!$D$161),"",ReferenceData!$D$161),"")</f>
        <v>NET_DEBT_PER_DILUTED_SHARE</v>
      </c>
      <c r="E161" t="str">
        <f>IFERROR(IF(0=LEN(ReferenceData!$E$161),"",ReferenceData!$E$161),"")</f>
        <v>Dynamic</v>
      </c>
      <c r="F161">
        <f ca="1">IFERROR(IF(0=LEN(ReferenceData!$Q$161),"",ReferenceData!$Q$161),"")</f>
        <v>-0.59956318600000003</v>
      </c>
      <c r="G161">
        <f ca="1">IFERROR(IF(0=LEN(ReferenceData!$P$161),"",ReferenceData!$P$161),"")</f>
        <v>-0.48264051299999999</v>
      </c>
      <c r="H161">
        <f ca="1">IFERROR(IF(0=LEN(ReferenceData!$O$161),"",ReferenceData!$O$161),"")</f>
        <v>-0.43744768299999998</v>
      </c>
      <c r="I161">
        <f ca="1">IFERROR(IF(0=LEN(ReferenceData!$N$161),"",ReferenceData!$N$161),"")</f>
        <v>-0.32393538900000002</v>
      </c>
      <c r="J161">
        <f ca="1">IFERROR(IF(0=LEN(ReferenceData!$M$161),"",ReferenceData!$M$161),"")</f>
        <v>-0.50425608600000005</v>
      </c>
      <c r="K161">
        <f ca="1">IFERROR(IF(0=LEN(ReferenceData!$L$161),"",ReferenceData!$L$161),"")</f>
        <v>-0.32035125599999997</v>
      </c>
      <c r="L161">
        <f ca="1">IFERROR(IF(0=LEN(ReferenceData!$K$161),"",ReferenceData!$K$161),"")</f>
        <v>-0.29540703099999999</v>
      </c>
      <c r="M161">
        <f ca="1">IFERROR(IF(0=LEN(ReferenceData!$J$161),"",ReferenceData!$J$161),"")</f>
        <v>-0.38374621599999997</v>
      </c>
      <c r="N161">
        <f ca="1">IFERROR(IF(0=LEN(ReferenceData!$I$161),"",ReferenceData!$I$161),"")</f>
        <v>-0.39487107700000001</v>
      </c>
      <c r="O161">
        <f ca="1">IFERROR(IF(0=LEN(ReferenceData!$H$161),"",ReferenceData!$H$161),"")</f>
        <v>-6.6814787E-2</v>
      </c>
      <c r="P161">
        <f ca="1">IFERROR(IF(0=LEN(ReferenceData!$G$161),"",ReferenceData!$G$161),"")</f>
        <v>-0.286991936</v>
      </c>
      <c r="Q161">
        <f ca="1">IFERROR(IF(0=LEN(ReferenceData!$F$161),"",ReferenceData!$F$161),"")</f>
        <v>-0.35977984200000002</v>
      </c>
    </row>
    <row r="162" spans="1:17" x14ac:dyDescent="0.25">
      <c r="A162" t="str">
        <f>IFERROR(IF(0=LEN(ReferenceData!$A$162),"",ReferenceData!$A$162),"")</f>
        <v xml:space="preserve">    Indra Sistemas SA</v>
      </c>
      <c r="B162" t="str">
        <f>IFERROR(IF(0=LEN(ReferenceData!$B$162),"",ReferenceData!$B$162),"")</f>
        <v>IDR SM Equity</v>
      </c>
      <c r="C162" t="str">
        <f>IFERROR(IF(0=LEN(ReferenceData!$C$162),"",ReferenceData!$C$162),"")</f>
        <v>RX547</v>
      </c>
      <c r="D162" t="str">
        <f>IFERROR(IF(0=LEN(ReferenceData!$D$162),"",ReferenceData!$D$162),"")</f>
        <v>NET_DEBT_PER_DILUTED_SHARE</v>
      </c>
      <c r="E162" t="str">
        <f>IFERROR(IF(0=LEN(ReferenceData!$E$162),"",ReferenceData!$E$162),"")</f>
        <v>Dynamic</v>
      </c>
      <c r="F162">
        <f ca="1">IFERROR(IF(0=LEN(ReferenceData!$Q$162),"",ReferenceData!$Q$162),"")</f>
        <v>4.7198558650000004</v>
      </c>
      <c r="G162">
        <f ca="1">IFERROR(IF(0=LEN(ReferenceData!$P$162),"",ReferenceData!$P$162),"")</f>
        <v>4.0379957989999999</v>
      </c>
      <c r="H162">
        <f ca="1">IFERROR(IF(0=LEN(ReferenceData!$O$162),"",ReferenceData!$O$162),"")</f>
        <v>3.4543949839999999</v>
      </c>
      <c r="I162">
        <f ca="1">IFERROR(IF(0=LEN(ReferenceData!$N$162),"",ReferenceData!$N$162),"")</f>
        <v>3.6307157619999999</v>
      </c>
      <c r="J162">
        <f ca="1">IFERROR(IF(0=LEN(ReferenceData!$M$162),"",ReferenceData!$M$162),"")</f>
        <v>3.7433060629999999</v>
      </c>
      <c r="K162">
        <f ca="1">IFERROR(IF(0=LEN(ReferenceData!$L$162),"",ReferenceData!$L$162),"")</f>
        <v>3.894048331</v>
      </c>
      <c r="L162">
        <f ca="1">IFERROR(IF(0=LEN(ReferenceData!$K$162),"",ReferenceData!$K$162),"")</f>
        <v>3.1322724669999999</v>
      </c>
      <c r="M162">
        <f ca="1">IFERROR(IF(0=LEN(ReferenceData!$J$162),"",ReferenceData!$J$162),"")</f>
        <v>3.4378443079999998</v>
      </c>
      <c r="N162">
        <f ca="1">IFERROR(IF(0=LEN(ReferenceData!$I$162),"",ReferenceData!$I$162),"")</f>
        <v>5.3196159319999996</v>
      </c>
      <c r="O162">
        <f ca="1">IFERROR(IF(0=LEN(ReferenceData!$H$162),"",ReferenceData!$H$162),"")</f>
        <v>4.4778209709999999</v>
      </c>
      <c r="P162">
        <f ca="1">IFERROR(IF(0=LEN(ReferenceData!$G$162),"",ReferenceData!$G$162),"")</f>
        <v>4.2945572030000001</v>
      </c>
      <c r="Q162">
        <f ca="1">IFERROR(IF(0=LEN(ReferenceData!$F$162),"",ReferenceData!$F$162),"")</f>
        <v>4.0189078189999998</v>
      </c>
    </row>
    <row r="163" spans="1:17" x14ac:dyDescent="0.25">
      <c r="A163" t="str">
        <f>IFERROR(IF(0=LEN(ReferenceData!$A$163),"",ReferenceData!$A$163),"")</f>
        <v xml:space="preserve">    Infosys Ltd</v>
      </c>
      <c r="B163" t="str">
        <f>IFERROR(IF(0=LEN(ReferenceData!$B$163),"",ReferenceData!$B$163),"")</f>
        <v>INFY US Equity</v>
      </c>
      <c r="C163" t="str">
        <f>IFERROR(IF(0=LEN(ReferenceData!$C$163),"",ReferenceData!$C$163),"")</f>
        <v>RX547</v>
      </c>
      <c r="D163" t="str">
        <f>IFERROR(IF(0=LEN(ReferenceData!$D$163),"",ReferenceData!$D$163),"")</f>
        <v>NET_DEBT_PER_DILUTED_SHARE</v>
      </c>
      <c r="E163" t="str">
        <f>IFERROR(IF(0=LEN(ReferenceData!$E$163),"",ReferenceData!$E$163),"")</f>
        <v>Dynamic</v>
      </c>
      <c r="F163" t="str">
        <f ca="1">IFERROR(IF(0=LEN(ReferenceData!$Q$163),"",ReferenceData!$Q$163),"")</f>
        <v/>
      </c>
      <c r="G163" t="str">
        <f ca="1">IFERROR(IF(0=LEN(ReferenceData!$P$163),"",ReferenceData!$P$163),"")</f>
        <v/>
      </c>
      <c r="H163" t="str">
        <f ca="1">IFERROR(IF(0=LEN(ReferenceData!$O$163),"",ReferenceData!$O$163),"")</f>
        <v/>
      </c>
      <c r="I163" t="str">
        <f ca="1">IFERROR(IF(0=LEN(ReferenceData!$N$163),"",ReferenceData!$N$163),"")</f>
        <v/>
      </c>
      <c r="J163" t="str">
        <f ca="1">IFERROR(IF(0=LEN(ReferenceData!$M$163),"",ReferenceData!$M$163),"")</f>
        <v/>
      </c>
      <c r="K163" t="str">
        <f ca="1">IFERROR(IF(0=LEN(ReferenceData!$L$163),"",ReferenceData!$L$163),"")</f>
        <v/>
      </c>
      <c r="L163" t="str">
        <f ca="1">IFERROR(IF(0=LEN(ReferenceData!$K$163),"",ReferenceData!$K$163),"")</f>
        <v/>
      </c>
      <c r="M163" t="str">
        <f ca="1">IFERROR(IF(0=LEN(ReferenceData!$J$163),"",ReferenceData!$J$163),"")</f>
        <v/>
      </c>
      <c r="N163" t="str">
        <f ca="1">IFERROR(IF(0=LEN(ReferenceData!$I$163),"",ReferenceData!$I$163),"")</f>
        <v/>
      </c>
      <c r="O163" t="str">
        <f ca="1">IFERROR(IF(0=LEN(ReferenceData!$H$163),"",ReferenceData!$H$163),"")</f>
        <v/>
      </c>
      <c r="P163" t="str">
        <f ca="1">IFERROR(IF(0=LEN(ReferenceData!$G$163),"",ReferenceData!$G$163),"")</f>
        <v/>
      </c>
      <c r="Q163" t="str">
        <f ca="1">IFERROR(IF(0=LEN(ReferenceData!$F$163),"",ReferenceData!$F$163),"")</f>
        <v/>
      </c>
    </row>
    <row r="164" spans="1:17" x14ac:dyDescent="0.25">
      <c r="A164" t="str">
        <f>IFERROR(IF(0=LEN(ReferenceData!$A$164),"",ReferenceData!$A$164),"")</f>
        <v xml:space="preserve">    International Business Machines Corp</v>
      </c>
      <c r="B164" t="str">
        <f>IFERROR(IF(0=LEN(ReferenceData!$B$164),"",ReferenceData!$B$164),"")</f>
        <v>IBM US Equity</v>
      </c>
      <c r="C164" t="str">
        <f>IFERROR(IF(0=LEN(ReferenceData!$C$164),"",ReferenceData!$C$164),"")</f>
        <v>RX547</v>
      </c>
      <c r="D164" t="str">
        <f>IFERROR(IF(0=LEN(ReferenceData!$D$164),"",ReferenceData!$D$164),"")</f>
        <v>NET_DEBT_PER_DILUTED_SHARE</v>
      </c>
      <c r="E164" t="str">
        <f>IFERROR(IF(0=LEN(ReferenceData!$E$164),"",ReferenceData!$E$164),"")</f>
        <v>Dynamic</v>
      </c>
      <c r="F164">
        <f ca="1">IFERROR(IF(0=LEN(ReferenceData!$Q$164),"",ReferenceData!$Q$164),"")</f>
        <v>24.15389527</v>
      </c>
      <c r="G164">
        <f ca="1">IFERROR(IF(0=LEN(ReferenceData!$P$164),"",ReferenceData!$P$164),"")</f>
        <v>24.262751819999998</v>
      </c>
      <c r="H164">
        <f ca="1">IFERROR(IF(0=LEN(ReferenceData!$O$164),"",ReferenceData!$O$164),"")</f>
        <v>29.898805039999999</v>
      </c>
      <c r="I164">
        <f ca="1">IFERROR(IF(0=LEN(ReferenceData!$N$164),"",ReferenceData!$N$164),"")</f>
        <v>29.017722070000001</v>
      </c>
      <c r="J164">
        <f ca="1">IFERROR(IF(0=LEN(ReferenceData!$M$164),"",ReferenceData!$M$164),"")</f>
        <v>29.842288450000002</v>
      </c>
      <c r="K164">
        <f ca="1">IFERROR(IF(0=LEN(ReferenceData!$L$164),"",ReferenceData!$L$164),"")</f>
        <v>28.55332168</v>
      </c>
      <c r="L164">
        <f ca="1">IFERROR(IF(0=LEN(ReferenceData!$K$164),"",ReferenceData!$K$164),"")</f>
        <v>37.356385330000002</v>
      </c>
      <c r="M164">
        <f ca="1">IFERROR(IF(0=LEN(ReferenceData!$J$164),"",ReferenceData!$J$164),"")</f>
        <v>34.342767649999999</v>
      </c>
      <c r="N164">
        <f ca="1">IFERROR(IF(0=LEN(ReferenceData!$I$164),"",ReferenceData!$I$164),"")</f>
        <v>28.92456219</v>
      </c>
      <c r="O164">
        <f ca="1">IFERROR(IF(0=LEN(ReferenceData!$H$164),"",ReferenceData!$H$164),"")</f>
        <v>61.170474910000003</v>
      </c>
      <c r="P164">
        <f ca="1">IFERROR(IF(0=LEN(ReferenceData!$G$164),"",ReferenceData!$G$164),"")</f>
        <v>66.342172989999995</v>
      </c>
      <c r="Q164">
        <f ca="1">IFERROR(IF(0=LEN(ReferenceData!$F$164),"",ReferenceData!$F$164),"")</f>
        <v>64.344134080000003</v>
      </c>
    </row>
    <row r="165" spans="1:17" x14ac:dyDescent="0.25">
      <c r="A165" t="str">
        <f>IFERROR(IF(0=LEN(ReferenceData!$A$165),"",ReferenceData!$A$165),"")</f>
        <v xml:space="preserve">    Tata Consultancy Services Ltd</v>
      </c>
      <c r="B165" t="str">
        <f>IFERROR(IF(0=LEN(ReferenceData!$B$165),"",ReferenceData!$B$165),"")</f>
        <v>TCS IN Equity</v>
      </c>
      <c r="C165" t="str">
        <f>IFERROR(IF(0=LEN(ReferenceData!$C$165),"",ReferenceData!$C$165),"")</f>
        <v>RX547</v>
      </c>
      <c r="D165" t="str">
        <f>IFERROR(IF(0=LEN(ReferenceData!$D$165),"",ReferenceData!$D$165),"")</f>
        <v>NET_DEBT_PER_DILUTED_SHARE</v>
      </c>
      <c r="E165" t="str">
        <f>IFERROR(IF(0=LEN(ReferenceData!$E$165),"",ReferenceData!$E$165),"")</f>
        <v>Dynamic</v>
      </c>
      <c r="F165">
        <f ca="1">IFERROR(IF(0=LEN(ReferenceData!$Q$165),"",ReferenceData!$Q$165),"")</f>
        <v>-1.258545416</v>
      </c>
      <c r="G165">
        <f ca="1">IFERROR(IF(0=LEN(ReferenceData!$P$165),"",ReferenceData!$P$165),"")</f>
        <v>-1.337304128</v>
      </c>
      <c r="H165">
        <f ca="1">IFERROR(IF(0=LEN(ReferenceData!$O$165),"",ReferenceData!$O$165),"")</f>
        <v>-1.4994256640000001</v>
      </c>
      <c r="I165">
        <f ca="1">IFERROR(IF(0=LEN(ReferenceData!$N$165),"",ReferenceData!$N$165),"")</f>
        <v>-1.700185751</v>
      </c>
      <c r="J165">
        <f ca="1">IFERROR(IF(0=LEN(ReferenceData!$M$165),"",ReferenceData!$M$165),"")</f>
        <v>-1.4606253360000001</v>
      </c>
      <c r="K165">
        <f ca="1">IFERROR(IF(0=LEN(ReferenceData!$L$165),"",ReferenceData!$L$165),"")</f>
        <v>-1.218466853</v>
      </c>
      <c r="L165">
        <f ca="1">IFERROR(IF(0=LEN(ReferenceData!$K$165),"",ReferenceData!$K$165),"")</f>
        <v>-1.3772272189999999</v>
      </c>
      <c r="M165">
        <f ca="1">IFERROR(IF(0=LEN(ReferenceData!$J$165),"",ReferenceData!$J$165),"")</f>
        <v>-1.602161825</v>
      </c>
      <c r="N165">
        <f ca="1">IFERROR(IF(0=LEN(ReferenceData!$I$165),"",ReferenceData!$I$165),"")</f>
        <v>-1.375655979</v>
      </c>
      <c r="O165">
        <f ca="1">IFERROR(IF(0=LEN(ReferenceData!$H$165),"",ReferenceData!$H$165),"")</f>
        <v>-1.4959155420000001</v>
      </c>
      <c r="P165">
        <f ca="1">IFERROR(IF(0=LEN(ReferenceData!$G$165),"",ReferenceData!$G$165),"")</f>
        <v>-1.118042625</v>
      </c>
      <c r="Q165">
        <f ca="1">IFERROR(IF(0=LEN(ReferenceData!$F$165),"",ReferenceData!$F$165),"")</f>
        <v>-0.96937706499999998</v>
      </c>
    </row>
    <row r="166" spans="1:17" x14ac:dyDescent="0.25">
      <c r="A166" t="str">
        <f>IFERROR(IF(0=LEN(ReferenceData!$A$166),"",ReferenceData!$A$166),"")</f>
        <v xml:space="preserve">    Tech Mahindra Ltd</v>
      </c>
      <c r="B166" t="str">
        <f>IFERROR(IF(0=LEN(ReferenceData!$B$166),"",ReferenceData!$B$166),"")</f>
        <v>TECHM IN Equity</v>
      </c>
      <c r="C166" t="str">
        <f>IFERROR(IF(0=LEN(ReferenceData!$C$166),"",ReferenceData!$C$166),"")</f>
        <v>RX547</v>
      </c>
      <c r="D166" t="str">
        <f>IFERROR(IF(0=LEN(ReferenceData!$D$166),"",ReferenceData!$D$166),"")</f>
        <v>NET_DEBT_PER_DILUTED_SHARE</v>
      </c>
      <c r="E166" t="str">
        <f>IFERROR(IF(0=LEN(ReferenceData!$E$166),"",ReferenceData!$E$166),"")</f>
        <v>Dynamic</v>
      </c>
      <c r="F166">
        <f ca="1">IFERROR(IF(0=LEN(ReferenceData!$Q$166),"",ReferenceData!$Q$166),"")</f>
        <v>-0.80045805800000003</v>
      </c>
      <c r="G166">
        <f ca="1">IFERROR(IF(0=LEN(ReferenceData!$P$166),"",ReferenceData!$P$166),"")</f>
        <v>-0.77863637100000005</v>
      </c>
      <c r="H166">
        <f ca="1">IFERROR(IF(0=LEN(ReferenceData!$O$166),"",ReferenceData!$O$166),"")</f>
        <v>-0.79670417900000001</v>
      </c>
      <c r="I166">
        <f ca="1">IFERROR(IF(0=LEN(ReferenceData!$N$166),"",ReferenceData!$N$166),"")</f>
        <v>-0.69742394699999999</v>
      </c>
      <c r="J166">
        <f ca="1">IFERROR(IF(0=LEN(ReferenceData!$M$166),"",ReferenceData!$M$166),"")</f>
        <v>-0.88180566999999999</v>
      </c>
      <c r="K166">
        <f ca="1">IFERROR(IF(0=LEN(ReferenceData!$L$166),"",ReferenceData!$L$166),"")</f>
        <v>-0.75369176500000001</v>
      </c>
      <c r="L166">
        <f ca="1">IFERROR(IF(0=LEN(ReferenceData!$K$166),"",ReferenceData!$K$166),"")</f>
        <v>-0.81758830299999996</v>
      </c>
      <c r="M166">
        <f ca="1">IFERROR(IF(0=LEN(ReferenceData!$J$166),"",ReferenceData!$J$166),"")</f>
        <v>-1.070768707</v>
      </c>
      <c r="N166">
        <f ca="1">IFERROR(IF(0=LEN(ReferenceData!$I$166),"",ReferenceData!$I$166),"")</f>
        <v>-0.88251037399999999</v>
      </c>
      <c r="O166">
        <f ca="1">IFERROR(IF(0=LEN(ReferenceData!$H$166),"",ReferenceData!$H$166),"")</f>
        <v>-0.63191368699999995</v>
      </c>
      <c r="P166">
        <f ca="1">IFERROR(IF(0=LEN(ReferenceData!$G$166),"",ReferenceData!$G$166),"")</f>
        <v>-0.80256307699999996</v>
      </c>
      <c r="Q166">
        <f ca="1">IFERROR(IF(0=LEN(ReferenceData!$F$166),"",ReferenceData!$F$166),"")</f>
        <v>-0.95511326900000004</v>
      </c>
    </row>
    <row r="167" spans="1:17" x14ac:dyDescent="0.25">
      <c r="A167" t="str">
        <f>IFERROR(IF(0=LEN(ReferenceData!$A$167),"",ReferenceData!$A$167),"")</f>
        <v xml:space="preserve">    Wipro Ltd</v>
      </c>
      <c r="B167" t="str">
        <f>IFERROR(IF(0=LEN(ReferenceData!$B$167),"",ReferenceData!$B$167),"")</f>
        <v>WIT US Equity</v>
      </c>
      <c r="C167" t="str">
        <f>IFERROR(IF(0=LEN(ReferenceData!$C$167),"",ReferenceData!$C$167),"")</f>
        <v>RX547</v>
      </c>
      <c r="D167" t="str">
        <f>IFERROR(IF(0=LEN(ReferenceData!$D$167),"",ReferenceData!$D$167),"")</f>
        <v>NET_DEBT_PER_DILUTED_SHARE</v>
      </c>
      <c r="E167" t="str">
        <f>IFERROR(IF(0=LEN(ReferenceData!$E$167),"",ReferenceData!$E$167),"")</f>
        <v>Dynamic</v>
      </c>
      <c r="F167" t="str">
        <f ca="1">IFERROR(IF(0=LEN(ReferenceData!$Q$167),"",ReferenceData!$Q$167),"")</f>
        <v/>
      </c>
      <c r="G167" t="str">
        <f ca="1">IFERROR(IF(0=LEN(ReferenceData!$P$167),"",ReferenceData!$P$167),"")</f>
        <v/>
      </c>
      <c r="H167" t="str">
        <f ca="1">IFERROR(IF(0=LEN(ReferenceData!$O$167),"",ReferenceData!$O$167),"")</f>
        <v/>
      </c>
      <c r="I167" t="str">
        <f ca="1">IFERROR(IF(0=LEN(ReferenceData!$N$167),"",ReferenceData!$N$167),"")</f>
        <v/>
      </c>
      <c r="J167" t="str">
        <f ca="1">IFERROR(IF(0=LEN(ReferenceData!$M$167),"",ReferenceData!$M$167),"")</f>
        <v/>
      </c>
      <c r="K167" t="str">
        <f ca="1">IFERROR(IF(0=LEN(ReferenceData!$L$167),"",ReferenceData!$L$167),"")</f>
        <v/>
      </c>
      <c r="L167" t="str">
        <f ca="1">IFERROR(IF(0=LEN(ReferenceData!$K$167),"",ReferenceData!$K$167),"")</f>
        <v/>
      </c>
      <c r="M167" t="str">
        <f ca="1">IFERROR(IF(0=LEN(ReferenceData!$J$167),"",ReferenceData!$J$167),"")</f>
        <v/>
      </c>
      <c r="N167" t="str">
        <f ca="1">IFERROR(IF(0=LEN(ReferenceData!$I$167),"",ReferenceData!$I$167),"")</f>
        <v/>
      </c>
      <c r="O167" t="str">
        <f ca="1">IFERROR(IF(0=LEN(ReferenceData!$H$167),"",ReferenceData!$H$167),"")</f>
        <v/>
      </c>
      <c r="P167" t="str">
        <f ca="1">IFERROR(IF(0=LEN(ReferenceData!$G$167),"",ReferenceData!$G$167),"")</f>
        <v/>
      </c>
      <c r="Q167" t="str">
        <f ca="1">IFERROR(IF(0=LEN(ReferenceData!$F$167),"",ReferenceData!$F$167),"")</f>
        <v/>
      </c>
    </row>
    <row r="168" spans="1:17" x14ac:dyDescent="0.25">
      <c r="A168" t="str">
        <f>IFERROR(IF(0=LEN(ReferenceData!$A$168),"",ReferenceData!$A$168),"")</f>
        <v>Days Sales Outstanding</v>
      </c>
      <c r="B168" t="str">
        <f>IFERROR(IF(0=LEN(ReferenceData!$B$168),"",ReferenceData!$B$168),"")</f>
        <v>BRITBPOV Index</v>
      </c>
      <c r="C168" t="str">
        <f>IFERROR(IF(0=LEN(ReferenceData!$C$168),"",ReferenceData!$C$168),"")</f>
        <v/>
      </c>
      <c r="D168" t="str">
        <f>IFERROR(IF(0=LEN(ReferenceData!$D$168),"",ReferenceData!$D$168),"")</f>
        <v/>
      </c>
      <c r="E168" t="str">
        <f>IFERROR(IF(0=LEN(ReferenceData!$E$168),"",ReferenceData!$E$168),"")</f>
        <v>Average</v>
      </c>
      <c r="F168">
        <f ca="1">IFERROR(IF(0=LEN(ReferenceData!$Q$168),"",ReferenceData!$Q$168),"")</f>
        <v>69.610422522500002</v>
      </c>
      <c r="G168">
        <f ca="1">IFERROR(IF(0=LEN(ReferenceData!$P$168),"",ReferenceData!$P$168),"")</f>
        <v>68.813116104615375</v>
      </c>
      <c r="H168">
        <f ca="1">IFERROR(IF(0=LEN(ReferenceData!$O$168),"",ReferenceData!$O$168),"")</f>
        <v>78.24429062416668</v>
      </c>
      <c r="I168">
        <f ca="1">IFERROR(IF(0=LEN(ReferenceData!$N$168),"",ReferenceData!$N$168),"")</f>
        <v>68.547704112857133</v>
      </c>
      <c r="J168">
        <f ca="1">IFERROR(IF(0=LEN(ReferenceData!$M$168),"",ReferenceData!$M$168),"")</f>
        <v>77.291455777142872</v>
      </c>
      <c r="K168">
        <f ca="1">IFERROR(IF(0=LEN(ReferenceData!$L$168),"",ReferenceData!$L$168),"")</f>
        <v>70.046178062142857</v>
      </c>
      <c r="L168">
        <f ca="1">IFERROR(IF(0=LEN(ReferenceData!$K$168),"",ReferenceData!$K$168),"")</f>
        <v>76.967329567333323</v>
      </c>
      <c r="M168">
        <f ca="1">IFERROR(IF(0=LEN(ReferenceData!$J$168),"",ReferenceData!$J$168),"")</f>
        <v>68.217110570714297</v>
      </c>
      <c r="N168">
        <f ca="1">IFERROR(IF(0=LEN(ReferenceData!$I$168),"",ReferenceData!$I$168),"")</f>
        <v>76.308592542857141</v>
      </c>
      <c r="O168">
        <f ca="1">IFERROR(IF(0=LEN(ReferenceData!$H$168),"",ReferenceData!$H$168),"")</f>
        <v>69.374222860714298</v>
      </c>
      <c r="P168">
        <f ca="1">IFERROR(IF(0=LEN(ReferenceData!$G$168),"",ReferenceData!$G$168),"")</f>
        <v>76.388777544666667</v>
      </c>
      <c r="Q168">
        <f ca="1">IFERROR(IF(0=LEN(ReferenceData!$F$168),"",ReferenceData!$F$168),"")</f>
        <v>68.158053110714292</v>
      </c>
    </row>
    <row r="169" spans="1:17" x14ac:dyDescent="0.25">
      <c r="A169" t="str">
        <f>IFERROR(IF(0=LEN(ReferenceData!$A$169),"",ReferenceData!$A$169),"")</f>
        <v xml:space="preserve">    Accenture PLC</v>
      </c>
      <c r="B169" t="str">
        <f>IFERROR(IF(0=LEN(ReferenceData!$B$169),"",ReferenceData!$B$169),"")</f>
        <v>ACN US Equity</v>
      </c>
      <c r="C169" t="str">
        <f>IFERROR(IF(0=LEN(ReferenceData!$C$169),"",ReferenceData!$C$169),"")</f>
        <v>RR159</v>
      </c>
      <c r="D169" t="str">
        <f>IFERROR(IF(0=LEN(ReferenceData!$D$169),"",ReferenceData!$D$169),"")</f>
        <v>ACCT_RCV_DAYS</v>
      </c>
      <c r="E169" t="str">
        <f>IFERROR(IF(0=LEN(ReferenceData!$E$169),"",ReferenceData!$E$169),"")</f>
        <v>Dynamic</v>
      </c>
      <c r="F169">
        <f ca="1">IFERROR(IF(0=LEN(ReferenceData!$Q$169),"",ReferenceData!$Q$169),"")</f>
        <v>44.388713090000003</v>
      </c>
      <c r="G169">
        <f ca="1">IFERROR(IF(0=LEN(ReferenceData!$P$169),"",ReferenceData!$P$169),"")</f>
        <v>42.894978950000002</v>
      </c>
      <c r="H169">
        <f ca="1">IFERROR(IF(0=LEN(ReferenceData!$O$169),"",ReferenceData!$O$169),"")</f>
        <v>44.988173009999997</v>
      </c>
      <c r="I169">
        <f ca="1">IFERROR(IF(0=LEN(ReferenceData!$N$169),"",ReferenceData!$N$169),"")</f>
        <v>44.614149910000002</v>
      </c>
      <c r="J169">
        <f ca="1">IFERROR(IF(0=LEN(ReferenceData!$M$169),"",ReferenceData!$M$169),"")</f>
        <v>43.026869249999997</v>
      </c>
      <c r="K169">
        <f ca="1">IFERROR(IF(0=LEN(ReferenceData!$L$169),"",ReferenceData!$L$169),"")</f>
        <v>42.58664297</v>
      </c>
      <c r="L169">
        <f ca="1">IFERROR(IF(0=LEN(ReferenceData!$K$169),"",ReferenceData!$K$169),"")</f>
        <v>56.893824350000003</v>
      </c>
      <c r="M169">
        <f ca="1">IFERROR(IF(0=LEN(ReferenceData!$J$169),"",ReferenceData!$J$169),"")</f>
        <v>56.928804800000002</v>
      </c>
      <c r="N169">
        <f ca="1">IFERROR(IF(0=LEN(ReferenceData!$I$169),"",ReferenceData!$I$169),"")</f>
        <v>56.126530559999999</v>
      </c>
      <c r="O169">
        <f ca="1">IFERROR(IF(0=LEN(ReferenceData!$H$169),"",ReferenceData!$H$169),"")</f>
        <v>55.286418920000003</v>
      </c>
      <c r="P169">
        <f ca="1">IFERROR(IF(0=LEN(ReferenceData!$G$169),"",ReferenceData!$G$169),"")</f>
        <v>68.903556300000005</v>
      </c>
      <c r="Q169">
        <f ca="1">IFERROR(IF(0=LEN(ReferenceData!$F$169),"",ReferenceData!$F$169),"")</f>
        <v>68.311234189999993</v>
      </c>
    </row>
    <row r="170" spans="1:17" x14ac:dyDescent="0.25">
      <c r="A170" t="str">
        <f>IFERROR(IF(0=LEN(ReferenceData!$A$170),"",ReferenceData!$A$170),"")</f>
        <v xml:space="preserve">    Amdocs Ltd</v>
      </c>
      <c r="B170" t="str">
        <f>IFERROR(IF(0=LEN(ReferenceData!$B$170),"",ReferenceData!$B$170),"")</f>
        <v>DOX US Equity</v>
      </c>
      <c r="C170" t="str">
        <f>IFERROR(IF(0=LEN(ReferenceData!$C$170),"",ReferenceData!$C$170),"")</f>
        <v>RR159</v>
      </c>
      <c r="D170" t="str">
        <f>IFERROR(IF(0=LEN(ReferenceData!$D$170),"",ReferenceData!$D$170),"")</f>
        <v>ACCT_RCV_DAYS</v>
      </c>
      <c r="E170" t="str">
        <f>IFERROR(IF(0=LEN(ReferenceData!$E$170),"",ReferenceData!$E$170),"")</f>
        <v>Dynamic</v>
      </c>
      <c r="F170">
        <f ca="1">IFERROR(IF(0=LEN(ReferenceData!$Q$170),"",ReferenceData!$Q$170),"")</f>
        <v>64.106435540000007</v>
      </c>
      <c r="G170">
        <f ca="1">IFERROR(IF(0=LEN(ReferenceData!$P$170),"",ReferenceData!$P$170),"")</f>
        <v>62.283568930000001</v>
      </c>
      <c r="H170">
        <f ca="1">IFERROR(IF(0=LEN(ReferenceData!$O$170),"",ReferenceData!$O$170),"")</f>
        <v>65.456939329999997</v>
      </c>
      <c r="I170">
        <f ca="1">IFERROR(IF(0=LEN(ReferenceData!$N$170),"",ReferenceData!$N$170),"")</f>
        <v>66.010799899999995</v>
      </c>
      <c r="J170">
        <f ca="1">IFERROR(IF(0=LEN(ReferenceData!$M$170),"",ReferenceData!$M$170),"")</f>
        <v>67.041639070000002</v>
      </c>
      <c r="K170">
        <f ca="1">IFERROR(IF(0=LEN(ReferenceData!$L$170),"",ReferenceData!$L$170),"")</f>
        <v>61.656675479999997</v>
      </c>
      <c r="L170">
        <f ca="1">IFERROR(IF(0=LEN(ReferenceData!$K$170),"",ReferenceData!$K$170),"")</f>
        <v>76.947020480000006</v>
      </c>
      <c r="M170">
        <f ca="1">IFERROR(IF(0=LEN(ReferenceData!$J$170),"",ReferenceData!$J$170),"")</f>
        <v>67.268452749999994</v>
      </c>
      <c r="N170">
        <f ca="1">IFERROR(IF(0=LEN(ReferenceData!$I$170),"",ReferenceData!$I$170),"")</f>
        <v>75.813006099999996</v>
      </c>
      <c r="O170">
        <f ca="1">IFERROR(IF(0=LEN(ReferenceData!$H$170),"",ReferenceData!$H$170),"")</f>
        <v>75.710498569999999</v>
      </c>
      <c r="P170">
        <f ca="1">IFERROR(IF(0=LEN(ReferenceData!$G$170),"",ReferenceData!$G$170),"")</f>
        <v>89.154223259999995</v>
      </c>
      <c r="Q170">
        <f ca="1">IFERROR(IF(0=LEN(ReferenceData!$F$170),"",ReferenceData!$F$170),"")</f>
        <v>67.124007950000006</v>
      </c>
    </row>
    <row r="171" spans="1:17" x14ac:dyDescent="0.25">
      <c r="A171" t="str">
        <f>IFERROR(IF(0=LEN(ReferenceData!$A$171),"",ReferenceData!$A$171),"")</f>
        <v xml:space="preserve">    Atos SE</v>
      </c>
      <c r="B171" t="str">
        <f>IFERROR(IF(0=LEN(ReferenceData!$B$171),"",ReferenceData!$B$171),"")</f>
        <v>ATO FP Equity</v>
      </c>
      <c r="C171" t="str">
        <f>IFERROR(IF(0=LEN(ReferenceData!$C$171),"",ReferenceData!$C$171),"")</f>
        <v>RR159</v>
      </c>
      <c r="D171" t="str">
        <f>IFERROR(IF(0=LEN(ReferenceData!$D$171),"",ReferenceData!$D$171),"")</f>
        <v>ACCT_RCV_DAYS</v>
      </c>
      <c r="E171" t="str">
        <f>IFERROR(IF(0=LEN(ReferenceData!$E$171),"",ReferenceData!$E$171),"")</f>
        <v>Dynamic</v>
      </c>
      <c r="F171" t="str">
        <f ca="1">IFERROR(IF(0=LEN(ReferenceData!$Q$171),"",ReferenceData!$Q$171),"")</f>
        <v/>
      </c>
      <c r="G171" t="str">
        <f ca="1">IFERROR(IF(0=LEN(ReferenceData!$P$171),"",ReferenceData!$P$171),"")</f>
        <v/>
      </c>
      <c r="H171" t="str">
        <f ca="1">IFERROR(IF(0=LEN(ReferenceData!$O$171),"",ReferenceData!$O$171),"")</f>
        <v/>
      </c>
      <c r="I171" t="str">
        <f ca="1">IFERROR(IF(0=LEN(ReferenceData!$N$171),"",ReferenceData!$N$171),"")</f>
        <v/>
      </c>
      <c r="J171" t="str">
        <f ca="1">IFERROR(IF(0=LEN(ReferenceData!$M$171),"",ReferenceData!$M$171),"")</f>
        <v/>
      </c>
      <c r="K171" t="str">
        <f ca="1">IFERROR(IF(0=LEN(ReferenceData!$L$171),"",ReferenceData!$L$171),"")</f>
        <v/>
      </c>
      <c r="L171" t="str">
        <f ca="1">IFERROR(IF(0=LEN(ReferenceData!$K$171),"",ReferenceData!$K$171),"")</f>
        <v/>
      </c>
      <c r="M171" t="str">
        <f ca="1">IFERROR(IF(0=LEN(ReferenceData!$J$171),"",ReferenceData!$J$171),"")</f>
        <v/>
      </c>
      <c r="N171" t="str">
        <f ca="1">IFERROR(IF(0=LEN(ReferenceData!$I$171),"",ReferenceData!$I$171),"")</f>
        <v/>
      </c>
      <c r="O171" t="str">
        <f ca="1">IFERROR(IF(0=LEN(ReferenceData!$H$171),"",ReferenceData!$H$171),"")</f>
        <v/>
      </c>
      <c r="P171" t="str">
        <f ca="1">IFERROR(IF(0=LEN(ReferenceData!$G$171),"",ReferenceData!$G$171),"")</f>
        <v/>
      </c>
      <c r="Q171" t="str">
        <f ca="1">IFERROR(IF(0=LEN(ReferenceData!$F$171),"",ReferenceData!$F$171),"")</f>
        <v/>
      </c>
    </row>
    <row r="172" spans="1:17" x14ac:dyDescent="0.25">
      <c r="A172" t="str">
        <f>IFERROR(IF(0=LEN(ReferenceData!$A$172),"",ReferenceData!$A$172),"")</f>
        <v xml:space="preserve">    Capgemini SE</v>
      </c>
      <c r="B172" t="str">
        <f>IFERROR(IF(0=LEN(ReferenceData!$B$172),"",ReferenceData!$B$172),"")</f>
        <v>CAP FP Equity</v>
      </c>
      <c r="C172" t="str">
        <f>IFERROR(IF(0=LEN(ReferenceData!$C$172),"",ReferenceData!$C$172),"")</f>
        <v>RR159</v>
      </c>
      <c r="D172" t="str">
        <f>IFERROR(IF(0=LEN(ReferenceData!$D$172),"",ReferenceData!$D$172),"")</f>
        <v>ACCT_RCV_DAYS</v>
      </c>
      <c r="E172" t="str">
        <f>IFERROR(IF(0=LEN(ReferenceData!$E$172),"",ReferenceData!$E$172),"")</f>
        <v>Dynamic</v>
      </c>
      <c r="F172" t="str">
        <f ca="1">IFERROR(IF(0=LEN(ReferenceData!$Q$172),"",ReferenceData!$Q$172),"")</f>
        <v/>
      </c>
      <c r="G172" t="str">
        <f ca="1">IFERROR(IF(0=LEN(ReferenceData!$P$172),"",ReferenceData!$P$172),"")</f>
        <v/>
      </c>
      <c r="H172" t="str">
        <f ca="1">IFERROR(IF(0=LEN(ReferenceData!$O$172),"",ReferenceData!$O$172),"")</f>
        <v/>
      </c>
      <c r="I172" t="str">
        <f ca="1">IFERROR(IF(0=LEN(ReferenceData!$N$172),"",ReferenceData!$N$172),"")</f>
        <v/>
      </c>
      <c r="J172" t="str">
        <f ca="1">IFERROR(IF(0=LEN(ReferenceData!$M$172),"",ReferenceData!$M$172),"")</f>
        <v/>
      </c>
      <c r="K172" t="str">
        <f ca="1">IFERROR(IF(0=LEN(ReferenceData!$L$172),"",ReferenceData!$L$172),"")</f>
        <v/>
      </c>
      <c r="L172" t="str">
        <f ca="1">IFERROR(IF(0=LEN(ReferenceData!$K$172),"",ReferenceData!$K$172),"")</f>
        <v/>
      </c>
      <c r="M172" t="str">
        <f ca="1">IFERROR(IF(0=LEN(ReferenceData!$J$172),"",ReferenceData!$J$172),"")</f>
        <v/>
      </c>
      <c r="N172" t="str">
        <f ca="1">IFERROR(IF(0=LEN(ReferenceData!$I$172),"",ReferenceData!$I$172),"")</f>
        <v/>
      </c>
      <c r="O172" t="str">
        <f ca="1">IFERROR(IF(0=LEN(ReferenceData!$H$172),"",ReferenceData!$H$172),"")</f>
        <v/>
      </c>
      <c r="P172" t="str">
        <f ca="1">IFERROR(IF(0=LEN(ReferenceData!$G$172),"",ReferenceData!$G$172),"")</f>
        <v/>
      </c>
      <c r="Q172" t="str">
        <f ca="1">IFERROR(IF(0=LEN(ReferenceData!$F$172),"",ReferenceData!$F$172),"")</f>
        <v/>
      </c>
    </row>
    <row r="173" spans="1:17" x14ac:dyDescent="0.25">
      <c r="A173" t="str">
        <f>IFERROR(IF(0=LEN(ReferenceData!$A$173),"",ReferenceData!$A$173),"")</f>
        <v xml:space="preserve">    CGI Inc</v>
      </c>
      <c r="B173" t="str">
        <f>IFERROR(IF(0=LEN(ReferenceData!$B$173),"",ReferenceData!$B$173),"")</f>
        <v>GIB US Equity</v>
      </c>
      <c r="C173" t="str">
        <f>IFERROR(IF(0=LEN(ReferenceData!$C$173),"",ReferenceData!$C$173),"")</f>
        <v>RR159</v>
      </c>
      <c r="D173" t="str">
        <f>IFERROR(IF(0=LEN(ReferenceData!$D$173),"",ReferenceData!$D$173),"")</f>
        <v>ACCT_RCV_DAYS</v>
      </c>
      <c r="E173" t="str">
        <f>IFERROR(IF(0=LEN(ReferenceData!$E$173),"",ReferenceData!$E$173),"")</f>
        <v>Dynamic</v>
      </c>
      <c r="F173">
        <f ca="1">IFERROR(IF(0=LEN(ReferenceData!$Q$173),"",ReferenceData!$Q$173),"")</f>
        <v>40.742852470000003</v>
      </c>
      <c r="G173">
        <f ca="1">IFERROR(IF(0=LEN(ReferenceData!$P$173),"",ReferenceData!$P$173),"")</f>
        <v>29.422203379999999</v>
      </c>
      <c r="H173">
        <f ca="1">IFERROR(IF(0=LEN(ReferenceData!$O$173),"",ReferenceData!$O$173),"")</f>
        <v>44.192848429999998</v>
      </c>
      <c r="I173">
        <f ca="1">IFERROR(IF(0=LEN(ReferenceData!$N$173),"",ReferenceData!$N$173),"")</f>
        <v>41.101784379999998</v>
      </c>
      <c r="J173" t="str">
        <f ca="1">IFERROR(IF(0=LEN(ReferenceData!$M$173),"",ReferenceData!$M$173),"")</f>
        <v/>
      </c>
      <c r="K173">
        <f ca="1">IFERROR(IF(0=LEN(ReferenceData!$L$173),"",ReferenceData!$L$173),"")</f>
        <v>32.644983740000001</v>
      </c>
      <c r="L173">
        <f ca="1">IFERROR(IF(0=LEN(ReferenceData!$K$173),"",ReferenceData!$K$173),"")</f>
        <v>46.349088279999997</v>
      </c>
      <c r="M173">
        <f ca="1">IFERROR(IF(0=LEN(ReferenceData!$J$173),"",ReferenceData!$J$173),"")</f>
        <v>43.460135430000001</v>
      </c>
      <c r="N173" t="str">
        <f ca="1">IFERROR(IF(0=LEN(ReferenceData!$I$173),"",ReferenceData!$I$173),"")</f>
        <v/>
      </c>
      <c r="O173">
        <f ca="1">IFERROR(IF(0=LEN(ReferenceData!$H$173),"",ReferenceData!$H$173),"")</f>
        <v>31.742115340000002</v>
      </c>
      <c r="P173">
        <f ca="1">IFERROR(IF(0=LEN(ReferenceData!$G$173),"",ReferenceData!$G$173),"")</f>
        <v>46.114328700000002</v>
      </c>
      <c r="Q173">
        <f ca="1">IFERROR(IF(0=LEN(ReferenceData!$F$173),"",ReferenceData!$F$173),"")</f>
        <v>44.045891150000003</v>
      </c>
    </row>
    <row r="174" spans="1:17" x14ac:dyDescent="0.25">
      <c r="A174" t="str">
        <f>IFERROR(IF(0=LEN(ReferenceData!$A$174),"",ReferenceData!$A$174),"")</f>
        <v xml:space="preserve">    Cognizant Technology Solutions Corp</v>
      </c>
      <c r="B174" t="str">
        <f>IFERROR(IF(0=LEN(ReferenceData!$B$174),"",ReferenceData!$B$174),"")</f>
        <v>CTSH US Equity</v>
      </c>
      <c r="C174" t="str">
        <f>IFERROR(IF(0=LEN(ReferenceData!$C$174),"",ReferenceData!$C$174),"")</f>
        <v>RR159</v>
      </c>
      <c r="D174" t="str">
        <f>IFERROR(IF(0=LEN(ReferenceData!$D$174),"",ReferenceData!$D$174),"")</f>
        <v>ACCT_RCV_DAYS</v>
      </c>
      <c r="E174" t="str">
        <f>IFERROR(IF(0=LEN(ReferenceData!$E$174),"",ReferenceData!$E$174),"")</f>
        <v>Dynamic</v>
      </c>
      <c r="F174">
        <f ca="1">IFERROR(IF(0=LEN(ReferenceData!$Q$174),"",ReferenceData!$Q$174),"")</f>
        <v>65.961396930000006</v>
      </c>
      <c r="G174">
        <f ca="1">IFERROR(IF(0=LEN(ReferenceData!$P$174),"",ReferenceData!$P$174),"")</f>
        <v>67.99022085</v>
      </c>
      <c r="H174">
        <f ca="1">IFERROR(IF(0=LEN(ReferenceData!$O$174),"",ReferenceData!$O$174),"")</f>
        <v>66.801654290000002</v>
      </c>
      <c r="I174">
        <f ca="1">IFERROR(IF(0=LEN(ReferenceData!$N$174),"",ReferenceData!$N$174),"")</f>
        <v>69.616005540000003</v>
      </c>
      <c r="J174">
        <f ca="1">IFERROR(IF(0=LEN(ReferenceData!$M$174),"",ReferenceData!$M$174),"")</f>
        <v>69.225760699999995</v>
      </c>
      <c r="K174">
        <f ca="1">IFERROR(IF(0=LEN(ReferenceData!$L$174),"",ReferenceData!$L$174),"")</f>
        <v>70.075202219999994</v>
      </c>
      <c r="L174">
        <f ca="1">IFERROR(IF(0=LEN(ReferenceData!$K$174),"",ReferenceData!$K$174),"")</f>
        <v>68.529457359999995</v>
      </c>
      <c r="M174">
        <f ca="1">IFERROR(IF(0=LEN(ReferenceData!$J$174),"",ReferenceData!$J$174),"")</f>
        <v>72.91950009</v>
      </c>
      <c r="N174">
        <f ca="1">IFERROR(IF(0=LEN(ReferenceData!$I$174),"",ReferenceData!$I$174),"")</f>
        <v>73.075404059999997</v>
      </c>
      <c r="O174">
        <f ca="1">IFERROR(IF(0=LEN(ReferenceData!$H$174),"",ReferenceData!$H$174),"")</f>
        <v>72.712442870000004</v>
      </c>
      <c r="P174">
        <f ca="1">IFERROR(IF(0=LEN(ReferenceData!$G$174),"",ReferenceData!$G$174),"")</f>
        <v>70.094440800000001</v>
      </c>
      <c r="Q174">
        <f ca="1">IFERROR(IF(0=LEN(ReferenceData!$F$174),"",ReferenceData!$F$174),"")</f>
        <v>71.443425259999998</v>
      </c>
    </row>
    <row r="175" spans="1:17" x14ac:dyDescent="0.25">
      <c r="A175" t="str">
        <f>IFERROR(IF(0=LEN(ReferenceData!$A$175),"",ReferenceData!$A$175),"")</f>
        <v xml:space="preserve">    Conduent Inc</v>
      </c>
      <c r="B175" t="str">
        <f>IFERROR(IF(0=LEN(ReferenceData!$B$175),"",ReferenceData!$B$175),"")</f>
        <v>CNDT US Equity</v>
      </c>
      <c r="C175" t="str">
        <f>IFERROR(IF(0=LEN(ReferenceData!$C$175),"",ReferenceData!$C$175),"")</f>
        <v>RR159</v>
      </c>
      <c r="D175" t="str">
        <f>IFERROR(IF(0=LEN(ReferenceData!$D$175),"",ReferenceData!$D$175),"")</f>
        <v>ACCT_RCV_DAYS</v>
      </c>
      <c r="E175" t="str">
        <f>IFERROR(IF(0=LEN(ReferenceData!$E$175),"",ReferenceData!$E$175),"")</f>
        <v>Dynamic</v>
      </c>
      <c r="F175">
        <f ca="1">IFERROR(IF(0=LEN(ReferenceData!$Q$175),"",ReferenceData!$Q$175),"")</f>
        <v>82.819857119999995</v>
      </c>
      <c r="G175">
        <f ca="1">IFERROR(IF(0=LEN(ReferenceData!$P$175),"",ReferenceData!$P$175),"")</f>
        <v>85.496855870000005</v>
      </c>
      <c r="H175">
        <f ca="1">IFERROR(IF(0=LEN(ReferenceData!$O$175),"",ReferenceData!$O$175),"")</f>
        <v>72.763616740000003</v>
      </c>
      <c r="I175">
        <f ca="1">IFERROR(IF(0=LEN(ReferenceData!$N$175),"",ReferenceData!$N$175),"")</f>
        <v>75.429614540000003</v>
      </c>
      <c r="J175">
        <f ca="1">IFERROR(IF(0=LEN(ReferenceData!$M$175),"",ReferenceData!$M$175),"")</f>
        <v>73.978806230000004</v>
      </c>
      <c r="K175">
        <f ca="1">IFERROR(IF(0=LEN(ReferenceData!$L$175),"",ReferenceData!$L$175),"")</f>
        <v>76.920949320000005</v>
      </c>
      <c r="L175">
        <f ca="1">IFERROR(IF(0=LEN(ReferenceData!$K$175),"",ReferenceData!$K$175),"")</f>
        <v>64.194789540000002</v>
      </c>
      <c r="M175">
        <f ca="1">IFERROR(IF(0=LEN(ReferenceData!$J$175),"",ReferenceData!$J$175),"")</f>
        <v>65.658740989999998</v>
      </c>
      <c r="N175">
        <f ca="1">IFERROR(IF(0=LEN(ReferenceData!$I$175),"",ReferenceData!$I$175),"")</f>
        <v>65.919481050000002</v>
      </c>
      <c r="O175">
        <f ca="1">IFERROR(IF(0=LEN(ReferenceData!$H$175),"",ReferenceData!$H$175),"")</f>
        <v>70.291935480000006</v>
      </c>
      <c r="P175">
        <f ca="1">IFERROR(IF(0=LEN(ReferenceData!$G$175),"",ReferenceData!$G$175),"")</f>
        <v>58.586299529999998</v>
      </c>
      <c r="Q175">
        <f ca="1">IFERROR(IF(0=LEN(ReferenceData!$F$175),"",ReferenceData!$F$175),"")</f>
        <v>63.37844037</v>
      </c>
    </row>
    <row r="176" spans="1:17" x14ac:dyDescent="0.25">
      <c r="A176" t="str">
        <f>IFERROR(IF(0=LEN(ReferenceData!$A$176),"",ReferenceData!$A$176),"")</f>
        <v xml:space="preserve">    DXC Technology Co</v>
      </c>
      <c r="B176" t="str">
        <f>IFERROR(IF(0=LEN(ReferenceData!$B$176),"",ReferenceData!$B$176),"")</f>
        <v>DXC US Equity</v>
      </c>
      <c r="C176" t="str">
        <f>IFERROR(IF(0=LEN(ReferenceData!$C$176),"",ReferenceData!$C$176),"")</f>
        <v>RR159</v>
      </c>
      <c r="D176" t="str">
        <f>IFERROR(IF(0=LEN(ReferenceData!$D$176),"",ReferenceData!$D$176),"")</f>
        <v>ACCT_RCV_DAYS</v>
      </c>
      <c r="E176" t="str">
        <f>IFERROR(IF(0=LEN(ReferenceData!$E$176),"",ReferenceData!$E$176),"")</f>
        <v>Dynamic</v>
      </c>
      <c r="F176" t="str">
        <f ca="1">IFERROR(IF(0=LEN(ReferenceData!$Q$176),"",ReferenceData!$Q$176),"")</f>
        <v/>
      </c>
      <c r="G176" t="str">
        <f ca="1">IFERROR(IF(0=LEN(ReferenceData!$P$176),"",ReferenceData!$P$176),"")</f>
        <v/>
      </c>
      <c r="H176" t="str">
        <f ca="1">IFERROR(IF(0=LEN(ReferenceData!$O$176),"",ReferenceData!$O$176),"")</f>
        <v/>
      </c>
      <c r="I176">
        <f ca="1">IFERROR(IF(0=LEN(ReferenceData!$N$176),"",ReferenceData!$N$176),"")</f>
        <v>68.992775960000003</v>
      </c>
      <c r="J176">
        <f ca="1">IFERROR(IF(0=LEN(ReferenceData!$M$176),"",ReferenceData!$M$176),"")</f>
        <v>92.569792000000007</v>
      </c>
      <c r="K176">
        <f ca="1">IFERROR(IF(0=LEN(ReferenceData!$L$176),"",ReferenceData!$L$176),"")</f>
        <v>90.689816769999993</v>
      </c>
      <c r="L176">
        <f ca="1">IFERROR(IF(0=LEN(ReferenceData!$K$176),"",ReferenceData!$K$176),"")</f>
        <v>92.797050859999999</v>
      </c>
      <c r="M176">
        <f ca="1">IFERROR(IF(0=LEN(ReferenceData!$J$176),"",ReferenceData!$J$176),"")</f>
        <v>49.40418253</v>
      </c>
      <c r="N176">
        <f ca="1">IFERROR(IF(0=LEN(ReferenceData!$I$176),"",ReferenceData!$I$176),"")</f>
        <v>94.158562939999996</v>
      </c>
      <c r="O176">
        <f ca="1">IFERROR(IF(0=LEN(ReferenceData!$H$176),"",ReferenceData!$H$176),"")</f>
        <v>86.185826030000001</v>
      </c>
      <c r="P176">
        <f ca="1">IFERROR(IF(0=LEN(ReferenceData!$G$176),"",ReferenceData!$G$176),"")</f>
        <v>88.463601440000005</v>
      </c>
      <c r="Q176">
        <f ca="1">IFERROR(IF(0=LEN(ReferenceData!$F$176),"",ReferenceData!$F$176),"")</f>
        <v>43.018133519999999</v>
      </c>
    </row>
    <row r="177" spans="1:17" x14ac:dyDescent="0.25">
      <c r="A177" t="str">
        <f>IFERROR(IF(0=LEN(ReferenceData!$A$177),"",ReferenceData!$A$177),"")</f>
        <v xml:space="preserve">    EPAM Systems Inc</v>
      </c>
      <c r="B177" t="str">
        <f>IFERROR(IF(0=LEN(ReferenceData!$B$177),"",ReferenceData!$B$177),"")</f>
        <v>EPAM US Equity</v>
      </c>
      <c r="C177" t="str">
        <f>IFERROR(IF(0=LEN(ReferenceData!$C$177),"",ReferenceData!$C$177),"")</f>
        <v>RR159</v>
      </c>
      <c r="D177" t="str">
        <f>IFERROR(IF(0=LEN(ReferenceData!$D$177),"",ReferenceData!$D$177),"")</f>
        <v>ACCT_RCV_DAYS</v>
      </c>
      <c r="E177" t="str">
        <f>IFERROR(IF(0=LEN(ReferenceData!$E$177),"",ReferenceData!$E$177),"")</f>
        <v>Dynamic</v>
      </c>
      <c r="F177">
        <f ca="1">IFERROR(IF(0=LEN(ReferenceData!$Q$177),"",ReferenceData!$Q$177),"")</f>
        <v>54.953761180000001</v>
      </c>
      <c r="G177">
        <f ca="1">IFERROR(IF(0=LEN(ReferenceData!$P$177),"",ReferenceData!$P$177),"")</f>
        <v>55.893296280000001</v>
      </c>
      <c r="H177">
        <f ca="1">IFERROR(IF(0=LEN(ReferenceData!$O$177),"",ReferenceData!$O$177),"")</f>
        <v>58.585921380000002</v>
      </c>
      <c r="I177">
        <f ca="1">IFERROR(IF(0=LEN(ReferenceData!$N$177),"",ReferenceData!$N$177),"")</f>
        <v>51.688306679999997</v>
      </c>
      <c r="J177">
        <f ca="1">IFERROR(IF(0=LEN(ReferenceData!$M$177),"",ReferenceData!$M$177),"")</f>
        <v>54.449585970000001</v>
      </c>
      <c r="K177">
        <f ca="1">IFERROR(IF(0=LEN(ReferenceData!$L$177),"",ReferenceData!$L$177),"")</f>
        <v>53.826783910000003</v>
      </c>
      <c r="L177">
        <f ca="1">IFERROR(IF(0=LEN(ReferenceData!$K$177),"",ReferenceData!$K$177),"")</f>
        <v>55.784882840000002</v>
      </c>
      <c r="M177">
        <f ca="1">IFERROR(IF(0=LEN(ReferenceData!$J$177),"",ReferenceData!$J$177),"")</f>
        <v>53.571137159999999</v>
      </c>
      <c r="N177">
        <f ca="1">IFERROR(IF(0=LEN(ReferenceData!$I$177),"",ReferenceData!$I$177),"")</f>
        <v>55.91436641</v>
      </c>
      <c r="O177">
        <f ca="1">IFERROR(IF(0=LEN(ReferenceData!$H$177),"",ReferenceData!$H$177),"")</f>
        <v>52.357210729999998</v>
      </c>
      <c r="P177">
        <f ca="1">IFERROR(IF(0=LEN(ReferenceData!$G$177),"",ReferenceData!$G$177),"")</f>
        <v>63.283986859999999</v>
      </c>
      <c r="Q177">
        <f ca="1">IFERROR(IF(0=LEN(ReferenceData!$F$177),"",ReferenceData!$F$177),"")</f>
        <v>64.167901630000003</v>
      </c>
    </row>
    <row r="178" spans="1:17" x14ac:dyDescent="0.25">
      <c r="A178" t="str">
        <f>IFERROR(IF(0=LEN(ReferenceData!$A$178),"",ReferenceData!$A$178),"")</f>
        <v xml:space="preserve">    Genpact Ltd</v>
      </c>
      <c r="B178" t="str">
        <f>IFERROR(IF(0=LEN(ReferenceData!$B$178),"",ReferenceData!$B$178),"")</f>
        <v>G US Equity</v>
      </c>
      <c r="C178" t="str">
        <f>IFERROR(IF(0=LEN(ReferenceData!$C$178),"",ReferenceData!$C$178),"")</f>
        <v>RR159</v>
      </c>
      <c r="D178" t="str">
        <f>IFERROR(IF(0=LEN(ReferenceData!$D$178),"",ReferenceData!$D$178),"")</f>
        <v>ACCT_RCV_DAYS</v>
      </c>
      <c r="E178" t="str">
        <f>IFERROR(IF(0=LEN(ReferenceData!$E$178),"",ReferenceData!$E$178),"")</f>
        <v>Dynamic</v>
      </c>
      <c r="F178">
        <f ca="1">IFERROR(IF(0=LEN(ReferenceData!$Q$178),"",ReferenceData!$Q$178),"")</f>
        <v>85.945847000000001</v>
      </c>
      <c r="G178">
        <f ca="1">IFERROR(IF(0=LEN(ReferenceData!$P$178),"",ReferenceData!$P$178),"")</f>
        <v>87.040299329999996</v>
      </c>
      <c r="H178">
        <f ca="1">IFERROR(IF(0=LEN(ReferenceData!$O$178),"",ReferenceData!$O$178),"")</f>
        <v>87.241530560000001</v>
      </c>
      <c r="I178">
        <f ca="1">IFERROR(IF(0=LEN(ReferenceData!$N$178),"",ReferenceData!$N$178),"")</f>
        <v>85.032678390000001</v>
      </c>
      <c r="J178">
        <f ca="1">IFERROR(IF(0=LEN(ReferenceData!$M$178),"",ReferenceData!$M$178),"")</f>
        <v>84.781470330000005</v>
      </c>
      <c r="K178">
        <f ca="1">IFERROR(IF(0=LEN(ReferenceData!$L$178),"",ReferenceData!$L$178),"")</f>
        <v>86.895282850000001</v>
      </c>
      <c r="L178">
        <f ca="1">IFERROR(IF(0=LEN(ReferenceData!$K$178),"",ReferenceData!$K$178),"")</f>
        <v>89.235365520000002</v>
      </c>
      <c r="M178">
        <f ca="1">IFERROR(IF(0=LEN(ReferenceData!$J$178),"",ReferenceData!$J$178),"")</f>
        <v>90.169179999999997</v>
      </c>
      <c r="N178">
        <f ca="1">IFERROR(IF(0=LEN(ReferenceData!$I$178),"",ReferenceData!$I$178),"")</f>
        <v>86.277614880000002</v>
      </c>
      <c r="O178">
        <f ca="1">IFERROR(IF(0=LEN(ReferenceData!$H$178),"",ReferenceData!$H$178),"")</f>
        <v>84.073508050000001</v>
      </c>
      <c r="P178">
        <f ca="1">IFERROR(IF(0=LEN(ReferenceData!$G$178),"",ReferenceData!$G$178),"")</f>
        <v>87.526304179999997</v>
      </c>
      <c r="Q178">
        <f ca="1">IFERROR(IF(0=LEN(ReferenceData!$F$178),"",ReferenceData!$F$178),"")</f>
        <v>88.110536740000001</v>
      </c>
    </row>
    <row r="179" spans="1:17" x14ac:dyDescent="0.25">
      <c r="A179" t="str">
        <f>IFERROR(IF(0=LEN(ReferenceData!$A$179),"",ReferenceData!$A$179),"")</f>
        <v xml:space="preserve">    HCL Technologies Ltd</v>
      </c>
      <c r="B179" t="str">
        <f>IFERROR(IF(0=LEN(ReferenceData!$B$179),"",ReferenceData!$B$179),"")</f>
        <v>HCLT IN Equity</v>
      </c>
      <c r="C179" t="str">
        <f>IFERROR(IF(0=LEN(ReferenceData!$C$179),"",ReferenceData!$C$179),"")</f>
        <v>RR159</v>
      </c>
      <c r="D179" t="str">
        <f>IFERROR(IF(0=LEN(ReferenceData!$D$179),"",ReferenceData!$D$179),"")</f>
        <v>ACCT_RCV_DAYS</v>
      </c>
      <c r="E179" t="str">
        <f>IFERROR(IF(0=LEN(ReferenceData!$E$179),"",ReferenceData!$E$179),"")</f>
        <v>Dynamic</v>
      </c>
      <c r="F179" t="str">
        <f ca="1">IFERROR(IF(0=LEN(ReferenceData!$Q$179),"",ReferenceData!$Q$179),"")</f>
        <v/>
      </c>
      <c r="G179">
        <f ca="1">IFERROR(IF(0=LEN(ReferenceData!$P$179),"",ReferenceData!$P$179),"")</f>
        <v>61.85449363</v>
      </c>
      <c r="H179" t="str">
        <f ca="1">IFERROR(IF(0=LEN(ReferenceData!$O$179),"",ReferenceData!$O$179),"")</f>
        <v/>
      </c>
      <c r="I179">
        <f ca="1">IFERROR(IF(0=LEN(ReferenceData!$N$179),"",ReferenceData!$N$179),"")</f>
        <v>64.715116550000005</v>
      </c>
      <c r="J179">
        <f ca="1">IFERROR(IF(0=LEN(ReferenceData!$M$179),"",ReferenceData!$M$179),"")</f>
        <v>64.337437879999996</v>
      </c>
      <c r="K179">
        <f ca="1">IFERROR(IF(0=LEN(ReferenceData!$L$179),"",ReferenceData!$L$179),"")</f>
        <v>63.676725329999996</v>
      </c>
      <c r="L179">
        <f ca="1">IFERROR(IF(0=LEN(ReferenceData!$K$179),"",ReferenceData!$K$179),"")</f>
        <v>66.564257299999994</v>
      </c>
      <c r="M179">
        <f ca="1">IFERROR(IF(0=LEN(ReferenceData!$J$179),"",ReferenceData!$J$179),"")</f>
        <v>67.086549969999993</v>
      </c>
      <c r="N179">
        <f ca="1">IFERROR(IF(0=LEN(ReferenceData!$I$179),"",ReferenceData!$I$179),"")</f>
        <v>65.280769449999994</v>
      </c>
      <c r="O179">
        <f ca="1">IFERROR(IF(0=LEN(ReferenceData!$H$179),"",ReferenceData!$H$179),"")</f>
        <v>67.281529719999995</v>
      </c>
      <c r="P179">
        <f ca="1">IFERROR(IF(0=LEN(ReferenceData!$G$179),"",ReferenceData!$G$179),"")</f>
        <v>65.306631580000001</v>
      </c>
      <c r="Q179">
        <f ca="1">IFERROR(IF(0=LEN(ReferenceData!$F$179),"",ReferenceData!$F$179),"")</f>
        <v>65.595443840000002</v>
      </c>
    </row>
    <row r="180" spans="1:17" x14ac:dyDescent="0.25">
      <c r="A180" t="str">
        <f>IFERROR(IF(0=LEN(ReferenceData!$A$180),"",ReferenceData!$A$180),"")</f>
        <v xml:space="preserve">    Indra Sistemas SA</v>
      </c>
      <c r="B180" t="str">
        <f>IFERROR(IF(0=LEN(ReferenceData!$B$180),"",ReferenceData!$B$180),"")</f>
        <v>IDR SM Equity</v>
      </c>
      <c r="C180" t="str">
        <f>IFERROR(IF(0=LEN(ReferenceData!$C$180),"",ReferenceData!$C$180),"")</f>
        <v>RR159</v>
      </c>
      <c r="D180" t="str">
        <f>IFERROR(IF(0=LEN(ReferenceData!$D$180),"",ReferenceData!$D$180),"")</f>
        <v>ACCT_RCV_DAYS</v>
      </c>
      <c r="E180" t="str">
        <f>IFERROR(IF(0=LEN(ReferenceData!$E$180),"",ReferenceData!$E$180),"")</f>
        <v>Dynamic</v>
      </c>
      <c r="F180" t="str">
        <f ca="1">IFERROR(IF(0=LEN(ReferenceData!$Q$180),"",ReferenceData!$Q$180),"")</f>
        <v/>
      </c>
      <c r="G180" t="str">
        <f ca="1">IFERROR(IF(0=LEN(ReferenceData!$P$180),"",ReferenceData!$P$180),"")</f>
        <v/>
      </c>
      <c r="H180">
        <f ca="1">IFERROR(IF(0=LEN(ReferenceData!$O$180),"",ReferenceData!$O$180),"")</f>
        <v>145.70975240000001</v>
      </c>
      <c r="I180" t="str">
        <f ca="1">IFERROR(IF(0=LEN(ReferenceData!$N$180),"",ReferenceData!$N$180),"")</f>
        <v/>
      </c>
      <c r="J180">
        <f ca="1">IFERROR(IF(0=LEN(ReferenceData!$M$180),"",ReferenceData!$M$180),"")</f>
        <v>138.0613492</v>
      </c>
      <c r="K180" t="str">
        <f ca="1">IFERROR(IF(0=LEN(ReferenceData!$L$180),"",ReferenceData!$L$180),"")</f>
        <v/>
      </c>
      <c r="L180">
        <f ca="1">IFERROR(IF(0=LEN(ReferenceData!$K$180),"",ReferenceData!$K$180),"")</f>
        <v>127.678697</v>
      </c>
      <c r="M180" t="str">
        <f ca="1">IFERROR(IF(0=LEN(ReferenceData!$J$180),"",ReferenceData!$J$180),"")</f>
        <v/>
      </c>
      <c r="N180">
        <f ca="1">IFERROR(IF(0=LEN(ReferenceData!$I$180),"",ReferenceData!$I$180),"")</f>
        <v>119.0543134</v>
      </c>
      <c r="O180" t="str">
        <f ca="1">IFERROR(IF(0=LEN(ReferenceData!$H$180),"",ReferenceData!$H$180),"")</f>
        <v/>
      </c>
      <c r="P180">
        <f ca="1">IFERROR(IF(0=LEN(ReferenceData!$G$180),"",ReferenceData!$G$180),"")</f>
        <v>112.9156717</v>
      </c>
      <c r="Q180" t="str">
        <f ca="1">IFERROR(IF(0=LEN(ReferenceData!$F$180),"",ReferenceData!$F$180),"")</f>
        <v/>
      </c>
    </row>
    <row r="181" spans="1:17" x14ac:dyDescent="0.25">
      <c r="A181" t="str">
        <f>IFERROR(IF(0=LEN(ReferenceData!$A$181),"",ReferenceData!$A$181),"")</f>
        <v xml:space="preserve">    Infosys Ltd</v>
      </c>
      <c r="B181" t="str">
        <f>IFERROR(IF(0=LEN(ReferenceData!$B$181),"",ReferenceData!$B$181),"")</f>
        <v>INFY US Equity</v>
      </c>
      <c r="C181" t="str">
        <f>IFERROR(IF(0=LEN(ReferenceData!$C$181),"",ReferenceData!$C$181),"")</f>
        <v>RR159</v>
      </c>
      <c r="D181" t="str">
        <f>IFERROR(IF(0=LEN(ReferenceData!$D$181),"",ReferenceData!$D$181),"")</f>
        <v>ACCT_RCV_DAYS</v>
      </c>
      <c r="E181" t="str">
        <f>IFERROR(IF(0=LEN(ReferenceData!$E$181),"",ReferenceData!$E$181),"")</f>
        <v>Dynamic</v>
      </c>
      <c r="F181">
        <f ca="1">IFERROR(IF(0=LEN(ReferenceData!$Q$181),"",ReferenceData!$Q$181),"")</f>
        <v>64.687568909999996</v>
      </c>
      <c r="G181">
        <f ca="1">IFERROR(IF(0=LEN(ReferenceData!$P$181),"",ReferenceData!$P$181),"")</f>
        <v>66.070931950000002</v>
      </c>
      <c r="H181">
        <f ca="1">IFERROR(IF(0=LEN(ReferenceData!$O$181),"",ReferenceData!$O$181),"")</f>
        <v>68.438483880000007</v>
      </c>
      <c r="I181">
        <f ca="1">IFERROR(IF(0=LEN(ReferenceData!$N$181),"",ReferenceData!$N$181),"")</f>
        <v>65.896883239999994</v>
      </c>
      <c r="J181">
        <f ca="1">IFERROR(IF(0=LEN(ReferenceData!$M$181),"",ReferenceData!$M$181),"")</f>
        <v>65.853600560000004</v>
      </c>
      <c r="K181">
        <f ca="1">IFERROR(IF(0=LEN(ReferenceData!$L$181),"",ReferenceData!$L$181),"")</f>
        <v>68.072446900000003</v>
      </c>
      <c r="L181">
        <f ca="1">IFERROR(IF(0=LEN(ReferenceData!$K$181),"",ReferenceData!$K$181),"")</f>
        <v>64.513127999999995</v>
      </c>
      <c r="M181">
        <f ca="1">IFERROR(IF(0=LEN(ReferenceData!$J$181),"",ReferenceData!$J$181),"")</f>
        <v>61.739108080000001</v>
      </c>
      <c r="N181">
        <f ca="1">IFERROR(IF(0=LEN(ReferenceData!$I$181),"",ReferenceData!$I$181),"")</f>
        <v>63.082037700000001</v>
      </c>
      <c r="O181">
        <f ca="1">IFERROR(IF(0=LEN(ReferenceData!$H$181),"",ReferenceData!$H$181),"")</f>
        <v>64.41004452</v>
      </c>
      <c r="P181">
        <f ca="1">IFERROR(IF(0=LEN(ReferenceData!$G$181),"",ReferenceData!$G$181),"")</f>
        <v>67.448547660000003</v>
      </c>
      <c r="Q181">
        <f ca="1">IFERROR(IF(0=LEN(ReferenceData!$F$181),"",ReferenceData!$F$181),"")</f>
        <v>67.148307650000007</v>
      </c>
    </row>
    <row r="182" spans="1:17" x14ac:dyDescent="0.25">
      <c r="A182" t="str">
        <f>IFERROR(IF(0=LEN(ReferenceData!$A$182),"",ReferenceData!$A$182),"")</f>
        <v xml:space="preserve">    International Business Machines Corp</v>
      </c>
      <c r="B182" t="str">
        <f>IFERROR(IF(0=LEN(ReferenceData!$B$182),"",ReferenceData!$B$182),"")</f>
        <v>IBM US Equity</v>
      </c>
      <c r="C182" t="str">
        <f>IFERROR(IF(0=LEN(ReferenceData!$C$182),"",ReferenceData!$C$182),"")</f>
        <v>RR159</v>
      </c>
      <c r="D182" t="str">
        <f>IFERROR(IF(0=LEN(ReferenceData!$D$182),"",ReferenceData!$D$182),"")</f>
        <v>ACCT_RCV_DAYS</v>
      </c>
      <c r="E182" t="str">
        <f>IFERROR(IF(0=LEN(ReferenceData!$E$182),"",ReferenceData!$E$182),"")</f>
        <v>Dynamic</v>
      </c>
      <c r="F182">
        <f ca="1">IFERROR(IF(0=LEN(ReferenceData!$Q$182),"",ReferenceData!$Q$182),"")</f>
        <v>119.5440145</v>
      </c>
      <c r="G182">
        <f ca="1">IFERROR(IF(0=LEN(ReferenceData!$P$182),"",ReferenceData!$P$182),"")</f>
        <v>117.6572728</v>
      </c>
      <c r="H182">
        <f ca="1">IFERROR(IF(0=LEN(ReferenceData!$O$182),"",ReferenceData!$O$182),"")</f>
        <v>135.68047129999999</v>
      </c>
      <c r="I182">
        <f ca="1">IFERROR(IF(0=LEN(ReferenceData!$N$182),"",ReferenceData!$N$182),"")</f>
        <v>120.2776147</v>
      </c>
      <c r="J182">
        <f ca="1">IFERROR(IF(0=LEN(ReferenceData!$M$182),"",ReferenceData!$M$182),"")</f>
        <v>120.23792570000001</v>
      </c>
      <c r="K182">
        <f ca="1">IFERROR(IF(0=LEN(ReferenceData!$L$182),"",ReferenceData!$L$182),"")</f>
        <v>119.25373879999999</v>
      </c>
      <c r="L182">
        <f ca="1">IFERROR(IF(0=LEN(ReferenceData!$K$182),"",ReferenceData!$K$182),"")</f>
        <v>138.65377369999999</v>
      </c>
      <c r="M182">
        <f ca="1">IFERROR(IF(0=LEN(ReferenceData!$J$182),"",ReferenceData!$J$182),"")</f>
        <v>128.22838970000001</v>
      </c>
      <c r="N182">
        <f ca="1">IFERROR(IF(0=LEN(ReferenceData!$I$182),"",ReferenceData!$I$182),"")</f>
        <v>117.6865873</v>
      </c>
      <c r="O182">
        <f ca="1">IFERROR(IF(0=LEN(ReferenceData!$H$182),"",ReferenceData!$H$182),"")</f>
        <v>107.428239</v>
      </c>
      <c r="P182">
        <f ca="1">IFERROR(IF(0=LEN(ReferenceData!$G$182),"",ReferenceData!$G$182),"")</f>
        <v>122.731179</v>
      </c>
      <c r="Q182">
        <f ca="1">IFERROR(IF(0=LEN(ReferenceData!$F$182),"",ReferenceData!$F$182),"")</f>
        <v>110.767877</v>
      </c>
    </row>
    <row r="183" spans="1:17" x14ac:dyDescent="0.25">
      <c r="A183" t="str">
        <f>IFERROR(IF(0=LEN(ReferenceData!$A$183),"",ReferenceData!$A$183),"")</f>
        <v xml:space="preserve">    Tata Consultancy Services Ltd</v>
      </c>
      <c r="B183" t="str">
        <f>IFERROR(IF(0=LEN(ReferenceData!$B$183),"",ReferenceData!$B$183),"")</f>
        <v>TCS IN Equity</v>
      </c>
      <c r="C183" t="str">
        <f>IFERROR(IF(0=LEN(ReferenceData!$C$183),"",ReferenceData!$C$183),"")</f>
        <v>RR159</v>
      </c>
      <c r="D183" t="str">
        <f>IFERROR(IF(0=LEN(ReferenceData!$D$183),"",ReferenceData!$D$183),"")</f>
        <v>ACCT_RCV_DAYS</v>
      </c>
      <c r="E183" t="str">
        <f>IFERROR(IF(0=LEN(ReferenceData!$E$183),"",ReferenceData!$E$183),"")</f>
        <v>Dynamic</v>
      </c>
      <c r="F183">
        <f ca="1">IFERROR(IF(0=LEN(ReferenceData!$Q$183),"",ReferenceData!$Q$183),"")</f>
        <v>73.212989980000003</v>
      </c>
      <c r="G183">
        <f ca="1">IFERROR(IF(0=LEN(ReferenceData!$P$183),"",ReferenceData!$P$183),"")</f>
        <v>76.059229130000006</v>
      </c>
      <c r="H183">
        <f ca="1">IFERROR(IF(0=LEN(ReferenceData!$O$183),"",ReferenceData!$O$183),"")</f>
        <v>73.28372186</v>
      </c>
      <c r="I183">
        <f ca="1">IFERROR(IF(0=LEN(ReferenceData!$N$183),"",ReferenceData!$N$183),"")</f>
        <v>70.507050950000007</v>
      </c>
      <c r="J183">
        <f ca="1">IFERROR(IF(0=LEN(ReferenceData!$M$183),"",ReferenceData!$M$183),"")</f>
        <v>71.312695160000004</v>
      </c>
      <c r="K183">
        <f ca="1">IFERROR(IF(0=LEN(ReferenceData!$L$183),"",ReferenceData!$L$183),"")</f>
        <v>72.618107449999997</v>
      </c>
      <c r="L183">
        <f ca="1">IFERROR(IF(0=LEN(ReferenceData!$K$183),"",ReferenceData!$K$183),"")</f>
        <v>66.908961199999993</v>
      </c>
      <c r="M183">
        <f ca="1">IFERROR(IF(0=LEN(ReferenceData!$J$183),"",ReferenceData!$J$183),"")</f>
        <v>65.154629499999999</v>
      </c>
      <c r="N183">
        <f ca="1">IFERROR(IF(0=LEN(ReferenceData!$I$183),"",ReferenceData!$I$183),"")</f>
        <v>67.103405510000002</v>
      </c>
      <c r="O183">
        <f ca="1">IFERROR(IF(0=LEN(ReferenceData!$H$183),"",ReferenceData!$H$183),"")</f>
        <v>67.337242700000004</v>
      </c>
      <c r="P183">
        <f ca="1">IFERROR(IF(0=LEN(ReferenceData!$G$183),"",ReferenceData!$G$183),"")</f>
        <v>66.412655709999996</v>
      </c>
      <c r="Q183">
        <f ca="1">IFERROR(IF(0=LEN(ReferenceData!$F$183),"",ReferenceData!$F$183),"")</f>
        <v>67.484813540000005</v>
      </c>
    </row>
    <row r="184" spans="1:17" x14ac:dyDescent="0.25">
      <c r="A184" t="str">
        <f>IFERROR(IF(0=LEN(ReferenceData!$A$184),"",ReferenceData!$A$184),"")</f>
        <v xml:space="preserve">    Tech Mahindra Ltd</v>
      </c>
      <c r="B184" t="str">
        <f>IFERROR(IF(0=LEN(ReferenceData!$B$184),"",ReferenceData!$B$184),"")</f>
        <v>TECHM IN Equity</v>
      </c>
      <c r="C184" t="str">
        <f>IFERROR(IF(0=LEN(ReferenceData!$C$184),"",ReferenceData!$C$184),"")</f>
        <v>RR159</v>
      </c>
      <c r="D184" t="str">
        <f>IFERROR(IF(0=LEN(ReferenceData!$D$184),"",ReferenceData!$D$184),"")</f>
        <v>ACCT_RCV_DAYS</v>
      </c>
      <c r="E184" t="str">
        <f>IFERROR(IF(0=LEN(ReferenceData!$E$184),"",ReferenceData!$E$184),"")</f>
        <v>Dynamic</v>
      </c>
      <c r="F184">
        <f ca="1">IFERROR(IF(0=LEN(ReferenceData!$Q$184),"",ReferenceData!$Q$184),"")</f>
        <v>72.670245410000007</v>
      </c>
      <c r="G184">
        <f ca="1">IFERROR(IF(0=LEN(ReferenceData!$P$184),"",ReferenceData!$P$184),"")</f>
        <v>74.857296950000006</v>
      </c>
      <c r="H184">
        <f ca="1">IFERROR(IF(0=LEN(ReferenceData!$O$184),"",ReferenceData!$O$184),"")</f>
        <v>75.788374309999995</v>
      </c>
      <c r="I184">
        <f ca="1">IFERROR(IF(0=LEN(ReferenceData!$N$184),"",ReferenceData!$N$184),"")</f>
        <v>70.191440920000005</v>
      </c>
      <c r="J184">
        <f ca="1">IFERROR(IF(0=LEN(ReferenceData!$M$184),"",ReferenceData!$M$184),"")</f>
        <v>72.121554110000005</v>
      </c>
      <c r="K184">
        <f ca="1">IFERROR(IF(0=LEN(ReferenceData!$L$184),"",ReferenceData!$L$184),"")</f>
        <v>74.455045560000002</v>
      </c>
      <c r="L184">
        <f ca="1">IFERROR(IF(0=LEN(ReferenceData!$K$184),"",ReferenceData!$K$184),"")</f>
        <v>75.797803700000003</v>
      </c>
      <c r="M184">
        <f ca="1">IFERROR(IF(0=LEN(ReferenceData!$J$184),"",ReferenceData!$J$184),"")</f>
        <v>70.686836130000003</v>
      </c>
      <c r="N184">
        <f ca="1">IFERROR(IF(0=LEN(ReferenceData!$I$184),"",ReferenceData!$I$184),"")</f>
        <v>69.322650089999996</v>
      </c>
      <c r="O184">
        <f ca="1">IFERROR(IF(0=LEN(ReferenceData!$H$184),"",ReferenceData!$H$184),"")</f>
        <v>74.503863330000001</v>
      </c>
      <c r="P184">
        <f ca="1">IFERROR(IF(0=LEN(ReferenceData!$G$184),"",ReferenceData!$G$184),"")</f>
        <v>78.176616249999995</v>
      </c>
      <c r="Q184">
        <f ca="1">IFERROR(IF(0=LEN(ReferenceData!$F$184),"",ReferenceData!$F$184),"")</f>
        <v>72.151207760000005</v>
      </c>
    </row>
    <row r="185" spans="1:17" x14ac:dyDescent="0.25">
      <c r="A185" t="str">
        <f>IFERROR(IF(0=LEN(ReferenceData!$A$185),"",ReferenceData!$A$185),"")</f>
        <v xml:space="preserve">    Wipro Ltd</v>
      </c>
      <c r="B185" t="str">
        <f>IFERROR(IF(0=LEN(ReferenceData!$B$185),"",ReferenceData!$B$185),"")</f>
        <v>WIT US Equity</v>
      </c>
      <c r="C185" t="str">
        <f>IFERROR(IF(0=LEN(ReferenceData!$C$185),"",ReferenceData!$C$185),"")</f>
        <v>RR159</v>
      </c>
      <c r="D185" t="str">
        <f>IFERROR(IF(0=LEN(ReferenceData!$D$185),"",ReferenceData!$D$185),"")</f>
        <v>ACCT_RCV_DAYS</v>
      </c>
      <c r="E185" t="str">
        <f>IFERROR(IF(0=LEN(ReferenceData!$E$185),"",ReferenceData!$E$185),"")</f>
        <v>Dynamic</v>
      </c>
      <c r="F185">
        <f ca="1">IFERROR(IF(0=LEN(ReferenceData!$Q$185),"",ReferenceData!$Q$185),"")</f>
        <v>66.291388139999995</v>
      </c>
      <c r="G185">
        <f ca="1">IFERROR(IF(0=LEN(ReferenceData!$P$185),"",ReferenceData!$P$185),"")</f>
        <v>67.049861309999997</v>
      </c>
      <c r="H185" t="str">
        <f ca="1">IFERROR(IF(0=LEN(ReferenceData!$O$185),"",ReferenceData!$O$185),"")</f>
        <v/>
      </c>
      <c r="I185">
        <f ca="1">IFERROR(IF(0=LEN(ReferenceData!$N$185),"",ReferenceData!$N$185),"")</f>
        <v>65.593635919999997</v>
      </c>
      <c r="J185">
        <f ca="1">IFERROR(IF(0=LEN(ReferenceData!$M$185),"",ReferenceData!$M$185),"")</f>
        <v>65.081894719999994</v>
      </c>
      <c r="K185">
        <f ca="1">IFERROR(IF(0=LEN(ReferenceData!$L$185),"",ReferenceData!$L$185),"")</f>
        <v>67.274091569999996</v>
      </c>
      <c r="L185">
        <f ca="1">IFERROR(IF(0=LEN(ReferenceData!$K$185),"",ReferenceData!$K$185),"")</f>
        <v>63.661843380000001</v>
      </c>
      <c r="M185">
        <f ca="1">IFERROR(IF(0=LEN(ReferenceData!$J$185),"",ReferenceData!$J$185),"")</f>
        <v>62.76390086</v>
      </c>
      <c r="N185">
        <f ca="1">IFERROR(IF(0=LEN(ReferenceData!$I$185),"",ReferenceData!$I$185),"")</f>
        <v>59.50556615</v>
      </c>
      <c r="O185">
        <f ca="1">IFERROR(IF(0=LEN(ReferenceData!$H$185),"",ReferenceData!$H$185),"")</f>
        <v>61.918244790000003</v>
      </c>
      <c r="P185">
        <f ca="1">IFERROR(IF(0=LEN(ReferenceData!$G$185),"",ReferenceData!$G$185),"")</f>
        <v>60.713620200000001</v>
      </c>
      <c r="Q185">
        <f ca="1">IFERROR(IF(0=LEN(ReferenceData!$F$185),"",ReferenceData!$F$185),"")</f>
        <v>61.46552295</v>
      </c>
    </row>
    <row r="186" spans="1:17" x14ac:dyDescent="0.25">
      <c r="A186" t="str">
        <f>IFERROR(IF(0=LEN(ReferenceData!$A$186),"",ReferenceData!$A$186),"")</f>
        <v>Source: Company Filings</v>
      </c>
      <c r="B186" t="str">
        <f>IFERROR(IF(0=LEN(ReferenceData!$B$186),"",ReferenceData!$B$186),"")</f>
        <v/>
      </c>
      <c r="C186" t="str">
        <f>IFERROR(IF(0=LEN(ReferenceData!$C$186),"",ReferenceData!$C$186),"")</f>
        <v/>
      </c>
      <c r="D186" t="str">
        <f>IFERROR(IF(0=LEN(ReferenceData!$D$186),"",ReferenceData!$D$186),"")</f>
        <v/>
      </c>
      <c r="E186" t="str">
        <f>IFERROR(IF(0=LEN(ReferenceData!$E$186),"",ReferenceData!$E$186),"")</f>
        <v>Heading</v>
      </c>
      <c r="F186" t="str">
        <f>IFERROR(IF(0=LEN(ReferenceData!$Q$186),"",ReferenceData!$Q$186),"")</f>
        <v/>
      </c>
      <c r="G186" t="str">
        <f>IFERROR(IF(0=LEN(ReferenceData!$P$186),"",ReferenceData!$P$186),"")</f>
        <v/>
      </c>
      <c r="H186" t="str">
        <f>IFERROR(IF(0=LEN(ReferenceData!$O$186),"",ReferenceData!$O$186),"")</f>
        <v/>
      </c>
      <c r="I186" t="str">
        <f>IFERROR(IF(0=LEN(ReferenceData!$N$186),"",ReferenceData!$N$186),"")</f>
        <v/>
      </c>
      <c r="J186" t="str">
        <f>IFERROR(IF(0=LEN(ReferenceData!$M$186),"",ReferenceData!$M$186),"")</f>
        <v/>
      </c>
      <c r="K186" t="str">
        <f>IFERROR(IF(0=LEN(ReferenceData!$L$186),"",ReferenceData!$L$186),"")</f>
        <v/>
      </c>
      <c r="L186" t="str">
        <f>IFERROR(IF(0=LEN(ReferenceData!$K$186),"",ReferenceData!$K$186),"")</f>
        <v/>
      </c>
      <c r="M186" t="str">
        <f>IFERROR(IF(0=LEN(ReferenceData!$J$186),"",ReferenceData!$J$186),"")</f>
        <v/>
      </c>
      <c r="N186" t="str">
        <f>IFERROR(IF(0=LEN(ReferenceData!$I$186),"",ReferenceData!$I$186),"")</f>
        <v/>
      </c>
      <c r="O186" t="str">
        <f>IFERROR(IF(0=LEN(ReferenceData!$H$186),"",ReferenceData!$H$186),"")</f>
        <v/>
      </c>
      <c r="P186" t="str">
        <f>IFERROR(IF(0=LEN(ReferenceData!$G$186),"",ReferenceData!$G$186),"")</f>
        <v/>
      </c>
      <c r="Q186" t="str">
        <f>IFERROR(IF(0=LEN(ReferenceData!$F$186),"",ReferenceData!$F$186),"")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9DA0-D138-4033-90A7-67C68541B122}">
  <dimension ref="A2:Q186"/>
  <sheetViews>
    <sheetView workbookViewId="0">
      <selection sqref="A1:XFD1048576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</row>
    <row r="3" spans="1:17" x14ac:dyDescent="0.25">
      <c r="A3" t="s">
        <v>45</v>
      </c>
      <c r="B3" t="s">
        <v>46</v>
      </c>
      <c r="C3" t="s">
        <v>46</v>
      </c>
      <c r="D3" t="s">
        <v>46</v>
      </c>
      <c r="E3" t="s">
        <v>47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</row>
    <row r="4" spans="1:17" x14ac:dyDescent="0.25">
      <c r="A4" t="s">
        <v>48</v>
      </c>
      <c r="B4" t="s">
        <v>49</v>
      </c>
      <c r="C4" t="s">
        <v>46</v>
      </c>
      <c r="D4" t="s">
        <v>46</v>
      </c>
      <c r="E4" t="s">
        <v>50</v>
      </c>
      <c r="F4">
        <v>1.0537361824000002</v>
      </c>
      <c r="G4">
        <v>1.0590876486666665</v>
      </c>
      <c r="H4">
        <v>1.0047671467999999</v>
      </c>
      <c r="I4">
        <v>0.98298611026666671</v>
      </c>
      <c r="J4">
        <v>0.97479307920000002</v>
      </c>
      <c r="K4">
        <v>0.93438412553333328</v>
      </c>
      <c r="L4">
        <v>0.95415577320000011</v>
      </c>
      <c r="M4">
        <v>0.91400741353333326</v>
      </c>
      <c r="N4">
        <v>0.89471657780000002</v>
      </c>
      <c r="O4">
        <v>0.80879871079999999</v>
      </c>
      <c r="P4">
        <v>0.77763008968750003</v>
      </c>
      <c r="Q4">
        <v>0.82311241053333317</v>
      </c>
    </row>
    <row r="5" spans="1:17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>
        <v>0.36975385999999999</v>
      </c>
      <c r="G5">
        <v>0.42037395300000002</v>
      </c>
      <c r="H5">
        <v>0.37335326899999999</v>
      </c>
      <c r="I5">
        <v>0.384130103</v>
      </c>
      <c r="J5">
        <v>0.41158386899999999</v>
      </c>
      <c r="K5">
        <v>0.498884577</v>
      </c>
      <c r="L5">
        <v>0.42912364800000002</v>
      </c>
      <c r="M5">
        <v>0.437222681</v>
      </c>
      <c r="N5">
        <v>0.45228410499999999</v>
      </c>
      <c r="O5">
        <v>0.55416955599999995</v>
      </c>
      <c r="P5">
        <v>0.51912029599999998</v>
      </c>
      <c r="Q5">
        <v>0.48669760699999998</v>
      </c>
    </row>
    <row r="6" spans="1:17" x14ac:dyDescent="0.25">
      <c r="A6" t="s">
        <v>56</v>
      </c>
      <c r="B6" t="s">
        <v>57</v>
      </c>
      <c r="C6" t="s">
        <v>53</v>
      </c>
      <c r="D6" t="s">
        <v>54</v>
      </c>
      <c r="E6" t="s">
        <v>55</v>
      </c>
      <c r="F6">
        <v>0.81809748599999998</v>
      </c>
      <c r="G6">
        <v>0.83516888199999995</v>
      </c>
      <c r="H6">
        <v>0.79065332099999996</v>
      </c>
      <c r="I6">
        <v>0.47962067200000003</v>
      </c>
      <c r="J6">
        <v>0.42543167500000001</v>
      </c>
      <c r="K6">
        <v>0.40095230999999998</v>
      </c>
      <c r="L6">
        <v>0.36009349200000002</v>
      </c>
      <c r="M6">
        <v>0.37053522500000002</v>
      </c>
      <c r="N6">
        <v>0.38689447799999999</v>
      </c>
      <c r="O6">
        <v>0.39044646599999999</v>
      </c>
      <c r="P6">
        <v>0.38303536700000002</v>
      </c>
      <c r="Q6">
        <v>0.48672798499999997</v>
      </c>
    </row>
    <row r="7" spans="1:17" x14ac:dyDescent="0.25">
      <c r="A7" t="s">
        <v>58</v>
      </c>
      <c r="B7" t="s">
        <v>59</v>
      </c>
      <c r="C7" t="s">
        <v>53</v>
      </c>
      <c r="D7" t="s">
        <v>54</v>
      </c>
      <c r="E7" t="s">
        <v>55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</row>
    <row r="8" spans="1:17" x14ac:dyDescent="0.25">
      <c r="A8" t="s">
        <v>60</v>
      </c>
      <c r="B8" t="s">
        <v>61</v>
      </c>
      <c r="C8" t="s">
        <v>53</v>
      </c>
      <c r="D8" t="s">
        <v>54</v>
      </c>
      <c r="E8" t="s">
        <v>55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>
        <v>0.52226562499999996</v>
      </c>
      <c r="Q8" t="s">
        <v>46</v>
      </c>
    </row>
    <row r="9" spans="1:17" x14ac:dyDescent="0.25">
      <c r="A9" t="s">
        <v>62</v>
      </c>
      <c r="B9" t="s">
        <v>63</v>
      </c>
      <c r="C9" t="s">
        <v>53</v>
      </c>
      <c r="D9" t="s">
        <v>54</v>
      </c>
      <c r="E9" t="s">
        <v>55</v>
      </c>
      <c r="F9">
        <v>0.10768053399999999</v>
      </c>
      <c r="G9">
        <v>6.1398827000000003E-2</v>
      </c>
      <c r="H9">
        <v>7.4320510000000006E-2</v>
      </c>
      <c r="I9">
        <v>8.6017291999999995E-2</v>
      </c>
      <c r="J9">
        <v>5.2731338000000003E-2</v>
      </c>
      <c r="K9">
        <v>5.9009824000000002E-2</v>
      </c>
      <c r="L9">
        <v>0.12434891100000001</v>
      </c>
      <c r="M9">
        <v>0.173428676</v>
      </c>
      <c r="N9">
        <v>7.2395377999999996E-2</v>
      </c>
      <c r="O9">
        <v>7.4140734999999999E-2</v>
      </c>
      <c r="P9">
        <v>6.0729305999999997E-2</v>
      </c>
      <c r="Q9">
        <v>8.7733261000000007E-2</v>
      </c>
    </row>
    <row r="10" spans="1:17" x14ac:dyDescent="0.25">
      <c r="A10" t="s">
        <v>64</v>
      </c>
      <c r="B10" t="s">
        <v>65</v>
      </c>
      <c r="C10" t="s">
        <v>53</v>
      </c>
      <c r="D10" t="s">
        <v>54</v>
      </c>
      <c r="E10" t="s">
        <v>55</v>
      </c>
      <c r="F10">
        <v>1.812836439</v>
      </c>
      <c r="G10">
        <v>1.8126923079999999</v>
      </c>
      <c r="H10">
        <v>1.780908771</v>
      </c>
      <c r="I10">
        <v>1.956257594</v>
      </c>
      <c r="J10">
        <v>1.674024438</v>
      </c>
      <c r="K10">
        <v>1.7686594879999999</v>
      </c>
      <c r="L10">
        <v>1.6645756460000001</v>
      </c>
      <c r="M10">
        <v>1.348529412</v>
      </c>
      <c r="N10">
        <v>1.0633852690000001</v>
      </c>
      <c r="O10">
        <v>1.0541281259999999</v>
      </c>
      <c r="P10">
        <v>1.1478377470000001</v>
      </c>
      <c r="Q10">
        <v>1.490947075</v>
      </c>
    </row>
    <row r="11" spans="1:17" x14ac:dyDescent="0.25">
      <c r="A11" t="s">
        <v>66</v>
      </c>
      <c r="B11" t="s">
        <v>67</v>
      </c>
      <c r="C11" t="s">
        <v>53</v>
      </c>
      <c r="D11" t="s">
        <v>54</v>
      </c>
      <c r="E11" t="s">
        <v>55</v>
      </c>
      <c r="F11">
        <v>0.254950495</v>
      </c>
      <c r="G11">
        <v>0.38550247100000001</v>
      </c>
      <c r="H11">
        <v>0.48099415200000001</v>
      </c>
      <c r="I11">
        <v>0.40247452700000003</v>
      </c>
      <c r="J11">
        <v>0.75628332099999995</v>
      </c>
      <c r="K11">
        <v>0.46842526000000001</v>
      </c>
      <c r="L11">
        <v>0.63157894699999995</v>
      </c>
      <c r="M11">
        <v>0.36262203599999998</v>
      </c>
      <c r="N11">
        <v>0.226787182</v>
      </c>
      <c r="O11">
        <v>0.203027605</v>
      </c>
      <c r="P11">
        <v>0.42141036500000001</v>
      </c>
      <c r="Q11">
        <v>0.38611925699999999</v>
      </c>
    </row>
    <row r="12" spans="1:17" x14ac:dyDescent="0.25">
      <c r="A12" t="s">
        <v>68</v>
      </c>
      <c r="B12" t="s">
        <v>69</v>
      </c>
      <c r="C12" t="s">
        <v>53</v>
      </c>
      <c r="D12" t="s">
        <v>54</v>
      </c>
      <c r="E12" t="s">
        <v>55</v>
      </c>
      <c r="F12">
        <v>0.31108639199999999</v>
      </c>
      <c r="G12">
        <v>0.28303486300000003</v>
      </c>
      <c r="H12">
        <v>0.30358995599999999</v>
      </c>
      <c r="I12">
        <v>0.26319529000000003</v>
      </c>
      <c r="J12">
        <v>0.27689499699999998</v>
      </c>
      <c r="K12">
        <v>0.32652102399999999</v>
      </c>
      <c r="L12">
        <v>0.29042478300000002</v>
      </c>
      <c r="M12">
        <v>0.30667513000000002</v>
      </c>
      <c r="N12">
        <v>0.200042836</v>
      </c>
      <c r="O12">
        <v>0.32092712299999998</v>
      </c>
      <c r="P12">
        <v>0.29143898000000001</v>
      </c>
      <c r="Q12">
        <v>0.46599113399999997</v>
      </c>
    </row>
    <row r="13" spans="1:17" x14ac:dyDescent="0.25">
      <c r="A13" t="s">
        <v>70</v>
      </c>
      <c r="B13" t="s">
        <v>71</v>
      </c>
      <c r="C13" t="s">
        <v>53</v>
      </c>
      <c r="D13" t="s">
        <v>54</v>
      </c>
      <c r="E13" t="s">
        <v>55</v>
      </c>
      <c r="F13">
        <v>3.405782522</v>
      </c>
      <c r="G13">
        <v>3.2235507980000002</v>
      </c>
      <c r="H13">
        <v>3.2192886000000001</v>
      </c>
      <c r="I13">
        <v>2.9785056810000001</v>
      </c>
      <c r="J13">
        <v>3.219655919</v>
      </c>
      <c r="K13">
        <v>3.1004149829999998</v>
      </c>
      <c r="L13">
        <v>2.931792154</v>
      </c>
      <c r="M13">
        <v>2.698587233</v>
      </c>
      <c r="N13">
        <v>2.8515226660000002</v>
      </c>
      <c r="O13">
        <v>2.7394002629999998</v>
      </c>
      <c r="P13">
        <v>2.4203562239999998</v>
      </c>
      <c r="Q13">
        <v>2.3534641079999998</v>
      </c>
    </row>
    <row r="14" spans="1:17" x14ac:dyDescent="0.25">
      <c r="A14" t="s">
        <v>72</v>
      </c>
      <c r="B14" t="s">
        <v>73</v>
      </c>
      <c r="C14" t="s">
        <v>53</v>
      </c>
      <c r="D14" t="s">
        <v>54</v>
      </c>
      <c r="E14" t="s">
        <v>55</v>
      </c>
      <c r="F14">
        <v>0.57571137699999997</v>
      </c>
      <c r="G14">
        <v>0.53459684900000004</v>
      </c>
      <c r="H14">
        <v>0.60142778100000005</v>
      </c>
      <c r="I14">
        <v>0.48695003399999998</v>
      </c>
      <c r="J14">
        <v>0.41073258299999998</v>
      </c>
      <c r="K14">
        <v>0.398762854</v>
      </c>
      <c r="L14">
        <v>0.37733429499999999</v>
      </c>
      <c r="M14">
        <v>0.32158836699999999</v>
      </c>
      <c r="N14">
        <v>0.37684256900000002</v>
      </c>
      <c r="O14">
        <v>0.42931270100000002</v>
      </c>
      <c r="P14">
        <v>0.51317331899999996</v>
      </c>
      <c r="Q14">
        <v>0.425423465</v>
      </c>
    </row>
    <row r="15" spans="1:17" x14ac:dyDescent="0.25">
      <c r="A15" t="s">
        <v>74</v>
      </c>
      <c r="B15" t="s">
        <v>75</v>
      </c>
      <c r="C15" t="s">
        <v>53</v>
      </c>
      <c r="D15" t="s">
        <v>54</v>
      </c>
      <c r="E15" t="s">
        <v>55</v>
      </c>
      <c r="F15">
        <v>1.054033574</v>
      </c>
      <c r="G15">
        <v>0.90797097000000004</v>
      </c>
      <c r="H15">
        <v>0.84818051400000005</v>
      </c>
      <c r="I15">
        <v>0.63025625799999996</v>
      </c>
      <c r="J15">
        <v>0.92070512400000004</v>
      </c>
      <c r="K15">
        <v>0.85136880199999998</v>
      </c>
      <c r="L15">
        <v>0.90467326999999997</v>
      </c>
      <c r="M15">
        <v>0.92918853700000004</v>
      </c>
      <c r="N15">
        <v>1.021949405</v>
      </c>
      <c r="O15">
        <v>0.38683171100000002</v>
      </c>
      <c r="P15">
        <v>0.60639878300000005</v>
      </c>
      <c r="Q15">
        <v>0.64939076900000003</v>
      </c>
    </row>
    <row r="16" spans="1:17" x14ac:dyDescent="0.25">
      <c r="A16" t="s">
        <v>76</v>
      </c>
      <c r="B16" t="s">
        <v>77</v>
      </c>
      <c r="C16" t="s">
        <v>53</v>
      </c>
      <c r="D16" t="s">
        <v>54</v>
      </c>
      <c r="E16" t="s">
        <v>55</v>
      </c>
      <c r="F16">
        <v>0.30481534199999999</v>
      </c>
      <c r="G16">
        <v>0.36179737099999998</v>
      </c>
      <c r="H16">
        <v>0.35491521399999998</v>
      </c>
      <c r="I16">
        <v>0.38517761299999997</v>
      </c>
      <c r="J16">
        <v>0.49482621199999999</v>
      </c>
      <c r="K16">
        <v>0.47051078099999999</v>
      </c>
      <c r="L16">
        <v>0.50966266999999998</v>
      </c>
      <c r="M16">
        <v>0.48299671999999999</v>
      </c>
      <c r="N16">
        <v>0.41989471</v>
      </c>
      <c r="O16">
        <v>0.435705224</v>
      </c>
      <c r="P16">
        <v>0.45867266000000001</v>
      </c>
      <c r="Q16">
        <v>0.44389715800000001</v>
      </c>
    </row>
    <row r="17" spans="1:17" x14ac:dyDescent="0.25">
      <c r="A17" t="s">
        <v>78</v>
      </c>
      <c r="B17" t="s">
        <v>79</v>
      </c>
      <c r="C17" t="s">
        <v>53</v>
      </c>
      <c r="D17" t="s">
        <v>54</v>
      </c>
      <c r="E17" t="s">
        <v>55</v>
      </c>
      <c r="F17">
        <v>2.0558998590000002</v>
      </c>
      <c r="G17">
        <v>2.2463575320000002</v>
      </c>
      <c r="H17">
        <v>1.642389758</v>
      </c>
      <c r="I17">
        <v>1.859269762</v>
      </c>
      <c r="J17">
        <v>1.4141768480000001</v>
      </c>
      <c r="K17">
        <v>1.6100664769999999</v>
      </c>
      <c r="L17">
        <v>1.563977374</v>
      </c>
      <c r="M17">
        <v>1.4054619589999999</v>
      </c>
      <c r="N17">
        <v>0.87950950000000006</v>
      </c>
      <c r="O17">
        <v>1.040601739</v>
      </c>
      <c r="P17">
        <v>1.018147278</v>
      </c>
      <c r="Q17">
        <v>1.1173762949999999</v>
      </c>
    </row>
    <row r="18" spans="1:17" x14ac:dyDescent="0.25">
      <c r="A18" t="s">
        <v>80</v>
      </c>
      <c r="B18" t="s">
        <v>81</v>
      </c>
      <c r="C18" t="s">
        <v>53</v>
      </c>
      <c r="D18" t="s">
        <v>54</v>
      </c>
      <c r="E18" t="s">
        <v>55</v>
      </c>
      <c r="F18">
        <v>0.34185063700000001</v>
      </c>
      <c r="G18">
        <v>0.36328359199999999</v>
      </c>
      <c r="H18">
        <v>0.336696732</v>
      </c>
      <c r="I18">
        <v>0.35938768100000001</v>
      </c>
      <c r="J18">
        <v>0.330314316</v>
      </c>
      <c r="K18">
        <v>0.39365053500000002</v>
      </c>
      <c r="L18">
        <v>0.31383577000000001</v>
      </c>
      <c r="M18">
        <v>0.46322451199999998</v>
      </c>
      <c r="N18">
        <v>1.0926070219999999</v>
      </c>
      <c r="O18">
        <v>0.308560999</v>
      </c>
      <c r="P18">
        <v>0.235219225</v>
      </c>
      <c r="Q18">
        <v>0.29171686400000002</v>
      </c>
    </row>
    <row r="19" spans="1:17" x14ac:dyDescent="0.25">
      <c r="A19" t="s">
        <v>82</v>
      </c>
      <c r="B19" t="s">
        <v>83</v>
      </c>
      <c r="C19" t="s">
        <v>53</v>
      </c>
      <c r="D19" t="s">
        <v>54</v>
      </c>
      <c r="E19" t="s">
        <v>55</v>
      </c>
      <c r="F19">
        <v>2.1074473010000001</v>
      </c>
      <c r="G19">
        <v>2.0546468170000001</v>
      </c>
      <c r="H19">
        <v>2.272114314</v>
      </c>
      <c r="I19">
        <v>2.3920798740000002</v>
      </c>
      <c r="J19">
        <v>1.848975657</v>
      </c>
      <c r="K19">
        <v>1.502550228</v>
      </c>
      <c r="L19">
        <v>1.7056543120000001</v>
      </c>
      <c r="M19">
        <v>1.890191994</v>
      </c>
      <c r="N19">
        <v>1.738556735</v>
      </c>
      <c r="O19">
        <v>1.9484899330000001</v>
      </c>
      <c r="P19">
        <v>1.4817131859999999</v>
      </c>
      <c r="Q19">
        <v>1.3152623800000001</v>
      </c>
    </row>
    <row r="20" spans="1:17" x14ac:dyDescent="0.25">
      <c r="A20" t="s">
        <v>84</v>
      </c>
      <c r="B20" t="s">
        <v>85</v>
      </c>
      <c r="C20" t="s">
        <v>53</v>
      </c>
      <c r="D20" t="s">
        <v>54</v>
      </c>
      <c r="E20" t="s">
        <v>55</v>
      </c>
      <c r="F20">
        <v>0.69855792699999997</v>
      </c>
      <c r="G20">
        <v>0.69853900999999996</v>
      </c>
      <c r="H20">
        <v>0.68364427000000005</v>
      </c>
      <c r="I20">
        <v>0.70437625000000004</v>
      </c>
      <c r="J20">
        <v>0.76990267300000004</v>
      </c>
      <c r="K20">
        <v>0.59780237999999997</v>
      </c>
      <c r="L20">
        <v>0.66760319199999996</v>
      </c>
      <c r="M20">
        <v>0.75057950500000004</v>
      </c>
      <c r="N20">
        <v>0.75725462700000001</v>
      </c>
      <c r="O20">
        <v>0.71064744700000004</v>
      </c>
      <c r="P20">
        <v>0.73689187499999997</v>
      </c>
      <c r="Q20">
        <v>0.80183155100000003</v>
      </c>
    </row>
    <row r="21" spans="1:17" x14ac:dyDescent="0.25">
      <c r="A21" t="s">
        <v>86</v>
      </c>
      <c r="B21" t="s">
        <v>87</v>
      </c>
      <c r="C21" t="s">
        <v>53</v>
      </c>
      <c r="D21" t="s">
        <v>54</v>
      </c>
      <c r="E21" t="s">
        <v>55</v>
      </c>
      <c r="F21">
        <v>1.587538991</v>
      </c>
      <c r="G21">
        <v>1.6974004869999999</v>
      </c>
      <c r="H21">
        <v>1.3090300399999999</v>
      </c>
      <c r="I21">
        <v>1.377093023</v>
      </c>
      <c r="J21">
        <v>1.615657218</v>
      </c>
      <c r="K21">
        <v>1.56818236</v>
      </c>
      <c r="L21">
        <v>1.837658134</v>
      </c>
      <c r="M21">
        <v>1.7692792159999999</v>
      </c>
      <c r="N21">
        <v>1.880822185</v>
      </c>
      <c r="O21">
        <v>1.5355910340000001</v>
      </c>
      <c r="P21">
        <v>1.6256711989999999</v>
      </c>
      <c r="Q21">
        <v>1.5441072490000001</v>
      </c>
    </row>
    <row r="22" spans="1:17" x14ac:dyDescent="0.25">
      <c r="A22" t="s">
        <v>88</v>
      </c>
      <c r="B22" t="s">
        <v>49</v>
      </c>
      <c r="C22" t="s">
        <v>46</v>
      </c>
      <c r="D22" t="s">
        <v>46</v>
      </c>
      <c r="E22" t="s">
        <v>50</v>
      </c>
      <c r="F22">
        <v>1.8939730153333332</v>
      </c>
      <c r="G22">
        <v>1.8906498013999997</v>
      </c>
      <c r="H22">
        <v>1.8189541340666664</v>
      </c>
      <c r="I22">
        <v>1.7370836329333332</v>
      </c>
      <c r="J22">
        <v>1.7480236331999999</v>
      </c>
      <c r="K22">
        <v>1.6659432363333331</v>
      </c>
      <c r="L22">
        <v>1.7695045454666667</v>
      </c>
      <c r="M22">
        <v>1.6240141885333332</v>
      </c>
      <c r="N22">
        <v>1.6754828281333332</v>
      </c>
      <c r="O22">
        <v>1.5157634135999998</v>
      </c>
      <c r="P22">
        <v>1.5235376265624998</v>
      </c>
      <c r="Q22">
        <v>1.5132853681333336</v>
      </c>
    </row>
    <row r="23" spans="1:17" x14ac:dyDescent="0.25">
      <c r="A23" t="s">
        <v>51</v>
      </c>
      <c r="B23" t="s">
        <v>52</v>
      </c>
      <c r="C23" t="s">
        <v>89</v>
      </c>
      <c r="D23" t="s">
        <v>90</v>
      </c>
      <c r="E23" t="s">
        <v>55</v>
      </c>
      <c r="F23">
        <v>0.85852993</v>
      </c>
      <c r="G23">
        <v>0.88546803299999999</v>
      </c>
      <c r="H23">
        <v>0.87837921100000005</v>
      </c>
      <c r="I23">
        <v>0.92114390099999999</v>
      </c>
      <c r="J23">
        <v>0.93354983800000002</v>
      </c>
      <c r="K23">
        <v>0.991061148</v>
      </c>
      <c r="L23">
        <v>1.217527037</v>
      </c>
      <c r="M23">
        <v>1.2348909379999999</v>
      </c>
      <c r="N23">
        <v>1.223148114</v>
      </c>
      <c r="O23">
        <v>1.285967342</v>
      </c>
      <c r="P23">
        <v>1.2849988139999999</v>
      </c>
      <c r="Q23">
        <v>1.2487545819999999</v>
      </c>
    </row>
    <row r="24" spans="1:17" x14ac:dyDescent="0.25">
      <c r="A24" t="s">
        <v>56</v>
      </c>
      <c r="B24" t="s">
        <v>57</v>
      </c>
      <c r="C24" t="s">
        <v>89</v>
      </c>
      <c r="D24" t="s">
        <v>90</v>
      </c>
      <c r="E24" t="s">
        <v>55</v>
      </c>
      <c r="F24">
        <v>1.4284499509999999</v>
      </c>
      <c r="G24">
        <v>1.3768587809999999</v>
      </c>
      <c r="H24">
        <v>1.348593267</v>
      </c>
      <c r="I24">
        <v>0.99956126300000003</v>
      </c>
      <c r="J24">
        <v>0.98146663899999997</v>
      </c>
      <c r="K24">
        <v>0.94730635799999996</v>
      </c>
      <c r="L24">
        <v>1.15207777</v>
      </c>
      <c r="M24">
        <v>1.0008116090000001</v>
      </c>
      <c r="N24">
        <v>1.1923623109999999</v>
      </c>
      <c r="O24">
        <v>1.2082571010000001</v>
      </c>
      <c r="P24">
        <v>1.1731615479999999</v>
      </c>
      <c r="Q24">
        <v>0.96885485199999999</v>
      </c>
    </row>
    <row r="25" spans="1:17" x14ac:dyDescent="0.25">
      <c r="A25" t="s">
        <v>58</v>
      </c>
      <c r="B25" t="s">
        <v>59</v>
      </c>
      <c r="C25" t="s">
        <v>89</v>
      </c>
      <c r="D25" t="s">
        <v>90</v>
      </c>
      <c r="E25" t="s">
        <v>55</v>
      </c>
      <c r="F25" t="s">
        <v>46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</row>
    <row r="26" spans="1:17" x14ac:dyDescent="0.25">
      <c r="A26" t="s">
        <v>60</v>
      </c>
      <c r="B26" t="s">
        <v>61</v>
      </c>
      <c r="C26" t="s">
        <v>89</v>
      </c>
      <c r="D26" t="s">
        <v>90</v>
      </c>
      <c r="E26" t="s">
        <v>55</v>
      </c>
      <c r="F26" t="s">
        <v>46</v>
      </c>
      <c r="G26" t="s">
        <v>46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>
        <v>0.93652343800000004</v>
      </c>
      <c r="Q26" t="s">
        <v>46</v>
      </c>
    </row>
    <row r="27" spans="1:17" x14ac:dyDescent="0.25">
      <c r="A27" t="s">
        <v>62</v>
      </c>
      <c r="B27" t="s">
        <v>63</v>
      </c>
      <c r="C27" t="s">
        <v>89</v>
      </c>
      <c r="D27" t="s">
        <v>90</v>
      </c>
      <c r="E27" t="s">
        <v>55</v>
      </c>
      <c r="F27">
        <v>0.55618716000000001</v>
      </c>
      <c r="G27">
        <v>0.406211989</v>
      </c>
      <c r="H27">
        <v>0.52091852599999999</v>
      </c>
      <c r="I27">
        <v>0.48724634900000002</v>
      </c>
      <c r="J27">
        <v>5.2731338000000003E-2</v>
      </c>
      <c r="K27">
        <v>0.42019324499999999</v>
      </c>
      <c r="L27">
        <v>0.59092982800000005</v>
      </c>
      <c r="M27">
        <v>0.639575271</v>
      </c>
      <c r="N27">
        <v>0.54789697400000004</v>
      </c>
      <c r="O27">
        <v>0.41383775900000003</v>
      </c>
      <c r="P27">
        <v>0.505156681</v>
      </c>
      <c r="Q27">
        <v>0.51987831100000004</v>
      </c>
    </row>
    <row r="28" spans="1:17" x14ac:dyDescent="0.25">
      <c r="A28" t="s">
        <v>64</v>
      </c>
      <c r="B28" t="s">
        <v>65</v>
      </c>
      <c r="C28" t="s">
        <v>89</v>
      </c>
      <c r="D28" t="s">
        <v>90</v>
      </c>
      <c r="E28" t="s">
        <v>55</v>
      </c>
      <c r="F28">
        <v>2.9225672880000002</v>
      </c>
      <c r="G28">
        <v>2.923846154</v>
      </c>
      <c r="H28">
        <v>2.7900669250000001</v>
      </c>
      <c r="I28">
        <v>3.230052653</v>
      </c>
      <c r="J28">
        <v>2.9369333860000002</v>
      </c>
      <c r="K28">
        <v>2.9520980319999999</v>
      </c>
      <c r="L28">
        <v>2.8416974169999998</v>
      </c>
      <c r="M28">
        <v>2.5900735290000001</v>
      </c>
      <c r="N28">
        <v>2.2623937679999999</v>
      </c>
      <c r="O28">
        <v>2.2319287430000001</v>
      </c>
      <c r="P28">
        <v>2.2393563529999998</v>
      </c>
      <c r="Q28">
        <v>2.6121169919999998</v>
      </c>
    </row>
    <row r="29" spans="1:17" x14ac:dyDescent="0.25">
      <c r="A29" t="s">
        <v>66</v>
      </c>
      <c r="B29" t="s">
        <v>67</v>
      </c>
      <c r="C29" t="s">
        <v>89</v>
      </c>
      <c r="D29" t="s">
        <v>90</v>
      </c>
      <c r="E29" t="s">
        <v>55</v>
      </c>
      <c r="F29">
        <v>1.4207920789999999</v>
      </c>
      <c r="G29">
        <v>1.5477759470000001</v>
      </c>
      <c r="H29">
        <v>1.2960526320000001</v>
      </c>
      <c r="I29">
        <v>1.149199418</v>
      </c>
      <c r="J29">
        <v>1.4645849200000001</v>
      </c>
      <c r="K29">
        <v>1.228617106</v>
      </c>
      <c r="L29">
        <v>1.284878864</v>
      </c>
      <c r="M29">
        <v>0.93444909300000001</v>
      </c>
      <c r="N29">
        <v>0.90386195599999997</v>
      </c>
      <c r="O29">
        <v>0.95102404299999999</v>
      </c>
      <c r="P29">
        <v>0.97536108799999999</v>
      </c>
      <c r="Q29">
        <v>1.0606060610000001</v>
      </c>
    </row>
    <row r="30" spans="1:17" x14ac:dyDescent="0.25">
      <c r="A30" t="s">
        <v>68</v>
      </c>
      <c r="B30" t="s">
        <v>69</v>
      </c>
      <c r="C30" t="s">
        <v>89</v>
      </c>
      <c r="D30" t="s">
        <v>90</v>
      </c>
      <c r="E30" t="s">
        <v>55</v>
      </c>
      <c r="F30">
        <v>1.0249660119999999</v>
      </c>
      <c r="G30">
        <v>0.88449719199999999</v>
      </c>
      <c r="H30">
        <v>0.88576468100000005</v>
      </c>
      <c r="I30">
        <v>0.57886723500000004</v>
      </c>
      <c r="J30">
        <v>0.84281726400000001</v>
      </c>
      <c r="K30">
        <v>0.90533239399999998</v>
      </c>
      <c r="L30">
        <v>0.88840647699999997</v>
      </c>
      <c r="M30">
        <v>0.57198772899999994</v>
      </c>
      <c r="N30">
        <v>0.76054829700000004</v>
      </c>
      <c r="O30">
        <v>0.834744818</v>
      </c>
      <c r="P30">
        <v>0.81728142100000001</v>
      </c>
      <c r="Q30">
        <v>0.73122229299999997</v>
      </c>
    </row>
    <row r="31" spans="1:17" x14ac:dyDescent="0.25">
      <c r="A31" t="s">
        <v>70</v>
      </c>
      <c r="B31" t="s">
        <v>71</v>
      </c>
      <c r="C31" t="s">
        <v>89</v>
      </c>
      <c r="D31" t="s">
        <v>90</v>
      </c>
      <c r="E31" t="s">
        <v>55</v>
      </c>
      <c r="F31">
        <v>5.0051758560000001</v>
      </c>
      <c r="G31">
        <v>4.6709857599999998</v>
      </c>
      <c r="H31">
        <v>4.6871750099999998</v>
      </c>
      <c r="I31">
        <v>4.4364452940000003</v>
      </c>
      <c r="J31">
        <v>4.7796550370000004</v>
      </c>
      <c r="K31">
        <v>4.3778380160000001</v>
      </c>
      <c r="L31">
        <v>4.0644106999999998</v>
      </c>
      <c r="M31">
        <v>3.7857739430000001</v>
      </c>
      <c r="N31">
        <v>4.112881217</v>
      </c>
      <c r="O31">
        <v>3.8281471730000001</v>
      </c>
      <c r="P31">
        <v>3.7066169100000002</v>
      </c>
      <c r="Q31">
        <v>3.7474243619999998</v>
      </c>
    </row>
    <row r="32" spans="1:17" x14ac:dyDescent="0.25">
      <c r="A32" t="s">
        <v>72</v>
      </c>
      <c r="B32" t="s">
        <v>73</v>
      </c>
      <c r="C32" t="s">
        <v>89</v>
      </c>
      <c r="D32" t="s">
        <v>90</v>
      </c>
      <c r="E32" t="s">
        <v>55</v>
      </c>
      <c r="F32">
        <v>1.4079739469999999</v>
      </c>
      <c r="G32">
        <v>1.3493809779999999</v>
      </c>
      <c r="H32">
        <v>1.427725135</v>
      </c>
      <c r="I32">
        <v>1.293968021</v>
      </c>
      <c r="J32">
        <v>1.261155429</v>
      </c>
      <c r="K32">
        <v>1.104441818</v>
      </c>
      <c r="L32">
        <v>1.1703021170000001</v>
      </c>
      <c r="M32">
        <v>1.150811292</v>
      </c>
      <c r="N32">
        <v>1.230753894</v>
      </c>
      <c r="O32">
        <v>1.2404730719999999</v>
      </c>
      <c r="P32">
        <v>1.5176162449999999</v>
      </c>
      <c r="Q32">
        <v>1.3903599040000001</v>
      </c>
    </row>
    <row r="33" spans="1:17" x14ac:dyDescent="0.25">
      <c r="A33" t="s">
        <v>74</v>
      </c>
      <c r="B33" t="s">
        <v>75</v>
      </c>
      <c r="C33" t="s">
        <v>89</v>
      </c>
      <c r="D33" t="s">
        <v>90</v>
      </c>
      <c r="E33" t="s">
        <v>55</v>
      </c>
      <c r="F33">
        <v>1.824259734</v>
      </c>
      <c r="G33">
        <v>1.738915655</v>
      </c>
      <c r="H33">
        <v>1.802334681</v>
      </c>
      <c r="I33">
        <v>1.5839517169999999</v>
      </c>
      <c r="J33">
        <v>1.8715486189999999</v>
      </c>
      <c r="K33">
        <v>1.816180269</v>
      </c>
      <c r="L33">
        <v>1.969155089</v>
      </c>
      <c r="M33">
        <v>1.8839742690000001</v>
      </c>
      <c r="N33">
        <v>2.0719866069999999</v>
      </c>
      <c r="O33">
        <v>1.0726830300000001</v>
      </c>
      <c r="P33">
        <v>1.280046378</v>
      </c>
      <c r="Q33">
        <v>1.24639615</v>
      </c>
    </row>
    <row r="34" spans="1:17" x14ac:dyDescent="0.25">
      <c r="A34" t="s">
        <v>76</v>
      </c>
      <c r="B34" t="s">
        <v>77</v>
      </c>
      <c r="C34" t="s">
        <v>89</v>
      </c>
      <c r="D34" t="s">
        <v>90</v>
      </c>
      <c r="E34" t="s">
        <v>55</v>
      </c>
      <c r="F34">
        <v>1.080401851</v>
      </c>
      <c r="G34">
        <v>1.159451496</v>
      </c>
      <c r="H34">
        <v>0.97021997299999996</v>
      </c>
      <c r="I34">
        <v>0.38517761299999997</v>
      </c>
      <c r="J34">
        <v>1.0024260469999999</v>
      </c>
      <c r="K34">
        <v>0.47051078099999999</v>
      </c>
      <c r="L34">
        <v>1.041017898</v>
      </c>
      <c r="M34">
        <v>0.48299671999999999</v>
      </c>
      <c r="N34">
        <v>1.048172839</v>
      </c>
      <c r="O34">
        <v>0.435705224</v>
      </c>
      <c r="P34">
        <v>1.0091132389999999</v>
      </c>
      <c r="Q34">
        <v>0.44389715800000001</v>
      </c>
    </row>
    <row r="35" spans="1:17" x14ac:dyDescent="0.25">
      <c r="A35" t="s">
        <v>78</v>
      </c>
      <c r="B35" t="s">
        <v>79</v>
      </c>
      <c r="C35" t="s">
        <v>89</v>
      </c>
      <c r="D35" t="s">
        <v>90</v>
      </c>
      <c r="E35" t="s">
        <v>55</v>
      </c>
      <c r="F35">
        <v>2.8221758609999998</v>
      </c>
      <c r="G35">
        <v>3.0966679340000001</v>
      </c>
      <c r="H35">
        <v>2.5771692750000001</v>
      </c>
      <c r="I35">
        <v>2.7909961010000002</v>
      </c>
      <c r="J35">
        <v>2.2427119869999999</v>
      </c>
      <c r="K35">
        <v>2.5458689460000001</v>
      </c>
      <c r="L35">
        <v>2.4488240550000002</v>
      </c>
      <c r="M35">
        <v>2.20098723</v>
      </c>
      <c r="N35">
        <v>1.540888926</v>
      </c>
      <c r="O35">
        <v>1.8763208579999999</v>
      </c>
      <c r="P35">
        <v>1.920761886</v>
      </c>
      <c r="Q35">
        <v>2.0037878789999999</v>
      </c>
    </row>
    <row r="36" spans="1:17" x14ac:dyDescent="0.25">
      <c r="A36" t="s">
        <v>80</v>
      </c>
      <c r="B36" t="s">
        <v>81</v>
      </c>
      <c r="C36" t="s">
        <v>89</v>
      </c>
      <c r="D36" t="s">
        <v>90</v>
      </c>
      <c r="E36" t="s">
        <v>55</v>
      </c>
      <c r="F36">
        <v>1.063754657</v>
      </c>
      <c r="G36">
        <v>1.1898602389999999</v>
      </c>
      <c r="H36">
        <v>1.157000241</v>
      </c>
      <c r="I36">
        <v>1.1436207430000001</v>
      </c>
      <c r="J36">
        <v>1.0992043339999999</v>
      </c>
      <c r="K36">
        <v>1.1084406060000001</v>
      </c>
      <c r="L36">
        <v>1.0939126800000001</v>
      </c>
      <c r="M36">
        <v>1.1648787009999999</v>
      </c>
      <c r="N36">
        <v>1.6346721449999999</v>
      </c>
      <c r="O36">
        <v>0.85276336100000005</v>
      </c>
      <c r="P36">
        <v>0.82040264200000002</v>
      </c>
      <c r="Q36">
        <v>0.76016030300000004</v>
      </c>
    </row>
    <row r="37" spans="1:17" x14ac:dyDescent="0.25">
      <c r="A37" t="s">
        <v>82</v>
      </c>
      <c r="B37" t="s">
        <v>83</v>
      </c>
      <c r="C37" t="s">
        <v>89</v>
      </c>
      <c r="D37" t="s">
        <v>90</v>
      </c>
      <c r="E37" t="s">
        <v>55</v>
      </c>
      <c r="F37">
        <v>3.607149937</v>
      </c>
      <c r="G37">
        <v>3.570483367</v>
      </c>
      <c r="H37">
        <v>3.7718050230000002</v>
      </c>
      <c r="I37">
        <v>3.7911711910000001</v>
      </c>
      <c r="J37">
        <v>3.1618703300000002</v>
      </c>
      <c r="K37">
        <v>2.7716325899999998</v>
      </c>
      <c r="L37">
        <v>2.9952250380000001</v>
      </c>
      <c r="M37">
        <v>3.1284640459999999</v>
      </c>
      <c r="N37">
        <v>2.8882104659999999</v>
      </c>
      <c r="O37">
        <v>3.1084312079999998</v>
      </c>
      <c r="P37">
        <v>2.650024062</v>
      </c>
      <c r="Q37">
        <v>2.4435698449999999</v>
      </c>
    </row>
    <row r="38" spans="1:17" x14ac:dyDescent="0.25">
      <c r="A38" t="s">
        <v>84</v>
      </c>
      <c r="B38" t="s">
        <v>85</v>
      </c>
      <c r="C38" t="s">
        <v>89</v>
      </c>
      <c r="D38" t="s">
        <v>90</v>
      </c>
      <c r="E38" t="s">
        <v>55</v>
      </c>
      <c r="F38">
        <v>1.381684973</v>
      </c>
      <c r="G38">
        <v>1.420948589</v>
      </c>
      <c r="H38">
        <v>1.4096705869999999</v>
      </c>
      <c r="I38">
        <v>1.4147544030000001</v>
      </c>
      <c r="J38">
        <v>1.4833943190000001</v>
      </c>
      <c r="K38">
        <v>1.273807554</v>
      </c>
      <c r="L38">
        <v>1.428480338</v>
      </c>
      <c r="M38">
        <v>1.3524512179999999</v>
      </c>
      <c r="N38">
        <v>1.408351336</v>
      </c>
      <c r="O38">
        <v>1.4044961359999999</v>
      </c>
      <c r="P38">
        <v>1.4483330029999999</v>
      </c>
      <c r="Q38">
        <v>1.495347078</v>
      </c>
    </row>
    <row r="39" spans="1:17" x14ac:dyDescent="0.25">
      <c r="A39" t="s">
        <v>86</v>
      </c>
      <c r="B39" t="s">
        <v>87</v>
      </c>
      <c r="C39" t="s">
        <v>89</v>
      </c>
      <c r="D39" t="s">
        <v>90</v>
      </c>
      <c r="E39" t="s">
        <v>55</v>
      </c>
      <c r="F39">
        <v>2.0055259940000001</v>
      </c>
      <c r="G39">
        <v>2.1383949069999999</v>
      </c>
      <c r="H39">
        <v>1.7614368439999999</v>
      </c>
      <c r="I39">
        <v>1.8500985919999999</v>
      </c>
      <c r="J39">
        <v>2.1063050109999999</v>
      </c>
      <c r="K39">
        <v>2.0758196820000001</v>
      </c>
      <c r="L39">
        <v>2.355722874</v>
      </c>
      <c r="M39">
        <v>2.23808724</v>
      </c>
      <c r="N39">
        <v>2.3061135720000001</v>
      </c>
      <c r="O39">
        <v>1.991671336</v>
      </c>
      <c r="P39">
        <v>2.0918483170000002</v>
      </c>
      <c r="Q39">
        <v>2.0269047520000001</v>
      </c>
    </row>
    <row r="40" spans="1:17" x14ac:dyDescent="0.25">
      <c r="A40" t="s">
        <v>91</v>
      </c>
      <c r="B40" t="s">
        <v>49</v>
      </c>
      <c r="C40" t="s">
        <v>46</v>
      </c>
      <c r="D40" t="s">
        <v>46</v>
      </c>
      <c r="E40" t="s">
        <v>50</v>
      </c>
      <c r="F40">
        <v>2.3338728808666662</v>
      </c>
      <c r="G40">
        <v>2.3193315231999998</v>
      </c>
      <c r="H40">
        <v>2.2568276800000002</v>
      </c>
      <c r="I40">
        <v>2.2948624799333337</v>
      </c>
      <c r="J40">
        <v>2.2435002324000006</v>
      </c>
      <c r="K40">
        <v>2.1387585617333333</v>
      </c>
      <c r="L40">
        <v>2.1725120379333331</v>
      </c>
      <c r="M40">
        <v>2.0957559264000003</v>
      </c>
      <c r="N40">
        <v>2.0822920179333333</v>
      </c>
      <c r="O40">
        <v>1.983575180133333</v>
      </c>
      <c r="P40">
        <v>1.8749159817499998</v>
      </c>
      <c r="Q40">
        <v>1.9378423554666664</v>
      </c>
    </row>
    <row r="41" spans="1:17" x14ac:dyDescent="0.25">
      <c r="A41" t="s">
        <v>51</v>
      </c>
      <c r="B41" t="s">
        <v>52</v>
      </c>
      <c r="C41" t="s">
        <v>92</v>
      </c>
      <c r="D41" t="s">
        <v>93</v>
      </c>
      <c r="E41" t="s">
        <v>55</v>
      </c>
      <c r="F41">
        <v>1.224091891</v>
      </c>
      <c r="G41">
        <v>1.2313665970000001</v>
      </c>
      <c r="H41">
        <v>1.247471212</v>
      </c>
      <c r="I41">
        <v>1.311385931</v>
      </c>
      <c r="J41">
        <v>1.2913328129999999</v>
      </c>
      <c r="K41">
        <v>1.3382478550000001</v>
      </c>
      <c r="L41">
        <v>1.3305780519999999</v>
      </c>
      <c r="M41">
        <v>1.3536778229999999</v>
      </c>
      <c r="N41">
        <v>1.3401892929999999</v>
      </c>
      <c r="O41">
        <v>1.396740758</v>
      </c>
      <c r="P41">
        <v>1.3934757980000001</v>
      </c>
      <c r="Q41">
        <v>1.37823213</v>
      </c>
    </row>
    <row r="42" spans="1:17" x14ac:dyDescent="0.25">
      <c r="A42" t="s">
        <v>56</v>
      </c>
      <c r="B42" t="s">
        <v>57</v>
      </c>
      <c r="C42" t="s">
        <v>92</v>
      </c>
      <c r="D42" t="s">
        <v>93</v>
      </c>
      <c r="E42" t="s">
        <v>55</v>
      </c>
      <c r="F42">
        <v>1.7712291099999999</v>
      </c>
      <c r="G42">
        <v>1.7464452749999999</v>
      </c>
      <c r="H42">
        <v>1.713325574</v>
      </c>
      <c r="I42">
        <v>1.3384689519999999</v>
      </c>
      <c r="J42">
        <v>1.3499393749999999</v>
      </c>
      <c r="K42">
        <v>1.328783118</v>
      </c>
      <c r="L42">
        <v>1.320089472</v>
      </c>
      <c r="M42">
        <v>1.3502285279999999</v>
      </c>
      <c r="N42">
        <v>1.3915494820000001</v>
      </c>
      <c r="O42">
        <v>1.3871449499999999</v>
      </c>
      <c r="P42">
        <v>1.3492651870000001</v>
      </c>
      <c r="Q42">
        <v>1.245368086</v>
      </c>
    </row>
    <row r="43" spans="1:17" x14ac:dyDescent="0.25">
      <c r="A43" t="s">
        <v>58</v>
      </c>
      <c r="B43" t="s">
        <v>59</v>
      </c>
      <c r="C43" t="s">
        <v>92</v>
      </c>
      <c r="D43" t="s">
        <v>93</v>
      </c>
      <c r="E43" t="s">
        <v>55</v>
      </c>
      <c r="F43" t="s">
        <v>46</v>
      </c>
      <c r="G43" t="s">
        <v>46</v>
      </c>
      <c r="H43" t="s">
        <v>46</v>
      </c>
      <c r="I43" t="s">
        <v>46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</row>
    <row r="44" spans="1:17" x14ac:dyDescent="0.25">
      <c r="A44" t="s">
        <v>60</v>
      </c>
      <c r="B44" t="s">
        <v>61</v>
      </c>
      <c r="C44" t="s">
        <v>92</v>
      </c>
      <c r="D44" t="s">
        <v>93</v>
      </c>
      <c r="E44" t="s">
        <v>55</v>
      </c>
      <c r="F44" t="s">
        <v>46</v>
      </c>
      <c r="G44" t="s">
        <v>46</v>
      </c>
      <c r="H44" t="s">
        <v>46</v>
      </c>
      <c r="I44" t="s">
        <v>46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>
        <v>1.281835938</v>
      </c>
      <c r="Q44" t="s">
        <v>46</v>
      </c>
    </row>
    <row r="45" spans="1:17" x14ac:dyDescent="0.25">
      <c r="A45" t="s">
        <v>62</v>
      </c>
      <c r="B45" t="s">
        <v>63</v>
      </c>
      <c r="C45" t="s">
        <v>92</v>
      </c>
      <c r="D45" t="s">
        <v>93</v>
      </c>
      <c r="E45" t="s">
        <v>55</v>
      </c>
      <c r="F45">
        <v>1.1384999220000001</v>
      </c>
      <c r="G45">
        <v>1.0597690209999999</v>
      </c>
      <c r="H45">
        <v>0.99314343500000002</v>
      </c>
      <c r="I45">
        <v>0.98651973199999998</v>
      </c>
      <c r="J45">
        <v>0.98514581099999998</v>
      </c>
      <c r="K45">
        <v>0.99511646600000003</v>
      </c>
      <c r="L45">
        <v>1.143106328</v>
      </c>
      <c r="M45">
        <v>1.1642292320000001</v>
      </c>
      <c r="N45">
        <v>1.0901579699999999</v>
      </c>
      <c r="O45">
        <v>1.129418891</v>
      </c>
      <c r="P45">
        <v>1.043104303</v>
      </c>
      <c r="Q45">
        <v>1.081997434</v>
      </c>
    </row>
    <row r="46" spans="1:17" x14ac:dyDescent="0.25">
      <c r="A46" t="s">
        <v>64</v>
      </c>
      <c r="B46" t="s">
        <v>65</v>
      </c>
      <c r="C46" t="s">
        <v>92</v>
      </c>
      <c r="D46" t="s">
        <v>93</v>
      </c>
      <c r="E46" t="s">
        <v>55</v>
      </c>
      <c r="F46">
        <v>3.3536231879999998</v>
      </c>
      <c r="G46">
        <v>3.2911538459999998</v>
      </c>
      <c r="H46">
        <v>3.209228602</v>
      </c>
      <c r="I46">
        <v>3.6411502630000001</v>
      </c>
      <c r="J46">
        <v>3.2727631060000002</v>
      </c>
      <c r="K46">
        <v>3.24062384</v>
      </c>
      <c r="L46">
        <v>3.1771217709999999</v>
      </c>
      <c r="M46">
        <v>2.8981617649999998</v>
      </c>
      <c r="N46">
        <v>2.551699717</v>
      </c>
      <c r="O46">
        <v>2.5320315180000001</v>
      </c>
      <c r="P46">
        <v>2.5514582629999998</v>
      </c>
      <c r="Q46">
        <v>2.89867688</v>
      </c>
    </row>
    <row r="47" spans="1:17" x14ac:dyDescent="0.25">
      <c r="A47" t="s">
        <v>66</v>
      </c>
      <c r="B47" t="s">
        <v>67</v>
      </c>
      <c r="C47" t="s">
        <v>92</v>
      </c>
      <c r="D47" t="s">
        <v>93</v>
      </c>
      <c r="E47" t="s">
        <v>55</v>
      </c>
      <c r="F47">
        <v>1.6386138610000001</v>
      </c>
      <c r="G47">
        <v>1.7397034600000001</v>
      </c>
      <c r="H47">
        <v>1.9809941520000001</v>
      </c>
      <c r="I47">
        <v>1.9068413390000001</v>
      </c>
      <c r="J47">
        <v>2.0266565120000002</v>
      </c>
      <c r="K47">
        <v>1.5931255</v>
      </c>
      <c r="L47">
        <v>1.640768588</v>
      </c>
      <c r="M47">
        <v>1.2768479779999999</v>
      </c>
      <c r="N47">
        <v>1.320460148</v>
      </c>
      <c r="O47">
        <v>1.3766696350000001</v>
      </c>
      <c r="P47">
        <v>1.3474936280000001</v>
      </c>
      <c r="Q47">
        <v>1.536656891</v>
      </c>
    </row>
    <row r="48" spans="1:17" x14ac:dyDescent="0.25">
      <c r="A48" t="s">
        <v>68</v>
      </c>
      <c r="B48" t="s">
        <v>69</v>
      </c>
      <c r="C48" t="s">
        <v>92</v>
      </c>
      <c r="D48" t="s">
        <v>93</v>
      </c>
      <c r="E48" t="s">
        <v>55</v>
      </c>
      <c r="F48">
        <v>1.18341367</v>
      </c>
      <c r="G48">
        <v>1.000317898</v>
      </c>
      <c r="H48">
        <v>0.987860552</v>
      </c>
      <c r="I48">
        <v>0.97645148199999998</v>
      </c>
      <c r="J48">
        <v>0.94653210200000004</v>
      </c>
      <c r="K48">
        <v>1.035353535</v>
      </c>
      <c r="L48">
        <v>1</v>
      </c>
      <c r="M48">
        <v>0.95906061600000003</v>
      </c>
      <c r="N48">
        <v>0.87706146900000004</v>
      </c>
      <c r="O48">
        <v>0.94606641400000002</v>
      </c>
      <c r="P48">
        <v>0.93158014600000005</v>
      </c>
      <c r="Q48">
        <v>1.138315389</v>
      </c>
    </row>
    <row r="49" spans="1:17" x14ac:dyDescent="0.25">
      <c r="A49" t="s">
        <v>70</v>
      </c>
      <c r="B49" t="s">
        <v>71</v>
      </c>
      <c r="C49" t="s">
        <v>92</v>
      </c>
      <c r="D49" t="s">
        <v>93</v>
      </c>
      <c r="E49" t="s">
        <v>55</v>
      </c>
      <c r="F49">
        <v>6.0549915529999998</v>
      </c>
      <c r="G49">
        <v>5.5586851509999997</v>
      </c>
      <c r="H49">
        <v>5.3050169370000004</v>
      </c>
      <c r="I49">
        <v>5.39264513</v>
      </c>
      <c r="J49">
        <v>5.6475020809999998</v>
      </c>
      <c r="K49">
        <v>5.1092305390000003</v>
      </c>
      <c r="L49">
        <v>4.562160188</v>
      </c>
      <c r="M49">
        <v>4.4051549019999996</v>
      </c>
      <c r="N49">
        <v>4.7166433129999996</v>
      </c>
      <c r="O49">
        <v>4.381455678</v>
      </c>
      <c r="P49">
        <v>3.8098426660000002</v>
      </c>
      <c r="Q49">
        <v>3.872734838</v>
      </c>
    </row>
    <row r="50" spans="1:17" x14ac:dyDescent="0.25">
      <c r="A50" t="s">
        <v>72</v>
      </c>
      <c r="B50" t="s">
        <v>73</v>
      </c>
      <c r="C50" t="s">
        <v>92</v>
      </c>
      <c r="D50" t="s">
        <v>93</v>
      </c>
      <c r="E50" t="s">
        <v>55</v>
      </c>
      <c r="F50">
        <v>1.729434031</v>
      </c>
      <c r="G50">
        <v>1.645640604</v>
      </c>
      <c r="H50">
        <v>1.7094925510000001</v>
      </c>
      <c r="I50">
        <v>1.522629966</v>
      </c>
      <c r="J50">
        <v>1.516196053</v>
      </c>
      <c r="K50">
        <v>1.3131565009999999</v>
      </c>
      <c r="L50">
        <v>1.3879343900000001</v>
      </c>
      <c r="M50">
        <v>1.3783061750000001</v>
      </c>
      <c r="N50">
        <v>1.455209634</v>
      </c>
      <c r="O50">
        <v>1.462952244</v>
      </c>
      <c r="P50">
        <v>1.704743186</v>
      </c>
      <c r="Q50">
        <v>1.5665759589999999</v>
      </c>
    </row>
    <row r="51" spans="1:17" x14ac:dyDescent="0.25">
      <c r="A51" t="s">
        <v>74</v>
      </c>
      <c r="B51" t="s">
        <v>75</v>
      </c>
      <c r="C51" t="s">
        <v>92</v>
      </c>
      <c r="D51" t="s">
        <v>93</v>
      </c>
      <c r="E51" t="s">
        <v>55</v>
      </c>
      <c r="F51">
        <v>2.3064816970000002</v>
      </c>
      <c r="G51">
        <v>2.265658352</v>
      </c>
      <c r="H51">
        <v>2.3360506060000001</v>
      </c>
      <c r="I51">
        <v>2.4298011279999998</v>
      </c>
      <c r="J51">
        <v>2.374423454</v>
      </c>
      <c r="K51">
        <v>2.4616477269999999</v>
      </c>
      <c r="L51">
        <v>2.5671076249999998</v>
      </c>
      <c r="M51">
        <v>2.4239362689999999</v>
      </c>
      <c r="N51">
        <v>2.665798611</v>
      </c>
      <c r="O51">
        <v>1.584356045</v>
      </c>
      <c r="P51">
        <v>1.7269828620000001</v>
      </c>
      <c r="Q51">
        <v>1.6230432299999999</v>
      </c>
    </row>
    <row r="52" spans="1:17" x14ac:dyDescent="0.25">
      <c r="A52" t="s">
        <v>76</v>
      </c>
      <c r="B52" t="s">
        <v>77</v>
      </c>
      <c r="C52" t="s">
        <v>92</v>
      </c>
      <c r="D52" t="s">
        <v>93</v>
      </c>
      <c r="E52" t="s">
        <v>55</v>
      </c>
      <c r="F52">
        <v>1.2254369009999999</v>
      </c>
      <c r="G52">
        <v>1.269945603</v>
      </c>
      <c r="H52">
        <v>1.118784196</v>
      </c>
      <c r="I52">
        <v>1.0901098899999999</v>
      </c>
      <c r="J52">
        <v>1.2604124379999999</v>
      </c>
      <c r="K52">
        <v>1.276458002</v>
      </c>
      <c r="L52">
        <v>1.297386565</v>
      </c>
      <c r="M52">
        <v>1.328499914</v>
      </c>
      <c r="N52">
        <v>1.349363176</v>
      </c>
      <c r="O52">
        <v>1.3746972669999999</v>
      </c>
      <c r="P52">
        <v>1.3105704549999999</v>
      </c>
      <c r="Q52">
        <v>1.2941271990000001</v>
      </c>
    </row>
    <row r="53" spans="1:17" x14ac:dyDescent="0.25">
      <c r="A53" t="s">
        <v>78</v>
      </c>
      <c r="B53" t="s">
        <v>79</v>
      </c>
      <c r="C53" t="s">
        <v>92</v>
      </c>
      <c r="D53" t="s">
        <v>93</v>
      </c>
      <c r="E53" t="s">
        <v>55</v>
      </c>
      <c r="F53">
        <v>3.3916671780000001</v>
      </c>
      <c r="G53">
        <v>3.689028253</v>
      </c>
      <c r="H53">
        <v>3.2868421049999998</v>
      </c>
      <c r="I53">
        <v>3.5460475009999999</v>
      </c>
      <c r="J53">
        <v>2.9321398329999999</v>
      </c>
      <c r="K53">
        <v>3.303133903</v>
      </c>
      <c r="L53">
        <v>3.0819886869999999</v>
      </c>
      <c r="M53">
        <v>2.8371069860000002</v>
      </c>
      <c r="N53">
        <v>2.0835356159999998</v>
      </c>
      <c r="O53">
        <v>2.5427619589999999</v>
      </c>
      <c r="P53">
        <v>2.5416187570000002</v>
      </c>
      <c r="Q53">
        <v>2.6168009209999998</v>
      </c>
    </row>
    <row r="54" spans="1:17" x14ac:dyDescent="0.25">
      <c r="A54" t="s">
        <v>80</v>
      </c>
      <c r="B54" t="s">
        <v>81</v>
      </c>
      <c r="C54" t="s">
        <v>92</v>
      </c>
      <c r="D54" t="s">
        <v>93</v>
      </c>
      <c r="E54" t="s">
        <v>55</v>
      </c>
      <c r="F54">
        <v>1.2515431239999999</v>
      </c>
      <c r="G54">
        <v>1.411553144</v>
      </c>
      <c r="H54">
        <v>1.331129727</v>
      </c>
      <c r="I54">
        <v>1.3746956589999999</v>
      </c>
      <c r="J54">
        <v>1.3203261669999999</v>
      </c>
      <c r="K54">
        <v>1.310548042</v>
      </c>
      <c r="L54">
        <v>1.285635807</v>
      </c>
      <c r="M54">
        <v>1.3558951400000001</v>
      </c>
      <c r="N54">
        <v>1.830346391</v>
      </c>
      <c r="O54">
        <v>1.0871214279999999</v>
      </c>
      <c r="P54">
        <v>1.019071112</v>
      </c>
      <c r="Q54">
        <v>0.95717060499999995</v>
      </c>
    </row>
    <row r="55" spans="1:17" x14ac:dyDescent="0.25">
      <c r="A55" t="s">
        <v>82</v>
      </c>
      <c r="B55" t="s">
        <v>83</v>
      </c>
      <c r="C55" t="s">
        <v>92</v>
      </c>
      <c r="D55" t="s">
        <v>93</v>
      </c>
      <c r="E55" t="s">
        <v>55</v>
      </c>
      <c r="F55">
        <v>4.2875173459999996</v>
      </c>
      <c r="G55">
        <v>4.3382956559999997</v>
      </c>
      <c r="H55">
        <v>4.5432388960000001</v>
      </c>
      <c r="I55">
        <v>4.5559793580000001</v>
      </c>
      <c r="J55">
        <v>4.119016631</v>
      </c>
      <c r="K55">
        <v>3.4470217769999998</v>
      </c>
      <c r="L55">
        <v>4.0242530260000002</v>
      </c>
      <c r="M55">
        <v>4.1718438689999999</v>
      </c>
      <c r="N55">
        <v>3.8044092940000001</v>
      </c>
      <c r="O55">
        <v>4.131208054</v>
      </c>
      <c r="P55">
        <v>3.52470324</v>
      </c>
      <c r="Q55">
        <v>3.3347006650000002</v>
      </c>
    </row>
    <row r="56" spans="1:17" x14ac:dyDescent="0.25">
      <c r="A56" t="s">
        <v>84</v>
      </c>
      <c r="B56" t="s">
        <v>85</v>
      </c>
      <c r="C56" t="s">
        <v>92</v>
      </c>
      <c r="D56" t="s">
        <v>93</v>
      </c>
      <c r="E56" t="s">
        <v>55</v>
      </c>
      <c r="F56">
        <v>2.0394770449999999</v>
      </c>
      <c r="G56">
        <v>2.0117085430000001</v>
      </c>
      <c r="H56">
        <v>1.93391465</v>
      </c>
      <c r="I56">
        <v>1.9795344969999999</v>
      </c>
      <c r="J56">
        <v>2.0766919549999998</v>
      </c>
      <c r="K56">
        <v>1.822902408</v>
      </c>
      <c r="L56">
        <v>1.977383906</v>
      </c>
      <c r="M56">
        <v>1.8652954610000001</v>
      </c>
      <c r="N56">
        <v>2.045405889</v>
      </c>
      <c r="O56">
        <v>2.0236610659999998</v>
      </c>
      <c r="P56">
        <v>2.011419514</v>
      </c>
      <c r="Q56">
        <v>2.1208884490000002</v>
      </c>
    </row>
    <row r="57" spans="1:17" x14ac:dyDescent="0.25">
      <c r="A57" t="s">
        <v>86</v>
      </c>
      <c r="B57" t="s">
        <v>87</v>
      </c>
      <c r="C57" t="s">
        <v>92</v>
      </c>
      <c r="D57" t="s">
        <v>93</v>
      </c>
      <c r="E57" t="s">
        <v>55</v>
      </c>
      <c r="F57">
        <v>2.4120726960000001</v>
      </c>
      <c r="G57">
        <v>2.530701445</v>
      </c>
      <c r="H57">
        <v>2.1559220049999999</v>
      </c>
      <c r="I57">
        <v>2.3706763710000001</v>
      </c>
      <c r="J57">
        <v>2.5334251550000002</v>
      </c>
      <c r="K57">
        <v>2.5060292130000001</v>
      </c>
      <c r="L57">
        <v>2.7921661640000002</v>
      </c>
      <c r="M57">
        <v>2.6680942380000001</v>
      </c>
      <c r="N57">
        <v>2.712550266</v>
      </c>
      <c r="O57">
        <v>2.397341795</v>
      </c>
      <c r="P57">
        <v>2.451490653</v>
      </c>
      <c r="Q57">
        <v>2.4023466560000002</v>
      </c>
    </row>
    <row r="58" spans="1:17" x14ac:dyDescent="0.25">
      <c r="A58" t="s">
        <v>94</v>
      </c>
      <c r="B58" t="s">
        <v>46</v>
      </c>
      <c r="C58" t="s">
        <v>46</v>
      </c>
      <c r="D58" t="s">
        <v>46</v>
      </c>
      <c r="E58" t="s">
        <v>50</v>
      </c>
      <c r="F58">
        <v>74.594574178000002</v>
      </c>
      <c r="G58">
        <v>172.28184002133332</v>
      </c>
      <c r="H58">
        <v>186.13474840429998</v>
      </c>
      <c r="I58">
        <v>122.64611301990909</v>
      </c>
      <c r="J58">
        <v>107.0915890428889</v>
      </c>
      <c r="K58">
        <v>61.031221338777783</v>
      </c>
      <c r="L58">
        <v>117.13399262820001</v>
      </c>
      <c r="M58">
        <v>75.454987601499994</v>
      </c>
      <c r="N58">
        <v>58.078860307090913</v>
      </c>
      <c r="O58">
        <v>42.036963175200007</v>
      </c>
      <c r="P58">
        <v>51.761481334300001</v>
      </c>
      <c r="Q58">
        <v>32.893045374499998</v>
      </c>
    </row>
    <row r="59" spans="1:17" x14ac:dyDescent="0.25">
      <c r="A59" t="s">
        <v>51</v>
      </c>
      <c r="B59" t="s">
        <v>52</v>
      </c>
      <c r="C59" t="s">
        <v>95</v>
      </c>
      <c r="D59" t="s">
        <v>96</v>
      </c>
      <c r="E59" t="s">
        <v>55</v>
      </c>
      <c r="F59">
        <v>239.53362859999999</v>
      </c>
      <c r="G59">
        <v>264.17318660000001</v>
      </c>
      <c r="H59">
        <v>318.28680689999999</v>
      </c>
      <c r="I59">
        <v>337.51145830000002</v>
      </c>
      <c r="J59">
        <v>279.99229320000001</v>
      </c>
      <c r="K59">
        <v>285.2093926</v>
      </c>
      <c r="L59">
        <v>361.60088789999998</v>
      </c>
      <c r="M59">
        <v>246.77451500000001</v>
      </c>
      <c r="N59">
        <v>321.23092739999998</v>
      </c>
      <c r="O59">
        <v>209.78414100000001</v>
      </c>
      <c r="P59">
        <v>322.84672999999998</v>
      </c>
      <c r="Q59">
        <v>173.8000467</v>
      </c>
    </row>
    <row r="60" spans="1:17" x14ac:dyDescent="0.25">
      <c r="A60" t="s">
        <v>56</v>
      </c>
      <c r="B60" t="s">
        <v>57</v>
      </c>
      <c r="C60" t="s">
        <v>95</v>
      </c>
      <c r="D60" t="s">
        <v>96</v>
      </c>
      <c r="E60" t="s">
        <v>55</v>
      </c>
      <c r="F60" t="s">
        <v>46</v>
      </c>
      <c r="G60" t="s">
        <v>46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</row>
    <row r="61" spans="1:17" x14ac:dyDescent="0.25">
      <c r="A61" t="s">
        <v>58</v>
      </c>
      <c r="B61" t="s">
        <v>59</v>
      </c>
      <c r="C61" t="s">
        <v>95</v>
      </c>
      <c r="D61" t="s">
        <v>96</v>
      </c>
      <c r="E61" t="s">
        <v>55</v>
      </c>
      <c r="F61" t="s">
        <v>46</v>
      </c>
      <c r="G61" t="s">
        <v>46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t="s">
        <v>46</v>
      </c>
      <c r="N61" t="s">
        <v>46</v>
      </c>
      <c r="O61" t="s">
        <v>46</v>
      </c>
      <c r="P61" t="s">
        <v>46</v>
      </c>
      <c r="Q61" t="s">
        <v>46</v>
      </c>
    </row>
    <row r="62" spans="1:17" x14ac:dyDescent="0.25">
      <c r="A62" t="s">
        <v>60</v>
      </c>
      <c r="B62" t="s">
        <v>61</v>
      </c>
      <c r="C62" t="s">
        <v>95</v>
      </c>
      <c r="D62" t="s">
        <v>96</v>
      </c>
      <c r="E62" t="s">
        <v>55</v>
      </c>
      <c r="F62" t="s">
        <v>46</v>
      </c>
      <c r="G62" t="s">
        <v>46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</row>
    <row r="63" spans="1:17" x14ac:dyDescent="0.25">
      <c r="A63" t="s">
        <v>62</v>
      </c>
      <c r="B63" t="s">
        <v>63</v>
      </c>
      <c r="C63" t="s">
        <v>95</v>
      </c>
      <c r="D63" t="s">
        <v>96</v>
      </c>
      <c r="E63" t="s">
        <v>55</v>
      </c>
      <c r="F63" t="s">
        <v>46</v>
      </c>
      <c r="G63" t="s">
        <v>46</v>
      </c>
      <c r="H63">
        <v>20.87918758</v>
      </c>
      <c r="I63">
        <v>22.27898111</v>
      </c>
      <c r="J63" t="s">
        <v>46</v>
      </c>
      <c r="K63" t="s">
        <v>46</v>
      </c>
      <c r="L63">
        <v>29.618001370000002</v>
      </c>
      <c r="M63">
        <v>23.898088489999999</v>
      </c>
      <c r="N63">
        <v>22.575379860000002</v>
      </c>
      <c r="O63">
        <v>24.122643629999999</v>
      </c>
      <c r="P63">
        <v>15.850647410000001</v>
      </c>
      <c r="Q63">
        <v>17.049759649999999</v>
      </c>
    </row>
    <row r="64" spans="1:17" x14ac:dyDescent="0.25">
      <c r="A64" t="s">
        <v>64</v>
      </c>
      <c r="B64" t="s">
        <v>65</v>
      </c>
      <c r="C64" t="s">
        <v>95</v>
      </c>
      <c r="D64" t="s">
        <v>96</v>
      </c>
      <c r="E64" t="s">
        <v>55</v>
      </c>
      <c r="F64">
        <v>101</v>
      </c>
      <c r="G64">
        <v>108</v>
      </c>
      <c r="H64">
        <v>131.4</v>
      </c>
      <c r="I64">
        <v>115.5</v>
      </c>
      <c r="J64">
        <v>95.714285709999999</v>
      </c>
      <c r="K64">
        <v>124.16666669999999</v>
      </c>
      <c r="L64">
        <v>86.625</v>
      </c>
      <c r="M64">
        <v>77</v>
      </c>
      <c r="N64">
        <v>103.16666669999999</v>
      </c>
      <c r="O64">
        <v>95.571428569999995</v>
      </c>
      <c r="P64">
        <v>104.33333330000001</v>
      </c>
      <c r="Q64">
        <v>96.5</v>
      </c>
    </row>
    <row r="65" spans="1:17" x14ac:dyDescent="0.25">
      <c r="A65" t="s">
        <v>66</v>
      </c>
      <c r="B65" t="s">
        <v>67</v>
      </c>
      <c r="C65" t="s">
        <v>95</v>
      </c>
      <c r="D65" t="s">
        <v>96</v>
      </c>
      <c r="E65" t="s">
        <v>55</v>
      </c>
      <c r="F65">
        <v>0.382352941</v>
      </c>
      <c r="G65">
        <v>1.371428571</v>
      </c>
      <c r="H65">
        <v>1.21875</v>
      </c>
      <c r="I65">
        <v>-0.66666666699999999</v>
      </c>
      <c r="J65">
        <v>2.4054054050000002</v>
      </c>
      <c r="K65">
        <v>-10.454545449999999</v>
      </c>
      <c r="L65">
        <v>-5.95</v>
      </c>
      <c r="M65">
        <v>-15.95</v>
      </c>
      <c r="N65">
        <v>-54.9</v>
      </c>
      <c r="O65">
        <v>0.3</v>
      </c>
      <c r="P65">
        <v>-34.277777780000001</v>
      </c>
      <c r="Q65">
        <v>-2</v>
      </c>
    </row>
    <row r="66" spans="1:17" x14ac:dyDescent="0.25">
      <c r="A66" t="s">
        <v>68</v>
      </c>
      <c r="B66" t="s">
        <v>69</v>
      </c>
      <c r="C66" t="s">
        <v>95</v>
      </c>
      <c r="D66" t="s">
        <v>96</v>
      </c>
      <c r="E66" t="s">
        <v>55</v>
      </c>
      <c r="F66">
        <v>6.7567567999999995E-2</v>
      </c>
      <c r="G66">
        <v>3.6849315069999999</v>
      </c>
      <c r="H66">
        <v>4.2739726029999998</v>
      </c>
      <c r="I66">
        <v>6.58</v>
      </c>
      <c r="J66">
        <v>3.7529411760000002</v>
      </c>
      <c r="K66">
        <v>3.4337349399999999</v>
      </c>
      <c r="L66">
        <v>4.6666666670000003</v>
      </c>
      <c r="M66">
        <v>4.7411764710000002</v>
      </c>
      <c r="N66">
        <v>1.6373626370000001</v>
      </c>
      <c r="O66">
        <v>-19.91346154</v>
      </c>
      <c r="P66">
        <v>0.75268817200000004</v>
      </c>
      <c r="Q66">
        <v>-40.821052629999997</v>
      </c>
    </row>
    <row r="67" spans="1:17" x14ac:dyDescent="0.25">
      <c r="A67" t="s">
        <v>70</v>
      </c>
      <c r="B67" t="s">
        <v>71</v>
      </c>
      <c r="C67" t="s">
        <v>95</v>
      </c>
      <c r="D67" t="s">
        <v>96</v>
      </c>
      <c r="E67" t="s">
        <v>55</v>
      </c>
      <c r="F67" t="s">
        <v>46</v>
      </c>
      <c r="G67" t="s">
        <v>46</v>
      </c>
      <c r="H67" t="s">
        <v>46</v>
      </c>
      <c r="I67" t="s">
        <v>46</v>
      </c>
      <c r="J67" t="s">
        <v>46</v>
      </c>
      <c r="K67" t="s">
        <v>46</v>
      </c>
      <c r="L67" t="s">
        <v>46</v>
      </c>
      <c r="M67" t="s">
        <v>46</v>
      </c>
      <c r="N67" t="s">
        <v>46</v>
      </c>
      <c r="O67" t="s">
        <v>46</v>
      </c>
      <c r="P67" t="s">
        <v>46</v>
      </c>
      <c r="Q67" t="s">
        <v>46</v>
      </c>
    </row>
    <row r="68" spans="1:17" x14ac:dyDescent="0.25">
      <c r="A68" t="s">
        <v>72</v>
      </c>
      <c r="B68" t="s">
        <v>73</v>
      </c>
      <c r="C68" t="s">
        <v>95</v>
      </c>
      <c r="D68" t="s">
        <v>96</v>
      </c>
      <c r="E68" t="s">
        <v>55</v>
      </c>
      <c r="F68">
        <v>7.5570801830000001</v>
      </c>
      <c r="G68">
        <v>8.6861527540000001</v>
      </c>
      <c r="H68">
        <v>6.4831520300000003</v>
      </c>
      <c r="I68">
        <v>5.5589363560000002</v>
      </c>
      <c r="J68">
        <v>6.5283638450000003</v>
      </c>
      <c r="K68">
        <v>7.5421512789999996</v>
      </c>
      <c r="L68">
        <v>8.9467269349999992</v>
      </c>
      <c r="M68">
        <v>6.9893691320000002</v>
      </c>
      <c r="N68">
        <v>8.0645455239999997</v>
      </c>
      <c r="O68">
        <v>9.3185659199999993</v>
      </c>
      <c r="P68">
        <v>9.5355034310000004</v>
      </c>
      <c r="Q68">
        <v>7.9211166789999998</v>
      </c>
    </row>
    <row r="69" spans="1:17" x14ac:dyDescent="0.25">
      <c r="A69" t="s">
        <v>74</v>
      </c>
      <c r="B69" t="s">
        <v>75</v>
      </c>
      <c r="C69" t="s">
        <v>95</v>
      </c>
      <c r="D69" t="s">
        <v>96</v>
      </c>
      <c r="E69" t="s">
        <v>55</v>
      </c>
      <c r="F69" t="s">
        <v>46</v>
      </c>
      <c r="G69" t="s">
        <v>46</v>
      </c>
      <c r="H69" t="s">
        <v>46</v>
      </c>
      <c r="I69">
        <v>136.47368420000001</v>
      </c>
      <c r="J69" t="s">
        <v>46</v>
      </c>
      <c r="K69" t="s">
        <v>46</v>
      </c>
      <c r="L69" t="s">
        <v>46</v>
      </c>
      <c r="M69" t="s">
        <v>46</v>
      </c>
      <c r="N69" t="s">
        <v>46</v>
      </c>
      <c r="O69" t="s">
        <v>46</v>
      </c>
      <c r="P69" t="s">
        <v>46</v>
      </c>
      <c r="Q69" t="s">
        <v>46</v>
      </c>
    </row>
    <row r="70" spans="1:17" x14ac:dyDescent="0.25">
      <c r="A70" t="s">
        <v>76</v>
      </c>
      <c r="B70" t="s">
        <v>77</v>
      </c>
      <c r="C70" t="s">
        <v>95</v>
      </c>
      <c r="D70" t="s">
        <v>96</v>
      </c>
      <c r="E70" t="s">
        <v>55</v>
      </c>
      <c r="F70" t="s">
        <v>46</v>
      </c>
      <c r="G70" t="s">
        <v>46</v>
      </c>
      <c r="H70" t="s">
        <v>46</v>
      </c>
      <c r="I70" t="s">
        <v>46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46</v>
      </c>
      <c r="Q70" t="s">
        <v>46</v>
      </c>
    </row>
    <row r="71" spans="1:17" x14ac:dyDescent="0.25">
      <c r="A71" t="s">
        <v>78</v>
      </c>
      <c r="B71" t="s">
        <v>79</v>
      </c>
      <c r="C71" t="s">
        <v>95</v>
      </c>
      <c r="D71" t="s">
        <v>96</v>
      </c>
      <c r="E71" t="s">
        <v>55</v>
      </c>
      <c r="F71" t="s">
        <v>46</v>
      </c>
      <c r="G71" t="s">
        <v>46</v>
      </c>
      <c r="H71" t="s">
        <v>46</v>
      </c>
      <c r="I71" t="s">
        <v>46</v>
      </c>
      <c r="J71" t="s">
        <v>46</v>
      </c>
      <c r="K71" t="s">
        <v>46</v>
      </c>
      <c r="L71" t="s">
        <v>46</v>
      </c>
      <c r="M71" t="s">
        <v>46</v>
      </c>
      <c r="N71">
        <v>111.77500000000001</v>
      </c>
      <c r="O71" t="s">
        <v>46</v>
      </c>
      <c r="P71" t="s">
        <v>46</v>
      </c>
      <c r="Q71" t="s">
        <v>46</v>
      </c>
    </row>
    <row r="72" spans="1:17" x14ac:dyDescent="0.25">
      <c r="A72" t="s">
        <v>80</v>
      </c>
      <c r="B72" t="s">
        <v>81</v>
      </c>
      <c r="C72" t="s">
        <v>95</v>
      </c>
      <c r="D72" t="s">
        <v>96</v>
      </c>
      <c r="E72" t="s">
        <v>55</v>
      </c>
      <c r="F72">
        <v>16.885135139999999</v>
      </c>
      <c r="G72">
        <v>16.72619048</v>
      </c>
      <c r="H72">
        <v>27.4</v>
      </c>
      <c r="I72">
        <v>8.31547619</v>
      </c>
      <c r="J72">
        <v>16.920454549999999</v>
      </c>
      <c r="K72">
        <v>16.691099479999998</v>
      </c>
      <c r="L72">
        <v>23.979274610000001</v>
      </c>
      <c r="M72">
        <v>9.0518867919999995</v>
      </c>
      <c r="N72">
        <v>6.1168091169999999</v>
      </c>
      <c r="O72">
        <v>4.0529953919999997</v>
      </c>
      <c r="P72">
        <v>11.5</v>
      </c>
      <c r="Q72">
        <v>1.0362537759999999</v>
      </c>
    </row>
    <row r="73" spans="1:17" x14ac:dyDescent="0.25">
      <c r="A73" t="s">
        <v>82</v>
      </c>
      <c r="B73" t="s">
        <v>83</v>
      </c>
      <c r="C73" t="s">
        <v>95</v>
      </c>
      <c r="D73" t="s">
        <v>96</v>
      </c>
      <c r="E73" t="s">
        <v>55</v>
      </c>
      <c r="F73">
        <v>256.07407410000002</v>
      </c>
      <c r="G73">
        <v>1094.2857140000001</v>
      </c>
      <c r="H73">
        <v>1296.833333</v>
      </c>
      <c r="I73">
        <v>678.91666669999995</v>
      </c>
      <c r="J73">
        <v>504.58823530000001</v>
      </c>
      <c r="K73">
        <v>71.321167880000004</v>
      </c>
      <c r="L73">
        <v>597.75</v>
      </c>
      <c r="M73">
        <v>340.60714289999999</v>
      </c>
      <c r="N73">
        <v>78.135593220000004</v>
      </c>
      <c r="O73">
        <v>48.502590669999996</v>
      </c>
      <c r="P73">
        <v>44.726457400000001</v>
      </c>
      <c r="Q73">
        <v>39.940239040000002</v>
      </c>
    </row>
    <row r="74" spans="1:17" x14ac:dyDescent="0.25">
      <c r="A74" t="s">
        <v>84</v>
      </c>
      <c r="B74" t="s">
        <v>85</v>
      </c>
      <c r="C74" t="s">
        <v>95</v>
      </c>
      <c r="D74" t="s">
        <v>96</v>
      </c>
      <c r="E74" t="s">
        <v>55</v>
      </c>
      <c r="F74">
        <v>18.615696889999999</v>
      </c>
      <c r="G74">
        <v>21.75</v>
      </c>
      <c r="H74">
        <v>29.052801410000001</v>
      </c>
      <c r="I74">
        <v>21.12428843</v>
      </c>
      <c r="J74">
        <v>35.282950820000003</v>
      </c>
      <c r="K74">
        <v>34.158369870000001</v>
      </c>
      <c r="L74">
        <v>40.195530730000002</v>
      </c>
      <c r="M74">
        <v>48.693950180000002</v>
      </c>
      <c r="N74">
        <v>21.86784141</v>
      </c>
      <c r="O74">
        <v>30.271177550000001</v>
      </c>
      <c r="P74">
        <v>21.426947269999999</v>
      </c>
      <c r="Q74">
        <v>13.76093985</v>
      </c>
    </row>
    <row r="75" spans="1:17" x14ac:dyDescent="0.25">
      <c r="A75" t="s">
        <v>86</v>
      </c>
      <c r="B75" t="s">
        <v>87</v>
      </c>
      <c r="C75" t="s">
        <v>95</v>
      </c>
      <c r="D75" t="s">
        <v>96</v>
      </c>
      <c r="E75" t="s">
        <v>55</v>
      </c>
      <c r="F75">
        <v>31.23563218</v>
      </c>
      <c r="G75">
        <v>31.858956280000001</v>
      </c>
      <c r="H75">
        <v>25.519480519999998</v>
      </c>
      <c r="I75">
        <v>17.514418599999999</v>
      </c>
      <c r="J75">
        <v>18.63937138</v>
      </c>
      <c r="K75">
        <v>17.212954750000002</v>
      </c>
      <c r="L75">
        <v>23.90783807</v>
      </c>
      <c r="M75">
        <v>12.74374705</v>
      </c>
      <c r="N75">
        <v>19.197337510000001</v>
      </c>
      <c r="O75">
        <v>18.359550559999999</v>
      </c>
      <c r="P75">
        <v>20.92028414</v>
      </c>
      <c r="Q75">
        <v>21.743150679999999</v>
      </c>
    </row>
    <row r="76" spans="1:17" x14ac:dyDescent="0.25">
      <c r="A76" t="s">
        <v>97</v>
      </c>
      <c r="B76" t="s">
        <v>46</v>
      </c>
      <c r="C76" t="s">
        <v>46</v>
      </c>
      <c r="D76" t="s">
        <v>46</v>
      </c>
      <c r="E76" t="s">
        <v>47</v>
      </c>
      <c r="F76" t="s">
        <v>46</v>
      </c>
      <c r="G76" t="s">
        <v>46</v>
      </c>
      <c r="H76" t="s">
        <v>46</v>
      </c>
      <c r="I76" t="s">
        <v>46</v>
      </c>
      <c r="J76" t="s">
        <v>46</v>
      </c>
      <c r="K76" t="s">
        <v>46</v>
      </c>
      <c r="L76" t="s">
        <v>46</v>
      </c>
      <c r="M76" t="s">
        <v>46</v>
      </c>
      <c r="N76" t="s">
        <v>46</v>
      </c>
      <c r="O76" t="s">
        <v>46</v>
      </c>
      <c r="P76" t="s">
        <v>46</v>
      </c>
      <c r="Q76" t="s">
        <v>46</v>
      </c>
    </row>
    <row r="77" spans="1:17" x14ac:dyDescent="0.25">
      <c r="A77" t="s">
        <v>98</v>
      </c>
      <c r="B77" t="s">
        <v>49</v>
      </c>
      <c r="C77" t="s">
        <v>46</v>
      </c>
      <c r="D77" t="s">
        <v>46</v>
      </c>
      <c r="E77" t="s">
        <v>50</v>
      </c>
      <c r="F77">
        <v>0.1232660054</v>
      </c>
      <c r="G77">
        <v>0.12156729659999997</v>
      </c>
      <c r="H77">
        <v>0.1230273462</v>
      </c>
      <c r="I77">
        <v>0.12223318386666668</v>
      </c>
      <c r="J77">
        <v>0.13379184633999996</v>
      </c>
      <c r="K77">
        <v>0.12028296848000002</v>
      </c>
      <c r="L77">
        <v>0.15934025162666662</v>
      </c>
      <c r="M77">
        <v>0.14527151648</v>
      </c>
      <c r="N77">
        <v>0.17609335793333333</v>
      </c>
      <c r="O77">
        <v>0.19256333140000004</v>
      </c>
      <c r="P77">
        <v>0.19365825718750002</v>
      </c>
      <c r="Q77">
        <v>0.27227157260000001</v>
      </c>
    </row>
    <row r="78" spans="1:17" x14ac:dyDescent="0.25">
      <c r="A78" t="s">
        <v>51</v>
      </c>
      <c r="B78" t="s">
        <v>52</v>
      </c>
      <c r="C78" t="s">
        <v>99</v>
      </c>
      <c r="D78" t="s">
        <v>100</v>
      </c>
      <c r="E78" t="s">
        <v>55</v>
      </c>
      <c r="F78">
        <v>3.60074E-4</v>
      </c>
      <c r="G78">
        <v>3.14018E-4</v>
      </c>
      <c r="H78">
        <v>2.7648700000000001E-4</v>
      </c>
      <c r="I78">
        <v>2.8887100000000001E-4</v>
      </c>
      <c r="J78">
        <v>2.9883500000000001E-4</v>
      </c>
      <c r="K78">
        <v>2.4171899999999999E-4</v>
      </c>
      <c r="L78">
        <v>2.4378600000000001E-4</v>
      </c>
      <c r="M78">
        <v>2.43618E-4</v>
      </c>
      <c r="N78">
        <v>2.1963399999999999E-4</v>
      </c>
      <c r="O78">
        <v>1.8814E-4</v>
      </c>
      <c r="P78">
        <v>2.687223E-2</v>
      </c>
      <c r="Q78">
        <v>3.0019443999999999E-2</v>
      </c>
    </row>
    <row r="79" spans="1:17" x14ac:dyDescent="0.25">
      <c r="A79" t="s">
        <v>56</v>
      </c>
      <c r="B79" t="s">
        <v>57</v>
      </c>
      <c r="C79" t="s">
        <v>99</v>
      </c>
      <c r="D79" t="s">
        <v>100</v>
      </c>
      <c r="E79" t="s">
        <v>55</v>
      </c>
      <c r="F79">
        <v>0</v>
      </c>
      <c r="G79">
        <v>0</v>
      </c>
      <c r="H79">
        <v>0</v>
      </c>
      <c r="I79">
        <v>1.3236994E-2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2.9414320000000001E-2</v>
      </c>
      <c r="Q79">
        <v>8.5979226000000006E-2</v>
      </c>
    </row>
    <row r="80" spans="1:17" x14ac:dyDescent="0.25">
      <c r="A80" t="s">
        <v>58</v>
      </c>
      <c r="B80" t="s">
        <v>59</v>
      </c>
      <c r="C80" t="s">
        <v>99</v>
      </c>
      <c r="D80" t="s">
        <v>100</v>
      </c>
      <c r="E80" t="s">
        <v>55</v>
      </c>
      <c r="F80" t="s">
        <v>46</v>
      </c>
      <c r="G80" t="s">
        <v>46</v>
      </c>
      <c r="H80" t="s">
        <v>46</v>
      </c>
      <c r="I80" t="s">
        <v>46</v>
      </c>
      <c r="J80" t="s">
        <v>46</v>
      </c>
      <c r="K80" t="s">
        <v>46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</row>
    <row r="81" spans="1:17" x14ac:dyDescent="0.25">
      <c r="A81" t="s">
        <v>60</v>
      </c>
      <c r="B81" t="s">
        <v>61</v>
      </c>
      <c r="C81" t="s">
        <v>99</v>
      </c>
      <c r="D81" t="s">
        <v>100</v>
      </c>
      <c r="E81" t="s">
        <v>55</v>
      </c>
      <c r="F81" t="s">
        <v>46</v>
      </c>
      <c r="G81" t="s">
        <v>46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>
        <v>0.206177002</v>
      </c>
      <c r="Q81" t="s">
        <v>46</v>
      </c>
    </row>
    <row r="82" spans="1:17" x14ac:dyDescent="0.25">
      <c r="A82" t="s">
        <v>62</v>
      </c>
      <c r="B82" t="s">
        <v>63</v>
      </c>
      <c r="C82" t="s">
        <v>99</v>
      </c>
      <c r="D82" t="s">
        <v>100</v>
      </c>
      <c r="E82" t="s">
        <v>55</v>
      </c>
      <c r="F82">
        <v>8.2261904999999996E-2</v>
      </c>
      <c r="G82">
        <v>9.1894432999999998E-2</v>
      </c>
      <c r="H82">
        <v>8.5818288000000006E-2</v>
      </c>
      <c r="I82">
        <v>7.8446331999999994E-2</v>
      </c>
      <c r="J82">
        <v>7.3326369000000002E-2</v>
      </c>
      <c r="K82">
        <v>7.2375002999999993E-2</v>
      </c>
      <c r="L82">
        <v>8.8207483000000003E-2</v>
      </c>
      <c r="M82">
        <v>7.9838332999999997E-2</v>
      </c>
      <c r="N82">
        <v>8.6064033999999998E-2</v>
      </c>
      <c r="O82">
        <v>7.6995471999999995E-2</v>
      </c>
      <c r="P82">
        <v>9.3793082999999999E-2</v>
      </c>
      <c r="Q82">
        <v>0.17650228200000001</v>
      </c>
    </row>
    <row r="83" spans="1:17" x14ac:dyDescent="0.25">
      <c r="A83" t="s">
        <v>64</v>
      </c>
      <c r="B83" t="s">
        <v>65</v>
      </c>
      <c r="C83" t="s">
        <v>99</v>
      </c>
      <c r="D83" t="s">
        <v>100</v>
      </c>
      <c r="E83" t="s">
        <v>55</v>
      </c>
      <c r="F83">
        <v>2.7690072E-2</v>
      </c>
      <c r="G83">
        <v>2.1152135999999998E-2</v>
      </c>
      <c r="H83">
        <v>2.3232445000000001E-2</v>
      </c>
      <c r="I83">
        <v>1.7928379000000001E-2</v>
      </c>
      <c r="J83">
        <v>1.7700077000000002E-2</v>
      </c>
      <c r="K83">
        <v>1.7785202E-2</v>
      </c>
      <c r="L83">
        <v>2.2670589000000001E-2</v>
      </c>
      <c r="M83">
        <v>4.1131512000000002E-2</v>
      </c>
      <c r="N83">
        <v>4.9164325000000002E-2</v>
      </c>
      <c r="O83">
        <v>5.3511705999999999E-2</v>
      </c>
      <c r="P83">
        <v>5.3014876000000002E-2</v>
      </c>
      <c r="Q83">
        <v>0.140122941</v>
      </c>
    </row>
    <row r="84" spans="1:17" x14ac:dyDescent="0.25">
      <c r="A84" t="s">
        <v>66</v>
      </c>
      <c r="B84" t="s">
        <v>67</v>
      </c>
      <c r="C84" t="s">
        <v>99</v>
      </c>
      <c r="D84" t="s">
        <v>100</v>
      </c>
      <c r="E84" t="s">
        <v>55</v>
      </c>
      <c r="F84">
        <v>0.40355288</v>
      </c>
      <c r="G84">
        <v>0.41153337299999998</v>
      </c>
      <c r="H84">
        <v>0.41858676299999997</v>
      </c>
      <c r="I84">
        <v>0.37033642</v>
      </c>
      <c r="J84">
        <v>0.409103247</v>
      </c>
      <c r="K84">
        <v>0.26870187000000001</v>
      </c>
      <c r="L84">
        <v>0.48981258900000002</v>
      </c>
      <c r="M84">
        <v>0.43470030799999998</v>
      </c>
      <c r="N84">
        <v>0.50343986100000004</v>
      </c>
      <c r="O84">
        <v>0.60309771700000003</v>
      </c>
      <c r="P84">
        <v>0.66309648700000001</v>
      </c>
      <c r="Q84">
        <v>0.89239045900000002</v>
      </c>
    </row>
    <row r="85" spans="1:17" x14ac:dyDescent="0.25">
      <c r="A85" t="s">
        <v>68</v>
      </c>
      <c r="B85" t="s">
        <v>69</v>
      </c>
      <c r="C85" t="s">
        <v>99</v>
      </c>
      <c r="D85" t="s">
        <v>100</v>
      </c>
      <c r="E85" t="s">
        <v>55</v>
      </c>
      <c r="F85">
        <v>0.27432883699999999</v>
      </c>
      <c r="G85">
        <v>0.27698585100000001</v>
      </c>
      <c r="H85">
        <v>0.258177816</v>
      </c>
      <c r="I85">
        <v>0.232471278</v>
      </c>
      <c r="J85">
        <v>0.25620721800000001</v>
      </c>
      <c r="K85">
        <v>0.227491004</v>
      </c>
      <c r="L85">
        <v>0.38242933400000001</v>
      </c>
      <c r="M85">
        <v>0.33540849299999997</v>
      </c>
      <c r="N85">
        <v>0.46351375099999997</v>
      </c>
      <c r="O85">
        <v>0.68433149100000001</v>
      </c>
      <c r="P85">
        <v>0.58901663699999995</v>
      </c>
      <c r="Q85">
        <v>1.0023105919999999</v>
      </c>
    </row>
    <row r="86" spans="1:17" x14ac:dyDescent="0.25">
      <c r="A86" t="s">
        <v>70</v>
      </c>
      <c r="B86" t="s">
        <v>71</v>
      </c>
      <c r="C86" t="s">
        <v>99</v>
      </c>
      <c r="D86" t="s">
        <v>100</v>
      </c>
      <c r="E86" t="s">
        <v>55</v>
      </c>
      <c r="F86">
        <v>6.2743740000000001E-3</v>
      </c>
      <c r="G86">
        <v>6.03551E-3</v>
      </c>
      <c r="H86">
        <v>4.8754640000000004E-3</v>
      </c>
      <c r="I86">
        <v>4.4736350000000001E-3</v>
      </c>
      <c r="J86">
        <v>4.0911580000000001E-3</v>
      </c>
      <c r="K86">
        <v>3.6943900000000001E-3</v>
      </c>
      <c r="L86">
        <v>4.5277820000000002E-3</v>
      </c>
      <c r="M86">
        <v>2.2265435E-2</v>
      </c>
      <c r="N86">
        <v>2.5912393999999998E-2</v>
      </c>
      <c r="O86">
        <v>2.4522848999999999E-2</v>
      </c>
      <c r="P86">
        <v>2.3874144999999999E-2</v>
      </c>
      <c r="Q86">
        <v>2.8357191E-2</v>
      </c>
    </row>
    <row r="87" spans="1:17" x14ac:dyDescent="0.25">
      <c r="A87" t="s">
        <v>72</v>
      </c>
      <c r="B87" t="s">
        <v>73</v>
      </c>
      <c r="C87" t="s">
        <v>99</v>
      </c>
      <c r="D87" t="s">
        <v>100</v>
      </c>
      <c r="E87" t="s">
        <v>55</v>
      </c>
      <c r="F87">
        <v>0.204834249</v>
      </c>
      <c r="G87">
        <v>0.19206432400000001</v>
      </c>
      <c r="H87">
        <v>0.177856923</v>
      </c>
      <c r="I87">
        <v>0.18584624199999999</v>
      </c>
      <c r="J87">
        <v>0.19141923399999999</v>
      </c>
      <c r="K87">
        <v>0.19920575700000001</v>
      </c>
      <c r="L87">
        <v>0.215694421</v>
      </c>
      <c r="M87">
        <v>0.20627763099999999</v>
      </c>
      <c r="N87">
        <v>0.19298269400000001</v>
      </c>
      <c r="O87">
        <v>0.18688553099999999</v>
      </c>
      <c r="P87">
        <v>0.195395181</v>
      </c>
      <c r="Q87">
        <v>0.273500929</v>
      </c>
    </row>
    <row r="88" spans="1:17" x14ac:dyDescent="0.25">
      <c r="A88" t="s">
        <v>74</v>
      </c>
      <c r="B88" t="s">
        <v>75</v>
      </c>
      <c r="C88" t="s">
        <v>99</v>
      </c>
      <c r="D88" t="s">
        <v>100</v>
      </c>
      <c r="E88" t="s">
        <v>55</v>
      </c>
      <c r="F88">
        <v>5.1677429999999998E-3</v>
      </c>
      <c r="G88">
        <v>6.2849200000000003E-3</v>
      </c>
      <c r="H88">
        <v>4.277108E-3</v>
      </c>
      <c r="I88">
        <v>3.8533109999999999E-3</v>
      </c>
      <c r="J88">
        <v>3.000581E-3</v>
      </c>
      <c r="K88">
        <v>2.1213480999999999E-2</v>
      </c>
      <c r="L88">
        <v>3.0062866000000001E-2</v>
      </c>
      <c r="M88">
        <v>2.9892279000000001E-2</v>
      </c>
      <c r="N88">
        <v>2.8915264999999999E-2</v>
      </c>
      <c r="O88">
        <v>4.4392156000000002E-2</v>
      </c>
      <c r="P88">
        <v>4.2738181E-2</v>
      </c>
      <c r="Q88">
        <v>7.1272872000000001E-2</v>
      </c>
    </row>
    <row r="89" spans="1:17" x14ac:dyDescent="0.25">
      <c r="A89" t="s">
        <v>76</v>
      </c>
      <c r="B89" t="s">
        <v>77</v>
      </c>
      <c r="C89" t="s">
        <v>99</v>
      </c>
      <c r="D89" t="s">
        <v>100</v>
      </c>
      <c r="E89" t="s">
        <v>55</v>
      </c>
      <c r="F89">
        <v>0.44450788200000002</v>
      </c>
      <c r="G89">
        <v>0.43125461900000001</v>
      </c>
      <c r="H89">
        <v>0.49152152700000001</v>
      </c>
      <c r="I89">
        <v>0.52066267200000005</v>
      </c>
      <c r="J89">
        <v>0.64552399299999996</v>
      </c>
      <c r="K89">
        <v>0.62949987500000004</v>
      </c>
      <c r="L89">
        <v>0.71523900299999998</v>
      </c>
      <c r="M89">
        <v>0.60609644200000001</v>
      </c>
      <c r="N89">
        <v>0.65849457899999997</v>
      </c>
      <c r="O89">
        <v>0.69751346700000005</v>
      </c>
      <c r="P89">
        <v>0.62238852499999997</v>
      </c>
      <c r="Q89">
        <v>0.74292644799999996</v>
      </c>
    </row>
    <row r="90" spans="1:17" x14ac:dyDescent="0.25">
      <c r="A90" t="s">
        <v>78</v>
      </c>
      <c r="B90" t="s">
        <v>79</v>
      </c>
      <c r="C90" t="s">
        <v>99</v>
      </c>
      <c r="D90" t="s">
        <v>100</v>
      </c>
      <c r="E90" t="s">
        <v>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1.2952082E-2</v>
      </c>
      <c r="O90">
        <v>1.2506138E-2</v>
      </c>
      <c r="P90">
        <v>1.4085009000000001E-2</v>
      </c>
      <c r="Q90">
        <v>1.8256881999999999E-2</v>
      </c>
    </row>
    <row r="91" spans="1:17" x14ac:dyDescent="0.25">
      <c r="A91" t="s">
        <v>80</v>
      </c>
      <c r="B91" t="s">
        <v>81</v>
      </c>
      <c r="C91" t="s">
        <v>99</v>
      </c>
      <c r="D91" t="s">
        <v>100</v>
      </c>
      <c r="E91" t="s">
        <v>55</v>
      </c>
      <c r="F91">
        <v>0.210554344</v>
      </c>
      <c r="G91">
        <v>0.21744166000000001</v>
      </c>
      <c r="H91">
        <v>0.23823068999999999</v>
      </c>
      <c r="I91">
        <v>0.23653195399999999</v>
      </c>
      <c r="J91">
        <v>0.25241374799999999</v>
      </c>
      <c r="K91">
        <v>0.24820278400000001</v>
      </c>
      <c r="L91">
        <v>0.33377948000000002</v>
      </c>
      <c r="M91">
        <v>0.31235107600000001</v>
      </c>
      <c r="N91">
        <v>0.48655542899999998</v>
      </c>
      <c r="O91">
        <v>0.35650267699999999</v>
      </c>
      <c r="P91">
        <v>0.38217199400000001</v>
      </c>
      <c r="Q91">
        <v>0.44461058799999997</v>
      </c>
    </row>
    <row r="92" spans="1:17" x14ac:dyDescent="0.25">
      <c r="A92" t="s">
        <v>82</v>
      </c>
      <c r="B92" t="s">
        <v>83</v>
      </c>
      <c r="C92" t="s">
        <v>99</v>
      </c>
      <c r="D92" t="s">
        <v>100</v>
      </c>
      <c r="E92" t="s">
        <v>55</v>
      </c>
      <c r="F92">
        <v>1.97264E-4</v>
      </c>
      <c r="G92">
        <v>1.8236000000000001E-4</v>
      </c>
      <c r="H92">
        <v>1.5807000000000001E-4</v>
      </c>
      <c r="I92">
        <v>4.9065199999999995E-4</v>
      </c>
      <c r="J92">
        <v>9.7085100000000003E-5</v>
      </c>
      <c r="K92">
        <v>8.0151199999999999E-5</v>
      </c>
      <c r="L92">
        <v>9.3366400000000001E-5</v>
      </c>
      <c r="M92">
        <v>8.7340200000000001E-5</v>
      </c>
      <c r="N92">
        <v>8.5504980000000001E-3</v>
      </c>
      <c r="O92">
        <v>9.0622840000000003E-3</v>
      </c>
      <c r="P92">
        <v>9.0390959999999999E-3</v>
      </c>
      <c r="Q92">
        <v>1.2414399E-2</v>
      </c>
    </row>
    <row r="93" spans="1:17" x14ac:dyDescent="0.25">
      <c r="A93" t="s">
        <v>84</v>
      </c>
      <c r="B93" t="s">
        <v>85</v>
      </c>
      <c r="C93" t="s">
        <v>99</v>
      </c>
      <c r="D93" t="s">
        <v>100</v>
      </c>
      <c r="E93" t="s">
        <v>55</v>
      </c>
      <c r="F93">
        <v>4.7837658999999998E-2</v>
      </c>
      <c r="G93">
        <v>3.9411092000000002E-2</v>
      </c>
      <c r="H93">
        <v>3.8223557999999998E-2</v>
      </c>
      <c r="I93">
        <v>4.5321259000000003E-2</v>
      </c>
      <c r="J93">
        <v>3.3750451000000001E-2</v>
      </c>
      <c r="K93">
        <v>2.4042075E-2</v>
      </c>
      <c r="L93">
        <v>2.4175094000000001E-2</v>
      </c>
      <c r="M93">
        <v>3.1857366999999998E-2</v>
      </c>
      <c r="N93">
        <v>3.7438952999999997E-2</v>
      </c>
      <c r="O93">
        <v>5.4111815000000001E-2</v>
      </c>
      <c r="P93">
        <v>5.1710954000000003E-2</v>
      </c>
      <c r="Q93">
        <v>5.6003197999999997E-2</v>
      </c>
    </row>
    <row r="94" spans="1:17" x14ac:dyDescent="0.25">
      <c r="A94" t="s">
        <v>86</v>
      </c>
      <c r="B94" t="s">
        <v>87</v>
      </c>
      <c r="C94" t="s">
        <v>99</v>
      </c>
      <c r="D94" t="s">
        <v>100</v>
      </c>
      <c r="E94" t="s">
        <v>55</v>
      </c>
      <c r="F94">
        <v>0.14142279799999999</v>
      </c>
      <c r="G94">
        <v>0.12895515299999999</v>
      </c>
      <c r="H94">
        <v>0.104175054</v>
      </c>
      <c r="I94">
        <v>0.123609759</v>
      </c>
      <c r="J94">
        <v>0.119945699</v>
      </c>
      <c r="K94">
        <v>9.1711215999999998E-2</v>
      </c>
      <c r="L94">
        <v>8.3167981000000002E-2</v>
      </c>
      <c r="M94">
        <v>7.8922912999999997E-2</v>
      </c>
      <c r="N94">
        <v>8.7196869999999996E-2</v>
      </c>
      <c r="O94">
        <v>8.4828528E-2</v>
      </c>
      <c r="P94">
        <v>9.5744394999999996E-2</v>
      </c>
      <c r="Q94">
        <v>0.109406138</v>
      </c>
    </row>
    <row r="95" spans="1:17" x14ac:dyDescent="0.25">
      <c r="A95" t="s">
        <v>101</v>
      </c>
      <c r="B95" t="s">
        <v>49</v>
      </c>
      <c r="C95" t="s">
        <v>46</v>
      </c>
      <c r="D95" t="s">
        <v>46</v>
      </c>
      <c r="E95" t="s">
        <v>50</v>
      </c>
      <c r="F95">
        <v>1.0794048243076924</v>
      </c>
      <c r="G95">
        <v>1.0225831850769229</v>
      </c>
      <c r="H95">
        <v>1.1872210210714285</v>
      </c>
      <c r="I95">
        <v>1.3318217153999998</v>
      </c>
      <c r="J95">
        <v>1.2589032960666666</v>
      </c>
      <c r="K95">
        <v>1.3677990543333334</v>
      </c>
      <c r="L95">
        <v>1.5960887612666665</v>
      </c>
      <c r="M95">
        <v>1.1240654794285714</v>
      </c>
      <c r="N95">
        <v>1.3663718945714287</v>
      </c>
      <c r="O95">
        <v>1.6234766228571427</v>
      </c>
      <c r="P95">
        <v>1.8737500219285714</v>
      </c>
      <c r="Q95">
        <v>1.4543590546153846</v>
      </c>
    </row>
    <row r="96" spans="1:17" x14ac:dyDescent="0.25">
      <c r="A96" t="s">
        <v>51</v>
      </c>
      <c r="B96" t="s">
        <v>52</v>
      </c>
      <c r="C96" t="s">
        <v>102</v>
      </c>
      <c r="D96" t="s">
        <v>103</v>
      </c>
      <c r="E96" t="s">
        <v>55</v>
      </c>
      <c r="F96">
        <v>5.2270520000000003E-3</v>
      </c>
      <c r="G96">
        <v>4.6132059999999999E-3</v>
      </c>
      <c r="H96">
        <v>4.4643690000000001E-3</v>
      </c>
      <c r="I96">
        <v>4.9411739999999996E-3</v>
      </c>
      <c r="J96">
        <v>4.330909E-3</v>
      </c>
      <c r="K96">
        <v>3.6228639999999999E-3</v>
      </c>
      <c r="L96">
        <v>3.5105029999999999E-3</v>
      </c>
      <c r="M96">
        <v>3.3951749999999998E-3</v>
      </c>
      <c r="N96">
        <v>3.3463519999999999E-3</v>
      </c>
      <c r="O96">
        <v>3.1360569999999998E-3</v>
      </c>
      <c r="P96">
        <v>0.40998790600000001</v>
      </c>
      <c r="Q96">
        <v>0.39732855500000003</v>
      </c>
    </row>
    <row r="97" spans="1:17" x14ac:dyDescent="0.25">
      <c r="A97" t="s">
        <v>56</v>
      </c>
      <c r="B97" t="s">
        <v>57</v>
      </c>
      <c r="C97" t="s">
        <v>102</v>
      </c>
      <c r="D97" t="s">
        <v>103</v>
      </c>
      <c r="E97" t="s">
        <v>55</v>
      </c>
      <c r="F97">
        <v>0</v>
      </c>
      <c r="G97">
        <v>0</v>
      </c>
      <c r="H97">
        <v>0</v>
      </c>
      <c r="I97">
        <v>0.165591244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0.359168879</v>
      </c>
      <c r="Q97">
        <v>0.79635745400000002</v>
      </c>
    </row>
    <row r="98" spans="1:17" x14ac:dyDescent="0.25">
      <c r="A98" t="s">
        <v>58</v>
      </c>
      <c r="B98" t="s">
        <v>59</v>
      </c>
      <c r="C98" t="s">
        <v>102</v>
      </c>
      <c r="D98" t="s">
        <v>103</v>
      </c>
      <c r="E98" t="s">
        <v>55</v>
      </c>
      <c r="F98" t="s">
        <v>46</v>
      </c>
      <c r="G98" t="s">
        <v>46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</row>
    <row r="99" spans="1:17" x14ac:dyDescent="0.25">
      <c r="A99" t="s">
        <v>60</v>
      </c>
      <c r="B99" t="s">
        <v>61</v>
      </c>
      <c r="C99" t="s">
        <v>102</v>
      </c>
      <c r="D99" t="s">
        <v>103</v>
      </c>
      <c r="E99" t="s">
        <v>55</v>
      </c>
      <c r="F99" t="s">
        <v>46</v>
      </c>
      <c r="G99" t="s">
        <v>46</v>
      </c>
      <c r="H99" t="s">
        <v>46</v>
      </c>
      <c r="I99" t="s">
        <v>46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46</v>
      </c>
      <c r="Q99" t="s">
        <v>46</v>
      </c>
    </row>
    <row r="100" spans="1:17" x14ac:dyDescent="0.25">
      <c r="A100" t="s">
        <v>62</v>
      </c>
      <c r="B100" t="s">
        <v>63</v>
      </c>
      <c r="C100" t="s">
        <v>102</v>
      </c>
      <c r="D100" t="s">
        <v>103</v>
      </c>
      <c r="E100" t="s">
        <v>55</v>
      </c>
      <c r="F100">
        <v>0.88328928900000003</v>
      </c>
      <c r="G100">
        <v>0.99803074199999997</v>
      </c>
      <c r="H100">
        <v>0.99530980899999999</v>
      </c>
      <c r="I100">
        <v>0.97508433999999999</v>
      </c>
      <c r="J100">
        <v>0.99888706900000002</v>
      </c>
      <c r="K100">
        <v>0.91889797100000004</v>
      </c>
      <c r="L100">
        <v>1.0731779749999999</v>
      </c>
      <c r="M100">
        <v>1.017501419</v>
      </c>
      <c r="N100">
        <v>1.187936184</v>
      </c>
      <c r="O100">
        <v>1.088274521</v>
      </c>
      <c r="P100">
        <v>1.385215308</v>
      </c>
      <c r="Q100">
        <v>1.8872556949999999</v>
      </c>
    </row>
    <row r="101" spans="1:17" x14ac:dyDescent="0.25">
      <c r="A101" t="s">
        <v>64</v>
      </c>
      <c r="B101" t="s">
        <v>65</v>
      </c>
      <c r="C101" t="s">
        <v>102</v>
      </c>
      <c r="D101" t="s">
        <v>103</v>
      </c>
      <c r="E101" t="s">
        <v>55</v>
      </c>
      <c r="F101">
        <v>0.35030045900000001</v>
      </c>
      <c r="G101">
        <v>0.28272071500000001</v>
      </c>
      <c r="H101">
        <v>0.288309115</v>
      </c>
      <c r="I101">
        <v>0.244310999</v>
      </c>
      <c r="J101">
        <v>0.23823155200000001</v>
      </c>
      <c r="K101">
        <v>0.22249538999999999</v>
      </c>
      <c r="L101">
        <v>0.22582600799999999</v>
      </c>
      <c r="M101">
        <v>0.50964884499999996</v>
      </c>
      <c r="N101">
        <v>0.50923645299999998</v>
      </c>
      <c r="O101">
        <v>0.52904564300000001</v>
      </c>
      <c r="P101">
        <v>0.54060031600000003</v>
      </c>
      <c r="Q101">
        <v>1.0595386529999999</v>
      </c>
    </row>
    <row r="102" spans="1:17" x14ac:dyDescent="0.25">
      <c r="A102" t="s">
        <v>66</v>
      </c>
      <c r="B102" t="s">
        <v>67</v>
      </c>
      <c r="C102" t="s">
        <v>102</v>
      </c>
      <c r="D102" t="s">
        <v>103</v>
      </c>
      <c r="E102" t="s">
        <v>55</v>
      </c>
      <c r="F102" t="s">
        <v>46</v>
      </c>
      <c r="G102" t="s">
        <v>46</v>
      </c>
      <c r="H102">
        <v>3.3898026319999999</v>
      </c>
      <c r="I102">
        <v>3.6336283190000001</v>
      </c>
      <c r="J102">
        <v>3.2651757190000001</v>
      </c>
      <c r="K102">
        <v>4.6656804730000001</v>
      </c>
      <c r="L102">
        <v>8.8033707870000004</v>
      </c>
      <c r="M102" t="s">
        <v>46</v>
      </c>
      <c r="N102" t="s">
        <v>46</v>
      </c>
      <c r="O102" t="s">
        <v>46</v>
      </c>
      <c r="P102" t="s">
        <v>46</v>
      </c>
      <c r="Q102" t="s">
        <v>46</v>
      </c>
    </row>
    <row r="103" spans="1:17" x14ac:dyDescent="0.25">
      <c r="A103" t="s">
        <v>68</v>
      </c>
      <c r="B103" t="s">
        <v>69</v>
      </c>
      <c r="C103" t="s">
        <v>102</v>
      </c>
      <c r="D103" t="s">
        <v>103</v>
      </c>
      <c r="E103" t="s">
        <v>55</v>
      </c>
      <c r="F103" t="s">
        <v>46</v>
      </c>
      <c r="G103" t="s">
        <v>46</v>
      </c>
      <c r="H103" t="s">
        <v>46</v>
      </c>
      <c r="I103">
        <v>2.2120961060000002</v>
      </c>
      <c r="J103">
        <v>1.7284979170000001</v>
      </c>
      <c r="K103">
        <v>1.9064026039999999</v>
      </c>
      <c r="L103">
        <v>1.9994710389999999</v>
      </c>
      <c r="M103">
        <v>2.1748826289999998</v>
      </c>
      <c r="N103">
        <v>2.8723843969999998</v>
      </c>
      <c r="O103">
        <v>7.3549046320000002</v>
      </c>
      <c r="P103">
        <v>9.3142941700000002</v>
      </c>
      <c r="Q103" t="s">
        <v>46</v>
      </c>
    </row>
    <row r="104" spans="1:17" x14ac:dyDescent="0.25">
      <c r="A104" t="s">
        <v>70</v>
      </c>
      <c r="B104" t="s">
        <v>71</v>
      </c>
      <c r="C104" t="s">
        <v>102</v>
      </c>
      <c r="D104" t="s">
        <v>103</v>
      </c>
      <c r="E104" t="s">
        <v>55</v>
      </c>
      <c r="F104">
        <v>0.14831118500000001</v>
      </c>
      <c r="G104">
        <v>0.13507783900000001</v>
      </c>
      <c r="H104">
        <v>0.124228319</v>
      </c>
      <c r="I104">
        <v>0.113367128</v>
      </c>
      <c r="J104">
        <v>0.105909245</v>
      </c>
      <c r="K104">
        <v>9.8653117999999998E-2</v>
      </c>
      <c r="L104">
        <v>8.8635430000000001E-2</v>
      </c>
      <c r="M104">
        <v>0.54546251899999998</v>
      </c>
      <c r="N104">
        <v>0.61412590899999997</v>
      </c>
      <c r="O104">
        <v>0.58043338600000005</v>
      </c>
      <c r="P104">
        <v>0.64367681300000001</v>
      </c>
      <c r="Q104">
        <v>0.62026074499999995</v>
      </c>
    </row>
    <row r="105" spans="1:17" x14ac:dyDescent="0.25">
      <c r="A105" t="s">
        <v>72</v>
      </c>
      <c r="B105" t="s">
        <v>73</v>
      </c>
      <c r="C105" t="s">
        <v>102</v>
      </c>
      <c r="D105" t="s">
        <v>103</v>
      </c>
      <c r="E105" t="s">
        <v>55</v>
      </c>
      <c r="F105">
        <v>2.951999163</v>
      </c>
      <c r="G105">
        <v>2.727292104</v>
      </c>
      <c r="H105">
        <v>2.852956635</v>
      </c>
      <c r="I105">
        <v>3.1577025889999999</v>
      </c>
      <c r="J105">
        <v>2.9712700070000002</v>
      </c>
      <c r="K105">
        <v>3.2527171159999999</v>
      </c>
      <c r="L105">
        <v>2.8860690020000002</v>
      </c>
      <c r="M105">
        <v>3.05335702</v>
      </c>
      <c r="N105">
        <v>2.8362987300000002</v>
      </c>
      <c r="O105">
        <v>2.6084972749999999</v>
      </c>
      <c r="P105">
        <v>2.8987534089999998</v>
      </c>
      <c r="Q105">
        <v>2.9941495100000002</v>
      </c>
    </row>
    <row r="106" spans="1:17" x14ac:dyDescent="0.25">
      <c r="A106" t="s">
        <v>74</v>
      </c>
      <c r="B106" t="s">
        <v>75</v>
      </c>
      <c r="C106" t="s">
        <v>102</v>
      </c>
      <c r="D106" t="s">
        <v>103</v>
      </c>
      <c r="E106" t="s">
        <v>55</v>
      </c>
      <c r="F106">
        <v>5.5511029000000003E-2</v>
      </c>
      <c r="G106">
        <v>6.7878260999999995E-2</v>
      </c>
      <c r="H106">
        <v>4.6616787999999999E-2</v>
      </c>
      <c r="I106">
        <v>4.3479642999999998E-2</v>
      </c>
      <c r="J106">
        <v>2.8505330999999998E-2</v>
      </c>
      <c r="K106">
        <v>0.22327580299999999</v>
      </c>
      <c r="L106">
        <v>0.285810385</v>
      </c>
      <c r="M106">
        <v>0.30492914599999998</v>
      </c>
      <c r="N106">
        <v>0.28809071800000002</v>
      </c>
      <c r="O106">
        <v>0.43781379999999998</v>
      </c>
      <c r="P106">
        <v>0.40505183099999997</v>
      </c>
      <c r="Q106">
        <v>0.450200879</v>
      </c>
    </row>
    <row r="107" spans="1:17" x14ac:dyDescent="0.25">
      <c r="A107" t="s">
        <v>76</v>
      </c>
      <c r="B107" t="s">
        <v>77</v>
      </c>
      <c r="C107" t="s">
        <v>102</v>
      </c>
      <c r="D107" t="s">
        <v>103</v>
      </c>
      <c r="E107" t="s">
        <v>55</v>
      </c>
      <c r="F107">
        <v>5.7805899150000002</v>
      </c>
      <c r="G107">
        <v>5.2902646139999998</v>
      </c>
      <c r="H107">
        <v>4.8362047590000001</v>
      </c>
      <c r="I107">
        <v>5.0877298360000003</v>
      </c>
      <c r="J107">
        <v>5.8263690620000004</v>
      </c>
      <c r="K107">
        <v>5.5363830729999997</v>
      </c>
      <c r="L107">
        <v>4.7808941410000001</v>
      </c>
      <c r="M107">
        <v>4.540798691</v>
      </c>
      <c r="N107">
        <v>5.1692380130000002</v>
      </c>
      <c r="O107">
        <v>4.6575013150000002</v>
      </c>
      <c r="P107">
        <v>4.6041347799999999</v>
      </c>
      <c r="Q107">
        <v>4.6769170530000004</v>
      </c>
    </row>
    <row r="108" spans="1:17" x14ac:dyDescent="0.25">
      <c r="A108" t="s">
        <v>78</v>
      </c>
      <c r="B108" t="s">
        <v>79</v>
      </c>
      <c r="C108" t="s">
        <v>102</v>
      </c>
      <c r="D108" t="s">
        <v>103</v>
      </c>
      <c r="E108" t="s">
        <v>55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0.18187858900000001</v>
      </c>
      <c r="O108">
        <v>0.190960187</v>
      </c>
      <c r="P108">
        <v>0.19057037700000001</v>
      </c>
      <c r="Q108">
        <v>0.20806574799999999</v>
      </c>
    </row>
    <row r="109" spans="1:17" x14ac:dyDescent="0.25">
      <c r="A109" t="s">
        <v>80</v>
      </c>
      <c r="B109" t="s">
        <v>81</v>
      </c>
      <c r="C109" t="s">
        <v>102</v>
      </c>
      <c r="D109" t="s">
        <v>103</v>
      </c>
      <c r="E109" t="s">
        <v>55</v>
      </c>
      <c r="F109">
        <v>2.2184884610000002</v>
      </c>
      <c r="G109">
        <v>2.1691115769999998</v>
      </c>
      <c r="H109">
        <v>2.5313970270000001</v>
      </c>
      <c r="I109">
        <v>2.4934045230000002</v>
      </c>
      <c r="J109">
        <v>2.2352672450000002</v>
      </c>
      <c r="K109">
        <v>2.2757674209999998</v>
      </c>
      <c r="L109">
        <v>2.5760233920000002</v>
      </c>
      <c r="M109">
        <v>2.4142460589999999</v>
      </c>
      <c r="N109">
        <v>3.895052717</v>
      </c>
      <c r="O109">
        <v>3.7156025819999998</v>
      </c>
      <c r="P109">
        <v>3.8772398890000002</v>
      </c>
      <c r="Q109">
        <v>4.3938128680000004</v>
      </c>
    </row>
    <row r="110" spans="1:17" x14ac:dyDescent="0.25">
      <c r="A110" t="s">
        <v>82</v>
      </c>
      <c r="B110" t="s">
        <v>83</v>
      </c>
      <c r="C110" t="s">
        <v>102</v>
      </c>
      <c r="D110" t="s">
        <v>103</v>
      </c>
      <c r="E110" t="s">
        <v>55</v>
      </c>
      <c r="F110">
        <v>2.6030229999999999E-3</v>
      </c>
      <c r="G110">
        <v>2.473542E-3</v>
      </c>
      <c r="H110">
        <v>2.3752970000000002E-3</v>
      </c>
      <c r="I110">
        <v>7.5962599999999996E-3</v>
      </c>
      <c r="J110">
        <v>1.902031E-3</v>
      </c>
      <c r="K110">
        <v>1.736111E-3</v>
      </c>
      <c r="L110">
        <v>1.6542379999999999E-3</v>
      </c>
      <c r="M110">
        <v>1.569382E-3</v>
      </c>
      <c r="N110">
        <v>0.16915398300000001</v>
      </c>
      <c r="O110">
        <v>0.16784185700000001</v>
      </c>
      <c r="P110">
        <v>0.17149998799999999</v>
      </c>
      <c r="Q110">
        <v>0.19411527200000001</v>
      </c>
    </row>
    <row r="111" spans="1:17" x14ac:dyDescent="0.25">
      <c r="A111" t="s">
        <v>84</v>
      </c>
      <c r="B111" t="s">
        <v>85</v>
      </c>
      <c r="C111" t="s">
        <v>102</v>
      </c>
      <c r="D111" t="s">
        <v>103</v>
      </c>
      <c r="E111" t="s">
        <v>55</v>
      </c>
      <c r="F111">
        <v>0.34631230200000002</v>
      </c>
      <c r="G111">
        <v>0.34784442399999999</v>
      </c>
      <c r="H111">
        <v>0.36793864399999998</v>
      </c>
      <c r="I111">
        <v>0.50808470800000005</v>
      </c>
      <c r="J111">
        <v>0.34849714300000001</v>
      </c>
      <c r="K111">
        <v>0.26194178899999998</v>
      </c>
      <c r="L111">
        <v>0.26267552599999999</v>
      </c>
      <c r="M111">
        <v>0.314899123</v>
      </c>
      <c r="N111">
        <v>0.385010136</v>
      </c>
      <c r="O111">
        <v>0.51140765600000004</v>
      </c>
      <c r="P111">
        <v>0.53221155499999995</v>
      </c>
      <c r="Q111">
        <v>0.44080564100000003</v>
      </c>
    </row>
    <row r="112" spans="1:17" x14ac:dyDescent="0.25">
      <c r="A112" t="s">
        <v>86</v>
      </c>
      <c r="B112" t="s">
        <v>87</v>
      </c>
      <c r="C112" t="s">
        <v>102</v>
      </c>
      <c r="D112" t="s">
        <v>103</v>
      </c>
      <c r="E112" t="s">
        <v>55</v>
      </c>
      <c r="F112">
        <v>1.2896308379999999</v>
      </c>
      <c r="G112">
        <v>1.268274382</v>
      </c>
      <c r="H112">
        <v>1.1814909010000001</v>
      </c>
      <c r="I112">
        <v>1.3303088620000001</v>
      </c>
      <c r="J112">
        <v>1.1307062109999999</v>
      </c>
      <c r="K112">
        <v>1.149412082</v>
      </c>
      <c r="L112">
        <v>0.95421299299999995</v>
      </c>
      <c r="M112">
        <v>0.85622670400000001</v>
      </c>
      <c r="N112">
        <v>1.017454343</v>
      </c>
      <c r="O112">
        <v>0.88325380899999995</v>
      </c>
      <c r="P112">
        <v>0.90009508599999999</v>
      </c>
      <c r="Q112">
        <v>0.78785963699999995</v>
      </c>
    </row>
    <row r="113" spans="1:17" x14ac:dyDescent="0.25">
      <c r="A113" t="s">
        <v>104</v>
      </c>
      <c r="B113" t="s">
        <v>49</v>
      </c>
      <c r="C113" t="s">
        <v>46</v>
      </c>
      <c r="D113" t="s">
        <v>46</v>
      </c>
      <c r="E113" t="s">
        <v>50</v>
      </c>
      <c r="F113">
        <v>21.662922903066665</v>
      </c>
      <c r="G113">
        <v>21.405039078533331</v>
      </c>
      <c r="H113">
        <v>21.364268956466667</v>
      </c>
      <c r="I113">
        <v>21.839086394133336</v>
      </c>
      <c r="J113">
        <v>21.407421583866665</v>
      </c>
      <c r="K113">
        <v>21.306559935266662</v>
      </c>
      <c r="L113">
        <v>21.625727965133329</v>
      </c>
      <c r="M113">
        <v>23.54110566473333</v>
      </c>
      <c r="N113">
        <v>26.858464896133334</v>
      </c>
      <c r="O113">
        <v>27.128031955999994</v>
      </c>
      <c r="P113">
        <v>29.677301961125</v>
      </c>
      <c r="Q113">
        <v>32.576093182333331</v>
      </c>
    </row>
    <row r="114" spans="1:17" x14ac:dyDescent="0.25">
      <c r="A114" t="s">
        <v>51</v>
      </c>
      <c r="B114" t="s">
        <v>52</v>
      </c>
      <c r="C114" t="s">
        <v>105</v>
      </c>
      <c r="D114" t="s">
        <v>106</v>
      </c>
      <c r="E114" t="s">
        <v>55</v>
      </c>
      <c r="F114">
        <v>0.31079247500000001</v>
      </c>
      <c r="G114">
        <v>0.25751725399999997</v>
      </c>
      <c r="H114">
        <v>0.254117449</v>
      </c>
      <c r="I114">
        <v>0.275497043</v>
      </c>
      <c r="J114">
        <v>0.28284539400000003</v>
      </c>
      <c r="K114">
        <v>0.23268770599999999</v>
      </c>
      <c r="L114">
        <v>0.18824648699999999</v>
      </c>
      <c r="M114">
        <v>0.175369672</v>
      </c>
      <c r="N114">
        <v>0.169351907</v>
      </c>
      <c r="O114">
        <v>0.15257553900000001</v>
      </c>
      <c r="P114">
        <v>17.816052750000001</v>
      </c>
      <c r="Q114">
        <v>17.641127480000002</v>
      </c>
    </row>
    <row r="115" spans="1:17" x14ac:dyDescent="0.25">
      <c r="A115" t="s">
        <v>56</v>
      </c>
      <c r="B115" t="s">
        <v>57</v>
      </c>
      <c r="C115" t="s">
        <v>105</v>
      </c>
      <c r="D115" t="s">
        <v>106</v>
      </c>
      <c r="E115" t="s">
        <v>55</v>
      </c>
      <c r="F115">
        <v>0</v>
      </c>
      <c r="G115">
        <v>0</v>
      </c>
      <c r="H115">
        <v>0</v>
      </c>
      <c r="I115">
        <v>3.2204243610000001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7.2844932470000003</v>
      </c>
      <c r="Q115">
        <v>14.931363899999999</v>
      </c>
    </row>
    <row r="116" spans="1:17" x14ac:dyDescent="0.25">
      <c r="A116" t="s">
        <v>58</v>
      </c>
      <c r="B116" t="s">
        <v>59</v>
      </c>
      <c r="C116" t="s">
        <v>105</v>
      </c>
      <c r="D116" t="s">
        <v>106</v>
      </c>
      <c r="E116" t="s">
        <v>55</v>
      </c>
      <c r="F116" t="s">
        <v>46</v>
      </c>
      <c r="G116" t="s">
        <v>46</v>
      </c>
      <c r="H116" t="s">
        <v>46</v>
      </c>
      <c r="I116" t="s">
        <v>46</v>
      </c>
      <c r="J116" t="s">
        <v>46</v>
      </c>
      <c r="K116" t="s">
        <v>46</v>
      </c>
      <c r="L116" t="s">
        <v>46</v>
      </c>
      <c r="M116" t="s">
        <v>46</v>
      </c>
      <c r="N116" t="s">
        <v>46</v>
      </c>
      <c r="O116" t="s">
        <v>46</v>
      </c>
      <c r="P116" t="s">
        <v>46</v>
      </c>
      <c r="Q116" t="s">
        <v>46</v>
      </c>
    </row>
    <row r="117" spans="1:17" x14ac:dyDescent="0.25">
      <c r="A117" t="s">
        <v>60</v>
      </c>
      <c r="B117" t="s">
        <v>61</v>
      </c>
      <c r="C117" t="s">
        <v>105</v>
      </c>
      <c r="D117" t="s">
        <v>106</v>
      </c>
      <c r="E117" t="s">
        <v>55</v>
      </c>
      <c r="F117" t="s">
        <v>46</v>
      </c>
      <c r="G117" t="s">
        <v>46</v>
      </c>
      <c r="H117" t="s">
        <v>46</v>
      </c>
      <c r="I117" t="s">
        <v>46</v>
      </c>
      <c r="J117" t="s">
        <v>46</v>
      </c>
      <c r="K117" t="s">
        <v>46</v>
      </c>
      <c r="L117" t="s">
        <v>46</v>
      </c>
      <c r="M117" t="s">
        <v>46</v>
      </c>
      <c r="N117" t="s">
        <v>46</v>
      </c>
      <c r="O117" t="s">
        <v>46</v>
      </c>
      <c r="P117">
        <v>32.717973309999998</v>
      </c>
      <c r="Q117" t="s">
        <v>46</v>
      </c>
    </row>
    <row r="118" spans="1:17" x14ac:dyDescent="0.25">
      <c r="A118" t="s">
        <v>62</v>
      </c>
      <c r="B118" t="s">
        <v>63</v>
      </c>
      <c r="C118" t="s">
        <v>105</v>
      </c>
      <c r="D118" t="s">
        <v>106</v>
      </c>
      <c r="E118" t="s">
        <v>55</v>
      </c>
      <c r="F118">
        <v>20.658139039999998</v>
      </c>
      <c r="G118">
        <v>23.088514050000001</v>
      </c>
      <c r="H118">
        <v>21.763348780000001</v>
      </c>
      <c r="I118">
        <v>20.616473760000002</v>
      </c>
      <c r="J118">
        <v>21.495589420000002</v>
      </c>
      <c r="K118">
        <v>21.22268051</v>
      </c>
      <c r="L118">
        <v>23.977143519999998</v>
      </c>
      <c r="M118">
        <v>23.442201959999998</v>
      </c>
      <c r="N118">
        <v>27.515903860000002</v>
      </c>
      <c r="O118">
        <v>25.297108829999999</v>
      </c>
      <c r="P118">
        <v>29.78544149</v>
      </c>
      <c r="Q118">
        <v>38.131801369999998</v>
      </c>
    </row>
    <row r="119" spans="1:17" x14ac:dyDescent="0.25">
      <c r="A119" t="s">
        <v>64</v>
      </c>
      <c r="B119" t="s">
        <v>65</v>
      </c>
      <c r="C119" t="s">
        <v>105</v>
      </c>
      <c r="D119" t="s">
        <v>106</v>
      </c>
      <c r="E119" t="s">
        <v>55</v>
      </c>
      <c r="F119">
        <v>8.6369182500000008</v>
      </c>
      <c r="G119">
        <v>6.9733943399999996</v>
      </c>
      <c r="H119">
        <v>7.5636804709999996</v>
      </c>
      <c r="I119">
        <v>6.5725703600000003</v>
      </c>
      <c r="J119">
        <v>6.5719048869999996</v>
      </c>
      <c r="K119">
        <v>6.186976585</v>
      </c>
      <c r="L119">
        <v>6.1221135670000004</v>
      </c>
      <c r="M119">
        <v>12.63826783</v>
      </c>
      <c r="N119">
        <v>13.5451642</v>
      </c>
      <c r="O119">
        <v>13.70746654</v>
      </c>
      <c r="P119">
        <v>13.43752454</v>
      </c>
      <c r="Q119">
        <v>24.25777905</v>
      </c>
    </row>
    <row r="120" spans="1:17" x14ac:dyDescent="0.25">
      <c r="A120" t="s">
        <v>66</v>
      </c>
      <c r="B120" t="s">
        <v>67</v>
      </c>
      <c r="C120" t="s">
        <v>105</v>
      </c>
      <c r="D120" t="s">
        <v>106</v>
      </c>
      <c r="E120" t="s">
        <v>55</v>
      </c>
      <c r="F120">
        <v>38.110574339999999</v>
      </c>
      <c r="G120">
        <v>37.382160990000003</v>
      </c>
      <c r="H120">
        <v>35.95603629</v>
      </c>
      <c r="I120">
        <v>35.985977210000001</v>
      </c>
      <c r="J120">
        <v>35.95426561</v>
      </c>
      <c r="K120">
        <v>31.055533669999999</v>
      </c>
      <c r="L120">
        <v>31.77854391</v>
      </c>
      <c r="M120">
        <v>38.766959300000003</v>
      </c>
      <c r="N120">
        <v>48.317733369999999</v>
      </c>
      <c r="O120">
        <v>48.15579056</v>
      </c>
      <c r="P120">
        <v>56.076759060000001</v>
      </c>
      <c r="Q120">
        <v>57.988895739999997</v>
      </c>
    </row>
    <row r="121" spans="1:17" x14ac:dyDescent="0.25">
      <c r="A121" t="s">
        <v>68</v>
      </c>
      <c r="B121" t="s">
        <v>69</v>
      </c>
      <c r="C121" t="s">
        <v>105</v>
      </c>
      <c r="D121" t="s">
        <v>106</v>
      </c>
      <c r="E121" t="s">
        <v>55</v>
      </c>
      <c r="F121">
        <v>37.642066980000003</v>
      </c>
      <c r="G121">
        <v>40.533472799999998</v>
      </c>
      <c r="H121">
        <v>39.278815199999997</v>
      </c>
      <c r="I121">
        <v>36.664072869999998</v>
      </c>
      <c r="J121">
        <v>37.38605046</v>
      </c>
      <c r="K121">
        <v>37.250848179999998</v>
      </c>
      <c r="L121">
        <v>39.966166209999997</v>
      </c>
      <c r="M121">
        <v>38.731253590000001</v>
      </c>
      <c r="N121">
        <v>49.780623210000002</v>
      </c>
      <c r="O121">
        <v>54.899069509999997</v>
      </c>
      <c r="P121">
        <v>53.547366269999998</v>
      </c>
      <c r="Q121">
        <v>69.143304049999998</v>
      </c>
    </row>
    <row r="122" spans="1:17" x14ac:dyDescent="0.25">
      <c r="A122" t="s">
        <v>70</v>
      </c>
      <c r="B122" t="s">
        <v>71</v>
      </c>
      <c r="C122" t="s">
        <v>105</v>
      </c>
      <c r="D122" t="s">
        <v>106</v>
      </c>
      <c r="E122" t="s">
        <v>55</v>
      </c>
      <c r="F122">
        <v>2.6497265379999999</v>
      </c>
      <c r="G122">
        <v>2.47885043</v>
      </c>
      <c r="H122">
        <v>2.503350067</v>
      </c>
      <c r="I122">
        <v>2.316329638</v>
      </c>
      <c r="J122">
        <v>2.1989360379999998</v>
      </c>
      <c r="K122">
        <v>2.049857367</v>
      </c>
      <c r="L122">
        <v>1.943963586</v>
      </c>
      <c r="M122">
        <v>12.592356970000001</v>
      </c>
      <c r="N122">
        <v>14.00194581</v>
      </c>
      <c r="O122">
        <v>13.37597626</v>
      </c>
      <c r="P122">
        <v>14.16770945</v>
      </c>
      <c r="Q122">
        <v>14.28061529</v>
      </c>
    </row>
    <row r="123" spans="1:17" x14ac:dyDescent="0.25">
      <c r="A123" t="s">
        <v>72</v>
      </c>
      <c r="B123" t="s">
        <v>73</v>
      </c>
      <c r="C123" t="s">
        <v>105</v>
      </c>
      <c r="D123" t="s">
        <v>106</v>
      </c>
      <c r="E123" t="s">
        <v>55</v>
      </c>
      <c r="F123">
        <v>50.141314299999998</v>
      </c>
      <c r="G123">
        <v>47.975421769999997</v>
      </c>
      <c r="H123">
        <v>45.975338669999999</v>
      </c>
      <c r="I123">
        <v>48.977283640000003</v>
      </c>
      <c r="J123">
        <v>48.919183230000002</v>
      </c>
      <c r="K123">
        <v>51.184138449999999</v>
      </c>
      <c r="L123">
        <v>48.152833319999999</v>
      </c>
      <c r="M123">
        <v>52.409857909999999</v>
      </c>
      <c r="N123">
        <v>50.949067100000001</v>
      </c>
      <c r="O123">
        <v>49.726194929999998</v>
      </c>
      <c r="P123">
        <v>52.049036180000002</v>
      </c>
      <c r="Q123">
        <v>55.217586619999999</v>
      </c>
    </row>
    <row r="124" spans="1:17" x14ac:dyDescent="0.25">
      <c r="A124" t="s">
        <v>74</v>
      </c>
      <c r="B124" t="s">
        <v>75</v>
      </c>
      <c r="C124" t="s">
        <v>105</v>
      </c>
      <c r="D124" t="s">
        <v>106</v>
      </c>
      <c r="E124" t="s">
        <v>55</v>
      </c>
      <c r="F124">
        <v>1.614467976</v>
      </c>
      <c r="G124">
        <v>2.1558230439999999</v>
      </c>
      <c r="H124">
        <v>1.448067129</v>
      </c>
      <c r="I124">
        <v>1.3475042699999999</v>
      </c>
      <c r="J124">
        <v>0.91272403599999996</v>
      </c>
      <c r="K124">
        <v>6.8418675179999999</v>
      </c>
      <c r="L124">
        <v>8.8731003279999996</v>
      </c>
      <c r="M124">
        <v>9.0353708380000004</v>
      </c>
      <c r="N124">
        <v>8.6257441139999997</v>
      </c>
      <c r="O124">
        <v>12.241787329999999</v>
      </c>
      <c r="P124">
        <v>11.4150125</v>
      </c>
      <c r="Q124">
        <v>13.26729428</v>
      </c>
    </row>
    <row r="125" spans="1:17" x14ac:dyDescent="0.25">
      <c r="A125" t="s">
        <v>76</v>
      </c>
      <c r="B125" t="s">
        <v>77</v>
      </c>
      <c r="C125" t="s">
        <v>105</v>
      </c>
      <c r="D125" t="s">
        <v>106</v>
      </c>
      <c r="E125" t="s">
        <v>55</v>
      </c>
      <c r="F125">
        <v>71.135069999999999</v>
      </c>
      <c r="G125">
        <v>68.785855850000004</v>
      </c>
      <c r="H125">
        <v>66.485561039999993</v>
      </c>
      <c r="I125">
        <v>69.681233930000005</v>
      </c>
      <c r="J125">
        <v>72.625663880000005</v>
      </c>
      <c r="K125">
        <v>71.419316030000005</v>
      </c>
      <c r="L125">
        <v>67.398283050000003</v>
      </c>
      <c r="M125">
        <v>67.074198989999999</v>
      </c>
      <c r="N125">
        <v>69.592340570000005</v>
      </c>
      <c r="O125">
        <v>67.663494279999995</v>
      </c>
      <c r="P125">
        <v>66.566781430000006</v>
      </c>
      <c r="Q125">
        <v>66.408930979999994</v>
      </c>
    </row>
    <row r="126" spans="1:17" x14ac:dyDescent="0.25">
      <c r="A126" t="s">
        <v>78</v>
      </c>
      <c r="B126" t="s">
        <v>79</v>
      </c>
      <c r="C126" t="s">
        <v>105</v>
      </c>
      <c r="D126" t="s">
        <v>106</v>
      </c>
      <c r="E126" t="s">
        <v>55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6.3142631160000002</v>
      </c>
      <c r="O126">
        <v>6.2763631889999996</v>
      </c>
      <c r="P126">
        <v>6.3373818340000003</v>
      </c>
      <c r="Q126">
        <v>6.5737758419999999</v>
      </c>
    </row>
    <row r="127" spans="1:17" x14ac:dyDescent="0.25">
      <c r="A127" t="s">
        <v>80</v>
      </c>
      <c r="B127" t="s">
        <v>81</v>
      </c>
      <c r="C127" t="s">
        <v>105</v>
      </c>
      <c r="D127" t="s">
        <v>106</v>
      </c>
      <c r="E127" t="s">
        <v>55</v>
      </c>
      <c r="F127">
        <v>65.36033175</v>
      </c>
      <c r="G127">
        <v>63.354601770000002</v>
      </c>
      <c r="H127">
        <v>69.480698369999999</v>
      </c>
      <c r="I127">
        <v>68.457359659999995</v>
      </c>
      <c r="J127">
        <v>67.732558139999995</v>
      </c>
      <c r="K127">
        <v>67.101047140000006</v>
      </c>
      <c r="L127">
        <v>73.016480189999996</v>
      </c>
      <c r="M127">
        <v>74.573961510000004</v>
      </c>
      <c r="N127">
        <v>80.208205759999998</v>
      </c>
      <c r="O127">
        <v>78.335667849999993</v>
      </c>
      <c r="P127">
        <v>76.460030059999994</v>
      </c>
      <c r="Q127">
        <v>77.530949640000003</v>
      </c>
    </row>
    <row r="128" spans="1:17" x14ac:dyDescent="0.25">
      <c r="A128" t="s">
        <v>82</v>
      </c>
      <c r="B128" t="s">
        <v>83</v>
      </c>
      <c r="C128" t="s">
        <v>105</v>
      </c>
      <c r="D128" t="s">
        <v>106</v>
      </c>
      <c r="E128" t="s">
        <v>55</v>
      </c>
      <c r="F128">
        <v>0.114081506</v>
      </c>
      <c r="G128">
        <v>0.101805436</v>
      </c>
      <c r="H128">
        <v>9.2652419E-2</v>
      </c>
      <c r="I128">
        <v>0.28103310999999997</v>
      </c>
      <c r="J128">
        <v>7.3652722000000004E-2</v>
      </c>
      <c r="K128">
        <v>8.0002032000000001E-2</v>
      </c>
      <c r="L128">
        <v>7.3413739000000006E-2</v>
      </c>
      <c r="M128">
        <v>6.7339336E-2</v>
      </c>
      <c r="N128">
        <v>6.9303422650000002</v>
      </c>
      <c r="O128">
        <v>6.4949736720000004</v>
      </c>
      <c r="P128">
        <v>7.6141530370000003</v>
      </c>
      <c r="Q128">
        <v>8.6008607169999998</v>
      </c>
    </row>
    <row r="129" spans="1:17" x14ac:dyDescent="0.25">
      <c r="A129" t="s">
        <v>84</v>
      </c>
      <c r="B129" t="s">
        <v>85</v>
      </c>
      <c r="C129" t="s">
        <v>105</v>
      </c>
      <c r="D129" t="s">
        <v>106</v>
      </c>
      <c r="E129" t="s">
        <v>55</v>
      </c>
      <c r="F129">
        <v>7.3622438109999999</v>
      </c>
      <c r="G129">
        <v>7.5220554740000001</v>
      </c>
      <c r="H129">
        <v>7.8476439820000001</v>
      </c>
      <c r="I129">
        <v>11.019610549999999</v>
      </c>
      <c r="J129">
        <v>7.9558629510000003</v>
      </c>
      <c r="K129">
        <v>6.9501689009999996</v>
      </c>
      <c r="L129">
        <v>7.0053685999999997</v>
      </c>
      <c r="M129">
        <v>8.7684993149999997</v>
      </c>
      <c r="N129">
        <v>10.06132371</v>
      </c>
      <c r="O129">
        <v>12.866275290000001</v>
      </c>
      <c r="P129">
        <v>12.453720990000001</v>
      </c>
      <c r="Q129">
        <v>9.8568784259999997</v>
      </c>
    </row>
    <row r="130" spans="1:17" x14ac:dyDescent="0.25">
      <c r="A130" t="s">
        <v>86</v>
      </c>
      <c r="B130" t="s">
        <v>87</v>
      </c>
      <c r="C130" t="s">
        <v>105</v>
      </c>
      <c r="D130" t="s">
        <v>106</v>
      </c>
      <c r="E130" t="s">
        <v>55</v>
      </c>
      <c r="F130">
        <v>21.208116579999999</v>
      </c>
      <c r="G130">
        <v>20.466112970000001</v>
      </c>
      <c r="H130">
        <v>21.814724479999999</v>
      </c>
      <c r="I130">
        <v>22.17092551</v>
      </c>
      <c r="J130">
        <v>19.002086989999999</v>
      </c>
      <c r="K130">
        <v>18.02327494</v>
      </c>
      <c r="L130">
        <v>15.89026297</v>
      </c>
      <c r="M130">
        <v>14.84094775</v>
      </c>
      <c r="N130">
        <v>16.864964449999999</v>
      </c>
      <c r="O130">
        <v>17.727735559999999</v>
      </c>
      <c r="P130">
        <v>17.107395230000002</v>
      </c>
      <c r="Q130">
        <v>14.81023435</v>
      </c>
    </row>
    <row r="131" spans="1:17" x14ac:dyDescent="0.25">
      <c r="A131" t="s">
        <v>107</v>
      </c>
      <c r="B131" t="s">
        <v>49</v>
      </c>
      <c r="C131" t="s">
        <v>46</v>
      </c>
      <c r="D131" t="s">
        <v>46</v>
      </c>
      <c r="E131" t="s">
        <v>50</v>
      </c>
      <c r="F131">
        <v>48.852028775000001</v>
      </c>
      <c r="G131">
        <v>45.987877925333336</v>
      </c>
      <c r="H131">
        <v>47.25150462780001</v>
      </c>
      <c r="I131">
        <v>49.230304807333333</v>
      </c>
      <c r="J131">
        <v>50.458463454333334</v>
      </c>
      <c r="K131">
        <v>49.056585171533335</v>
      </c>
      <c r="L131">
        <v>50.65502875466666</v>
      </c>
      <c r="M131">
        <v>55.358136335533331</v>
      </c>
      <c r="N131">
        <v>70.38598300533333</v>
      </c>
      <c r="O131">
        <v>67.573745607399985</v>
      </c>
      <c r="P131">
        <v>68.173320599437488</v>
      </c>
      <c r="Q131">
        <v>82.501547412866657</v>
      </c>
    </row>
    <row r="132" spans="1:17" x14ac:dyDescent="0.25">
      <c r="A132" t="s">
        <v>51</v>
      </c>
      <c r="B132" t="s">
        <v>52</v>
      </c>
      <c r="C132" t="s">
        <v>108</v>
      </c>
      <c r="D132" t="s">
        <v>109</v>
      </c>
      <c r="E132" t="s">
        <v>55</v>
      </c>
      <c r="F132">
        <v>0.31176140600000002</v>
      </c>
      <c r="G132">
        <v>0.25818211800000002</v>
      </c>
      <c r="H132">
        <v>0.25476485100000001</v>
      </c>
      <c r="I132">
        <v>0.27625812599999999</v>
      </c>
      <c r="J132">
        <v>0.28364767899999999</v>
      </c>
      <c r="K132">
        <v>0.233230405</v>
      </c>
      <c r="L132">
        <v>0.18860152199999999</v>
      </c>
      <c r="M132">
        <v>0.17567775799999999</v>
      </c>
      <c r="N132">
        <v>0.16963919399999999</v>
      </c>
      <c r="O132">
        <v>0.152808688</v>
      </c>
      <c r="P132">
        <v>21.67826363</v>
      </c>
      <c r="Q132">
        <v>21.419826359999998</v>
      </c>
    </row>
    <row r="133" spans="1:17" x14ac:dyDescent="0.25">
      <c r="A133" t="s">
        <v>56</v>
      </c>
      <c r="B133" t="s">
        <v>57</v>
      </c>
      <c r="C133" t="s">
        <v>108</v>
      </c>
      <c r="D133" t="s">
        <v>109</v>
      </c>
      <c r="E133" t="s">
        <v>55</v>
      </c>
      <c r="F133">
        <v>0</v>
      </c>
      <c r="G133">
        <v>0</v>
      </c>
      <c r="H133">
        <v>0</v>
      </c>
      <c r="I133">
        <v>3.327586776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7.8568229860000001</v>
      </c>
      <c r="Q133">
        <v>17.55213741</v>
      </c>
    </row>
    <row r="134" spans="1:17" x14ac:dyDescent="0.25">
      <c r="A134" t="s">
        <v>58</v>
      </c>
      <c r="B134" t="s">
        <v>59</v>
      </c>
      <c r="C134" t="s">
        <v>108</v>
      </c>
      <c r="D134" t="s">
        <v>109</v>
      </c>
      <c r="E134" t="s">
        <v>55</v>
      </c>
      <c r="F134" t="s">
        <v>46</v>
      </c>
      <c r="G134" t="s">
        <v>46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</row>
    <row r="135" spans="1:17" x14ac:dyDescent="0.25">
      <c r="A135" t="s">
        <v>60</v>
      </c>
      <c r="B135" t="s">
        <v>61</v>
      </c>
      <c r="C135" t="s">
        <v>108</v>
      </c>
      <c r="D135" t="s">
        <v>109</v>
      </c>
      <c r="E135" t="s">
        <v>55</v>
      </c>
      <c r="F135" t="s">
        <v>46</v>
      </c>
      <c r="G135" t="s">
        <v>46</v>
      </c>
      <c r="H135" t="s">
        <v>46</v>
      </c>
      <c r="I135" t="s">
        <v>46</v>
      </c>
      <c r="J135" t="s">
        <v>46</v>
      </c>
      <c r="K135" t="s">
        <v>46</v>
      </c>
      <c r="L135" t="s">
        <v>46</v>
      </c>
      <c r="M135" t="s">
        <v>46</v>
      </c>
      <c r="N135" t="s">
        <v>46</v>
      </c>
      <c r="O135" t="s">
        <v>46</v>
      </c>
      <c r="P135">
        <v>48.628103099999997</v>
      </c>
      <c r="Q135" t="s">
        <v>46</v>
      </c>
    </row>
    <row r="136" spans="1:17" x14ac:dyDescent="0.25">
      <c r="A136" t="s">
        <v>62</v>
      </c>
      <c r="B136" t="s">
        <v>63</v>
      </c>
      <c r="C136" t="s">
        <v>108</v>
      </c>
      <c r="D136" t="s">
        <v>109</v>
      </c>
      <c r="E136" t="s">
        <v>55</v>
      </c>
      <c r="F136">
        <v>26.036872330000001</v>
      </c>
      <c r="G136">
        <v>30.019591699999999</v>
      </c>
      <c r="H136">
        <v>27.8173317</v>
      </c>
      <c r="I136">
        <v>25.970720549999999</v>
      </c>
      <c r="J136">
        <v>27.381378009999999</v>
      </c>
      <c r="K136">
        <v>26.940089669999999</v>
      </c>
      <c r="L136">
        <v>31.539387789999999</v>
      </c>
      <c r="M136">
        <v>30.620266730000001</v>
      </c>
      <c r="N136">
        <v>37.961298159999998</v>
      </c>
      <c r="O136">
        <v>33.863627549999997</v>
      </c>
      <c r="P136">
        <v>42.420606380000002</v>
      </c>
      <c r="Q136">
        <v>61.633928589999996</v>
      </c>
    </row>
    <row r="137" spans="1:17" x14ac:dyDescent="0.25">
      <c r="A137" t="s">
        <v>64</v>
      </c>
      <c r="B137" t="s">
        <v>65</v>
      </c>
      <c r="C137" t="s">
        <v>108</v>
      </c>
      <c r="D137" t="s">
        <v>109</v>
      </c>
      <c r="E137" t="s">
        <v>55</v>
      </c>
      <c r="F137">
        <v>9.4534007439999996</v>
      </c>
      <c r="G137">
        <v>7.4961289730000003</v>
      </c>
      <c r="H137">
        <v>8.1825850599999992</v>
      </c>
      <c r="I137">
        <v>7.0349472149999999</v>
      </c>
      <c r="J137">
        <v>7.0341848230000004</v>
      </c>
      <c r="K137">
        <v>6.5950081980000004</v>
      </c>
      <c r="L137">
        <v>6.5213585429999998</v>
      </c>
      <c r="M137">
        <v>14.46659483</v>
      </c>
      <c r="N137">
        <v>15.667329730000001</v>
      </c>
      <c r="O137">
        <v>15.884881330000001</v>
      </c>
      <c r="P137">
        <v>15.523498460000001</v>
      </c>
      <c r="Q137">
        <v>32.026759630000001</v>
      </c>
    </row>
    <row r="138" spans="1:17" x14ac:dyDescent="0.25">
      <c r="A138" t="s">
        <v>66</v>
      </c>
      <c r="B138" t="s">
        <v>67</v>
      </c>
      <c r="C138" t="s">
        <v>108</v>
      </c>
      <c r="D138" t="s">
        <v>109</v>
      </c>
      <c r="E138" t="s">
        <v>55</v>
      </c>
      <c r="F138">
        <v>61.578490889999998</v>
      </c>
      <c r="G138">
        <v>59.698899830000002</v>
      </c>
      <c r="H138">
        <v>56.142740400000001</v>
      </c>
      <c r="I138">
        <v>56.215772180000002</v>
      </c>
      <c r="J138">
        <v>56.138423510000003</v>
      </c>
      <c r="K138">
        <v>45.044273060000002</v>
      </c>
      <c r="L138">
        <v>46.581450650000001</v>
      </c>
      <c r="M138">
        <v>63.310524600000001</v>
      </c>
      <c r="N138">
        <v>93.489965740000002</v>
      </c>
      <c r="O138">
        <v>92.885572139999994</v>
      </c>
      <c r="P138">
        <v>127.6699029</v>
      </c>
      <c r="Q138">
        <v>138.03230540000001</v>
      </c>
    </row>
    <row r="139" spans="1:17" x14ac:dyDescent="0.25">
      <c r="A139" t="s">
        <v>68</v>
      </c>
      <c r="B139" t="s">
        <v>69</v>
      </c>
      <c r="C139" t="s">
        <v>108</v>
      </c>
      <c r="D139" t="s">
        <v>109</v>
      </c>
      <c r="E139" t="s">
        <v>55</v>
      </c>
      <c r="F139">
        <v>60.364520050000003</v>
      </c>
      <c r="G139">
        <v>68.16182938</v>
      </c>
      <c r="H139">
        <v>64.687168610000001</v>
      </c>
      <c r="I139">
        <v>57.888270579999997</v>
      </c>
      <c r="J139">
        <v>59.708820039999999</v>
      </c>
      <c r="K139">
        <v>59.364703890000001</v>
      </c>
      <c r="L139">
        <v>66.572736879999994</v>
      </c>
      <c r="M139">
        <v>63.215351810000001</v>
      </c>
      <c r="N139">
        <v>99.126326109999994</v>
      </c>
      <c r="O139">
        <v>121.7249154</v>
      </c>
      <c r="P139">
        <v>115.2730469</v>
      </c>
      <c r="Q139">
        <v>224.07876780000001</v>
      </c>
    </row>
    <row r="140" spans="1:17" x14ac:dyDescent="0.25">
      <c r="A140" t="s">
        <v>70</v>
      </c>
      <c r="B140" t="s">
        <v>71</v>
      </c>
      <c r="C140" t="s">
        <v>108</v>
      </c>
      <c r="D140" t="s">
        <v>109</v>
      </c>
      <c r="E140" t="s">
        <v>55</v>
      </c>
      <c r="F140">
        <v>2.721848069</v>
      </c>
      <c r="G140">
        <v>2.5418593199999999</v>
      </c>
      <c r="H140">
        <v>2.5676267529999999</v>
      </c>
      <c r="I140">
        <v>2.3712557369999998</v>
      </c>
      <c r="J140">
        <v>2.2483763969999999</v>
      </c>
      <c r="K140">
        <v>2.0927558770000001</v>
      </c>
      <c r="L140">
        <v>1.982502717</v>
      </c>
      <c r="M140">
        <v>14.40647126</v>
      </c>
      <c r="N140">
        <v>16.28170072</v>
      </c>
      <c r="O140">
        <v>15.441416459999999</v>
      </c>
      <c r="P140">
        <v>16.506269790000001</v>
      </c>
      <c r="Q140">
        <v>16.65972678</v>
      </c>
    </row>
    <row r="141" spans="1:17" x14ac:dyDescent="0.25">
      <c r="A141" t="s">
        <v>72</v>
      </c>
      <c r="B141" t="s">
        <v>73</v>
      </c>
      <c r="C141" t="s">
        <v>108</v>
      </c>
      <c r="D141" t="s">
        <v>109</v>
      </c>
      <c r="E141" t="s">
        <v>55</v>
      </c>
      <c r="F141">
        <v>100.5668593</v>
      </c>
      <c r="G141">
        <v>92.216839429999993</v>
      </c>
      <c r="H141">
        <v>85.100651319999997</v>
      </c>
      <c r="I141">
        <v>95.991133219999995</v>
      </c>
      <c r="J141">
        <v>95.768208729999998</v>
      </c>
      <c r="K141">
        <v>104.8514496</v>
      </c>
      <c r="L141">
        <v>92.874570390000002</v>
      </c>
      <c r="M141">
        <v>110.12755079999999</v>
      </c>
      <c r="N141">
        <v>103.8697209</v>
      </c>
      <c r="O141">
        <v>98.910744579999999</v>
      </c>
      <c r="P141">
        <v>108.5463816</v>
      </c>
      <c r="Q141">
        <v>123.3019448</v>
      </c>
    </row>
    <row r="142" spans="1:17" x14ac:dyDescent="0.25">
      <c r="A142" t="s">
        <v>74</v>
      </c>
      <c r="B142" t="s">
        <v>75</v>
      </c>
      <c r="C142" t="s">
        <v>108</v>
      </c>
      <c r="D142" t="s">
        <v>109</v>
      </c>
      <c r="E142" t="s">
        <v>55</v>
      </c>
      <c r="F142">
        <v>1.640960762</v>
      </c>
      <c r="G142">
        <v>2.2033227850000001</v>
      </c>
      <c r="H142">
        <v>1.46934422</v>
      </c>
      <c r="I142">
        <v>1.3659099649999999</v>
      </c>
      <c r="J142">
        <v>0.92113142400000003</v>
      </c>
      <c r="K142">
        <v>7.344358819</v>
      </c>
      <c r="L142">
        <v>9.737081323</v>
      </c>
      <c r="M142">
        <v>9.9328397430000006</v>
      </c>
      <c r="N142">
        <v>9.4400157139999994</v>
      </c>
      <c r="O142">
        <v>13.94944924</v>
      </c>
      <c r="P142">
        <v>12.8859447</v>
      </c>
      <c r="Q142">
        <v>15.29676051</v>
      </c>
    </row>
    <row r="143" spans="1:17" x14ac:dyDescent="0.25">
      <c r="A143" t="s">
        <v>76</v>
      </c>
      <c r="B143" t="s">
        <v>77</v>
      </c>
      <c r="C143" t="s">
        <v>108</v>
      </c>
      <c r="D143" t="s">
        <v>109</v>
      </c>
      <c r="E143" t="s">
        <v>55</v>
      </c>
      <c r="F143">
        <v>246.44116579999999</v>
      </c>
      <c r="G143">
        <v>220.36758560000001</v>
      </c>
      <c r="H143">
        <v>198.37885729999999</v>
      </c>
      <c r="I143">
        <v>229.82872649999999</v>
      </c>
      <c r="J143">
        <v>265.30566279999999</v>
      </c>
      <c r="K143">
        <v>249.88665800000001</v>
      </c>
      <c r="L143">
        <v>206.73231150000001</v>
      </c>
      <c r="M143">
        <v>203.71318819999999</v>
      </c>
      <c r="N143">
        <v>228.8645094</v>
      </c>
      <c r="O143">
        <v>209.24800859999999</v>
      </c>
      <c r="P143">
        <v>199.10371860000001</v>
      </c>
      <c r="Q143">
        <v>197.69817660000001</v>
      </c>
    </row>
    <row r="144" spans="1:17" x14ac:dyDescent="0.25">
      <c r="A144" t="s">
        <v>78</v>
      </c>
      <c r="B144" t="s">
        <v>79</v>
      </c>
      <c r="C144" t="s">
        <v>108</v>
      </c>
      <c r="D144" t="s">
        <v>109</v>
      </c>
      <c r="E144" t="s">
        <v>55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6.739833967</v>
      </c>
      <c r="O144">
        <v>6.6966705539999998</v>
      </c>
      <c r="P144">
        <v>6.7661805289999997</v>
      </c>
      <c r="Q144">
        <v>7.0363282910000002</v>
      </c>
    </row>
    <row r="145" spans="1:17" x14ac:dyDescent="0.25">
      <c r="A145" t="s">
        <v>80</v>
      </c>
      <c r="B145" t="s">
        <v>81</v>
      </c>
      <c r="C145" t="s">
        <v>108</v>
      </c>
      <c r="D145" t="s">
        <v>109</v>
      </c>
      <c r="E145" t="s">
        <v>55</v>
      </c>
      <c r="F145">
        <v>188.68636760000001</v>
      </c>
      <c r="G145">
        <v>172.8855595</v>
      </c>
      <c r="H145">
        <v>227.6614951</v>
      </c>
      <c r="I145">
        <v>217.03116460000001</v>
      </c>
      <c r="J145">
        <v>209.9099099</v>
      </c>
      <c r="K145">
        <v>203.96104220000001</v>
      </c>
      <c r="L145">
        <v>270.5965741</v>
      </c>
      <c r="M145">
        <v>293.29760329999999</v>
      </c>
      <c r="N145">
        <v>405.25990100000001</v>
      </c>
      <c r="O145">
        <v>361.58819629999999</v>
      </c>
      <c r="P145">
        <v>324.8093786</v>
      </c>
      <c r="Q145">
        <v>345.05663750000002</v>
      </c>
    </row>
    <row r="146" spans="1:17" x14ac:dyDescent="0.25">
      <c r="A146" t="s">
        <v>82</v>
      </c>
      <c r="B146" t="s">
        <v>83</v>
      </c>
      <c r="C146" t="s">
        <v>108</v>
      </c>
      <c r="D146" t="s">
        <v>109</v>
      </c>
      <c r="E146" t="s">
        <v>55</v>
      </c>
      <c r="F146">
        <v>0.114211801</v>
      </c>
      <c r="G146">
        <v>0.101909185</v>
      </c>
      <c r="H146">
        <v>9.2738344E-2</v>
      </c>
      <c r="I146">
        <v>0.28182513100000001</v>
      </c>
      <c r="J146">
        <v>7.3707009000000004E-2</v>
      </c>
      <c r="K146">
        <v>8.0066085999999995E-2</v>
      </c>
      <c r="L146">
        <v>7.3467673999999997E-2</v>
      </c>
      <c r="M146">
        <v>6.7384711999999999E-2</v>
      </c>
      <c r="N146">
        <v>7.4464035150000001</v>
      </c>
      <c r="O146">
        <v>6.9461224990000003</v>
      </c>
      <c r="P146">
        <v>8.2416877559999993</v>
      </c>
      <c r="Q146">
        <v>9.4102206919999993</v>
      </c>
    </row>
    <row r="147" spans="1:17" x14ac:dyDescent="0.25">
      <c r="A147" t="s">
        <v>84</v>
      </c>
      <c r="B147" t="s">
        <v>85</v>
      </c>
      <c r="C147" t="s">
        <v>108</v>
      </c>
      <c r="D147" t="s">
        <v>109</v>
      </c>
      <c r="E147" t="s">
        <v>55</v>
      </c>
      <c r="F147">
        <v>7.9473468629999999</v>
      </c>
      <c r="G147">
        <v>8.1338912889999992</v>
      </c>
      <c r="H147">
        <v>8.5159450289999992</v>
      </c>
      <c r="I147">
        <v>12.38431368</v>
      </c>
      <c r="J147">
        <v>8.6435303829999999</v>
      </c>
      <c r="K147">
        <v>7.469297708</v>
      </c>
      <c r="L147">
        <v>7.5330892709999997</v>
      </c>
      <c r="M147">
        <v>9.6112628299999994</v>
      </c>
      <c r="N147">
        <v>11.18687102</v>
      </c>
      <c r="O147">
        <v>14.766125669999999</v>
      </c>
      <c r="P147">
        <v>14.22530018</v>
      </c>
      <c r="Q147">
        <v>10.93469835</v>
      </c>
    </row>
    <row r="148" spans="1:17" x14ac:dyDescent="0.25">
      <c r="A148" t="s">
        <v>86</v>
      </c>
      <c r="B148" t="s">
        <v>87</v>
      </c>
      <c r="C148" t="s">
        <v>108</v>
      </c>
      <c r="D148" t="s">
        <v>109</v>
      </c>
      <c r="E148" t="s">
        <v>55</v>
      </c>
      <c r="F148">
        <v>26.916626010000002</v>
      </c>
      <c r="G148">
        <v>25.732569770000001</v>
      </c>
      <c r="H148">
        <v>27.901320729999998</v>
      </c>
      <c r="I148">
        <v>28.486687849999999</v>
      </c>
      <c r="J148">
        <v>23.459971110000001</v>
      </c>
      <c r="K148">
        <v>21.985844060000002</v>
      </c>
      <c r="L148">
        <v>18.892298960000002</v>
      </c>
      <c r="M148">
        <v>17.427328459999998</v>
      </c>
      <c r="N148">
        <v>20.286229909999999</v>
      </c>
      <c r="O148">
        <v>21.5476451</v>
      </c>
      <c r="P148">
        <v>20.638023480000001</v>
      </c>
      <c r="Q148">
        <v>17.384992480000001</v>
      </c>
    </row>
    <row r="149" spans="1:17" x14ac:dyDescent="0.25">
      <c r="A149" t="s">
        <v>110</v>
      </c>
      <c r="B149" t="s">
        <v>46</v>
      </c>
      <c r="C149" t="s">
        <v>46</v>
      </c>
      <c r="D149" t="s">
        <v>46</v>
      </c>
      <c r="E149" t="s">
        <v>47</v>
      </c>
      <c r="F149" t="s">
        <v>46</v>
      </c>
      <c r="G149" t="s">
        <v>46</v>
      </c>
      <c r="H149" t="s">
        <v>46</v>
      </c>
      <c r="I149" t="s">
        <v>46</v>
      </c>
      <c r="J149" t="s">
        <v>46</v>
      </c>
      <c r="K149" t="s">
        <v>46</v>
      </c>
      <c r="L149" t="s">
        <v>46</v>
      </c>
      <c r="M149" t="s">
        <v>46</v>
      </c>
      <c r="N149" t="s">
        <v>46</v>
      </c>
      <c r="O149" t="s">
        <v>46</v>
      </c>
      <c r="P149" t="s">
        <v>46</v>
      </c>
      <c r="Q149" t="s">
        <v>46</v>
      </c>
    </row>
    <row r="150" spans="1:17" x14ac:dyDescent="0.25">
      <c r="A150" t="s">
        <v>111</v>
      </c>
      <c r="B150" t="s">
        <v>49</v>
      </c>
      <c r="C150" t="s">
        <v>46</v>
      </c>
      <c r="D150" t="s">
        <v>46</v>
      </c>
      <c r="E150" t="s">
        <v>50</v>
      </c>
      <c r="F150">
        <v>2.6195755395833333</v>
      </c>
      <c r="G150">
        <v>2.4484528634166662</v>
      </c>
      <c r="H150">
        <v>2.5297473626666664</v>
      </c>
      <c r="I150">
        <v>2.9356023767500008</v>
      </c>
      <c r="J150">
        <v>2.5144924496666672</v>
      </c>
      <c r="K150">
        <v>2.0661834653333337</v>
      </c>
      <c r="L150">
        <v>2.9593221442500002</v>
      </c>
      <c r="M150">
        <v>3.4536503439166668</v>
      </c>
      <c r="N150">
        <v>4.8173539748333329</v>
      </c>
      <c r="O150">
        <v>6.7941866293333328</v>
      </c>
      <c r="P150">
        <v>7.727719598666666</v>
      </c>
      <c r="Q150">
        <v>7.9496140269166666</v>
      </c>
    </row>
    <row r="151" spans="1:17" x14ac:dyDescent="0.25">
      <c r="A151" t="s">
        <v>51</v>
      </c>
      <c r="B151" t="s">
        <v>52</v>
      </c>
      <c r="C151" t="s">
        <v>112</v>
      </c>
      <c r="D151" t="s">
        <v>113</v>
      </c>
      <c r="E151" t="s">
        <v>55</v>
      </c>
      <c r="F151">
        <v>-5.0961197900000004</v>
      </c>
      <c r="G151">
        <v>-6.2346590710000003</v>
      </c>
      <c r="H151">
        <v>-5.5692815390000003</v>
      </c>
      <c r="I151">
        <v>-5.4405696370000003</v>
      </c>
      <c r="J151">
        <v>-5.962890078</v>
      </c>
      <c r="K151">
        <v>-7.7061796019999997</v>
      </c>
      <c r="L151">
        <v>-6.658396604</v>
      </c>
      <c r="M151">
        <v>-6.8454753220000004</v>
      </c>
      <c r="N151">
        <v>-7.3132923090000004</v>
      </c>
      <c r="O151">
        <v>-9.3886059139999993</v>
      </c>
      <c r="P151">
        <v>-3.744700538</v>
      </c>
      <c r="Q151">
        <v>-3.1285203539999999</v>
      </c>
    </row>
    <row r="152" spans="1:17" x14ac:dyDescent="0.25">
      <c r="A152" t="s">
        <v>56</v>
      </c>
      <c r="B152" t="s">
        <v>57</v>
      </c>
      <c r="C152" t="s">
        <v>112</v>
      </c>
      <c r="D152" t="s">
        <v>113</v>
      </c>
      <c r="E152" t="s">
        <v>55</v>
      </c>
      <c r="F152">
        <v>-6.5397632740000002</v>
      </c>
      <c r="G152">
        <v>-6.7031702260000001</v>
      </c>
      <c r="H152">
        <v>-6.6457831660000002</v>
      </c>
      <c r="I152">
        <v>-3.7872636609999999</v>
      </c>
      <c r="J152">
        <v>-3.9469070749999999</v>
      </c>
      <c r="K152">
        <v>-3.6597496330000001</v>
      </c>
      <c r="L152">
        <v>-3.2865414099999999</v>
      </c>
      <c r="M152">
        <v>-3.2422673720000001</v>
      </c>
      <c r="N152">
        <v>-3.338928525</v>
      </c>
      <c r="O152">
        <v>-3.4640362539999998</v>
      </c>
      <c r="P152">
        <v>-1.5076207260000001</v>
      </c>
      <c r="Q152">
        <v>-0.99544643499999996</v>
      </c>
    </row>
    <row r="153" spans="1:17" x14ac:dyDescent="0.25">
      <c r="A153" t="s">
        <v>58</v>
      </c>
      <c r="B153" t="s">
        <v>59</v>
      </c>
      <c r="C153" t="s">
        <v>112</v>
      </c>
      <c r="D153" t="s">
        <v>113</v>
      </c>
      <c r="E153" t="s">
        <v>55</v>
      </c>
      <c r="F153" t="s">
        <v>46</v>
      </c>
      <c r="G153" t="s">
        <v>46</v>
      </c>
      <c r="H153" t="s">
        <v>46</v>
      </c>
      <c r="I153" t="s">
        <v>46</v>
      </c>
      <c r="J153" t="s">
        <v>46</v>
      </c>
      <c r="K153" t="s">
        <v>46</v>
      </c>
      <c r="L153" t="s">
        <v>46</v>
      </c>
      <c r="M153" t="s">
        <v>46</v>
      </c>
      <c r="N153" t="s">
        <v>46</v>
      </c>
      <c r="O153" t="s">
        <v>46</v>
      </c>
      <c r="P153" t="s">
        <v>46</v>
      </c>
      <c r="Q153" t="s">
        <v>46</v>
      </c>
    </row>
    <row r="154" spans="1:17" x14ac:dyDescent="0.25">
      <c r="A154" t="s">
        <v>60</v>
      </c>
      <c r="B154" t="s">
        <v>61</v>
      </c>
      <c r="C154" t="s">
        <v>112</v>
      </c>
      <c r="D154" t="s">
        <v>113</v>
      </c>
      <c r="E154" t="s">
        <v>55</v>
      </c>
      <c r="F154" t="s">
        <v>46</v>
      </c>
      <c r="G154" t="s">
        <v>46</v>
      </c>
      <c r="H154" t="s">
        <v>46</v>
      </c>
      <c r="I154" t="s">
        <v>46</v>
      </c>
      <c r="J154" t="s">
        <v>46</v>
      </c>
      <c r="K154" t="s">
        <v>46</v>
      </c>
      <c r="L154" t="s">
        <v>46</v>
      </c>
      <c r="M154" t="s">
        <v>46</v>
      </c>
      <c r="N154" t="s">
        <v>46</v>
      </c>
      <c r="O154" t="s">
        <v>46</v>
      </c>
      <c r="P154" t="s">
        <v>46</v>
      </c>
      <c r="Q154" t="s">
        <v>46</v>
      </c>
    </row>
    <row r="155" spans="1:17" x14ac:dyDescent="0.25">
      <c r="A155" t="s">
        <v>62</v>
      </c>
      <c r="B155" t="s">
        <v>63</v>
      </c>
      <c r="C155" t="s">
        <v>112</v>
      </c>
      <c r="D155" t="s">
        <v>113</v>
      </c>
      <c r="E155" t="s">
        <v>55</v>
      </c>
      <c r="F155" t="s">
        <v>46</v>
      </c>
      <c r="G155" t="s">
        <v>46</v>
      </c>
      <c r="H155" t="s">
        <v>46</v>
      </c>
      <c r="I155" t="s">
        <v>46</v>
      </c>
      <c r="J155" t="s">
        <v>46</v>
      </c>
      <c r="K155" t="s">
        <v>46</v>
      </c>
      <c r="L155" t="s">
        <v>46</v>
      </c>
      <c r="M155" t="s">
        <v>46</v>
      </c>
      <c r="N155" t="s">
        <v>46</v>
      </c>
      <c r="O155" t="s">
        <v>46</v>
      </c>
      <c r="P155" t="s">
        <v>46</v>
      </c>
      <c r="Q155" t="s">
        <v>46</v>
      </c>
    </row>
    <row r="156" spans="1:17" x14ac:dyDescent="0.25">
      <c r="A156" t="s">
        <v>64</v>
      </c>
      <c r="B156" t="s">
        <v>65</v>
      </c>
      <c r="C156" t="s">
        <v>112</v>
      </c>
      <c r="D156" t="s">
        <v>113</v>
      </c>
      <c r="E156" t="s">
        <v>55</v>
      </c>
      <c r="F156">
        <v>-5.7309644669999997</v>
      </c>
      <c r="G156">
        <v>-6.5709459460000001</v>
      </c>
      <c r="H156">
        <v>-7.1018675719999997</v>
      </c>
      <c r="I156">
        <v>-6.8879456709999998</v>
      </c>
      <c r="J156">
        <v>-5.9692832759999996</v>
      </c>
      <c r="K156">
        <v>-6.9637931030000004</v>
      </c>
      <c r="L156">
        <v>-6.5043177889999999</v>
      </c>
      <c r="M156">
        <v>-3.5773913039999998</v>
      </c>
      <c r="N156">
        <v>-2.3918439720000002</v>
      </c>
      <c r="O156">
        <v>-2.4990925590000002</v>
      </c>
      <c r="P156">
        <v>-3.1259124090000001</v>
      </c>
      <c r="Q156">
        <v>-1.6172161169999999</v>
      </c>
    </row>
    <row r="157" spans="1:17" x14ac:dyDescent="0.25">
      <c r="A157" t="s">
        <v>66</v>
      </c>
      <c r="B157" t="s">
        <v>67</v>
      </c>
      <c r="C157" t="s">
        <v>112</v>
      </c>
      <c r="D157" t="s">
        <v>113</v>
      </c>
      <c r="E157" t="s">
        <v>55</v>
      </c>
      <c r="F157">
        <v>8.9408021679999994</v>
      </c>
      <c r="G157">
        <v>7.8001135269999997</v>
      </c>
      <c r="H157">
        <v>6.6102884619999998</v>
      </c>
      <c r="I157">
        <v>7.3137552230000002</v>
      </c>
      <c r="J157">
        <v>5.0313803019999996</v>
      </c>
      <c r="K157">
        <v>4.796592532</v>
      </c>
      <c r="L157">
        <v>3.9970724280000001</v>
      </c>
      <c r="M157">
        <v>6.8431885509999999</v>
      </c>
      <c r="N157">
        <v>7.8370808070000004</v>
      </c>
      <c r="O157">
        <v>7.8186866129999997</v>
      </c>
      <c r="P157">
        <v>6.3686727589999999</v>
      </c>
      <c r="Q157">
        <v>7.4469546600000003</v>
      </c>
    </row>
    <row r="158" spans="1:17" x14ac:dyDescent="0.25">
      <c r="A158" t="s">
        <v>68</v>
      </c>
      <c r="B158" t="s">
        <v>69</v>
      </c>
      <c r="C158" t="s">
        <v>112</v>
      </c>
      <c r="D158" t="s">
        <v>113</v>
      </c>
      <c r="E158" t="s">
        <v>55</v>
      </c>
      <c r="F158">
        <v>17.048398800000001</v>
      </c>
      <c r="G158">
        <v>20.235749590000001</v>
      </c>
      <c r="H158">
        <v>19.373986259999999</v>
      </c>
      <c r="I158">
        <v>18.666436940000001</v>
      </c>
      <c r="J158">
        <v>15.46837193</v>
      </c>
      <c r="K158">
        <v>14.861081950000001</v>
      </c>
      <c r="L158">
        <v>18.226459729999998</v>
      </c>
      <c r="M158">
        <v>16.66420501</v>
      </c>
      <c r="N158">
        <v>34.394170350000003</v>
      </c>
      <c r="O158">
        <v>30.601832170000002</v>
      </c>
      <c r="P158">
        <v>30.974419059999999</v>
      </c>
      <c r="Q158">
        <v>30.82324169</v>
      </c>
    </row>
    <row r="159" spans="1:17" x14ac:dyDescent="0.25">
      <c r="A159" t="s">
        <v>70</v>
      </c>
      <c r="B159" t="s">
        <v>71</v>
      </c>
      <c r="C159" t="s">
        <v>112</v>
      </c>
      <c r="D159" t="s">
        <v>113</v>
      </c>
      <c r="E159" t="s">
        <v>55</v>
      </c>
      <c r="F159">
        <v>-7.6827413939999998</v>
      </c>
      <c r="G159">
        <v>-8.8260153179999996</v>
      </c>
      <c r="H159">
        <v>-10.54392103</v>
      </c>
      <c r="I159">
        <v>-9.0829854959999992</v>
      </c>
      <c r="J159">
        <v>-9.8796704379999998</v>
      </c>
      <c r="K159">
        <v>-11.587899889999999</v>
      </c>
      <c r="L159">
        <v>-13.105437090000001</v>
      </c>
      <c r="M159">
        <v>-9.95411541</v>
      </c>
      <c r="N159">
        <v>-9.4733278300000006</v>
      </c>
      <c r="O159">
        <v>-10.767463830000001</v>
      </c>
      <c r="P159">
        <v>-11.611972740000001</v>
      </c>
      <c r="Q159">
        <v>-11.03816016</v>
      </c>
    </row>
    <row r="160" spans="1:17" x14ac:dyDescent="0.25">
      <c r="A160" t="s">
        <v>72</v>
      </c>
      <c r="B160" t="s">
        <v>73</v>
      </c>
      <c r="C160" t="s">
        <v>112</v>
      </c>
      <c r="D160" t="s">
        <v>113</v>
      </c>
      <c r="E160" t="s">
        <v>55</v>
      </c>
      <c r="F160">
        <v>4.2801099569999996</v>
      </c>
      <c r="G160">
        <v>3.9781951979999999</v>
      </c>
      <c r="H160">
        <v>3.6139244389999998</v>
      </c>
      <c r="I160">
        <v>4.5189080779999999</v>
      </c>
      <c r="J160">
        <v>4.6940006099999998</v>
      </c>
      <c r="K160">
        <v>4.8992891930000004</v>
      </c>
      <c r="L160">
        <v>4.844591222</v>
      </c>
      <c r="M160">
        <v>6.8317247639999996</v>
      </c>
      <c r="N160">
        <v>6.5032484850000003</v>
      </c>
      <c r="O160">
        <v>5.7752674610000003</v>
      </c>
      <c r="P160">
        <v>6.9506172230000001</v>
      </c>
      <c r="Q160">
        <v>7.8257433159999996</v>
      </c>
    </row>
    <row r="161" spans="1:17" x14ac:dyDescent="0.25">
      <c r="A161" t="s">
        <v>74</v>
      </c>
      <c r="B161" t="s">
        <v>75</v>
      </c>
      <c r="C161" t="s">
        <v>112</v>
      </c>
      <c r="D161" t="s">
        <v>113</v>
      </c>
      <c r="E161" t="s">
        <v>55</v>
      </c>
      <c r="F161">
        <v>-0.59956318600000003</v>
      </c>
      <c r="G161">
        <v>-0.48264051299999999</v>
      </c>
      <c r="H161">
        <v>-0.43744768299999998</v>
      </c>
      <c r="I161">
        <v>-0.32393538900000002</v>
      </c>
      <c r="J161">
        <v>-0.50425608600000005</v>
      </c>
      <c r="K161">
        <v>-0.32035125599999997</v>
      </c>
      <c r="L161">
        <v>-0.29540703099999999</v>
      </c>
      <c r="M161">
        <v>-0.38374621599999997</v>
      </c>
      <c r="N161">
        <v>-0.39487107700000001</v>
      </c>
      <c r="O161">
        <v>-6.6814787E-2</v>
      </c>
      <c r="P161">
        <v>-0.286991936</v>
      </c>
      <c r="Q161">
        <v>-0.35977984200000002</v>
      </c>
    </row>
    <row r="162" spans="1:17" x14ac:dyDescent="0.25">
      <c r="A162" t="s">
        <v>76</v>
      </c>
      <c r="B162" t="s">
        <v>77</v>
      </c>
      <c r="C162" t="s">
        <v>112</v>
      </c>
      <c r="D162" t="s">
        <v>113</v>
      </c>
      <c r="E162" t="s">
        <v>55</v>
      </c>
      <c r="F162">
        <v>4.7198558650000004</v>
      </c>
      <c r="G162">
        <v>4.0379957989999999</v>
      </c>
      <c r="H162">
        <v>3.4543949839999999</v>
      </c>
      <c r="I162">
        <v>3.6307157619999999</v>
      </c>
      <c r="J162">
        <v>3.7433060629999999</v>
      </c>
      <c r="K162">
        <v>3.894048331</v>
      </c>
      <c r="L162">
        <v>3.1322724669999999</v>
      </c>
      <c r="M162">
        <v>3.4378443079999998</v>
      </c>
      <c r="N162">
        <v>5.3196159319999996</v>
      </c>
      <c r="O162">
        <v>4.4778209709999999</v>
      </c>
      <c r="P162">
        <v>4.2945572030000001</v>
      </c>
      <c r="Q162">
        <v>4.0189078189999998</v>
      </c>
    </row>
    <row r="163" spans="1:17" x14ac:dyDescent="0.25">
      <c r="A163" t="s">
        <v>78</v>
      </c>
      <c r="B163" t="s">
        <v>79</v>
      </c>
      <c r="C163" t="s">
        <v>112</v>
      </c>
      <c r="D163" t="s">
        <v>113</v>
      </c>
      <c r="E163" t="s">
        <v>55</v>
      </c>
      <c r="F163" t="s">
        <v>46</v>
      </c>
      <c r="G163" t="s">
        <v>46</v>
      </c>
      <c r="H163" t="s">
        <v>46</v>
      </c>
      <c r="I163" t="s">
        <v>46</v>
      </c>
      <c r="J163" t="s">
        <v>46</v>
      </c>
      <c r="K163" t="s">
        <v>46</v>
      </c>
      <c r="L163" t="s">
        <v>46</v>
      </c>
      <c r="M163" t="s">
        <v>46</v>
      </c>
      <c r="N163" t="s">
        <v>46</v>
      </c>
      <c r="O163" t="s">
        <v>46</v>
      </c>
      <c r="P163" t="s">
        <v>46</v>
      </c>
      <c r="Q163" t="s">
        <v>46</v>
      </c>
    </row>
    <row r="164" spans="1:17" x14ac:dyDescent="0.25">
      <c r="A164" t="s">
        <v>80</v>
      </c>
      <c r="B164" t="s">
        <v>81</v>
      </c>
      <c r="C164" t="s">
        <v>112</v>
      </c>
      <c r="D164" t="s">
        <v>113</v>
      </c>
      <c r="E164" t="s">
        <v>55</v>
      </c>
      <c r="F164">
        <v>24.15389527</v>
      </c>
      <c r="G164">
        <v>24.262751819999998</v>
      </c>
      <c r="H164">
        <v>29.898805039999999</v>
      </c>
      <c r="I164">
        <v>29.017722070000001</v>
      </c>
      <c r="J164">
        <v>29.842288450000002</v>
      </c>
      <c r="K164">
        <v>28.55332168</v>
      </c>
      <c r="L164">
        <v>37.356385330000002</v>
      </c>
      <c r="M164">
        <v>34.342767649999999</v>
      </c>
      <c r="N164">
        <v>28.92456219</v>
      </c>
      <c r="O164">
        <v>61.170474910000003</v>
      </c>
      <c r="P164">
        <v>66.342172989999995</v>
      </c>
      <c r="Q164">
        <v>64.344134080000003</v>
      </c>
    </row>
    <row r="165" spans="1:17" x14ac:dyDescent="0.25">
      <c r="A165" t="s">
        <v>82</v>
      </c>
      <c r="B165" t="s">
        <v>83</v>
      </c>
      <c r="C165" t="s">
        <v>112</v>
      </c>
      <c r="D165" t="s">
        <v>113</v>
      </c>
      <c r="E165" t="s">
        <v>55</v>
      </c>
      <c r="F165">
        <v>-1.258545416</v>
      </c>
      <c r="G165">
        <v>-1.337304128</v>
      </c>
      <c r="H165">
        <v>-1.4994256640000001</v>
      </c>
      <c r="I165">
        <v>-1.700185751</v>
      </c>
      <c r="J165">
        <v>-1.4606253360000001</v>
      </c>
      <c r="K165">
        <v>-1.218466853</v>
      </c>
      <c r="L165">
        <v>-1.3772272189999999</v>
      </c>
      <c r="M165">
        <v>-1.602161825</v>
      </c>
      <c r="N165">
        <v>-1.375655979</v>
      </c>
      <c r="O165">
        <v>-1.4959155420000001</v>
      </c>
      <c r="P165">
        <v>-1.118042625</v>
      </c>
      <c r="Q165">
        <v>-0.96937706499999998</v>
      </c>
    </row>
    <row r="166" spans="1:17" x14ac:dyDescent="0.25">
      <c r="A166" t="s">
        <v>84</v>
      </c>
      <c r="B166" t="s">
        <v>85</v>
      </c>
      <c r="C166" t="s">
        <v>112</v>
      </c>
      <c r="D166" t="s">
        <v>113</v>
      </c>
      <c r="E166" t="s">
        <v>55</v>
      </c>
      <c r="F166">
        <v>-0.80045805800000003</v>
      </c>
      <c r="G166">
        <v>-0.77863637100000005</v>
      </c>
      <c r="H166">
        <v>-0.79670417900000001</v>
      </c>
      <c r="I166">
        <v>-0.69742394699999999</v>
      </c>
      <c r="J166">
        <v>-0.88180566999999999</v>
      </c>
      <c r="K166">
        <v>-0.75369176500000001</v>
      </c>
      <c r="L166">
        <v>-0.81758830299999996</v>
      </c>
      <c r="M166">
        <v>-1.070768707</v>
      </c>
      <c r="N166">
        <v>-0.88251037399999999</v>
      </c>
      <c r="O166">
        <v>-0.63191368699999995</v>
      </c>
      <c r="P166">
        <v>-0.80256307699999996</v>
      </c>
      <c r="Q166">
        <v>-0.95511326900000004</v>
      </c>
    </row>
    <row r="167" spans="1:17" x14ac:dyDescent="0.25">
      <c r="A167" t="s">
        <v>86</v>
      </c>
      <c r="B167" t="s">
        <v>87</v>
      </c>
      <c r="C167" t="s">
        <v>112</v>
      </c>
      <c r="D167" t="s">
        <v>113</v>
      </c>
      <c r="E167" t="s">
        <v>55</v>
      </c>
      <c r="F167" t="s">
        <v>46</v>
      </c>
      <c r="G167" t="s">
        <v>46</v>
      </c>
      <c r="H167" t="s">
        <v>46</v>
      </c>
      <c r="I167" t="s">
        <v>46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46</v>
      </c>
      <c r="Q167" t="s">
        <v>46</v>
      </c>
    </row>
    <row r="168" spans="1:17" x14ac:dyDescent="0.25">
      <c r="A168" t="s">
        <v>114</v>
      </c>
      <c r="B168" t="s">
        <v>49</v>
      </c>
      <c r="C168" t="s">
        <v>46</v>
      </c>
      <c r="D168" t="s">
        <v>46</v>
      </c>
      <c r="E168" t="s">
        <v>50</v>
      </c>
      <c r="F168">
        <v>69.610422522500002</v>
      </c>
      <c r="G168">
        <v>68.813116104615375</v>
      </c>
      <c r="H168">
        <v>78.24429062416668</v>
      </c>
      <c r="I168">
        <v>68.547704112857133</v>
      </c>
      <c r="J168">
        <v>77.291455777142872</v>
      </c>
      <c r="K168">
        <v>70.046178062142857</v>
      </c>
      <c r="L168">
        <v>76.967329567333323</v>
      </c>
      <c r="M168">
        <v>68.217110570714297</v>
      </c>
      <c r="N168">
        <v>76.308592542857141</v>
      </c>
      <c r="O168">
        <v>69.374222860714298</v>
      </c>
      <c r="P168">
        <v>76.388777544666667</v>
      </c>
      <c r="Q168">
        <v>68.158053110714292</v>
      </c>
    </row>
    <row r="169" spans="1:17" x14ac:dyDescent="0.25">
      <c r="A169" t="s">
        <v>51</v>
      </c>
      <c r="B169" t="s">
        <v>52</v>
      </c>
      <c r="C169" t="s">
        <v>115</v>
      </c>
      <c r="D169" t="s">
        <v>116</v>
      </c>
      <c r="E169" t="s">
        <v>55</v>
      </c>
      <c r="F169">
        <v>44.388713090000003</v>
      </c>
      <c r="G169">
        <v>42.894978950000002</v>
      </c>
      <c r="H169">
        <v>44.988173009999997</v>
      </c>
      <c r="I169">
        <v>44.614149910000002</v>
      </c>
      <c r="J169">
        <v>43.026869249999997</v>
      </c>
      <c r="K169">
        <v>42.58664297</v>
      </c>
      <c r="L169">
        <v>56.893824350000003</v>
      </c>
      <c r="M169">
        <v>56.928804800000002</v>
      </c>
      <c r="N169">
        <v>56.126530559999999</v>
      </c>
      <c r="O169">
        <v>55.286418920000003</v>
      </c>
      <c r="P169">
        <v>68.903556300000005</v>
      </c>
      <c r="Q169">
        <v>68.311234189999993</v>
      </c>
    </row>
    <row r="170" spans="1:17" x14ac:dyDescent="0.25">
      <c r="A170" t="s">
        <v>56</v>
      </c>
      <c r="B170" t="s">
        <v>57</v>
      </c>
      <c r="C170" t="s">
        <v>115</v>
      </c>
      <c r="D170" t="s">
        <v>116</v>
      </c>
      <c r="E170" t="s">
        <v>55</v>
      </c>
      <c r="F170">
        <v>64.106435540000007</v>
      </c>
      <c r="G170">
        <v>62.283568930000001</v>
      </c>
      <c r="H170">
        <v>65.456939329999997</v>
      </c>
      <c r="I170">
        <v>66.010799899999995</v>
      </c>
      <c r="J170">
        <v>67.041639070000002</v>
      </c>
      <c r="K170">
        <v>61.656675479999997</v>
      </c>
      <c r="L170">
        <v>76.947020480000006</v>
      </c>
      <c r="M170">
        <v>67.268452749999994</v>
      </c>
      <c r="N170">
        <v>75.813006099999996</v>
      </c>
      <c r="O170">
        <v>75.710498569999999</v>
      </c>
      <c r="P170">
        <v>89.154223259999995</v>
      </c>
      <c r="Q170">
        <v>67.124007950000006</v>
      </c>
    </row>
    <row r="171" spans="1:17" x14ac:dyDescent="0.25">
      <c r="A171" t="s">
        <v>58</v>
      </c>
      <c r="B171" t="s">
        <v>59</v>
      </c>
      <c r="C171" t="s">
        <v>115</v>
      </c>
      <c r="D171" t="s">
        <v>116</v>
      </c>
      <c r="E171" t="s">
        <v>55</v>
      </c>
      <c r="F171" t="s">
        <v>46</v>
      </c>
      <c r="G171" t="s">
        <v>46</v>
      </c>
      <c r="H171" t="s">
        <v>46</v>
      </c>
      <c r="I171" t="s">
        <v>46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46</v>
      </c>
      <c r="Q171" t="s">
        <v>46</v>
      </c>
    </row>
    <row r="172" spans="1:17" x14ac:dyDescent="0.25">
      <c r="A172" t="s">
        <v>60</v>
      </c>
      <c r="B172" t="s">
        <v>61</v>
      </c>
      <c r="C172" t="s">
        <v>115</v>
      </c>
      <c r="D172" t="s">
        <v>116</v>
      </c>
      <c r="E172" t="s">
        <v>55</v>
      </c>
      <c r="F172" t="s">
        <v>46</v>
      </c>
      <c r="G172" t="s">
        <v>46</v>
      </c>
      <c r="H172" t="s">
        <v>46</v>
      </c>
      <c r="I172" t="s">
        <v>46</v>
      </c>
      <c r="J172" t="s">
        <v>46</v>
      </c>
      <c r="K172" t="s">
        <v>46</v>
      </c>
      <c r="L172" t="s">
        <v>46</v>
      </c>
      <c r="M172" t="s">
        <v>46</v>
      </c>
      <c r="N172" t="s">
        <v>46</v>
      </c>
      <c r="O172" t="s">
        <v>46</v>
      </c>
      <c r="P172" t="s">
        <v>46</v>
      </c>
      <c r="Q172" t="s">
        <v>46</v>
      </c>
    </row>
    <row r="173" spans="1:17" x14ac:dyDescent="0.25">
      <c r="A173" t="s">
        <v>62</v>
      </c>
      <c r="B173" t="s">
        <v>63</v>
      </c>
      <c r="C173" t="s">
        <v>115</v>
      </c>
      <c r="D173" t="s">
        <v>116</v>
      </c>
      <c r="E173" t="s">
        <v>55</v>
      </c>
      <c r="F173">
        <v>40.742852470000003</v>
      </c>
      <c r="G173">
        <v>29.422203379999999</v>
      </c>
      <c r="H173">
        <v>44.192848429999998</v>
      </c>
      <c r="I173">
        <v>41.101784379999998</v>
      </c>
      <c r="J173" t="s">
        <v>46</v>
      </c>
      <c r="K173">
        <v>32.644983740000001</v>
      </c>
      <c r="L173">
        <v>46.349088279999997</v>
      </c>
      <c r="M173">
        <v>43.460135430000001</v>
      </c>
      <c r="N173" t="s">
        <v>46</v>
      </c>
      <c r="O173">
        <v>31.742115340000002</v>
      </c>
      <c r="P173">
        <v>46.114328700000002</v>
      </c>
      <c r="Q173">
        <v>44.045891150000003</v>
      </c>
    </row>
    <row r="174" spans="1:17" x14ac:dyDescent="0.25">
      <c r="A174" t="s">
        <v>64</v>
      </c>
      <c r="B174" t="s">
        <v>65</v>
      </c>
      <c r="C174" t="s">
        <v>115</v>
      </c>
      <c r="D174" t="s">
        <v>116</v>
      </c>
      <c r="E174" t="s">
        <v>55</v>
      </c>
      <c r="F174">
        <v>65.961396930000006</v>
      </c>
      <c r="G174">
        <v>67.99022085</v>
      </c>
      <c r="H174">
        <v>66.801654290000002</v>
      </c>
      <c r="I174">
        <v>69.616005540000003</v>
      </c>
      <c r="J174">
        <v>69.225760699999995</v>
      </c>
      <c r="K174">
        <v>70.075202219999994</v>
      </c>
      <c r="L174">
        <v>68.529457359999995</v>
      </c>
      <c r="M174">
        <v>72.91950009</v>
      </c>
      <c r="N174">
        <v>73.075404059999997</v>
      </c>
      <c r="O174">
        <v>72.712442870000004</v>
      </c>
      <c r="P174">
        <v>70.094440800000001</v>
      </c>
      <c r="Q174">
        <v>71.443425259999998</v>
      </c>
    </row>
    <row r="175" spans="1:17" x14ac:dyDescent="0.25">
      <c r="A175" t="s">
        <v>66</v>
      </c>
      <c r="B175" t="s">
        <v>67</v>
      </c>
      <c r="C175" t="s">
        <v>115</v>
      </c>
      <c r="D175" t="s">
        <v>116</v>
      </c>
      <c r="E175" t="s">
        <v>55</v>
      </c>
      <c r="F175">
        <v>82.819857119999995</v>
      </c>
      <c r="G175">
        <v>85.496855870000005</v>
      </c>
      <c r="H175">
        <v>72.763616740000003</v>
      </c>
      <c r="I175">
        <v>75.429614540000003</v>
      </c>
      <c r="J175">
        <v>73.978806230000004</v>
      </c>
      <c r="K175">
        <v>76.920949320000005</v>
      </c>
      <c r="L175">
        <v>64.194789540000002</v>
      </c>
      <c r="M175">
        <v>65.658740989999998</v>
      </c>
      <c r="N175">
        <v>65.919481050000002</v>
      </c>
      <c r="O175">
        <v>70.291935480000006</v>
      </c>
      <c r="P175">
        <v>58.586299529999998</v>
      </c>
      <c r="Q175">
        <v>63.37844037</v>
      </c>
    </row>
    <row r="176" spans="1:17" x14ac:dyDescent="0.25">
      <c r="A176" t="s">
        <v>68</v>
      </c>
      <c r="B176" t="s">
        <v>69</v>
      </c>
      <c r="C176" t="s">
        <v>115</v>
      </c>
      <c r="D176" t="s">
        <v>116</v>
      </c>
      <c r="E176" t="s">
        <v>55</v>
      </c>
      <c r="F176" t="s">
        <v>46</v>
      </c>
      <c r="G176" t="s">
        <v>46</v>
      </c>
      <c r="H176" t="s">
        <v>46</v>
      </c>
      <c r="I176">
        <v>68.992775960000003</v>
      </c>
      <c r="J176">
        <v>92.569792000000007</v>
      </c>
      <c r="K176">
        <v>90.689816769999993</v>
      </c>
      <c r="L176">
        <v>92.797050859999999</v>
      </c>
      <c r="M176">
        <v>49.40418253</v>
      </c>
      <c r="N176">
        <v>94.158562939999996</v>
      </c>
      <c r="O176">
        <v>86.185826030000001</v>
      </c>
      <c r="P176">
        <v>88.463601440000005</v>
      </c>
      <c r="Q176">
        <v>43.018133519999999</v>
      </c>
    </row>
    <row r="177" spans="1:17" x14ac:dyDescent="0.25">
      <c r="A177" t="s">
        <v>70</v>
      </c>
      <c r="B177" t="s">
        <v>71</v>
      </c>
      <c r="C177" t="s">
        <v>115</v>
      </c>
      <c r="D177" t="s">
        <v>116</v>
      </c>
      <c r="E177" t="s">
        <v>55</v>
      </c>
      <c r="F177">
        <v>54.953761180000001</v>
      </c>
      <c r="G177">
        <v>55.893296280000001</v>
      </c>
      <c r="H177">
        <v>58.585921380000002</v>
      </c>
      <c r="I177">
        <v>51.688306679999997</v>
      </c>
      <c r="J177">
        <v>54.449585970000001</v>
      </c>
      <c r="K177">
        <v>53.826783910000003</v>
      </c>
      <c r="L177">
        <v>55.784882840000002</v>
      </c>
      <c r="M177">
        <v>53.571137159999999</v>
      </c>
      <c r="N177">
        <v>55.91436641</v>
      </c>
      <c r="O177">
        <v>52.357210729999998</v>
      </c>
      <c r="P177">
        <v>63.283986859999999</v>
      </c>
      <c r="Q177">
        <v>64.167901630000003</v>
      </c>
    </row>
    <row r="178" spans="1:17" x14ac:dyDescent="0.25">
      <c r="A178" t="s">
        <v>72</v>
      </c>
      <c r="B178" t="s">
        <v>73</v>
      </c>
      <c r="C178" t="s">
        <v>115</v>
      </c>
      <c r="D178" t="s">
        <v>116</v>
      </c>
      <c r="E178" t="s">
        <v>55</v>
      </c>
      <c r="F178">
        <v>85.945847000000001</v>
      </c>
      <c r="G178">
        <v>87.040299329999996</v>
      </c>
      <c r="H178">
        <v>87.241530560000001</v>
      </c>
      <c r="I178">
        <v>85.032678390000001</v>
      </c>
      <c r="J178">
        <v>84.781470330000005</v>
      </c>
      <c r="K178">
        <v>86.895282850000001</v>
      </c>
      <c r="L178">
        <v>89.235365520000002</v>
      </c>
      <c r="M178">
        <v>90.169179999999997</v>
      </c>
      <c r="N178">
        <v>86.277614880000002</v>
      </c>
      <c r="O178">
        <v>84.073508050000001</v>
      </c>
      <c r="P178">
        <v>87.526304179999997</v>
      </c>
      <c r="Q178">
        <v>88.110536740000001</v>
      </c>
    </row>
    <row r="179" spans="1:17" x14ac:dyDescent="0.25">
      <c r="A179" t="s">
        <v>74</v>
      </c>
      <c r="B179" t="s">
        <v>75</v>
      </c>
      <c r="C179" t="s">
        <v>115</v>
      </c>
      <c r="D179" t="s">
        <v>116</v>
      </c>
      <c r="E179" t="s">
        <v>55</v>
      </c>
      <c r="F179" t="s">
        <v>46</v>
      </c>
      <c r="G179">
        <v>61.85449363</v>
      </c>
      <c r="H179" t="s">
        <v>46</v>
      </c>
      <c r="I179">
        <v>64.715116550000005</v>
      </c>
      <c r="J179">
        <v>64.337437879999996</v>
      </c>
      <c r="K179">
        <v>63.676725329999996</v>
      </c>
      <c r="L179">
        <v>66.564257299999994</v>
      </c>
      <c r="M179">
        <v>67.086549969999993</v>
      </c>
      <c r="N179">
        <v>65.280769449999994</v>
      </c>
      <c r="O179">
        <v>67.281529719999995</v>
      </c>
      <c r="P179">
        <v>65.306631580000001</v>
      </c>
      <c r="Q179">
        <v>65.595443840000002</v>
      </c>
    </row>
    <row r="180" spans="1:17" x14ac:dyDescent="0.25">
      <c r="A180" t="s">
        <v>76</v>
      </c>
      <c r="B180" t="s">
        <v>77</v>
      </c>
      <c r="C180" t="s">
        <v>115</v>
      </c>
      <c r="D180" t="s">
        <v>116</v>
      </c>
      <c r="E180" t="s">
        <v>55</v>
      </c>
      <c r="F180" t="s">
        <v>46</v>
      </c>
      <c r="G180" t="s">
        <v>46</v>
      </c>
      <c r="H180">
        <v>145.70975240000001</v>
      </c>
      <c r="I180" t="s">
        <v>46</v>
      </c>
      <c r="J180">
        <v>138.0613492</v>
      </c>
      <c r="K180" t="s">
        <v>46</v>
      </c>
      <c r="L180">
        <v>127.678697</v>
      </c>
      <c r="M180" t="s">
        <v>46</v>
      </c>
      <c r="N180">
        <v>119.0543134</v>
      </c>
      <c r="O180" t="s">
        <v>46</v>
      </c>
      <c r="P180">
        <v>112.9156717</v>
      </c>
      <c r="Q180" t="s">
        <v>46</v>
      </c>
    </row>
    <row r="181" spans="1:17" x14ac:dyDescent="0.25">
      <c r="A181" t="s">
        <v>78</v>
      </c>
      <c r="B181" t="s">
        <v>79</v>
      </c>
      <c r="C181" t="s">
        <v>115</v>
      </c>
      <c r="D181" t="s">
        <v>116</v>
      </c>
      <c r="E181" t="s">
        <v>55</v>
      </c>
      <c r="F181">
        <v>64.687568909999996</v>
      </c>
      <c r="G181">
        <v>66.070931950000002</v>
      </c>
      <c r="H181">
        <v>68.438483880000007</v>
      </c>
      <c r="I181">
        <v>65.896883239999994</v>
      </c>
      <c r="J181">
        <v>65.853600560000004</v>
      </c>
      <c r="K181">
        <v>68.072446900000003</v>
      </c>
      <c r="L181">
        <v>64.513127999999995</v>
      </c>
      <c r="M181">
        <v>61.739108080000001</v>
      </c>
      <c r="N181">
        <v>63.082037700000001</v>
      </c>
      <c r="O181">
        <v>64.41004452</v>
      </c>
      <c r="P181">
        <v>67.448547660000003</v>
      </c>
      <c r="Q181">
        <v>67.148307650000007</v>
      </c>
    </row>
    <row r="182" spans="1:17" x14ac:dyDescent="0.25">
      <c r="A182" t="s">
        <v>80</v>
      </c>
      <c r="B182" t="s">
        <v>81</v>
      </c>
      <c r="C182" t="s">
        <v>115</v>
      </c>
      <c r="D182" t="s">
        <v>116</v>
      </c>
      <c r="E182" t="s">
        <v>55</v>
      </c>
      <c r="F182">
        <v>119.5440145</v>
      </c>
      <c r="G182">
        <v>117.6572728</v>
      </c>
      <c r="H182">
        <v>135.68047129999999</v>
      </c>
      <c r="I182">
        <v>120.2776147</v>
      </c>
      <c r="J182">
        <v>120.23792570000001</v>
      </c>
      <c r="K182">
        <v>119.25373879999999</v>
      </c>
      <c r="L182">
        <v>138.65377369999999</v>
      </c>
      <c r="M182">
        <v>128.22838970000001</v>
      </c>
      <c r="N182">
        <v>117.6865873</v>
      </c>
      <c r="O182">
        <v>107.428239</v>
      </c>
      <c r="P182">
        <v>122.731179</v>
      </c>
      <c r="Q182">
        <v>110.767877</v>
      </c>
    </row>
    <row r="183" spans="1:17" x14ac:dyDescent="0.25">
      <c r="A183" t="s">
        <v>82</v>
      </c>
      <c r="B183" t="s">
        <v>83</v>
      </c>
      <c r="C183" t="s">
        <v>115</v>
      </c>
      <c r="D183" t="s">
        <v>116</v>
      </c>
      <c r="E183" t="s">
        <v>55</v>
      </c>
      <c r="F183">
        <v>73.212989980000003</v>
      </c>
      <c r="G183">
        <v>76.059229130000006</v>
      </c>
      <c r="H183">
        <v>73.28372186</v>
      </c>
      <c r="I183">
        <v>70.507050950000007</v>
      </c>
      <c r="J183">
        <v>71.312695160000004</v>
      </c>
      <c r="K183">
        <v>72.618107449999997</v>
      </c>
      <c r="L183">
        <v>66.908961199999993</v>
      </c>
      <c r="M183">
        <v>65.154629499999999</v>
      </c>
      <c r="N183">
        <v>67.103405510000002</v>
      </c>
      <c r="O183">
        <v>67.337242700000004</v>
      </c>
      <c r="P183">
        <v>66.412655709999996</v>
      </c>
      <c r="Q183">
        <v>67.484813540000005</v>
      </c>
    </row>
    <row r="184" spans="1:17" x14ac:dyDescent="0.25">
      <c r="A184" t="s">
        <v>84</v>
      </c>
      <c r="B184" t="s">
        <v>85</v>
      </c>
      <c r="C184" t="s">
        <v>115</v>
      </c>
      <c r="D184" t="s">
        <v>116</v>
      </c>
      <c r="E184" t="s">
        <v>55</v>
      </c>
      <c r="F184">
        <v>72.670245410000007</v>
      </c>
      <c r="G184">
        <v>74.857296950000006</v>
      </c>
      <c r="H184">
        <v>75.788374309999995</v>
      </c>
      <c r="I184">
        <v>70.191440920000005</v>
      </c>
      <c r="J184">
        <v>72.121554110000005</v>
      </c>
      <c r="K184">
        <v>74.455045560000002</v>
      </c>
      <c r="L184">
        <v>75.797803700000003</v>
      </c>
      <c r="M184">
        <v>70.686836130000003</v>
      </c>
      <c r="N184">
        <v>69.322650089999996</v>
      </c>
      <c r="O184">
        <v>74.503863330000001</v>
      </c>
      <c r="P184">
        <v>78.176616249999995</v>
      </c>
      <c r="Q184">
        <v>72.151207760000005</v>
      </c>
    </row>
    <row r="185" spans="1:17" x14ac:dyDescent="0.25">
      <c r="A185" t="s">
        <v>86</v>
      </c>
      <c r="B185" t="s">
        <v>87</v>
      </c>
      <c r="C185" t="s">
        <v>115</v>
      </c>
      <c r="D185" t="s">
        <v>116</v>
      </c>
      <c r="E185" t="s">
        <v>55</v>
      </c>
      <c r="F185">
        <v>66.291388139999995</v>
      </c>
      <c r="G185">
        <v>67.049861309999997</v>
      </c>
      <c r="H185" t="s">
        <v>46</v>
      </c>
      <c r="I185">
        <v>65.593635919999997</v>
      </c>
      <c r="J185">
        <v>65.081894719999994</v>
      </c>
      <c r="K185">
        <v>67.274091569999996</v>
      </c>
      <c r="L185">
        <v>63.661843380000001</v>
      </c>
      <c r="M185">
        <v>62.76390086</v>
      </c>
      <c r="N185">
        <v>59.50556615</v>
      </c>
      <c r="O185">
        <v>61.918244790000003</v>
      </c>
      <c r="P185">
        <v>60.713620200000001</v>
      </c>
      <c r="Q185">
        <v>61.46552295</v>
      </c>
    </row>
    <row r="186" spans="1:17" x14ac:dyDescent="0.25">
      <c r="A186" t="s">
        <v>117</v>
      </c>
      <c r="B186" t="s">
        <v>46</v>
      </c>
      <c r="C186" t="s">
        <v>46</v>
      </c>
      <c r="D186" t="s">
        <v>46</v>
      </c>
      <c r="E186" t="s">
        <v>47</v>
      </c>
      <c r="F186" t="s">
        <v>46</v>
      </c>
      <c r="G186" t="s">
        <v>46</v>
      </c>
      <c r="H186" t="s">
        <v>46</v>
      </c>
      <c r="I186" t="s">
        <v>46</v>
      </c>
      <c r="J186" t="s">
        <v>46</v>
      </c>
      <c r="K186" t="s">
        <v>46</v>
      </c>
      <c r="L186" t="s">
        <v>46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02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29" width="9.140625" bestFit="1" customWidth="1"/>
  </cols>
  <sheetData>
    <row r="1" spans="1:2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ReferenceData!$C$393</f>
        <v>2020 Q1</v>
      </c>
      <c r="G2" s="1" t="str">
        <f>ReferenceData!$D$393</f>
        <v>2019 Q4</v>
      </c>
      <c r="H2" s="1" t="str">
        <f>ReferenceData!$E$393</f>
        <v>2019 Q3</v>
      </c>
      <c r="I2" s="1" t="str">
        <f>ReferenceData!$F$393</f>
        <v>2019 Q2</v>
      </c>
      <c r="J2" s="1" t="str">
        <f>ReferenceData!$G$393</f>
        <v>2019 Q1</v>
      </c>
      <c r="K2" s="1" t="str">
        <f>ReferenceData!$H$393</f>
        <v>2018 Q4</v>
      </c>
      <c r="L2" s="1" t="str">
        <f>ReferenceData!$I$393</f>
        <v>2018 Q3</v>
      </c>
      <c r="M2" s="1" t="str">
        <f>ReferenceData!$J$393</f>
        <v>2018 Q2</v>
      </c>
      <c r="N2" s="1" t="str">
        <f>ReferenceData!$K$393</f>
        <v>2018 Q1</v>
      </c>
      <c r="O2" s="1" t="str">
        <f>ReferenceData!$L$393</f>
        <v>2017 Q4</v>
      </c>
      <c r="P2" s="1" t="str">
        <f>ReferenceData!$M$393</f>
        <v>2017 Q3</v>
      </c>
      <c r="Q2" s="1" t="str">
        <f>ReferenceData!$N$393</f>
        <v>2017 Q2</v>
      </c>
      <c r="R2" t="str">
        <f>$C$393</f>
        <v>2020 Q1</v>
      </c>
      <c r="S2" t="str">
        <f>$D$393</f>
        <v>2019 Q4</v>
      </c>
      <c r="T2" t="str">
        <f>$E$393</f>
        <v>2019 Q3</v>
      </c>
      <c r="U2" t="str">
        <f>$F$393</f>
        <v>2019 Q2</v>
      </c>
      <c r="V2" t="str">
        <f>$G$393</f>
        <v>2019 Q1</v>
      </c>
      <c r="W2" t="str">
        <f>$H$393</f>
        <v>2018 Q4</v>
      </c>
      <c r="X2" t="str">
        <f>$I$393</f>
        <v>2018 Q3</v>
      </c>
      <c r="Y2" t="str">
        <f>$J$393</f>
        <v>2018 Q2</v>
      </c>
      <c r="Z2" t="str">
        <f>$K$393</f>
        <v>2018 Q1</v>
      </c>
      <c r="AA2" t="str">
        <f>$L$393</f>
        <v>2017 Q4</v>
      </c>
      <c r="AB2" t="str">
        <f>$M$393</f>
        <v>2017 Q3</v>
      </c>
      <c r="AC2" t="str">
        <f>$N$393</f>
        <v>2017 Q2</v>
      </c>
    </row>
    <row r="3" spans="1:29" x14ac:dyDescent="0.25">
      <c r="A3" t="str">
        <f>"Liquidity &amp; Coverage:"</f>
        <v>Liquidity &amp; Coverage:</v>
      </c>
      <c r="B3" t="str">
        <f>""</f>
        <v/>
      </c>
      <c r="E3" t="str">
        <f>"Heading"</f>
        <v>Heading</v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  <c r="Z3" t="str">
        <f>""</f>
        <v/>
      </c>
      <c r="AA3" t="str">
        <f>""</f>
        <v/>
      </c>
      <c r="AB3" t="str">
        <f>""</f>
        <v/>
      </c>
      <c r="AC3" t="str">
        <f>""</f>
        <v/>
      </c>
    </row>
    <row r="4" spans="1:29" x14ac:dyDescent="0.25">
      <c r="A4" t="str">
        <f>"Cash Ratio"</f>
        <v>Cash Ratio</v>
      </c>
      <c r="B4" t="str">
        <f>"BRITBPOV Index"</f>
        <v>BRITBPOV Index</v>
      </c>
      <c r="E4" t="str">
        <f>"Average"</f>
        <v>Average</v>
      </c>
      <c r="F4">
        <f ca="1">IF(ISERROR(IF(AVERAGE($F$5:$F$21) = 0, "", AVERAGE($F$5:$F$21))), "", (IF(AVERAGE($F$5:$F$21) = 0, "", AVERAGE($F$5:$F$21))))</f>
        <v>0.82311241053333317</v>
      </c>
      <c r="G4">
        <f ca="1">IF(ISERROR(IF(AVERAGE($G$5:$G$21) = 0, "", AVERAGE($G$5:$G$21))), "", (IF(AVERAGE($G$5:$G$21) = 0, "", AVERAGE($G$5:$G$21))))</f>
        <v>0.77763008968750003</v>
      </c>
      <c r="H4">
        <f ca="1">IF(ISERROR(IF(AVERAGE($H$5:$H$21) = 0, "", AVERAGE($H$5:$H$21))), "", (IF(AVERAGE($H$5:$H$21) = 0, "", AVERAGE($H$5:$H$21))))</f>
        <v>0.80879871079999999</v>
      </c>
      <c r="I4">
        <f ca="1">IF(ISERROR(IF(AVERAGE($I$5:$I$21) = 0, "", AVERAGE($I$5:$I$21))), "", (IF(AVERAGE($I$5:$I$21) = 0, "", AVERAGE($I$5:$I$21))))</f>
        <v>0.89471657780000002</v>
      </c>
      <c r="J4">
        <f ca="1">IF(ISERROR(IF(AVERAGE($J$5:$J$21) = 0, "", AVERAGE($J$5:$J$21))), "", (IF(AVERAGE($J$5:$J$21) = 0, "", AVERAGE($J$5:$J$21))))</f>
        <v>0.91400741353333326</v>
      </c>
      <c r="K4">
        <f ca="1">IF(ISERROR(IF(AVERAGE($K$5:$K$21) = 0, "", AVERAGE($K$5:$K$21))), "", (IF(AVERAGE($K$5:$K$21) = 0, "", AVERAGE($K$5:$K$21))))</f>
        <v>0.95415577320000011</v>
      </c>
      <c r="L4">
        <f ca="1">IF(ISERROR(IF(AVERAGE($L$5:$L$21) = 0, "", AVERAGE($L$5:$L$21))), "", (IF(AVERAGE($L$5:$L$21) = 0, "", AVERAGE($L$5:$L$21))))</f>
        <v>0.93438412553333328</v>
      </c>
      <c r="M4">
        <f ca="1">IF(ISERROR(IF(AVERAGE($M$5:$M$21) = 0, "", AVERAGE($M$5:$M$21))), "", (IF(AVERAGE($M$5:$M$21) = 0, "", AVERAGE($M$5:$M$21))))</f>
        <v>0.97479307920000002</v>
      </c>
      <c r="N4">
        <f ca="1">IF(ISERROR(IF(AVERAGE($N$5:$N$21) = 0, "", AVERAGE($N$5:$N$21))), "", (IF(AVERAGE($N$5:$N$21) = 0, "", AVERAGE($N$5:$N$21))))</f>
        <v>0.98298611026666671</v>
      </c>
      <c r="O4">
        <f ca="1">IF(ISERROR(IF(AVERAGE($O$5:$O$21) = 0, "", AVERAGE($O$5:$O$21))), "", (IF(AVERAGE($O$5:$O$21) = 0, "", AVERAGE($O$5:$O$21))))</f>
        <v>1.0047671467999999</v>
      </c>
      <c r="P4">
        <f ca="1">IF(ISERROR(IF(AVERAGE($P$5:$P$21) = 0, "", AVERAGE($P$5:$P$21))), "", (IF(AVERAGE($P$5:$P$21) = 0, "", AVERAGE($P$5:$P$21))))</f>
        <v>1.0590876486666665</v>
      </c>
      <c r="Q4">
        <f ca="1">IF(ISERROR(IF(AVERAGE($Q$5:$Q$21) = 0, "", AVERAGE($Q$5:$Q$21))), "", (IF(AVERAGE($Q$5:$Q$21) = 0, "", AVERAGE($Q$5:$Q$21))))</f>
        <v>1.0537361824000002</v>
      </c>
      <c r="R4">
        <f>0.823112411</f>
        <v>0.82311241099999999</v>
      </c>
      <c r="S4">
        <f>0.77763009</f>
        <v>0.77763009000000005</v>
      </c>
      <c r="T4">
        <f>0.808798711</f>
        <v>0.808798711</v>
      </c>
      <c r="U4">
        <f>0.894716578</f>
        <v>0.89471657800000004</v>
      </c>
      <c r="V4">
        <f>0.914007414</f>
        <v>0.91400741399999996</v>
      </c>
      <c r="W4">
        <f>0.954155773</f>
        <v>0.95415577299999998</v>
      </c>
      <c r="X4">
        <f>0.934384125</f>
        <v>0.93438412500000001</v>
      </c>
      <c r="Y4">
        <f>0.974793079</f>
        <v>0.97479307900000001</v>
      </c>
      <c r="Z4">
        <f>0.98298611</f>
        <v>0.98298611000000002</v>
      </c>
      <c r="AA4">
        <f>1.004767147</f>
        <v>1.0047671469999999</v>
      </c>
      <c r="AB4">
        <f>1.059087649</f>
        <v>1.0590876490000001</v>
      </c>
      <c r="AC4">
        <f>1.053736182</f>
        <v>1.053736182</v>
      </c>
    </row>
    <row r="5" spans="1:29" x14ac:dyDescent="0.25">
      <c r="A5" t="str">
        <f>"    Accenture PLC"</f>
        <v xml:space="preserve">    Accenture PLC</v>
      </c>
      <c r="B5" t="str">
        <f>"ACN US Equity"</f>
        <v>ACN US Equity</v>
      </c>
      <c r="C5" t="str">
        <f t="shared" ref="C5:C21" si="0">"RR256"</f>
        <v>RR256</v>
      </c>
      <c r="D5" t="str">
        <f t="shared" ref="D5:D21" si="1">"CASH_RATIO"</f>
        <v>CASH_RATIO</v>
      </c>
      <c r="E5" t="str">
        <f t="shared" ref="E5:E21" si="2">"Dynamic"</f>
        <v>Dynamic</v>
      </c>
      <c r="F5">
        <f ca="1">IF(AND(ISNUMBER($F$204),$B$202=1),$F$204,HLOOKUP(INDIRECT(ADDRESS(2,COLUMN())),OFFSET($R$2,0,0,ROW()-1,12),ROW()-1,FALSE))</f>
        <v>0.48669760699999998</v>
      </c>
      <c r="G5">
        <f ca="1">IF(AND(ISNUMBER($G$204),$B$202=1),$G$204,HLOOKUP(INDIRECT(ADDRESS(2,COLUMN())),OFFSET($R$2,0,0,ROW()-1,12),ROW()-1,FALSE))</f>
        <v>0.51912029599999998</v>
      </c>
      <c r="H5">
        <f ca="1">IF(AND(ISNUMBER($H$204),$B$202=1),$H$204,HLOOKUP(INDIRECT(ADDRESS(2,COLUMN())),OFFSET($R$2,0,0,ROW()-1,12),ROW()-1,FALSE))</f>
        <v>0.55416955599999995</v>
      </c>
      <c r="I5">
        <f ca="1">IF(AND(ISNUMBER($I$204),$B$202=1),$I$204,HLOOKUP(INDIRECT(ADDRESS(2,COLUMN())),OFFSET($R$2,0,0,ROW()-1,12),ROW()-1,FALSE))</f>
        <v>0.45228410499999999</v>
      </c>
      <c r="J5">
        <f ca="1">IF(AND(ISNUMBER($J$204),$B$202=1),$J$204,HLOOKUP(INDIRECT(ADDRESS(2,COLUMN())),OFFSET($R$2,0,0,ROW()-1,12),ROW()-1,FALSE))</f>
        <v>0.437222681</v>
      </c>
      <c r="K5">
        <f ca="1">IF(AND(ISNUMBER($K$204),$B$202=1),$K$204,HLOOKUP(INDIRECT(ADDRESS(2,COLUMN())),OFFSET($R$2,0,0,ROW()-1,12),ROW()-1,FALSE))</f>
        <v>0.42912364800000002</v>
      </c>
      <c r="L5">
        <f ca="1">IF(AND(ISNUMBER($L$204),$B$202=1),$L$204,HLOOKUP(INDIRECT(ADDRESS(2,COLUMN())),OFFSET($R$2,0,0,ROW()-1,12),ROW()-1,FALSE))</f>
        <v>0.498884577</v>
      </c>
      <c r="M5">
        <f ca="1">IF(AND(ISNUMBER($M$204),$B$202=1),$M$204,HLOOKUP(INDIRECT(ADDRESS(2,COLUMN())),OFFSET($R$2,0,0,ROW()-1,12),ROW()-1,FALSE))</f>
        <v>0.41158386899999999</v>
      </c>
      <c r="N5">
        <f ca="1">IF(AND(ISNUMBER($N$204),$B$202=1),$N$204,HLOOKUP(INDIRECT(ADDRESS(2,COLUMN())),OFFSET($R$2,0,0,ROW()-1,12),ROW()-1,FALSE))</f>
        <v>0.384130103</v>
      </c>
      <c r="O5">
        <f ca="1">IF(AND(ISNUMBER($O$204),$B$202=1),$O$204,HLOOKUP(INDIRECT(ADDRESS(2,COLUMN())),OFFSET($R$2,0,0,ROW()-1,12),ROW()-1,FALSE))</f>
        <v>0.37335326899999999</v>
      </c>
      <c r="P5">
        <f ca="1">IF(AND(ISNUMBER($P$204),$B$202=1),$P$204,HLOOKUP(INDIRECT(ADDRESS(2,COLUMN())),OFFSET($R$2,0,0,ROW()-1,12),ROW()-1,FALSE))</f>
        <v>0.42037395300000002</v>
      </c>
      <c r="Q5">
        <f ca="1">IF(AND(ISNUMBER($Q$204),$B$202=1),$Q$204,HLOOKUP(INDIRECT(ADDRESS(2,COLUMN())),OFFSET($R$2,0,0,ROW()-1,12),ROW()-1,FALSE))</f>
        <v>0.36975385999999999</v>
      </c>
      <c r="R5">
        <f>0.486697607</f>
        <v>0.48669760699999998</v>
      </c>
      <c r="S5">
        <f>0.519120296</f>
        <v>0.51912029599999998</v>
      </c>
      <c r="T5">
        <f>0.554169556</f>
        <v>0.55416955599999995</v>
      </c>
      <c r="U5">
        <f>0.452284105</f>
        <v>0.45228410499999999</v>
      </c>
      <c r="V5">
        <f>0.437222681</f>
        <v>0.437222681</v>
      </c>
      <c r="W5">
        <f>0.429123648</f>
        <v>0.42912364800000002</v>
      </c>
      <c r="X5">
        <f>0.498884577</f>
        <v>0.498884577</v>
      </c>
      <c r="Y5">
        <f>0.411583869</f>
        <v>0.41158386899999999</v>
      </c>
      <c r="Z5">
        <f>0.384130103</f>
        <v>0.384130103</v>
      </c>
      <c r="AA5">
        <f>0.373353269</f>
        <v>0.37335326899999999</v>
      </c>
      <c r="AB5">
        <f>0.420373953</f>
        <v>0.42037395300000002</v>
      </c>
      <c r="AC5">
        <f>0.36975386</f>
        <v>0.36975385999999999</v>
      </c>
    </row>
    <row r="6" spans="1:29" x14ac:dyDescent="0.25">
      <c r="A6" t="str">
        <f>"    Amdocs Ltd"</f>
        <v xml:space="preserve">    Amdocs Ltd</v>
      </c>
      <c r="B6" t="str">
        <f>"DOX US Equity"</f>
        <v>DOX US Equity</v>
      </c>
      <c r="C6" t="str">
        <f t="shared" si="0"/>
        <v>RR256</v>
      </c>
      <c r="D6" t="str">
        <f t="shared" si="1"/>
        <v>CASH_RATIO</v>
      </c>
      <c r="E6" t="str">
        <f t="shared" si="2"/>
        <v>Dynamic</v>
      </c>
      <c r="F6">
        <f ca="1">IF(AND(ISNUMBER($F$205),$B$202=1),$F$205,HLOOKUP(INDIRECT(ADDRESS(2,COLUMN())),OFFSET($R$2,0,0,ROW()-1,12),ROW()-1,FALSE))</f>
        <v>0.48672798499999997</v>
      </c>
      <c r="G6">
        <f ca="1">IF(AND(ISNUMBER($G$205),$B$202=1),$G$205,HLOOKUP(INDIRECT(ADDRESS(2,COLUMN())),OFFSET($R$2,0,0,ROW()-1,12),ROW()-1,FALSE))</f>
        <v>0.38303536700000002</v>
      </c>
      <c r="H6">
        <f ca="1">IF(AND(ISNUMBER($H$205),$B$202=1),$H$205,HLOOKUP(INDIRECT(ADDRESS(2,COLUMN())),OFFSET($R$2,0,0,ROW()-1,12),ROW()-1,FALSE))</f>
        <v>0.39044646599999999</v>
      </c>
      <c r="I6">
        <f ca="1">IF(AND(ISNUMBER($I$205),$B$202=1),$I$205,HLOOKUP(INDIRECT(ADDRESS(2,COLUMN())),OFFSET($R$2,0,0,ROW()-1,12),ROW()-1,FALSE))</f>
        <v>0.38689447799999999</v>
      </c>
      <c r="J6">
        <f ca="1">IF(AND(ISNUMBER($J$205),$B$202=1),$J$205,HLOOKUP(INDIRECT(ADDRESS(2,COLUMN())),OFFSET($R$2,0,0,ROW()-1,12),ROW()-1,FALSE))</f>
        <v>0.37053522500000002</v>
      </c>
      <c r="K6">
        <f ca="1">IF(AND(ISNUMBER($K$205),$B$202=1),$K$205,HLOOKUP(INDIRECT(ADDRESS(2,COLUMN())),OFFSET($R$2,0,0,ROW()-1,12),ROW()-1,FALSE))</f>
        <v>0.36009349200000002</v>
      </c>
      <c r="L6">
        <f ca="1">IF(AND(ISNUMBER($L$205),$B$202=1),$L$205,HLOOKUP(INDIRECT(ADDRESS(2,COLUMN())),OFFSET($R$2,0,0,ROW()-1,12),ROW()-1,FALSE))</f>
        <v>0.40095230999999998</v>
      </c>
      <c r="M6">
        <f ca="1">IF(AND(ISNUMBER($M$205),$B$202=1),$M$205,HLOOKUP(INDIRECT(ADDRESS(2,COLUMN())),OFFSET($R$2,0,0,ROW()-1,12),ROW()-1,FALSE))</f>
        <v>0.42543167500000001</v>
      </c>
      <c r="N6">
        <f ca="1">IF(AND(ISNUMBER($N$205),$B$202=1),$N$205,HLOOKUP(INDIRECT(ADDRESS(2,COLUMN())),OFFSET($R$2,0,0,ROW()-1,12),ROW()-1,FALSE))</f>
        <v>0.47962067200000003</v>
      </c>
      <c r="O6">
        <f ca="1">IF(AND(ISNUMBER($O$205),$B$202=1),$O$205,HLOOKUP(INDIRECT(ADDRESS(2,COLUMN())),OFFSET($R$2,0,0,ROW()-1,12),ROW()-1,FALSE))</f>
        <v>0.79065332099999996</v>
      </c>
      <c r="P6">
        <f ca="1">IF(AND(ISNUMBER($P$205),$B$202=1),$P$205,HLOOKUP(INDIRECT(ADDRESS(2,COLUMN())),OFFSET($R$2,0,0,ROW()-1,12),ROW()-1,FALSE))</f>
        <v>0.83516888199999995</v>
      </c>
      <c r="Q6">
        <f ca="1">IF(AND(ISNUMBER($Q$205),$B$202=1),$Q$205,HLOOKUP(INDIRECT(ADDRESS(2,COLUMN())),OFFSET($R$2,0,0,ROW()-1,12),ROW()-1,FALSE))</f>
        <v>0.81809748599999998</v>
      </c>
      <c r="R6">
        <f>0.486727985</f>
        <v>0.48672798499999997</v>
      </c>
      <c r="S6">
        <f>0.383035367</f>
        <v>0.38303536700000002</v>
      </c>
      <c r="T6">
        <f>0.390446466</f>
        <v>0.39044646599999999</v>
      </c>
      <c r="U6">
        <f>0.386894478</f>
        <v>0.38689447799999999</v>
      </c>
      <c r="V6">
        <f>0.370535225</f>
        <v>0.37053522500000002</v>
      </c>
      <c r="W6">
        <f>0.360093492</f>
        <v>0.36009349200000002</v>
      </c>
      <c r="X6">
        <f>0.40095231</f>
        <v>0.40095230999999998</v>
      </c>
      <c r="Y6">
        <f>0.425431675</f>
        <v>0.42543167500000001</v>
      </c>
      <c r="Z6">
        <f>0.479620672</f>
        <v>0.47962067200000003</v>
      </c>
      <c r="AA6">
        <f>0.790653321</f>
        <v>0.79065332099999996</v>
      </c>
      <c r="AB6">
        <f>0.835168882</f>
        <v>0.83516888199999995</v>
      </c>
      <c r="AC6">
        <f>0.818097486</f>
        <v>0.81809748599999998</v>
      </c>
    </row>
    <row r="7" spans="1:29" x14ac:dyDescent="0.25">
      <c r="A7" t="str">
        <f>"    Atos SE"</f>
        <v xml:space="preserve">    Atos SE</v>
      </c>
      <c r="B7" t="str">
        <f>"ATO FP Equity"</f>
        <v>ATO FP Equity</v>
      </c>
      <c r="C7" t="str">
        <f t="shared" si="0"/>
        <v>RR256</v>
      </c>
      <c r="D7" t="str">
        <f t="shared" si="1"/>
        <v>CASH_RATIO</v>
      </c>
      <c r="E7" t="str">
        <f t="shared" si="2"/>
        <v>Dynamic</v>
      </c>
      <c r="F7" t="str">
        <f ca="1">IF(AND(ISNUMBER($F$206),$B$202=1),$F$206,HLOOKUP(INDIRECT(ADDRESS(2,COLUMN())),OFFSET($R$2,0,0,ROW()-1,12),ROW()-1,FALSE))</f>
        <v/>
      </c>
      <c r="G7" t="str">
        <f ca="1">IF(AND(ISNUMBER($G$206),$B$202=1),$G$206,HLOOKUP(INDIRECT(ADDRESS(2,COLUMN())),OFFSET($R$2,0,0,ROW()-1,12),ROW()-1,FALSE))</f>
        <v/>
      </c>
      <c r="H7" t="str">
        <f ca="1">IF(AND(ISNUMBER($H$206),$B$202=1),$H$206,HLOOKUP(INDIRECT(ADDRESS(2,COLUMN())),OFFSET($R$2,0,0,ROW()-1,12),ROW()-1,FALSE))</f>
        <v/>
      </c>
      <c r="I7" t="str">
        <f ca="1">IF(AND(ISNUMBER($I$206),$B$202=1),$I$206,HLOOKUP(INDIRECT(ADDRESS(2,COLUMN())),OFFSET($R$2,0,0,ROW()-1,12),ROW()-1,FALSE))</f>
        <v/>
      </c>
      <c r="J7" t="str">
        <f ca="1">IF(AND(ISNUMBER($J$206),$B$202=1),$J$206,HLOOKUP(INDIRECT(ADDRESS(2,COLUMN())),OFFSET($R$2,0,0,ROW()-1,12),ROW()-1,FALSE))</f>
        <v/>
      </c>
      <c r="K7" t="str">
        <f ca="1">IF(AND(ISNUMBER($K$206),$B$202=1),$K$206,HLOOKUP(INDIRECT(ADDRESS(2,COLUMN())),OFFSET($R$2,0,0,ROW()-1,12),ROW()-1,FALSE))</f>
        <v/>
      </c>
      <c r="L7" t="str">
        <f ca="1">IF(AND(ISNUMBER($L$206),$B$202=1),$L$206,HLOOKUP(INDIRECT(ADDRESS(2,COLUMN())),OFFSET($R$2,0,0,ROW()-1,12),ROW()-1,FALSE))</f>
        <v/>
      </c>
      <c r="M7" t="str">
        <f ca="1">IF(AND(ISNUMBER($M$206),$B$202=1),$M$206,HLOOKUP(INDIRECT(ADDRESS(2,COLUMN())),OFFSET($R$2,0,0,ROW()-1,12),ROW()-1,FALSE))</f>
        <v/>
      </c>
      <c r="N7" t="str">
        <f ca="1">IF(AND(ISNUMBER($N$206),$B$202=1),$N$206,HLOOKUP(INDIRECT(ADDRESS(2,COLUMN())),OFFSET($R$2,0,0,ROW()-1,12),ROW()-1,FALSE))</f>
        <v/>
      </c>
      <c r="O7" t="str">
        <f ca="1">IF(AND(ISNUMBER($O$206),$B$202=1),$O$206,HLOOKUP(INDIRECT(ADDRESS(2,COLUMN())),OFFSET($R$2,0,0,ROW()-1,12),ROW()-1,FALSE))</f>
        <v/>
      </c>
      <c r="P7" t="str">
        <f ca="1">IF(AND(ISNUMBER($P$206),$B$202=1),$P$206,HLOOKUP(INDIRECT(ADDRESS(2,COLUMN())),OFFSET($R$2,0,0,ROW()-1,12),ROW()-1,FALSE))</f>
        <v/>
      </c>
      <c r="Q7" t="str">
        <f ca="1">IF(AND(ISNUMBER($Q$206),$B$202=1),$Q$206,HLOOKUP(INDIRECT(ADDRESS(2,COLUMN())),OFFSET($R$2,0,0,ROW()-1,12),ROW()-1,FALSE))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  <c r="Z7" t="str">
        <f>""</f>
        <v/>
      </c>
      <c r="AA7" t="str">
        <f>""</f>
        <v/>
      </c>
      <c r="AB7" t="str">
        <f>""</f>
        <v/>
      </c>
      <c r="AC7" t="str">
        <f>""</f>
        <v/>
      </c>
    </row>
    <row r="8" spans="1:29" x14ac:dyDescent="0.25">
      <c r="A8" t="str">
        <f>"    Capgemini SE"</f>
        <v xml:space="preserve">    Capgemini SE</v>
      </c>
      <c r="B8" t="str">
        <f>"CAP FP Equity"</f>
        <v>CAP FP Equity</v>
      </c>
      <c r="C8" t="str">
        <f t="shared" si="0"/>
        <v>RR256</v>
      </c>
      <c r="D8" t="str">
        <f t="shared" si="1"/>
        <v>CASH_RATIO</v>
      </c>
      <c r="E8" t="str">
        <f t="shared" si="2"/>
        <v>Dynamic</v>
      </c>
      <c r="F8" t="str">
        <f ca="1">IF(AND(ISNUMBER($F$207),$B$202=1),$F$207,HLOOKUP(INDIRECT(ADDRESS(2,COLUMN())),OFFSET($R$2,0,0,ROW()-1,12),ROW()-1,FALSE))</f>
        <v/>
      </c>
      <c r="G8">
        <f ca="1">IF(AND(ISNUMBER($G$207),$B$202=1),$G$207,HLOOKUP(INDIRECT(ADDRESS(2,COLUMN())),OFFSET($R$2,0,0,ROW()-1,12),ROW()-1,FALSE))</f>
        <v>0.52226562499999996</v>
      </c>
      <c r="H8" t="str">
        <f ca="1">IF(AND(ISNUMBER($H$207),$B$202=1),$H$207,HLOOKUP(INDIRECT(ADDRESS(2,COLUMN())),OFFSET($R$2,0,0,ROW()-1,12),ROW()-1,FALSE))</f>
        <v/>
      </c>
      <c r="I8" t="str">
        <f ca="1">IF(AND(ISNUMBER($I$207),$B$202=1),$I$207,HLOOKUP(INDIRECT(ADDRESS(2,COLUMN())),OFFSET($R$2,0,0,ROW()-1,12),ROW()-1,FALSE))</f>
        <v/>
      </c>
      <c r="J8" t="str">
        <f ca="1">IF(AND(ISNUMBER($J$207),$B$202=1),$J$207,HLOOKUP(INDIRECT(ADDRESS(2,COLUMN())),OFFSET($R$2,0,0,ROW()-1,12),ROW()-1,FALSE))</f>
        <v/>
      </c>
      <c r="K8" t="str">
        <f ca="1">IF(AND(ISNUMBER($K$207),$B$202=1),$K$207,HLOOKUP(INDIRECT(ADDRESS(2,COLUMN())),OFFSET($R$2,0,0,ROW()-1,12),ROW()-1,FALSE))</f>
        <v/>
      </c>
      <c r="L8" t="str">
        <f ca="1">IF(AND(ISNUMBER($L$207),$B$202=1),$L$207,HLOOKUP(INDIRECT(ADDRESS(2,COLUMN())),OFFSET($R$2,0,0,ROW()-1,12),ROW()-1,FALSE))</f>
        <v/>
      </c>
      <c r="M8" t="str">
        <f ca="1">IF(AND(ISNUMBER($M$207),$B$202=1),$M$207,HLOOKUP(INDIRECT(ADDRESS(2,COLUMN())),OFFSET($R$2,0,0,ROW()-1,12),ROW()-1,FALSE))</f>
        <v/>
      </c>
      <c r="N8" t="str">
        <f ca="1">IF(AND(ISNUMBER($N$207),$B$202=1),$N$207,HLOOKUP(INDIRECT(ADDRESS(2,COLUMN())),OFFSET($R$2,0,0,ROW()-1,12),ROW()-1,FALSE))</f>
        <v/>
      </c>
      <c r="O8" t="str">
        <f ca="1">IF(AND(ISNUMBER($O$207),$B$202=1),$O$207,HLOOKUP(INDIRECT(ADDRESS(2,COLUMN())),OFFSET($R$2,0,0,ROW()-1,12),ROW()-1,FALSE))</f>
        <v/>
      </c>
      <c r="P8" t="str">
        <f ca="1">IF(AND(ISNUMBER($P$207),$B$202=1),$P$207,HLOOKUP(INDIRECT(ADDRESS(2,COLUMN())),OFFSET($R$2,0,0,ROW()-1,12),ROW()-1,FALSE))</f>
        <v/>
      </c>
      <c r="Q8" t="str">
        <f ca="1">IF(AND(ISNUMBER($Q$207),$B$202=1),$Q$207,HLOOKUP(INDIRECT(ADDRESS(2,COLUMN())),OFFSET($R$2,0,0,ROW()-1,12),ROW()-1,FALSE))</f>
        <v/>
      </c>
      <c r="R8" t="str">
        <f>""</f>
        <v/>
      </c>
      <c r="S8">
        <f>0.522265625</f>
        <v>0.52226562499999996</v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  <c r="Z8" t="str">
        <f>""</f>
        <v/>
      </c>
      <c r="AA8" t="str">
        <f>""</f>
        <v/>
      </c>
      <c r="AB8" t="str">
        <f>""</f>
        <v/>
      </c>
      <c r="AC8" t="str">
        <f>""</f>
        <v/>
      </c>
    </row>
    <row r="9" spans="1:29" x14ac:dyDescent="0.25">
      <c r="A9" t="str">
        <f>"    CGI Inc"</f>
        <v xml:space="preserve">    CGI Inc</v>
      </c>
      <c r="B9" t="str">
        <f>"GIB US Equity"</f>
        <v>GIB US Equity</v>
      </c>
      <c r="C9" t="str">
        <f t="shared" si="0"/>
        <v>RR256</v>
      </c>
      <c r="D9" t="str">
        <f t="shared" si="1"/>
        <v>CASH_RATIO</v>
      </c>
      <c r="E9" t="str">
        <f t="shared" si="2"/>
        <v>Dynamic</v>
      </c>
      <c r="F9">
        <f ca="1">IF(AND(ISNUMBER($F$208),$B$202=1),$F$208,HLOOKUP(INDIRECT(ADDRESS(2,COLUMN())),OFFSET($R$2,0,0,ROW()-1,12),ROW()-1,FALSE))</f>
        <v>8.7733261000000007E-2</v>
      </c>
      <c r="G9">
        <f ca="1">IF(AND(ISNUMBER($G$208),$B$202=1),$G$208,HLOOKUP(INDIRECT(ADDRESS(2,COLUMN())),OFFSET($R$2,0,0,ROW()-1,12),ROW()-1,FALSE))</f>
        <v>6.0729305999999997E-2</v>
      </c>
      <c r="H9">
        <f ca="1">IF(AND(ISNUMBER($H$208),$B$202=1),$H$208,HLOOKUP(INDIRECT(ADDRESS(2,COLUMN())),OFFSET($R$2,0,0,ROW()-1,12),ROW()-1,FALSE))</f>
        <v>7.4140734999999999E-2</v>
      </c>
      <c r="I9">
        <f ca="1">IF(AND(ISNUMBER($I$208),$B$202=1),$I$208,HLOOKUP(INDIRECT(ADDRESS(2,COLUMN())),OFFSET($R$2,0,0,ROW()-1,12),ROW()-1,FALSE))</f>
        <v>7.2395377999999996E-2</v>
      </c>
      <c r="J9">
        <f ca="1">IF(AND(ISNUMBER($J$208),$B$202=1),$J$208,HLOOKUP(INDIRECT(ADDRESS(2,COLUMN())),OFFSET($R$2,0,0,ROW()-1,12),ROW()-1,FALSE))</f>
        <v>0.173428676</v>
      </c>
      <c r="K9">
        <f ca="1">IF(AND(ISNUMBER($K$208),$B$202=1),$K$208,HLOOKUP(INDIRECT(ADDRESS(2,COLUMN())),OFFSET($R$2,0,0,ROW()-1,12),ROW()-1,FALSE))</f>
        <v>0.12434891100000001</v>
      </c>
      <c r="L9">
        <f ca="1">IF(AND(ISNUMBER($L$208),$B$202=1),$L$208,HLOOKUP(INDIRECT(ADDRESS(2,COLUMN())),OFFSET($R$2,0,0,ROW()-1,12),ROW()-1,FALSE))</f>
        <v>5.9009824000000002E-2</v>
      </c>
      <c r="M9">
        <f ca="1">IF(AND(ISNUMBER($M$208),$B$202=1),$M$208,HLOOKUP(INDIRECT(ADDRESS(2,COLUMN())),OFFSET($R$2,0,0,ROW()-1,12),ROW()-1,FALSE))</f>
        <v>5.2731338000000003E-2</v>
      </c>
      <c r="N9">
        <f ca="1">IF(AND(ISNUMBER($N$208),$B$202=1),$N$208,HLOOKUP(INDIRECT(ADDRESS(2,COLUMN())),OFFSET($R$2,0,0,ROW()-1,12),ROW()-1,FALSE))</f>
        <v>8.6017291999999995E-2</v>
      </c>
      <c r="O9">
        <f ca="1">IF(AND(ISNUMBER($O$208),$B$202=1),$O$208,HLOOKUP(INDIRECT(ADDRESS(2,COLUMN())),OFFSET($R$2,0,0,ROW()-1,12),ROW()-1,FALSE))</f>
        <v>7.4320510000000006E-2</v>
      </c>
      <c r="P9">
        <f ca="1">IF(AND(ISNUMBER($P$208),$B$202=1),$P$208,HLOOKUP(INDIRECT(ADDRESS(2,COLUMN())),OFFSET($R$2,0,0,ROW()-1,12),ROW()-1,FALSE))</f>
        <v>6.1398827000000003E-2</v>
      </c>
      <c r="Q9">
        <f ca="1">IF(AND(ISNUMBER($Q$208),$B$202=1),$Q$208,HLOOKUP(INDIRECT(ADDRESS(2,COLUMN())),OFFSET($R$2,0,0,ROW()-1,12),ROW()-1,FALSE))</f>
        <v>0.10768053399999999</v>
      </c>
      <c r="R9">
        <f>0.087733261</f>
        <v>8.7733261000000007E-2</v>
      </c>
      <c r="S9">
        <f>0.060729306</f>
        <v>6.0729305999999997E-2</v>
      </c>
      <c r="T9">
        <f>0.074140735</f>
        <v>7.4140734999999999E-2</v>
      </c>
      <c r="U9">
        <f>0.072395378</f>
        <v>7.2395377999999996E-2</v>
      </c>
      <c r="V9">
        <f>0.173428676</f>
        <v>0.173428676</v>
      </c>
      <c r="W9">
        <f>0.124348911</f>
        <v>0.12434891100000001</v>
      </c>
      <c r="X9">
        <f>0.059009824</f>
        <v>5.9009824000000002E-2</v>
      </c>
      <c r="Y9">
        <f>0.052731338</f>
        <v>5.2731338000000003E-2</v>
      </c>
      <c r="Z9">
        <f>0.086017292</f>
        <v>8.6017291999999995E-2</v>
      </c>
      <c r="AA9">
        <f>0.07432051</f>
        <v>7.4320510000000006E-2</v>
      </c>
      <c r="AB9">
        <f>0.061398827</f>
        <v>6.1398827000000003E-2</v>
      </c>
      <c r="AC9">
        <f>0.107680534</f>
        <v>0.10768053399999999</v>
      </c>
    </row>
    <row r="10" spans="1:29" x14ac:dyDescent="0.25">
      <c r="A10" t="str">
        <f>"    Cognizant Technology Solutions Corp"</f>
        <v xml:space="preserve">    Cognizant Technology Solutions Corp</v>
      </c>
      <c r="B10" t="str">
        <f>"CTSH US Equity"</f>
        <v>CTSH US Equity</v>
      </c>
      <c r="C10" t="str">
        <f t="shared" si="0"/>
        <v>RR256</v>
      </c>
      <c r="D10" t="str">
        <f t="shared" si="1"/>
        <v>CASH_RATIO</v>
      </c>
      <c r="E10" t="str">
        <f t="shared" si="2"/>
        <v>Dynamic</v>
      </c>
      <c r="F10">
        <f ca="1">IF(AND(ISNUMBER($F$209),$B$202=1),$F$209,HLOOKUP(INDIRECT(ADDRESS(2,COLUMN())),OFFSET($R$2,0,0,ROW()-1,12),ROW()-1,FALSE))</f>
        <v>1.490947075</v>
      </c>
      <c r="G10">
        <f ca="1">IF(AND(ISNUMBER($G$209),$B$202=1),$G$209,HLOOKUP(INDIRECT(ADDRESS(2,COLUMN())),OFFSET($R$2,0,0,ROW()-1,12),ROW()-1,FALSE))</f>
        <v>1.1478377470000001</v>
      </c>
      <c r="H10">
        <f ca="1">IF(AND(ISNUMBER($H$209),$B$202=1),$H$209,HLOOKUP(INDIRECT(ADDRESS(2,COLUMN())),OFFSET($R$2,0,0,ROW()-1,12),ROW()-1,FALSE))</f>
        <v>1.0541281259999999</v>
      </c>
      <c r="I10">
        <f ca="1">IF(AND(ISNUMBER($I$209),$B$202=1),$I$209,HLOOKUP(INDIRECT(ADDRESS(2,COLUMN())),OFFSET($R$2,0,0,ROW()-1,12),ROW()-1,FALSE))</f>
        <v>1.0633852690000001</v>
      </c>
      <c r="J10">
        <f ca="1">IF(AND(ISNUMBER($J$209),$B$202=1),$J$209,HLOOKUP(INDIRECT(ADDRESS(2,COLUMN())),OFFSET($R$2,0,0,ROW()-1,12),ROW()-1,FALSE))</f>
        <v>1.348529412</v>
      </c>
      <c r="K10">
        <f ca="1">IF(AND(ISNUMBER($K$209),$B$202=1),$K$209,HLOOKUP(INDIRECT(ADDRESS(2,COLUMN())),OFFSET($R$2,0,0,ROW()-1,12),ROW()-1,FALSE))</f>
        <v>1.6645756460000001</v>
      </c>
      <c r="L10">
        <f ca="1">IF(AND(ISNUMBER($L$209),$B$202=1),$L$209,HLOOKUP(INDIRECT(ADDRESS(2,COLUMN())),OFFSET($R$2,0,0,ROW()-1,12),ROW()-1,FALSE))</f>
        <v>1.7686594879999999</v>
      </c>
      <c r="M10">
        <f ca="1">IF(AND(ISNUMBER($M$209),$B$202=1),$M$209,HLOOKUP(INDIRECT(ADDRESS(2,COLUMN())),OFFSET($R$2,0,0,ROW()-1,12),ROW()-1,FALSE))</f>
        <v>1.674024438</v>
      </c>
      <c r="N10">
        <f ca="1">IF(AND(ISNUMBER($N$209),$B$202=1),$N$209,HLOOKUP(INDIRECT(ADDRESS(2,COLUMN())),OFFSET($R$2,0,0,ROW()-1,12),ROW()-1,FALSE))</f>
        <v>1.956257594</v>
      </c>
      <c r="O10">
        <f ca="1">IF(AND(ISNUMBER($O$209),$B$202=1),$O$209,HLOOKUP(INDIRECT(ADDRESS(2,COLUMN())),OFFSET($R$2,0,0,ROW()-1,12),ROW()-1,FALSE))</f>
        <v>1.780908771</v>
      </c>
      <c r="P10">
        <f ca="1">IF(AND(ISNUMBER($P$209),$B$202=1),$P$209,HLOOKUP(INDIRECT(ADDRESS(2,COLUMN())),OFFSET($R$2,0,0,ROW()-1,12),ROW()-1,FALSE))</f>
        <v>1.8126923079999999</v>
      </c>
      <c r="Q10">
        <f ca="1">IF(AND(ISNUMBER($Q$209),$B$202=1),$Q$209,HLOOKUP(INDIRECT(ADDRESS(2,COLUMN())),OFFSET($R$2,0,0,ROW()-1,12),ROW()-1,FALSE))</f>
        <v>1.812836439</v>
      </c>
      <c r="R10">
        <f>1.490947075</f>
        <v>1.490947075</v>
      </c>
      <c r="S10">
        <f>1.147837747</f>
        <v>1.1478377470000001</v>
      </c>
      <c r="T10">
        <f>1.054128126</f>
        <v>1.0541281259999999</v>
      </c>
      <c r="U10">
        <f>1.063385269</f>
        <v>1.0633852690000001</v>
      </c>
      <c r="V10">
        <f>1.348529412</f>
        <v>1.348529412</v>
      </c>
      <c r="W10">
        <f>1.664575646</f>
        <v>1.6645756460000001</v>
      </c>
      <c r="X10">
        <f>1.768659488</f>
        <v>1.7686594879999999</v>
      </c>
      <c r="Y10">
        <f>1.674024438</f>
        <v>1.674024438</v>
      </c>
      <c r="Z10">
        <f>1.956257594</f>
        <v>1.956257594</v>
      </c>
      <c r="AA10">
        <f>1.780908771</f>
        <v>1.780908771</v>
      </c>
      <c r="AB10">
        <f>1.812692308</f>
        <v>1.8126923079999999</v>
      </c>
      <c r="AC10">
        <f>1.812836439</f>
        <v>1.812836439</v>
      </c>
    </row>
    <row r="11" spans="1:29" x14ac:dyDescent="0.25">
      <c r="A11" t="str">
        <f>"    Conduent Inc"</f>
        <v xml:space="preserve">    Conduent Inc</v>
      </c>
      <c r="B11" t="str">
        <f>"CNDT US Equity"</f>
        <v>CNDT US Equity</v>
      </c>
      <c r="C11" t="str">
        <f t="shared" si="0"/>
        <v>RR256</v>
      </c>
      <c r="D11" t="str">
        <f t="shared" si="1"/>
        <v>CASH_RATIO</v>
      </c>
      <c r="E11" t="str">
        <f t="shared" si="2"/>
        <v>Dynamic</v>
      </c>
      <c r="F11">
        <f ca="1">IF(AND(ISNUMBER($F$210),$B$202=1),$F$210,HLOOKUP(INDIRECT(ADDRESS(2,COLUMN())),OFFSET($R$2,0,0,ROW()-1,12),ROW()-1,FALSE))</f>
        <v>0.38611925699999999</v>
      </c>
      <c r="G11">
        <f ca="1">IF(AND(ISNUMBER($G$210),$B$202=1),$G$210,HLOOKUP(INDIRECT(ADDRESS(2,COLUMN())),OFFSET($R$2,0,0,ROW()-1,12),ROW()-1,FALSE))</f>
        <v>0.42141036500000001</v>
      </c>
      <c r="H11">
        <f ca="1">IF(AND(ISNUMBER($H$210),$B$202=1),$H$210,HLOOKUP(INDIRECT(ADDRESS(2,COLUMN())),OFFSET($R$2,0,0,ROW()-1,12),ROW()-1,FALSE))</f>
        <v>0.203027605</v>
      </c>
      <c r="I11">
        <f ca="1">IF(AND(ISNUMBER($I$210),$B$202=1),$I$210,HLOOKUP(INDIRECT(ADDRESS(2,COLUMN())),OFFSET($R$2,0,0,ROW()-1,12),ROW()-1,FALSE))</f>
        <v>0.226787182</v>
      </c>
      <c r="J11">
        <f ca="1">IF(AND(ISNUMBER($J$210),$B$202=1),$J$210,HLOOKUP(INDIRECT(ADDRESS(2,COLUMN())),OFFSET($R$2,0,0,ROW()-1,12),ROW()-1,FALSE))</f>
        <v>0.36262203599999998</v>
      </c>
      <c r="K11">
        <f ca="1">IF(AND(ISNUMBER($K$210),$B$202=1),$K$210,HLOOKUP(INDIRECT(ADDRESS(2,COLUMN())),OFFSET($R$2,0,0,ROW()-1,12),ROW()-1,FALSE))</f>
        <v>0.63157894699999995</v>
      </c>
      <c r="L11">
        <f ca="1">IF(AND(ISNUMBER($L$210),$B$202=1),$L$210,HLOOKUP(INDIRECT(ADDRESS(2,COLUMN())),OFFSET($R$2,0,0,ROW()-1,12),ROW()-1,FALSE))</f>
        <v>0.46842526000000001</v>
      </c>
      <c r="M11">
        <f ca="1">IF(AND(ISNUMBER($M$210),$B$202=1),$M$210,HLOOKUP(INDIRECT(ADDRESS(2,COLUMN())),OFFSET($R$2,0,0,ROW()-1,12),ROW()-1,FALSE))</f>
        <v>0.75628332099999995</v>
      </c>
      <c r="N11">
        <f ca="1">IF(AND(ISNUMBER($N$210),$B$202=1),$N$210,HLOOKUP(INDIRECT(ADDRESS(2,COLUMN())),OFFSET($R$2,0,0,ROW()-1,12),ROW()-1,FALSE))</f>
        <v>0.40247452700000003</v>
      </c>
      <c r="O11">
        <f ca="1">IF(AND(ISNUMBER($O$210),$B$202=1),$O$210,HLOOKUP(INDIRECT(ADDRESS(2,COLUMN())),OFFSET($R$2,0,0,ROW()-1,12),ROW()-1,FALSE))</f>
        <v>0.48099415200000001</v>
      </c>
      <c r="P11">
        <f ca="1">IF(AND(ISNUMBER($P$210),$B$202=1),$P$210,HLOOKUP(INDIRECT(ADDRESS(2,COLUMN())),OFFSET($R$2,0,0,ROW()-1,12),ROW()-1,FALSE))</f>
        <v>0.38550247100000001</v>
      </c>
      <c r="Q11">
        <f ca="1">IF(AND(ISNUMBER($Q$210),$B$202=1),$Q$210,HLOOKUP(INDIRECT(ADDRESS(2,COLUMN())),OFFSET($R$2,0,0,ROW()-1,12),ROW()-1,FALSE))</f>
        <v>0.254950495</v>
      </c>
      <c r="R11">
        <f>0.386119257</f>
        <v>0.38611925699999999</v>
      </c>
      <c r="S11">
        <f>0.421410365</f>
        <v>0.42141036500000001</v>
      </c>
      <c r="T11">
        <f>0.203027605</f>
        <v>0.203027605</v>
      </c>
      <c r="U11">
        <f>0.226787182</f>
        <v>0.226787182</v>
      </c>
      <c r="V11">
        <f>0.362622036</f>
        <v>0.36262203599999998</v>
      </c>
      <c r="W11">
        <f>0.631578947</f>
        <v>0.63157894699999995</v>
      </c>
      <c r="X11">
        <f>0.46842526</f>
        <v>0.46842526000000001</v>
      </c>
      <c r="Y11">
        <f>0.756283321</f>
        <v>0.75628332099999995</v>
      </c>
      <c r="Z11">
        <f>0.402474527</f>
        <v>0.40247452700000003</v>
      </c>
      <c r="AA11">
        <f>0.480994152</f>
        <v>0.48099415200000001</v>
      </c>
      <c r="AB11">
        <f>0.385502471</f>
        <v>0.38550247100000001</v>
      </c>
      <c r="AC11">
        <f>0.254950495</f>
        <v>0.254950495</v>
      </c>
    </row>
    <row r="12" spans="1:29" x14ac:dyDescent="0.25">
      <c r="A12" t="str">
        <f>"    DXC Technology Co"</f>
        <v xml:space="preserve">    DXC Technology Co</v>
      </c>
      <c r="B12" t="str">
        <f>"DXC US Equity"</f>
        <v>DXC US Equity</v>
      </c>
      <c r="C12" t="str">
        <f t="shared" si="0"/>
        <v>RR256</v>
      </c>
      <c r="D12" t="str">
        <f t="shared" si="1"/>
        <v>CASH_RATIO</v>
      </c>
      <c r="E12" t="str">
        <f t="shared" si="2"/>
        <v>Dynamic</v>
      </c>
      <c r="F12">
        <f ca="1">IF(AND(ISNUMBER($F$211),$B$202=1),$F$211,HLOOKUP(INDIRECT(ADDRESS(2,COLUMN())),OFFSET($R$2,0,0,ROW()-1,12),ROW()-1,FALSE))</f>
        <v>0.46599113399999997</v>
      </c>
      <c r="G12">
        <f ca="1">IF(AND(ISNUMBER($G$211),$B$202=1),$G$211,HLOOKUP(INDIRECT(ADDRESS(2,COLUMN())),OFFSET($R$2,0,0,ROW()-1,12),ROW()-1,FALSE))</f>
        <v>0.29143898000000001</v>
      </c>
      <c r="H12">
        <f ca="1">IF(AND(ISNUMBER($H$211),$B$202=1),$H$211,HLOOKUP(INDIRECT(ADDRESS(2,COLUMN())),OFFSET($R$2,0,0,ROW()-1,12),ROW()-1,FALSE))</f>
        <v>0.32092712299999998</v>
      </c>
      <c r="I12">
        <f ca="1">IF(AND(ISNUMBER($I$211),$B$202=1),$I$211,HLOOKUP(INDIRECT(ADDRESS(2,COLUMN())),OFFSET($R$2,0,0,ROW()-1,12),ROW()-1,FALSE))</f>
        <v>0.200042836</v>
      </c>
      <c r="J12">
        <f ca="1">IF(AND(ISNUMBER($J$211),$B$202=1),$J$211,HLOOKUP(INDIRECT(ADDRESS(2,COLUMN())),OFFSET($R$2,0,0,ROW()-1,12),ROW()-1,FALSE))</f>
        <v>0.30667513000000002</v>
      </c>
      <c r="K12">
        <f ca="1">IF(AND(ISNUMBER($K$211),$B$202=1),$K$211,HLOOKUP(INDIRECT(ADDRESS(2,COLUMN())),OFFSET($R$2,0,0,ROW()-1,12),ROW()-1,FALSE))</f>
        <v>0.29042478300000002</v>
      </c>
      <c r="L12">
        <f ca="1">IF(AND(ISNUMBER($L$211),$B$202=1),$L$211,HLOOKUP(INDIRECT(ADDRESS(2,COLUMN())),OFFSET($R$2,0,0,ROW()-1,12),ROW()-1,FALSE))</f>
        <v>0.32652102399999999</v>
      </c>
      <c r="M12">
        <f ca="1">IF(AND(ISNUMBER($M$211),$B$202=1),$M$211,HLOOKUP(INDIRECT(ADDRESS(2,COLUMN())),OFFSET($R$2,0,0,ROW()-1,12),ROW()-1,FALSE))</f>
        <v>0.27689499699999998</v>
      </c>
      <c r="N12">
        <f ca="1">IF(AND(ISNUMBER($N$211),$B$202=1),$N$211,HLOOKUP(INDIRECT(ADDRESS(2,COLUMN())),OFFSET($R$2,0,0,ROW()-1,12),ROW()-1,FALSE))</f>
        <v>0.26319529000000003</v>
      </c>
      <c r="O12">
        <f ca="1">IF(AND(ISNUMBER($O$211),$B$202=1),$O$211,HLOOKUP(INDIRECT(ADDRESS(2,COLUMN())),OFFSET($R$2,0,0,ROW()-1,12),ROW()-1,FALSE))</f>
        <v>0.30358995599999999</v>
      </c>
      <c r="P12">
        <f ca="1">IF(AND(ISNUMBER($P$211),$B$202=1),$P$211,HLOOKUP(INDIRECT(ADDRESS(2,COLUMN())),OFFSET($R$2,0,0,ROW()-1,12),ROW()-1,FALSE))</f>
        <v>0.28303486300000003</v>
      </c>
      <c r="Q12">
        <f ca="1">IF(AND(ISNUMBER($Q$211),$B$202=1),$Q$211,HLOOKUP(INDIRECT(ADDRESS(2,COLUMN())),OFFSET($R$2,0,0,ROW()-1,12),ROW()-1,FALSE))</f>
        <v>0.31108639199999999</v>
      </c>
      <c r="R12">
        <f>0.465991134</f>
        <v>0.46599113399999997</v>
      </c>
      <c r="S12">
        <f>0.29143898</f>
        <v>0.29143898000000001</v>
      </c>
      <c r="T12">
        <f>0.320927123</f>
        <v>0.32092712299999998</v>
      </c>
      <c r="U12">
        <f>0.200042836</f>
        <v>0.200042836</v>
      </c>
      <c r="V12">
        <f>0.30667513</f>
        <v>0.30667513000000002</v>
      </c>
      <c r="W12">
        <f>0.290424783</f>
        <v>0.29042478300000002</v>
      </c>
      <c r="X12">
        <f>0.326521024</f>
        <v>0.32652102399999999</v>
      </c>
      <c r="Y12">
        <f>0.276894997</f>
        <v>0.27689499699999998</v>
      </c>
      <c r="Z12">
        <f>0.26319529</f>
        <v>0.26319529000000003</v>
      </c>
      <c r="AA12">
        <f>0.303589956</f>
        <v>0.30358995599999999</v>
      </c>
      <c r="AB12">
        <f>0.283034863</f>
        <v>0.28303486300000003</v>
      </c>
      <c r="AC12">
        <f>0.311086392</f>
        <v>0.31108639199999999</v>
      </c>
    </row>
    <row r="13" spans="1:29" x14ac:dyDescent="0.25">
      <c r="A13" t="str">
        <f>"    EPAM Systems Inc"</f>
        <v xml:space="preserve">    EPAM Systems Inc</v>
      </c>
      <c r="B13" t="str">
        <f>"EPAM US Equity"</f>
        <v>EPAM US Equity</v>
      </c>
      <c r="C13" t="str">
        <f t="shared" si="0"/>
        <v>RR256</v>
      </c>
      <c r="D13" t="str">
        <f t="shared" si="1"/>
        <v>CASH_RATIO</v>
      </c>
      <c r="E13" t="str">
        <f t="shared" si="2"/>
        <v>Dynamic</v>
      </c>
      <c r="F13">
        <f ca="1">IF(AND(ISNUMBER($F$212),$B$202=1),$F$212,HLOOKUP(INDIRECT(ADDRESS(2,COLUMN())),OFFSET($R$2,0,0,ROW()-1,12),ROW()-1,FALSE))</f>
        <v>2.3534641079999998</v>
      </c>
      <c r="G13">
        <f ca="1">IF(AND(ISNUMBER($G$212),$B$202=1),$G$212,HLOOKUP(INDIRECT(ADDRESS(2,COLUMN())),OFFSET($R$2,0,0,ROW()-1,12),ROW()-1,FALSE))</f>
        <v>2.4203562239999998</v>
      </c>
      <c r="H13">
        <f ca="1">IF(AND(ISNUMBER($H$212),$B$202=1),$H$212,HLOOKUP(INDIRECT(ADDRESS(2,COLUMN())),OFFSET($R$2,0,0,ROW()-1,12),ROW()-1,FALSE))</f>
        <v>2.7394002629999998</v>
      </c>
      <c r="I13">
        <f ca="1">IF(AND(ISNUMBER($I$212),$B$202=1),$I$212,HLOOKUP(INDIRECT(ADDRESS(2,COLUMN())),OFFSET($R$2,0,0,ROW()-1,12),ROW()-1,FALSE))</f>
        <v>2.8515226660000002</v>
      </c>
      <c r="J13">
        <f ca="1">IF(AND(ISNUMBER($J$212),$B$202=1),$J$212,HLOOKUP(INDIRECT(ADDRESS(2,COLUMN())),OFFSET($R$2,0,0,ROW()-1,12),ROW()-1,FALSE))</f>
        <v>2.698587233</v>
      </c>
      <c r="K13">
        <f ca="1">IF(AND(ISNUMBER($K$212),$B$202=1),$K$212,HLOOKUP(INDIRECT(ADDRESS(2,COLUMN())),OFFSET($R$2,0,0,ROW()-1,12),ROW()-1,FALSE))</f>
        <v>2.931792154</v>
      </c>
      <c r="L13">
        <f ca="1">IF(AND(ISNUMBER($L$212),$B$202=1),$L$212,HLOOKUP(INDIRECT(ADDRESS(2,COLUMN())),OFFSET($R$2,0,0,ROW()-1,12),ROW()-1,FALSE))</f>
        <v>3.1004149829999998</v>
      </c>
      <c r="M13">
        <f ca="1">IF(AND(ISNUMBER($M$212),$B$202=1),$M$212,HLOOKUP(INDIRECT(ADDRESS(2,COLUMN())),OFFSET($R$2,0,0,ROW()-1,12),ROW()-1,FALSE))</f>
        <v>3.219655919</v>
      </c>
      <c r="N13">
        <f ca="1">IF(AND(ISNUMBER($N$212),$B$202=1),$N$212,HLOOKUP(INDIRECT(ADDRESS(2,COLUMN())),OFFSET($R$2,0,0,ROW()-1,12),ROW()-1,FALSE))</f>
        <v>2.9785056810000001</v>
      </c>
      <c r="O13">
        <f ca="1">IF(AND(ISNUMBER($O$212),$B$202=1),$O$212,HLOOKUP(INDIRECT(ADDRESS(2,COLUMN())),OFFSET($R$2,0,0,ROW()-1,12),ROW()-1,FALSE))</f>
        <v>3.2192886000000001</v>
      </c>
      <c r="P13">
        <f ca="1">IF(AND(ISNUMBER($P$212),$B$202=1),$P$212,HLOOKUP(INDIRECT(ADDRESS(2,COLUMN())),OFFSET($R$2,0,0,ROW()-1,12),ROW()-1,FALSE))</f>
        <v>3.2235507980000002</v>
      </c>
      <c r="Q13">
        <f ca="1">IF(AND(ISNUMBER($Q$212),$B$202=1),$Q$212,HLOOKUP(INDIRECT(ADDRESS(2,COLUMN())),OFFSET($R$2,0,0,ROW()-1,12),ROW()-1,FALSE))</f>
        <v>3.405782522</v>
      </c>
      <c r="R13">
        <f>2.353464108</f>
        <v>2.3534641079999998</v>
      </c>
      <c r="S13">
        <f>2.420356224</f>
        <v>2.4203562239999998</v>
      </c>
      <c r="T13">
        <f>2.739400263</f>
        <v>2.7394002629999998</v>
      </c>
      <c r="U13">
        <f>2.851522666</f>
        <v>2.8515226660000002</v>
      </c>
      <c r="V13">
        <f>2.698587233</f>
        <v>2.698587233</v>
      </c>
      <c r="W13">
        <f>2.931792154</f>
        <v>2.931792154</v>
      </c>
      <c r="X13">
        <f>3.100414983</f>
        <v>3.1004149829999998</v>
      </c>
      <c r="Y13">
        <f>3.219655919</f>
        <v>3.219655919</v>
      </c>
      <c r="Z13">
        <f>2.978505681</f>
        <v>2.9785056810000001</v>
      </c>
      <c r="AA13">
        <f>3.2192886</f>
        <v>3.2192886000000001</v>
      </c>
      <c r="AB13">
        <f>3.223550798</f>
        <v>3.2235507980000002</v>
      </c>
      <c r="AC13">
        <f>3.405782522</f>
        <v>3.405782522</v>
      </c>
    </row>
    <row r="14" spans="1:29" x14ac:dyDescent="0.25">
      <c r="A14" t="str">
        <f>"    Genpact Ltd"</f>
        <v xml:space="preserve">    Genpact Ltd</v>
      </c>
      <c r="B14" t="str">
        <f>"G US Equity"</f>
        <v>G US Equity</v>
      </c>
      <c r="C14" t="str">
        <f t="shared" si="0"/>
        <v>RR256</v>
      </c>
      <c r="D14" t="str">
        <f t="shared" si="1"/>
        <v>CASH_RATIO</v>
      </c>
      <c r="E14" t="str">
        <f t="shared" si="2"/>
        <v>Dynamic</v>
      </c>
      <c r="F14">
        <f ca="1">IF(AND(ISNUMBER($F$213),$B$202=1),$F$213,HLOOKUP(INDIRECT(ADDRESS(2,COLUMN())),OFFSET($R$2,0,0,ROW()-1,12),ROW()-1,FALSE))</f>
        <v>0.425423465</v>
      </c>
      <c r="G14">
        <f ca="1">IF(AND(ISNUMBER($G$213),$B$202=1),$G$213,HLOOKUP(INDIRECT(ADDRESS(2,COLUMN())),OFFSET($R$2,0,0,ROW()-1,12),ROW()-1,FALSE))</f>
        <v>0.51317331899999996</v>
      </c>
      <c r="H14">
        <f ca="1">IF(AND(ISNUMBER($H$213),$B$202=1),$H$213,HLOOKUP(INDIRECT(ADDRESS(2,COLUMN())),OFFSET($R$2,0,0,ROW()-1,12),ROW()-1,FALSE))</f>
        <v>0.42931270100000002</v>
      </c>
      <c r="I14">
        <f ca="1">IF(AND(ISNUMBER($I$213),$B$202=1),$I$213,HLOOKUP(INDIRECT(ADDRESS(2,COLUMN())),OFFSET($R$2,0,0,ROW()-1,12),ROW()-1,FALSE))</f>
        <v>0.37684256900000002</v>
      </c>
      <c r="J14">
        <f ca="1">IF(AND(ISNUMBER($J$213),$B$202=1),$J$213,HLOOKUP(INDIRECT(ADDRESS(2,COLUMN())),OFFSET($R$2,0,0,ROW()-1,12),ROW()-1,FALSE))</f>
        <v>0.32158836699999999</v>
      </c>
      <c r="K14">
        <f ca="1">IF(AND(ISNUMBER($K$213),$B$202=1),$K$213,HLOOKUP(INDIRECT(ADDRESS(2,COLUMN())),OFFSET($R$2,0,0,ROW()-1,12),ROW()-1,FALSE))</f>
        <v>0.37733429499999999</v>
      </c>
      <c r="L14">
        <f ca="1">IF(AND(ISNUMBER($L$213),$B$202=1),$L$213,HLOOKUP(INDIRECT(ADDRESS(2,COLUMN())),OFFSET($R$2,0,0,ROW()-1,12),ROW()-1,FALSE))</f>
        <v>0.398762854</v>
      </c>
      <c r="M14">
        <f ca="1">IF(AND(ISNUMBER($M$213),$B$202=1),$M$213,HLOOKUP(INDIRECT(ADDRESS(2,COLUMN())),OFFSET($R$2,0,0,ROW()-1,12),ROW()-1,FALSE))</f>
        <v>0.41073258299999998</v>
      </c>
      <c r="N14">
        <f ca="1">IF(AND(ISNUMBER($N$213),$B$202=1),$N$213,HLOOKUP(INDIRECT(ADDRESS(2,COLUMN())),OFFSET($R$2,0,0,ROW()-1,12),ROW()-1,FALSE))</f>
        <v>0.48695003399999998</v>
      </c>
      <c r="O14">
        <f ca="1">IF(AND(ISNUMBER($O$213),$B$202=1),$O$213,HLOOKUP(INDIRECT(ADDRESS(2,COLUMN())),OFFSET($R$2,0,0,ROW()-1,12),ROW()-1,FALSE))</f>
        <v>0.60142778100000005</v>
      </c>
      <c r="P14">
        <f ca="1">IF(AND(ISNUMBER($P$213),$B$202=1),$P$213,HLOOKUP(INDIRECT(ADDRESS(2,COLUMN())),OFFSET($R$2,0,0,ROW()-1,12),ROW()-1,FALSE))</f>
        <v>0.53459684900000004</v>
      </c>
      <c r="Q14">
        <f ca="1">IF(AND(ISNUMBER($Q$213),$B$202=1),$Q$213,HLOOKUP(INDIRECT(ADDRESS(2,COLUMN())),OFFSET($R$2,0,0,ROW()-1,12),ROW()-1,FALSE))</f>
        <v>0.57571137699999997</v>
      </c>
      <c r="R14">
        <f>0.425423465</f>
        <v>0.425423465</v>
      </c>
      <c r="S14">
        <f>0.513173319</f>
        <v>0.51317331899999996</v>
      </c>
      <c r="T14">
        <f>0.429312701</f>
        <v>0.42931270100000002</v>
      </c>
      <c r="U14">
        <f>0.376842569</f>
        <v>0.37684256900000002</v>
      </c>
      <c r="V14">
        <f>0.321588367</f>
        <v>0.32158836699999999</v>
      </c>
      <c r="W14">
        <f>0.377334295</f>
        <v>0.37733429499999999</v>
      </c>
      <c r="X14">
        <f>0.398762854</f>
        <v>0.398762854</v>
      </c>
      <c r="Y14">
        <f>0.410732583</f>
        <v>0.41073258299999998</v>
      </c>
      <c r="Z14">
        <f>0.486950034</f>
        <v>0.48695003399999998</v>
      </c>
      <c r="AA14">
        <f>0.601427781</f>
        <v>0.60142778100000005</v>
      </c>
      <c r="AB14">
        <f>0.534596849</f>
        <v>0.53459684900000004</v>
      </c>
      <c r="AC14">
        <f>0.575711377</f>
        <v>0.57571137699999997</v>
      </c>
    </row>
    <row r="15" spans="1:29" x14ac:dyDescent="0.25">
      <c r="A15" t="str">
        <f>"    HCL Technologies Ltd"</f>
        <v xml:space="preserve">    HCL Technologies Ltd</v>
      </c>
      <c r="B15" t="str">
        <f>"HCLT IN Equity"</f>
        <v>HCLT IN Equity</v>
      </c>
      <c r="C15" t="str">
        <f t="shared" si="0"/>
        <v>RR256</v>
      </c>
      <c r="D15" t="str">
        <f t="shared" si="1"/>
        <v>CASH_RATIO</v>
      </c>
      <c r="E15" t="str">
        <f t="shared" si="2"/>
        <v>Dynamic</v>
      </c>
      <c r="F15">
        <f ca="1">IF(AND(ISNUMBER($F$214),$B$202=1),$F$214,HLOOKUP(INDIRECT(ADDRESS(2,COLUMN())),OFFSET($R$2,0,0,ROW()-1,12),ROW()-1,FALSE))</f>
        <v>0.64939076900000003</v>
      </c>
      <c r="G15">
        <f ca="1">IF(AND(ISNUMBER($G$214),$B$202=1),$G$214,HLOOKUP(INDIRECT(ADDRESS(2,COLUMN())),OFFSET($R$2,0,0,ROW()-1,12),ROW()-1,FALSE))</f>
        <v>0.60639878300000005</v>
      </c>
      <c r="H15">
        <f ca="1">IF(AND(ISNUMBER($H$214),$B$202=1),$H$214,HLOOKUP(INDIRECT(ADDRESS(2,COLUMN())),OFFSET($R$2,0,0,ROW()-1,12),ROW()-1,FALSE))</f>
        <v>0.38683171100000002</v>
      </c>
      <c r="I15">
        <f ca="1">IF(AND(ISNUMBER($I$214),$B$202=1),$I$214,HLOOKUP(INDIRECT(ADDRESS(2,COLUMN())),OFFSET($R$2,0,0,ROW()-1,12),ROW()-1,FALSE))</f>
        <v>1.021949405</v>
      </c>
      <c r="J15">
        <f ca="1">IF(AND(ISNUMBER($J$214),$B$202=1),$J$214,HLOOKUP(INDIRECT(ADDRESS(2,COLUMN())),OFFSET($R$2,0,0,ROW()-1,12),ROW()-1,FALSE))</f>
        <v>0.92918853700000004</v>
      </c>
      <c r="K15">
        <f ca="1">IF(AND(ISNUMBER($K$214),$B$202=1),$K$214,HLOOKUP(INDIRECT(ADDRESS(2,COLUMN())),OFFSET($R$2,0,0,ROW()-1,12),ROW()-1,FALSE))</f>
        <v>0.90467326999999997</v>
      </c>
      <c r="L15">
        <f ca="1">IF(AND(ISNUMBER($L$214),$B$202=1),$L$214,HLOOKUP(INDIRECT(ADDRESS(2,COLUMN())),OFFSET($R$2,0,0,ROW()-1,12),ROW()-1,FALSE))</f>
        <v>0.85136880199999998</v>
      </c>
      <c r="M15">
        <f ca="1">IF(AND(ISNUMBER($M$214),$B$202=1),$M$214,HLOOKUP(INDIRECT(ADDRESS(2,COLUMN())),OFFSET($R$2,0,0,ROW()-1,12),ROW()-1,FALSE))</f>
        <v>0.92070512400000004</v>
      </c>
      <c r="N15">
        <f ca="1">IF(AND(ISNUMBER($N$214),$B$202=1),$N$214,HLOOKUP(INDIRECT(ADDRESS(2,COLUMN())),OFFSET($R$2,0,0,ROW()-1,12),ROW()-1,FALSE))</f>
        <v>0.63025625799999996</v>
      </c>
      <c r="O15">
        <f ca="1">IF(AND(ISNUMBER($O$214),$B$202=1),$O$214,HLOOKUP(INDIRECT(ADDRESS(2,COLUMN())),OFFSET($R$2,0,0,ROW()-1,12),ROW()-1,FALSE))</f>
        <v>0.84818051400000005</v>
      </c>
      <c r="P15">
        <f ca="1">IF(AND(ISNUMBER($P$214),$B$202=1),$P$214,HLOOKUP(INDIRECT(ADDRESS(2,COLUMN())),OFFSET($R$2,0,0,ROW()-1,12),ROW()-1,FALSE))</f>
        <v>0.90797097000000004</v>
      </c>
      <c r="Q15">
        <f ca="1">IF(AND(ISNUMBER($Q$214),$B$202=1),$Q$214,HLOOKUP(INDIRECT(ADDRESS(2,COLUMN())),OFFSET($R$2,0,0,ROW()-1,12),ROW()-1,FALSE))</f>
        <v>1.054033574</v>
      </c>
      <c r="R15">
        <f>0.649390769</f>
        <v>0.64939076900000003</v>
      </c>
      <c r="S15">
        <f>0.606398783</f>
        <v>0.60639878300000005</v>
      </c>
      <c r="T15">
        <f>0.386831711</f>
        <v>0.38683171100000002</v>
      </c>
      <c r="U15">
        <f>1.021949405</f>
        <v>1.021949405</v>
      </c>
      <c r="V15">
        <f>0.929188537</f>
        <v>0.92918853700000004</v>
      </c>
      <c r="W15">
        <f>0.90467327</f>
        <v>0.90467326999999997</v>
      </c>
      <c r="X15">
        <f>0.851368802</f>
        <v>0.85136880199999998</v>
      </c>
      <c r="Y15">
        <f>0.920705124</f>
        <v>0.92070512400000004</v>
      </c>
      <c r="Z15">
        <f>0.630256258</f>
        <v>0.63025625799999996</v>
      </c>
      <c r="AA15">
        <f>0.848180514</f>
        <v>0.84818051400000005</v>
      </c>
      <c r="AB15">
        <f>0.90797097</f>
        <v>0.90797097000000004</v>
      </c>
      <c r="AC15">
        <f>1.054033574</f>
        <v>1.054033574</v>
      </c>
    </row>
    <row r="16" spans="1:29" x14ac:dyDescent="0.25">
      <c r="A16" t="str">
        <f>"    Indra Sistemas SA"</f>
        <v xml:space="preserve">    Indra Sistemas SA</v>
      </c>
      <c r="B16" t="str">
        <f>"IDR SM Equity"</f>
        <v>IDR SM Equity</v>
      </c>
      <c r="C16" t="str">
        <f t="shared" si="0"/>
        <v>RR256</v>
      </c>
      <c r="D16" t="str">
        <f t="shared" si="1"/>
        <v>CASH_RATIO</v>
      </c>
      <c r="E16" t="str">
        <f t="shared" si="2"/>
        <v>Dynamic</v>
      </c>
      <c r="F16">
        <f ca="1">IF(AND(ISNUMBER($F$215),$B$202=1),$F$215,HLOOKUP(INDIRECT(ADDRESS(2,COLUMN())),OFFSET($R$2,0,0,ROW()-1,12),ROW()-1,FALSE))</f>
        <v>0.44389715800000001</v>
      </c>
      <c r="G16">
        <f ca="1">IF(AND(ISNUMBER($G$215),$B$202=1),$G$215,HLOOKUP(INDIRECT(ADDRESS(2,COLUMN())),OFFSET($R$2,0,0,ROW()-1,12),ROW()-1,FALSE))</f>
        <v>0.45867266000000001</v>
      </c>
      <c r="H16">
        <f ca="1">IF(AND(ISNUMBER($H$215),$B$202=1),$H$215,HLOOKUP(INDIRECT(ADDRESS(2,COLUMN())),OFFSET($R$2,0,0,ROW()-1,12),ROW()-1,FALSE))</f>
        <v>0.435705224</v>
      </c>
      <c r="I16">
        <f ca="1">IF(AND(ISNUMBER($I$215),$B$202=1),$I$215,HLOOKUP(INDIRECT(ADDRESS(2,COLUMN())),OFFSET($R$2,0,0,ROW()-1,12),ROW()-1,FALSE))</f>
        <v>0.41989471</v>
      </c>
      <c r="J16">
        <f ca="1">IF(AND(ISNUMBER($J$215),$B$202=1),$J$215,HLOOKUP(INDIRECT(ADDRESS(2,COLUMN())),OFFSET($R$2,0,0,ROW()-1,12),ROW()-1,FALSE))</f>
        <v>0.48299671999999999</v>
      </c>
      <c r="K16">
        <f ca="1">IF(AND(ISNUMBER($K$215),$B$202=1),$K$215,HLOOKUP(INDIRECT(ADDRESS(2,COLUMN())),OFFSET($R$2,0,0,ROW()-1,12),ROW()-1,FALSE))</f>
        <v>0.50966266999999998</v>
      </c>
      <c r="L16">
        <f ca="1">IF(AND(ISNUMBER($L$215),$B$202=1),$L$215,HLOOKUP(INDIRECT(ADDRESS(2,COLUMN())),OFFSET($R$2,0,0,ROW()-1,12),ROW()-1,FALSE))</f>
        <v>0.47051078099999999</v>
      </c>
      <c r="M16">
        <f ca="1">IF(AND(ISNUMBER($M$215),$B$202=1),$M$215,HLOOKUP(INDIRECT(ADDRESS(2,COLUMN())),OFFSET($R$2,0,0,ROW()-1,12),ROW()-1,FALSE))</f>
        <v>0.49482621199999999</v>
      </c>
      <c r="N16">
        <f ca="1">IF(AND(ISNUMBER($N$215),$B$202=1),$N$215,HLOOKUP(INDIRECT(ADDRESS(2,COLUMN())),OFFSET($R$2,0,0,ROW()-1,12),ROW()-1,FALSE))</f>
        <v>0.38517761299999997</v>
      </c>
      <c r="O16">
        <f ca="1">IF(AND(ISNUMBER($O$215),$B$202=1),$O$215,HLOOKUP(INDIRECT(ADDRESS(2,COLUMN())),OFFSET($R$2,0,0,ROW()-1,12),ROW()-1,FALSE))</f>
        <v>0.35491521399999998</v>
      </c>
      <c r="P16">
        <f ca="1">IF(AND(ISNUMBER($P$215),$B$202=1),$P$215,HLOOKUP(INDIRECT(ADDRESS(2,COLUMN())),OFFSET($R$2,0,0,ROW()-1,12),ROW()-1,FALSE))</f>
        <v>0.36179737099999998</v>
      </c>
      <c r="Q16">
        <f ca="1">IF(AND(ISNUMBER($Q$215),$B$202=1),$Q$215,HLOOKUP(INDIRECT(ADDRESS(2,COLUMN())),OFFSET($R$2,0,0,ROW()-1,12),ROW()-1,FALSE))</f>
        <v>0.30481534199999999</v>
      </c>
      <c r="R16">
        <f>0.443897158</f>
        <v>0.44389715800000001</v>
      </c>
      <c r="S16">
        <f>0.45867266</f>
        <v>0.45867266000000001</v>
      </c>
      <c r="T16">
        <f>0.435705224</f>
        <v>0.435705224</v>
      </c>
      <c r="U16">
        <f>0.41989471</f>
        <v>0.41989471</v>
      </c>
      <c r="V16">
        <f>0.48299672</f>
        <v>0.48299671999999999</v>
      </c>
      <c r="W16">
        <f>0.50966267</f>
        <v>0.50966266999999998</v>
      </c>
      <c r="X16">
        <f>0.470510781</f>
        <v>0.47051078099999999</v>
      </c>
      <c r="Y16">
        <f>0.494826212</f>
        <v>0.49482621199999999</v>
      </c>
      <c r="Z16">
        <f>0.385177613</f>
        <v>0.38517761299999997</v>
      </c>
      <c r="AA16">
        <f>0.354915214</f>
        <v>0.35491521399999998</v>
      </c>
      <c r="AB16">
        <f>0.361797371</f>
        <v>0.36179737099999998</v>
      </c>
      <c r="AC16">
        <f>0.304815342</f>
        <v>0.30481534199999999</v>
      </c>
    </row>
    <row r="17" spans="1:29" x14ac:dyDescent="0.25">
      <c r="A17" t="str">
        <f>"    Infosys Ltd"</f>
        <v xml:space="preserve">    Infosys Ltd</v>
      </c>
      <c r="B17" t="str">
        <f>"INFY US Equity"</f>
        <v>INFY US Equity</v>
      </c>
      <c r="C17" t="str">
        <f t="shared" si="0"/>
        <v>RR256</v>
      </c>
      <c r="D17" t="str">
        <f t="shared" si="1"/>
        <v>CASH_RATIO</v>
      </c>
      <c r="E17" t="str">
        <f t="shared" si="2"/>
        <v>Dynamic</v>
      </c>
      <c r="F17">
        <f ca="1">IF(AND(ISNUMBER($F$216),$B$202=1),$F$216,HLOOKUP(INDIRECT(ADDRESS(2,COLUMN())),OFFSET($R$2,0,0,ROW()-1,12),ROW()-1,FALSE))</f>
        <v>1.1173762949999999</v>
      </c>
      <c r="G17">
        <f ca="1">IF(AND(ISNUMBER($G$216),$B$202=1),$G$216,HLOOKUP(INDIRECT(ADDRESS(2,COLUMN())),OFFSET($R$2,0,0,ROW()-1,12),ROW()-1,FALSE))</f>
        <v>1.018147278</v>
      </c>
      <c r="H17">
        <f ca="1">IF(AND(ISNUMBER($H$216),$B$202=1),$H$216,HLOOKUP(INDIRECT(ADDRESS(2,COLUMN())),OFFSET($R$2,0,0,ROW()-1,12),ROW()-1,FALSE))</f>
        <v>1.040601739</v>
      </c>
      <c r="I17">
        <f ca="1">IF(AND(ISNUMBER($I$216),$B$202=1),$I$216,HLOOKUP(INDIRECT(ADDRESS(2,COLUMN())),OFFSET($R$2,0,0,ROW()-1,12),ROW()-1,FALSE))</f>
        <v>0.87950950000000006</v>
      </c>
      <c r="J17">
        <f ca="1">IF(AND(ISNUMBER($J$216),$B$202=1),$J$216,HLOOKUP(INDIRECT(ADDRESS(2,COLUMN())),OFFSET($R$2,0,0,ROW()-1,12),ROW()-1,FALSE))</f>
        <v>1.4054619589999999</v>
      </c>
      <c r="K17">
        <f ca="1">IF(AND(ISNUMBER($K$216),$B$202=1),$K$216,HLOOKUP(INDIRECT(ADDRESS(2,COLUMN())),OFFSET($R$2,0,0,ROW()-1,12),ROW()-1,FALSE))</f>
        <v>1.563977374</v>
      </c>
      <c r="L17">
        <f ca="1">IF(AND(ISNUMBER($L$216),$B$202=1),$L$216,HLOOKUP(INDIRECT(ADDRESS(2,COLUMN())),OFFSET($R$2,0,0,ROW()-1,12),ROW()-1,FALSE))</f>
        <v>1.6100664769999999</v>
      </c>
      <c r="M17">
        <f ca="1">IF(AND(ISNUMBER($M$216),$B$202=1),$M$216,HLOOKUP(INDIRECT(ADDRESS(2,COLUMN())),OFFSET($R$2,0,0,ROW()-1,12),ROW()-1,FALSE))</f>
        <v>1.4141768480000001</v>
      </c>
      <c r="N17">
        <f ca="1">IF(AND(ISNUMBER($N$216),$B$202=1),$N$216,HLOOKUP(INDIRECT(ADDRESS(2,COLUMN())),OFFSET($R$2,0,0,ROW()-1,12),ROW()-1,FALSE))</f>
        <v>1.859269762</v>
      </c>
      <c r="O17">
        <f ca="1">IF(AND(ISNUMBER($O$216),$B$202=1),$O$216,HLOOKUP(INDIRECT(ADDRESS(2,COLUMN())),OFFSET($R$2,0,0,ROW()-1,12),ROW()-1,FALSE))</f>
        <v>1.642389758</v>
      </c>
      <c r="P17">
        <f ca="1">IF(AND(ISNUMBER($P$216),$B$202=1),$P$216,HLOOKUP(INDIRECT(ADDRESS(2,COLUMN())),OFFSET($R$2,0,0,ROW()-1,12),ROW()-1,FALSE))</f>
        <v>2.2463575320000002</v>
      </c>
      <c r="Q17">
        <f ca="1">IF(AND(ISNUMBER($Q$216),$B$202=1),$Q$216,HLOOKUP(INDIRECT(ADDRESS(2,COLUMN())),OFFSET($R$2,0,0,ROW()-1,12),ROW()-1,FALSE))</f>
        <v>2.0558998590000002</v>
      </c>
      <c r="R17">
        <f>1.117376295</f>
        <v>1.1173762949999999</v>
      </c>
      <c r="S17">
        <f>1.018147278</f>
        <v>1.018147278</v>
      </c>
      <c r="T17">
        <f>1.040601739</f>
        <v>1.040601739</v>
      </c>
      <c r="U17">
        <f>0.8795095</f>
        <v>0.87950950000000006</v>
      </c>
      <c r="V17">
        <f>1.405461959</f>
        <v>1.4054619589999999</v>
      </c>
      <c r="W17">
        <f>1.563977374</f>
        <v>1.563977374</v>
      </c>
      <c r="X17">
        <f>1.610066477</f>
        <v>1.6100664769999999</v>
      </c>
      <c r="Y17">
        <f>1.414176848</f>
        <v>1.4141768480000001</v>
      </c>
      <c r="Z17">
        <f>1.859269762</f>
        <v>1.859269762</v>
      </c>
      <c r="AA17">
        <f>1.642389758</f>
        <v>1.642389758</v>
      </c>
      <c r="AB17">
        <f>2.246357532</f>
        <v>2.2463575320000002</v>
      </c>
      <c r="AC17">
        <f>2.055899859</f>
        <v>2.0558998590000002</v>
      </c>
    </row>
    <row r="18" spans="1:29" x14ac:dyDescent="0.25">
      <c r="A18" t="str">
        <f>"    International Business Machines Corp"</f>
        <v xml:space="preserve">    International Business Machines Corp</v>
      </c>
      <c r="B18" t="str">
        <f>"IBM US Equity"</f>
        <v>IBM US Equity</v>
      </c>
      <c r="C18" t="str">
        <f t="shared" si="0"/>
        <v>RR256</v>
      </c>
      <c r="D18" t="str">
        <f t="shared" si="1"/>
        <v>CASH_RATIO</v>
      </c>
      <c r="E18" t="str">
        <f t="shared" si="2"/>
        <v>Dynamic</v>
      </c>
      <c r="F18">
        <f ca="1">IF(AND(ISNUMBER($F$217),$B$202=1),$F$217,HLOOKUP(INDIRECT(ADDRESS(2,COLUMN())),OFFSET($R$2,0,0,ROW()-1,12),ROW()-1,FALSE))</f>
        <v>0.29171686400000002</v>
      </c>
      <c r="G18">
        <f ca="1">IF(AND(ISNUMBER($G$217),$B$202=1),$G$217,HLOOKUP(INDIRECT(ADDRESS(2,COLUMN())),OFFSET($R$2,0,0,ROW()-1,12),ROW()-1,FALSE))</f>
        <v>0.235219225</v>
      </c>
      <c r="H18">
        <f ca="1">IF(AND(ISNUMBER($H$217),$B$202=1),$H$217,HLOOKUP(INDIRECT(ADDRESS(2,COLUMN())),OFFSET($R$2,0,0,ROW()-1,12),ROW()-1,FALSE))</f>
        <v>0.308560999</v>
      </c>
      <c r="I18">
        <f ca="1">IF(AND(ISNUMBER($I$217),$B$202=1),$I$217,HLOOKUP(INDIRECT(ADDRESS(2,COLUMN())),OFFSET($R$2,0,0,ROW()-1,12),ROW()-1,FALSE))</f>
        <v>1.0926070219999999</v>
      </c>
      <c r="J18">
        <f ca="1">IF(AND(ISNUMBER($J$217),$B$202=1),$J$217,HLOOKUP(INDIRECT(ADDRESS(2,COLUMN())),OFFSET($R$2,0,0,ROW()-1,12),ROW()-1,FALSE))</f>
        <v>0.46322451199999998</v>
      </c>
      <c r="K18">
        <f ca="1">IF(AND(ISNUMBER($K$217),$B$202=1),$K$217,HLOOKUP(INDIRECT(ADDRESS(2,COLUMN())),OFFSET($R$2,0,0,ROW()-1,12),ROW()-1,FALSE))</f>
        <v>0.31383577000000001</v>
      </c>
      <c r="L18">
        <f ca="1">IF(AND(ISNUMBER($L$217),$B$202=1),$L$217,HLOOKUP(INDIRECT(ADDRESS(2,COLUMN())),OFFSET($R$2,0,0,ROW()-1,12),ROW()-1,FALSE))</f>
        <v>0.39365053500000002</v>
      </c>
      <c r="M18">
        <f ca="1">IF(AND(ISNUMBER($M$217),$B$202=1),$M$217,HLOOKUP(INDIRECT(ADDRESS(2,COLUMN())),OFFSET($R$2,0,0,ROW()-1,12),ROW()-1,FALSE))</f>
        <v>0.330314316</v>
      </c>
      <c r="N18">
        <f ca="1">IF(AND(ISNUMBER($N$217),$B$202=1),$N$217,HLOOKUP(INDIRECT(ADDRESS(2,COLUMN())),OFFSET($R$2,0,0,ROW()-1,12),ROW()-1,FALSE))</f>
        <v>0.35938768100000001</v>
      </c>
      <c r="O18">
        <f ca="1">IF(AND(ISNUMBER($O$217),$B$202=1),$O$217,HLOOKUP(INDIRECT(ADDRESS(2,COLUMN())),OFFSET($R$2,0,0,ROW()-1,12),ROW()-1,FALSE))</f>
        <v>0.336696732</v>
      </c>
      <c r="P18">
        <f ca="1">IF(AND(ISNUMBER($P$217),$B$202=1),$P$217,HLOOKUP(INDIRECT(ADDRESS(2,COLUMN())),OFFSET($R$2,0,0,ROW()-1,12),ROW()-1,FALSE))</f>
        <v>0.36328359199999999</v>
      </c>
      <c r="Q18">
        <f ca="1">IF(AND(ISNUMBER($Q$217),$B$202=1),$Q$217,HLOOKUP(INDIRECT(ADDRESS(2,COLUMN())),OFFSET($R$2,0,0,ROW()-1,12),ROW()-1,FALSE))</f>
        <v>0.34185063700000001</v>
      </c>
      <c r="R18">
        <f>0.291716864</f>
        <v>0.29171686400000002</v>
      </c>
      <c r="S18">
        <f>0.235219225</f>
        <v>0.235219225</v>
      </c>
      <c r="T18">
        <f>0.308560999</f>
        <v>0.308560999</v>
      </c>
      <c r="U18">
        <f>1.092607022</f>
        <v>1.0926070219999999</v>
      </c>
      <c r="V18">
        <f>0.463224512</f>
        <v>0.46322451199999998</v>
      </c>
      <c r="W18">
        <f>0.31383577</f>
        <v>0.31383577000000001</v>
      </c>
      <c r="X18">
        <f>0.393650535</f>
        <v>0.39365053500000002</v>
      </c>
      <c r="Y18">
        <f>0.330314316</f>
        <v>0.330314316</v>
      </c>
      <c r="Z18">
        <f>0.359387681</f>
        <v>0.35938768100000001</v>
      </c>
      <c r="AA18">
        <f>0.336696732</f>
        <v>0.336696732</v>
      </c>
      <c r="AB18">
        <f>0.363283592</f>
        <v>0.36328359199999999</v>
      </c>
      <c r="AC18">
        <f>0.341850637</f>
        <v>0.34185063700000001</v>
      </c>
    </row>
    <row r="19" spans="1:29" x14ac:dyDescent="0.25">
      <c r="A19" t="str">
        <f>"    Tata Consultancy Services Ltd"</f>
        <v xml:space="preserve">    Tata Consultancy Services Ltd</v>
      </c>
      <c r="B19" t="str">
        <f>"TCS IN Equity"</f>
        <v>TCS IN Equity</v>
      </c>
      <c r="C19" t="str">
        <f t="shared" si="0"/>
        <v>RR256</v>
      </c>
      <c r="D19" t="str">
        <f t="shared" si="1"/>
        <v>CASH_RATIO</v>
      </c>
      <c r="E19" t="str">
        <f t="shared" si="2"/>
        <v>Dynamic</v>
      </c>
      <c r="F19">
        <f ca="1">IF(AND(ISNUMBER($F$218),$B$202=1),$F$218,HLOOKUP(INDIRECT(ADDRESS(2,COLUMN())),OFFSET($R$2,0,0,ROW()-1,12),ROW()-1,FALSE))</f>
        <v>1.3152623800000001</v>
      </c>
      <c r="G19">
        <f ca="1">IF(AND(ISNUMBER($G$218),$B$202=1),$G$218,HLOOKUP(INDIRECT(ADDRESS(2,COLUMN())),OFFSET($R$2,0,0,ROW()-1,12),ROW()-1,FALSE))</f>
        <v>1.4817131859999999</v>
      </c>
      <c r="H19">
        <f ca="1">IF(AND(ISNUMBER($H$218),$B$202=1),$H$218,HLOOKUP(INDIRECT(ADDRESS(2,COLUMN())),OFFSET($R$2,0,0,ROW()-1,12),ROW()-1,FALSE))</f>
        <v>1.9484899330000001</v>
      </c>
      <c r="I19">
        <f ca="1">IF(AND(ISNUMBER($I$218),$B$202=1),$I$218,HLOOKUP(INDIRECT(ADDRESS(2,COLUMN())),OFFSET($R$2,0,0,ROW()-1,12),ROW()-1,FALSE))</f>
        <v>1.738556735</v>
      </c>
      <c r="J19">
        <f ca="1">IF(AND(ISNUMBER($J$218),$B$202=1),$J$218,HLOOKUP(INDIRECT(ADDRESS(2,COLUMN())),OFFSET($R$2,0,0,ROW()-1,12),ROW()-1,FALSE))</f>
        <v>1.890191994</v>
      </c>
      <c r="K19">
        <f ca="1">IF(AND(ISNUMBER($K$218),$B$202=1),$K$218,HLOOKUP(INDIRECT(ADDRESS(2,COLUMN())),OFFSET($R$2,0,0,ROW()-1,12),ROW()-1,FALSE))</f>
        <v>1.7056543120000001</v>
      </c>
      <c r="L19">
        <f ca="1">IF(AND(ISNUMBER($L$218),$B$202=1),$L$218,HLOOKUP(INDIRECT(ADDRESS(2,COLUMN())),OFFSET($R$2,0,0,ROW()-1,12),ROW()-1,FALSE))</f>
        <v>1.502550228</v>
      </c>
      <c r="M19">
        <f ca="1">IF(AND(ISNUMBER($M$218),$B$202=1),$M$218,HLOOKUP(INDIRECT(ADDRESS(2,COLUMN())),OFFSET($R$2,0,0,ROW()-1,12),ROW()-1,FALSE))</f>
        <v>1.848975657</v>
      </c>
      <c r="N19">
        <f ca="1">IF(AND(ISNUMBER($N$218),$B$202=1),$N$218,HLOOKUP(INDIRECT(ADDRESS(2,COLUMN())),OFFSET($R$2,0,0,ROW()-1,12),ROW()-1,FALSE))</f>
        <v>2.3920798740000002</v>
      </c>
      <c r="O19">
        <f ca="1">IF(AND(ISNUMBER($O$218),$B$202=1),$O$218,HLOOKUP(INDIRECT(ADDRESS(2,COLUMN())),OFFSET($R$2,0,0,ROW()-1,12),ROW()-1,FALSE))</f>
        <v>2.272114314</v>
      </c>
      <c r="P19">
        <f ca="1">IF(AND(ISNUMBER($P$218),$B$202=1),$P$218,HLOOKUP(INDIRECT(ADDRESS(2,COLUMN())),OFFSET($R$2,0,0,ROW()-1,12),ROW()-1,FALSE))</f>
        <v>2.0546468170000001</v>
      </c>
      <c r="Q19">
        <f ca="1">IF(AND(ISNUMBER($Q$218),$B$202=1),$Q$218,HLOOKUP(INDIRECT(ADDRESS(2,COLUMN())),OFFSET($R$2,0,0,ROW()-1,12),ROW()-1,FALSE))</f>
        <v>2.1074473010000001</v>
      </c>
      <c r="R19">
        <f>1.31526238</f>
        <v>1.3152623800000001</v>
      </c>
      <c r="S19">
        <f>1.481713186</f>
        <v>1.4817131859999999</v>
      </c>
      <c r="T19">
        <f>1.948489933</f>
        <v>1.9484899330000001</v>
      </c>
      <c r="U19">
        <f>1.738556735</f>
        <v>1.738556735</v>
      </c>
      <c r="V19">
        <f>1.890191994</f>
        <v>1.890191994</v>
      </c>
      <c r="W19">
        <f>1.705654312</f>
        <v>1.7056543120000001</v>
      </c>
      <c r="X19">
        <f>1.502550228</f>
        <v>1.502550228</v>
      </c>
      <c r="Y19">
        <f>1.848975657</f>
        <v>1.848975657</v>
      </c>
      <c r="Z19">
        <f>2.392079874</f>
        <v>2.3920798740000002</v>
      </c>
      <c r="AA19">
        <f>2.272114314</f>
        <v>2.272114314</v>
      </c>
      <c r="AB19">
        <f>2.054646817</f>
        <v>2.0546468170000001</v>
      </c>
      <c r="AC19">
        <f>2.107447301</f>
        <v>2.1074473010000001</v>
      </c>
    </row>
    <row r="20" spans="1:29" x14ac:dyDescent="0.25">
      <c r="A20" t="str">
        <f>"    Tech Mahindra Ltd"</f>
        <v xml:space="preserve">    Tech Mahindra Ltd</v>
      </c>
      <c r="B20" t="str">
        <f>"TECHM IN Equity"</f>
        <v>TECHM IN Equity</v>
      </c>
      <c r="C20" t="str">
        <f t="shared" si="0"/>
        <v>RR256</v>
      </c>
      <c r="D20" t="str">
        <f t="shared" si="1"/>
        <v>CASH_RATIO</v>
      </c>
      <c r="E20" t="str">
        <f t="shared" si="2"/>
        <v>Dynamic</v>
      </c>
      <c r="F20">
        <f ca="1">IF(AND(ISNUMBER($F$219),$B$202=1),$F$219,HLOOKUP(INDIRECT(ADDRESS(2,COLUMN())),OFFSET($R$2,0,0,ROW()-1,12),ROW()-1,FALSE))</f>
        <v>0.80183155100000003</v>
      </c>
      <c r="G20">
        <f ca="1">IF(AND(ISNUMBER($G$219),$B$202=1),$G$219,HLOOKUP(INDIRECT(ADDRESS(2,COLUMN())),OFFSET($R$2,0,0,ROW()-1,12),ROW()-1,FALSE))</f>
        <v>0.73689187499999997</v>
      </c>
      <c r="H20">
        <f ca="1">IF(AND(ISNUMBER($H$219),$B$202=1),$H$219,HLOOKUP(INDIRECT(ADDRESS(2,COLUMN())),OFFSET($R$2,0,0,ROW()-1,12),ROW()-1,FALSE))</f>
        <v>0.71064744700000004</v>
      </c>
      <c r="I20">
        <f ca="1">IF(AND(ISNUMBER($I$219),$B$202=1),$I$219,HLOOKUP(INDIRECT(ADDRESS(2,COLUMN())),OFFSET($R$2,0,0,ROW()-1,12),ROW()-1,FALSE))</f>
        <v>0.75725462700000001</v>
      </c>
      <c r="J20">
        <f ca="1">IF(AND(ISNUMBER($J$219),$B$202=1),$J$219,HLOOKUP(INDIRECT(ADDRESS(2,COLUMN())),OFFSET($R$2,0,0,ROW()-1,12),ROW()-1,FALSE))</f>
        <v>0.75057950500000004</v>
      </c>
      <c r="K20">
        <f ca="1">IF(AND(ISNUMBER($K$219),$B$202=1),$K$219,HLOOKUP(INDIRECT(ADDRESS(2,COLUMN())),OFFSET($R$2,0,0,ROW()-1,12),ROW()-1,FALSE))</f>
        <v>0.66760319199999996</v>
      </c>
      <c r="L20">
        <f ca="1">IF(AND(ISNUMBER($L$219),$B$202=1),$L$219,HLOOKUP(INDIRECT(ADDRESS(2,COLUMN())),OFFSET($R$2,0,0,ROW()-1,12),ROW()-1,FALSE))</f>
        <v>0.59780237999999997</v>
      </c>
      <c r="M20">
        <f ca="1">IF(AND(ISNUMBER($M$219),$B$202=1),$M$219,HLOOKUP(INDIRECT(ADDRESS(2,COLUMN())),OFFSET($R$2,0,0,ROW()-1,12),ROW()-1,FALSE))</f>
        <v>0.76990267300000004</v>
      </c>
      <c r="N20">
        <f ca="1">IF(AND(ISNUMBER($N$219),$B$202=1),$N$219,HLOOKUP(INDIRECT(ADDRESS(2,COLUMN())),OFFSET($R$2,0,0,ROW()-1,12),ROW()-1,FALSE))</f>
        <v>0.70437625000000004</v>
      </c>
      <c r="O20">
        <f ca="1">IF(AND(ISNUMBER($O$219),$B$202=1),$O$219,HLOOKUP(INDIRECT(ADDRESS(2,COLUMN())),OFFSET($R$2,0,0,ROW()-1,12),ROW()-1,FALSE))</f>
        <v>0.68364427000000005</v>
      </c>
      <c r="P20">
        <f ca="1">IF(AND(ISNUMBER($P$219),$B$202=1),$P$219,HLOOKUP(INDIRECT(ADDRESS(2,COLUMN())),OFFSET($R$2,0,0,ROW()-1,12),ROW()-1,FALSE))</f>
        <v>0.69853900999999996</v>
      </c>
      <c r="Q20">
        <f ca="1">IF(AND(ISNUMBER($Q$219),$B$202=1),$Q$219,HLOOKUP(INDIRECT(ADDRESS(2,COLUMN())),OFFSET($R$2,0,0,ROW()-1,12),ROW()-1,FALSE))</f>
        <v>0.69855792699999997</v>
      </c>
      <c r="R20">
        <f>0.801831551</f>
        <v>0.80183155100000003</v>
      </c>
      <c r="S20">
        <f>0.736891875</f>
        <v>0.73689187499999997</v>
      </c>
      <c r="T20">
        <f>0.710647447</f>
        <v>0.71064744700000004</v>
      </c>
      <c r="U20">
        <f>0.757254627</f>
        <v>0.75725462700000001</v>
      </c>
      <c r="V20">
        <f>0.750579505</f>
        <v>0.75057950500000004</v>
      </c>
      <c r="W20">
        <f>0.667603192</f>
        <v>0.66760319199999996</v>
      </c>
      <c r="X20">
        <f>0.59780238</f>
        <v>0.59780237999999997</v>
      </c>
      <c r="Y20">
        <f>0.769902673</f>
        <v>0.76990267300000004</v>
      </c>
      <c r="Z20">
        <f>0.70437625</f>
        <v>0.70437625000000004</v>
      </c>
      <c r="AA20">
        <f>0.68364427</f>
        <v>0.68364427000000005</v>
      </c>
      <c r="AB20">
        <f>0.69853901</f>
        <v>0.69853900999999996</v>
      </c>
      <c r="AC20">
        <f>0.698557927</f>
        <v>0.69855792699999997</v>
      </c>
    </row>
    <row r="21" spans="1:29" x14ac:dyDescent="0.25">
      <c r="A21" t="str">
        <f>"    Wipro Ltd"</f>
        <v xml:space="preserve">    Wipro Ltd</v>
      </c>
      <c r="B21" t="str">
        <f>"WIT US Equity"</f>
        <v>WIT US Equity</v>
      </c>
      <c r="C21" t="str">
        <f t="shared" si="0"/>
        <v>RR256</v>
      </c>
      <c r="D21" t="str">
        <f t="shared" si="1"/>
        <v>CASH_RATIO</v>
      </c>
      <c r="E21" t="str">
        <f t="shared" si="2"/>
        <v>Dynamic</v>
      </c>
      <c r="F21">
        <f ca="1">IF(AND(ISNUMBER($F$220),$B$202=1),$F$220,HLOOKUP(INDIRECT(ADDRESS(2,COLUMN())),OFFSET($R$2,0,0,ROW()-1,12),ROW()-1,FALSE))</f>
        <v>1.5441072490000001</v>
      </c>
      <c r="G21">
        <f ca="1">IF(AND(ISNUMBER($G$220),$B$202=1),$G$220,HLOOKUP(INDIRECT(ADDRESS(2,COLUMN())),OFFSET($R$2,0,0,ROW()-1,12),ROW()-1,FALSE))</f>
        <v>1.6256711989999999</v>
      </c>
      <c r="H21">
        <f ca="1">IF(AND(ISNUMBER($H$220),$B$202=1),$H$220,HLOOKUP(INDIRECT(ADDRESS(2,COLUMN())),OFFSET($R$2,0,0,ROW()-1,12),ROW()-1,FALSE))</f>
        <v>1.5355910340000001</v>
      </c>
      <c r="I21">
        <f ca="1">IF(AND(ISNUMBER($I$220),$B$202=1),$I$220,HLOOKUP(INDIRECT(ADDRESS(2,COLUMN())),OFFSET($R$2,0,0,ROW()-1,12),ROW()-1,FALSE))</f>
        <v>1.880822185</v>
      </c>
      <c r="J21">
        <f ca="1">IF(AND(ISNUMBER($J$220),$B$202=1),$J$220,HLOOKUP(INDIRECT(ADDRESS(2,COLUMN())),OFFSET($R$2,0,0,ROW()-1,12),ROW()-1,FALSE))</f>
        <v>1.7692792159999999</v>
      </c>
      <c r="K21">
        <f ca="1">IF(AND(ISNUMBER($K$220),$B$202=1),$K$220,HLOOKUP(INDIRECT(ADDRESS(2,COLUMN())),OFFSET($R$2,0,0,ROW()-1,12),ROW()-1,FALSE))</f>
        <v>1.837658134</v>
      </c>
      <c r="L21">
        <f ca="1">IF(AND(ISNUMBER($L$220),$B$202=1),$L$220,HLOOKUP(INDIRECT(ADDRESS(2,COLUMN())),OFFSET($R$2,0,0,ROW()-1,12),ROW()-1,FALSE))</f>
        <v>1.56818236</v>
      </c>
      <c r="M21">
        <f ca="1">IF(AND(ISNUMBER($M$220),$B$202=1),$M$220,HLOOKUP(INDIRECT(ADDRESS(2,COLUMN())),OFFSET($R$2,0,0,ROW()-1,12),ROW()-1,FALSE))</f>
        <v>1.615657218</v>
      </c>
      <c r="N21">
        <f ca="1">IF(AND(ISNUMBER($N$220),$B$202=1),$N$220,HLOOKUP(INDIRECT(ADDRESS(2,COLUMN())),OFFSET($R$2,0,0,ROW()-1,12),ROW()-1,FALSE))</f>
        <v>1.377093023</v>
      </c>
      <c r="O21">
        <f ca="1">IF(AND(ISNUMBER($O$220),$B$202=1),$O$220,HLOOKUP(INDIRECT(ADDRESS(2,COLUMN())),OFFSET($R$2,0,0,ROW()-1,12),ROW()-1,FALSE))</f>
        <v>1.3090300399999999</v>
      </c>
      <c r="P21">
        <f ca="1">IF(AND(ISNUMBER($P$220),$B$202=1),$P$220,HLOOKUP(INDIRECT(ADDRESS(2,COLUMN())),OFFSET($R$2,0,0,ROW()-1,12),ROW()-1,FALSE))</f>
        <v>1.6974004869999999</v>
      </c>
      <c r="Q21">
        <f ca="1">IF(AND(ISNUMBER($Q$220),$B$202=1),$Q$220,HLOOKUP(INDIRECT(ADDRESS(2,COLUMN())),OFFSET($R$2,0,0,ROW()-1,12),ROW()-1,FALSE))</f>
        <v>1.587538991</v>
      </c>
      <c r="R21">
        <f>1.544107249</f>
        <v>1.5441072490000001</v>
      </c>
      <c r="S21">
        <f>1.625671199</f>
        <v>1.6256711989999999</v>
      </c>
      <c r="T21">
        <f>1.535591034</f>
        <v>1.5355910340000001</v>
      </c>
      <c r="U21">
        <f>1.880822185</f>
        <v>1.880822185</v>
      </c>
      <c r="V21">
        <f>1.769279216</f>
        <v>1.7692792159999999</v>
      </c>
      <c r="W21">
        <f>1.837658134</f>
        <v>1.837658134</v>
      </c>
      <c r="X21">
        <f>1.56818236</f>
        <v>1.56818236</v>
      </c>
      <c r="Y21">
        <f>1.615657218</f>
        <v>1.615657218</v>
      </c>
      <c r="Z21">
        <f>1.377093023</f>
        <v>1.377093023</v>
      </c>
      <c r="AA21">
        <f>1.30903004</f>
        <v>1.3090300399999999</v>
      </c>
      <c r="AB21">
        <f>1.697400487</f>
        <v>1.6974004869999999</v>
      </c>
      <c r="AC21">
        <f>1.587538991</f>
        <v>1.587538991</v>
      </c>
    </row>
    <row r="22" spans="1:29" x14ac:dyDescent="0.25">
      <c r="A22" t="str">
        <f>"Quick Ratio"</f>
        <v>Quick Ratio</v>
      </c>
      <c r="B22" t="str">
        <f>"BRITBPOV Index"</f>
        <v>BRITBPOV Index</v>
      </c>
      <c r="E22" t="str">
        <f>"Average"</f>
        <v>Average</v>
      </c>
      <c r="F22">
        <f ca="1">IF(ISERROR(IF(AVERAGE($F$23:$F$39) = 0, "", AVERAGE($F$23:$F$39))), "", (IF(AVERAGE($F$23:$F$39) = 0, "", AVERAGE($F$23:$F$39))))</f>
        <v>1.5132853681333336</v>
      </c>
      <c r="G22">
        <f ca="1">IF(ISERROR(IF(AVERAGE($G$23:$G$39) = 0, "", AVERAGE($G$23:$G$39))), "", (IF(AVERAGE($G$23:$G$39) = 0, "", AVERAGE($G$23:$G$39))))</f>
        <v>1.5235376265624998</v>
      </c>
      <c r="H22">
        <f ca="1">IF(ISERROR(IF(AVERAGE($H$23:$H$39) = 0, "", AVERAGE($H$23:$H$39))), "", (IF(AVERAGE($H$23:$H$39) = 0, "", AVERAGE($H$23:$H$39))))</f>
        <v>1.5157634135999998</v>
      </c>
      <c r="I22">
        <f ca="1">IF(ISERROR(IF(AVERAGE($I$23:$I$39) = 0, "", AVERAGE($I$23:$I$39))), "", (IF(AVERAGE($I$23:$I$39) = 0, "", AVERAGE($I$23:$I$39))))</f>
        <v>1.6754828281333332</v>
      </c>
      <c r="J22">
        <f ca="1">IF(ISERROR(IF(AVERAGE($J$23:$J$39) = 0, "", AVERAGE($J$23:$J$39))), "", (IF(AVERAGE($J$23:$J$39) = 0, "", AVERAGE($J$23:$J$39))))</f>
        <v>1.6240141885333332</v>
      </c>
      <c r="K22">
        <f ca="1">IF(ISERROR(IF(AVERAGE($K$23:$K$39) = 0, "", AVERAGE($K$23:$K$39))), "", (IF(AVERAGE($K$23:$K$39) = 0, "", AVERAGE($K$23:$K$39))))</f>
        <v>1.7695045454666667</v>
      </c>
      <c r="L22">
        <f ca="1">IF(ISERROR(IF(AVERAGE($L$23:$L$39) = 0, "", AVERAGE($L$23:$L$39))), "", (IF(AVERAGE($L$23:$L$39) = 0, "", AVERAGE($L$23:$L$39))))</f>
        <v>1.6659432363333331</v>
      </c>
      <c r="M22">
        <f ca="1">IF(ISERROR(IF(AVERAGE($M$23:$M$39) = 0, "", AVERAGE($M$23:$M$39))), "", (IF(AVERAGE($M$23:$M$39) = 0, "", AVERAGE($M$23:$M$39))))</f>
        <v>1.7480236331999999</v>
      </c>
      <c r="N22">
        <f ca="1">IF(ISERROR(IF(AVERAGE($N$23:$N$39) = 0, "", AVERAGE($N$23:$N$39))), "", (IF(AVERAGE($N$23:$N$39) = 0, "", AVERAGE($N$23:$N$39))))</f>
        <v>1.7370836329333332</v>
      </c>
      <c r="O22">
        <f ca="1">IF(ISERROR(IF(AVERAGE($O$23:$O$39) = 0, "", AVERAGE($O$23:$O$39))), "", (IF(AVERAGE($O$23:$O$39) = 0, "", AVERAGE($O$23:$O$39))))</f>
        <v>1.8189541340666664</v>
      </c>
      <c r="P22">
        <f ca="1">IF(ISERROR(IF(AVERAGE($P$23:$P$39) = 0, "", AVERAGE($P$23:$P$39))), "", (IF(AVERAGE($P$23:$P$39) = 0, "", AVERAGE($P$23:$P$39))))</f>
        <v>1.8906498013999997</v>
      </c>
      <c r="Q22">
        <f ca="1">IF(ISERROR(IF(AVERAGE($Q$23:$Q$39) = 0, "", AVERAGE($Q$23:$Q$39))), "", (IF(AVERAGE($Q$23:$Q$39) = 0, "", AVERAGE($Q$23:$Q$39))))</f>
        <v>1.8939730153333332</v>
      </c>
      <c r="R22">
        <f>1.513285368</f>
        <v>1.513285368</v>
      </c>
      <c r="S22">
        <f>1.523537626</f>
        <v>1.523537626</v>
      </c>
      <c r="T22">
        <f>1.515763414</f>
        <v>1.515763414</v>
      </c>
      <c r="U22">
        <f>1.675482828</f>
        <v>1.675482828</v>
      </c>
      <c r="V22">
        <f>1.624014189</f>
        <v>1.6240141889999999</v>
      </c>
      <c r="W22">
        <f>1.769504545</f>
        <v>1.769504545</v>
      </c>
      <c r="X22">
        <f>1.665943236</f>
        <v>1.6659432359999999</v>
      </c>
      <c r="Y22">
        <f>1.748023633</f>
        <v>1.7480236330000001</v>
      </c>
      <c r="Z22">
        <f>1.737083633</f>
        <v>1.7370836329999999</v>
      </c>
      <c r="AA22">
        <f>1.818954134</f>
        <v>1.8189541339999999</v>
      </c>
      <c r="AB22">
        <f>1.890649801</f>
        <v>1.8906498009999999</v>
      </c>
      <c r="AC22">
        <f>1.893973015</f>
        <v>1.893973015</v>
      </c>
    </row>
    <row r="23" spans="1:29" x14ac:dyDescent="0.25">
      <c r="A23" t="str">
        <f>"    Accenture PLC"</f>
        <v xml:space="preserve">    Accenture PLC</v>
      </c>
      <c r="B23" t="str">
        <f>"ACN US Equity"</f>
        <v>ACN US Equity</v>
      </c>
      <c r="C23" t="str">
        <f t="shared" ref="C23:C39" si="3">"RR054"</f>
        <v>RR054</v>
      </c>
      <c r="D23" t="str">
        <f t="shared" ref="D23:D39" si="4">"QUICK_RATIO"</f>
        <v>QUICK_RATIO</v>
      </c>
      <c r="E23" t="str">
        <f t="shared" ref="E23:E39" si="5">"Dynamic"</f>
        <v>Dynamic</v>
      </c>
      <c r="F23">
        <f ca="1">IF(AND(ISNUMBER($F$221),$B$202=1),$F$221,HLOOKUP(INDIRECT(ADDRESS(2,COLUMN())),OFFSET($R$2,0,0,ROW()-1,12),ROW()-1,FALSE))</f>
        <v>1.2487545819999999</v>
      </c>
      <c r="G23">
        <f ca="1">IF(AND(ISNUMBER($G$221),$B$202=1),$G$221,HLOOKUP(INDIRECT(ADDRESS(2,COLUMN())),OFFSET($R$2,0,0,ROW()-1,12),ROW()-1,FALSE))</f>
        <v>1.2849988139999999</v>
      </c>
      <c r="H23">
        <f ca="1">IF(AND(ISNUMBER($H$221),$B$202=1),$H$221,HLOOKUP(INDIRECT(ADDRESS(2,COLUMN())),OFFSET($R$2,0,0,ROW()-1,12),ROW()-1,FALSE))</f>
        <v>1.285967342</v>
      </c>
      <c r="I23">
        <f ca="1">IF(AND(ISNUMBER($I$221),$B$202=1),$I$221,HLOOKUP(INDIRECT(ADDRESS(2,COLUMN())),OFFSET($R$2,0,0,ROW()-1,12),ROW()-1,FALSE))</f>
        <v>1.223148114</v>
      </c>
      <c r="J23">
        <f ca="1">IF(AND(ISNUMBER($J$221),$B$202=1),$J$221,HLOOKUP(INDIRECT(ADDRESS(2,COLUMN())),OFFSET($R$2,0,0,ROW()-1,12),ROW()-1,FALSE))</f>
        <v>1.2348909379999999</v>
      </c>
      <c r="K23">
        <f ca="1">IF(AND(ISNUMBER($K$221),$B$202=1),$K$221,HLOOKUP(INDIRECT(ADDRESS(2,COLUMN())),OFFSET($R$2,0,0,ROW()-1,12),ROW()-1,FALSE))</f>
        <v>1.217527037</v>
      </c>
      <c r="L23">
        <f ca="1">IF(AND(ISNUMBER($L$221),$B$202=1),$L$221,HLOOKUP(INDIRECT(ADDRESS(2,COLUMN())),OFFSET($R$2,0,0,ROW()-1,12),ROW()-1,FALSE))</f>
        <v>0.991061148</v>
      </c>
      <c r="M23">
        <f ca="1">IF(AND(ISNUMBER($M$221),$B$202=1),$M$221,HLOOKUP(INDIRECT(ADDRESS(2,COLUMN())),OFFSET($R$2,0,0,ROW()-1,12),ROW()-1,FALSE))</f>
        <v>0.93354983800000002</v>
      </c>
      <c r="N23">
        <f ca="1">IF(AND(ISNUMBER($N$221),$B$202=1),$N$221,HLOOKUP(INDIRECT(ADDRESS(2,COLUMN())),OFFSET($R$2,0,0,ROW()-1,12),ROW()-1,FALSE))</f>
        <v>0.92114390099999999</v>
      </c>
      <c r="O23">
        <f ca="1">IF(AND(ISNUMBER($O$221),$B$202=1),$O$221,HLOOKUP(INDIRECT(ADDRESS(2,COLUMN())),OFFSET($R$2,0,0,ROW()-1,12),ROW()-1,FALSE))</f>
        <v>0.87837921100000005</v>
      </c>
      <c r="P23">
        <f ca="1">IF(AND(ISNUMBER($P$221),$B$202=1),$P$221,HLOOKUP(INDIRECT(ADDRESS(2,COLUMN())),OFFSET($R$2,0,0,ROW()-1,12),ROW()-1,FALSE))</f>
        <v>0.88546803299999999</v>
      </c>
      <c r="Q23">
        <f ca="1">IF(AND(ISNUMBER($Q$221),$B$202=1),$Q$221,HLOOKUP(INDIRECT(ADDRESS(2,COLUMN())),OFFSET($R$2,0,0,ROW()-1,12),ROW()-1,FALSE))</f>
        <v>0.85852993</v>
      </c>
      <c r="R23">
        <f>1.248754582</f>
        <v>1.2487545819999999</v>
      </c>
      <c r="S23">
        <f>1.284998814</f>
        <v>1.2849988139999999</v>
      </c>
      <c r="T23">
        <f>1.285967342</f>
        <v>1.285967342</v>
      </c>
      <c r="U23">
        <f>1.223148114</f>
        <v>1.223148114</v>
      </c>
      <c r="V23">
        <f>1.234890938</f>
        <v>1.2348909379999999</v>
      </c>
      <c r="W23">
        <f>1.217527037</f>
        <v>1.217527037</v>
      </c>
      <c r="X23">
        <f>0.991061148</f>
        <v>0.991061148</v>
      </c>
      <c r="Y23">
        <f>0.933549838</f>
        <v>0.93354983800000002</v>
      </c>
      <c r="Z23">
        <f>0.921143901</f>
        <v>0.92114390099999999</v>
      </c>
      <c r="AA23">
        <f>0.878379211</f>
        <v>0.87837921100000005</v>
      </c>
      <c r="AB23">
        <f>0.885468033</f>
        <v>0.88546803299999999</v>
      </c>
      <c r="AC23">
        <f>0.85852993</f>
        <v>0.85852993</v>
      </c>
    </row>
    <row r="24" spans="1:29" x14ac:dyDescent="0.25">
      <c r="A24" t="str">
        <f>"    Amdocs Ltd"</f>
        <v xml:space="preserve">    Amdocs Ltd</v>
      </c>
      <c r="B24" t="str">
        <f>"DOX US Equity"</f>
        <v>DOX US Equity</v>
      </c>
      <c r="C24" t="str">
        <f t="shared" si="3"/>
        <v>RR054</v>
      </c>
      <c r="D24" t="str">
        <f t="shared" si="4"/>
        <v>QUICK_RATIO</v>
      </c>
      <c r="E24" t="str">
        <f t="shared" si="5"/>
        <v>Dynamic</v>
      </c>
      <c r="F24">
        <f ca="1">IF(AND(ISNUMBER($F$222),$B$202=1),$F$222,HLOOKUP(INDIRECT(ADDRESS(2,COLUMN())),OFFSET($R$2,0,0,ROW()-1,12),ROW()-1,FALSE))</f>
        <v>0.96885485199999999</v>
      </c>
      <c r="G24">
        <f ca="1">IF(AND(ISNUMBER($G$222),$B$202=1),$G$222,HLOOKUP(INDIRECT(ADDRESS(2,COLUMN())),OFFSET($R$2,0,0,ROW()-1,12),ROW()-1,FALSE))</f>
        <v>1.1731615479999999</v>
      </c>
      <c r="H24">
        <f ca="1">IF(AND(ISNUMBER($H$222),$B$202=1),$H$222,HLOOKUP(INDIRECT(ADDRESS(2,COLUMN())),OFFSET($R$2,0,0,ROW()-1,12),ROW()-1,FALSE))</f>
        <v>1.2082571010000001</v>
      </c>
      <c r="I24">
        <f ca="1">IF(AND(ISNUMBER($I$222),$B$202=1),$I$222,HLOOKUP(INDIRECT(ADDRESS(2,COLUMN())),OFFSET($R$2,0,0,ROW()-1,12),ROW()-1,FALSE))</f>
        <v>1.1923623109999999</v>
      </c>
      <c r="J24">
        <f ca="1">IF(AND(ISNUMBER($J$222),$B$202=1),$J$222,HLOOKUP(INDIRECT(ADDRESS(2,COLUMN())),OFFSET($R$2,0,0,ROW()-1,12),ROW()-1,FALSE))</f>
        <v>1.0008116090000001</v>
      </c>
      <c r="K24">
        <f ca="1">IF(AND(ISNUMBER($K$222),$B$202=1),$K$222,HLOOKUP(INDIRECT(ADDRESS(2,COLUMN())),OFFSET($R$2,0,0,ROW()-1,12),ROW()-1,FALSE))</f>
        <v>1.15207777</v>
      </c>
      <c r="L24">
        <f ca="1">IF(AND(ISNUMBER($L$222),$B$202=1),$L$222,HLOOKUP(INDIRECT(ADDRESS(2,COLUMN())),OFFSET($R$2,0,0,ROW()-1,12),ROW()-1,FALSE))</f>
        <v>0.94730635799999996</v>
      </c>
      <c r="M24">
        <f ca="1">IF(AND(ISNUMBER($M$222),$B$202=1),$M$222,HLOOKUP(INDIRECT(ADDRESS(2,COLUMN())),OFFSET($R$2,0,0,ROW()-1,12),ROW()-1,FALSE))</f>
        <v>0.98146663899999997</v>
      </c>
      <c r="N24">
        <f ca="1">IF(AND(ISNUMBER($N$222),$B$202=1),$N$222,HLOOKUP(INDIRECT(ADDRESS(2,COLUMN())),OFFSET($R$2,0,0,ROW()-1,12),ROW()-1,FALSE))</f>
        <v>0.99956126300000003</v>
      </c>
      <c r="O24">
        <f ca="1">IF(AND(ISNUMBER($O$222),$B$202=1),$O$222,HLOOKUP(INDIRECT(ADDRESS(2,COLUMN())),OFFSET($R$2,0,0,ROW()-1,12),ROW()-1,FALSE))</f>
        <v>1.348593267</v>
      </c>
      <c r="P24">
        <f ca="1">IF(AND(ISNUMBER($P$222),$B$202=1),$P$222,HLOOKUP(INDIRECT(ADDRESS(2,COLUMN())),OFFSET($R$2,0,0,ROW()-1,12),ROW()-1,FALSE))</f>
        <v>1.3768587809999999</v>
      </c>
      <c r="Q24">
        <f ca="1">IF(AND(ISNUMBER($Q$222),$B$202=1),$Q$222,HLOOKUP(INDIRECT(ADDRESS(2,COLUMN())),OFFSET($R$2,0,0,ROW()-1,12),ROW()-1,FALSE))</f>
        <v>1.4284499509999999</v>
      </c>
      <c r="R24">
        <f>0.968854852</f>
        <v>0.96885485199999999</v>
      </c>
      <c r="S24">
        <f>1.173161548</f>
        <v>1.1731615479999999</v>
      </c>
      <c r="T24">
        <f>1.208257101</f>
        <v>1.2082571010000001</v>
      </c>
      <c r="U24">
        <f>1.192362311</f>
        <v>1.1923623109999999</v>
      </c>
      <c r="V24">
        <f>1.000811609</f>
        <v>1.0008116090000001</v>
      </c>
      <c r="W24">
        <f>1.15207777</f>
        <v>1.15207777</v>
      </c>
      <c r="X24">
        <f>0.947306358</f>
        <v>0.94730635799999996</v>
      </c>
      <c r="Y24">
        <f>0.981466639</f>
        <v>0.98146663899999997</v>
      </c>
      <c r="Z24">
        <f>0.999561263</f>
        <v>0.99956126300000003</v>
      </c>
      <c r="AA24">
        <f>1.348593267</f>
        <v>1.348593267</v>
      </c>
      <c r="AB24">
        <f>1.376858781</f>
        <v>1.3768587809999999</v>
      </c>
      <c r="AC24">
        <f>1.428449951</f>
        <v>1.4284499509999999</v>
      </c>
    </row>
    <row r="25" spans="1:29" x14ac:dyDescent="0.25">
      <c r="A25" t="str">
        <f>"    Atos SE"</f>
        <v xml:space="preserve">    Atos SE</v>
      </c>
      <c r="B25" t="str">
        <f>"ATO FP Equity"</f>
        <v>ATO FP Equity</v>
      </c>
      <c r="C25" t="str">
        <f t="shared" si="3"/>
        <v>RR054</v>
      </c>
      <c r="D25" t="str">
        <f t="shared" si="4"/>
        <v>QUICK_RATIO</v>
      </c>
      <c r="E25" t="str">
        <f t="shared" si="5"/>
        <v>Dynamic</v>
      </c>
      <c r="F25" t="str">
        <f ca="1">IF(AND(ISNUMBER($F$223),$B$202=1),$F$223,HLOOKUP(INDIRECT(ADDRESS(2,COLUMN())),OFFSET($R$2,0,0,ROW()-1,12),ROW()-1,FALSE))</f>
        <v/>
      </c>
      <c r="G25" t="str">
        <f ca="1">IF(AND(ISNUMBER($G$223),$B$202=1),$G$223,HLOOKUP(INDIRECT(ADDRESS(2,COLUMN())),OFFSET($R$2,0,0,ROW()-1,12),ROW()-1,FALSE))</f>
        <v/>
      </c>
      <c r="H25" t="str">
        <f ca="1">IF(AND(ISNUMBER($H$223),$B$202=1),$H$223,HLOOKUP(INDIRECT(ADDRESS(2,COLUMN())),OFFSET($R$2,0,0,ROW()-1,12),ROW()-1,FALSE))</f>
        <v/>
      </c>
      <c r="I25" t="str">
        <f ca="1">IF(AND(ISNUMBER($I$223),$B$202=1),$I$223,HLOOKUP(INDIRECT(ADDRESS(2,COLUMN())),OFFSET($R$2,0,0,ROW()-1,12),ROW()-1,FALSE))</f>
        <v/>
      </c>
      <c r="J25" t="str">
        <f ca="1">IF(AND(ISNUMBER($J$223),$B$202=1),$J$223,HLOOKUP(INDIRECT(ADDRESS(2,COLUMN())),OFFSET($R$2,0,0,ROW()-1,12),ROW()-1,FALSE))</f>
        <v/>
      </c>
      <c r="K25" t="str">
        <f ca="1">IF(AND(ISNUMBER($K$223),$B$202=1),$K$223,HLOOKUP(INDIRECT(ADDRESS(2,COLUMN())),OFFSET($R$2,0,0,ROW()-1,12),ROW()-1,FALSE))</f>
        <v/>
      </c>
      <c r="L25" t="str">
        <f ca="1">IF(AND(ISNUMBER($L$223),$B$202=1),$L$223,HLOOKUP(INDIRECT(ADDRESS(2,COLUMN())),OFFSET($R$2,0,0,ROW()-1,12),ROW()-1,FALSE))</f>
        <v/>
      </c>
      <c r="M25" t="str">
        <f ca="1">IF(AND(ISNUMBER($M$223),$B$202=1),$M$223,HLOOKUP(INDIRECT(ADDRESS(2,COLUMN())),OFFSET($R$2,0,0,ROW()-1,12),ROW()-1,FALSE))</f>
        <v/>
      </c>
      <c r="N25" t="str">
        <f ca="1">IF(AND(ISNUMBER($N$223),$B$202=1),$N$223,HLOOKUP(INDIRECT(ADDRESS(2,COLUMN())),OFFSET($R$2,0,0,ROW()-1,12),ROW()-1,FALSE))</f>
        <v/>
      </c>
      <c r="O25" t="str">
        <f ca="1">IF(AND(ISNUMBER($O$223),$B$202=1),$O$223,HLOOKUP(INDIRECT(ADDRESS(2,COLUMN())),OFFSET($R$2,0,0,ROW()-1,12),ROW()-1,FALSE))</f>
        <v/>
      </c>
      <c r="P25" t="str">
        <f ca="1">IF(AND(ISNUMBER($P$223),$B$202=1),$P$223,HLOOKUP(INDIRECT(ADDRESS(2,COLUMN())),OFFSET($R$2,0,0,ROW()-1,12),ROW()-1,FALSE))</f>
        <v/>
      </c>
      <c r="Q25" t="str">
        <f ca="1">IF(AND(ISNUMBER($Q$223),$B$202=1),$Q$223,HLOOKUP(INDIRECT(ADDRESS(2,COLUMN())),OFFSET($R$2,0,0,ROW()-1,12),ROW()-1,FALSE))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  <c r="Z25" t="str">
        <f>""</f>
        <v/>
      </c>
      <c r="AA25" t="str">
        <f>""</f>
        <v/>
      </c>
      <c r="AB25" t="str">
        <f>""</f>
        <v/>
      </c>
      <c r="AC25" t="str">
        <f>""</f>
        <v/>
      </c>
    </row>
    <row r="26" spans="1:29" x14ac:dyDescent="0.25">
      <c r="A26" t="str">
        <f>"    Capgemini SE"</f>
        <v xml:space="preserve">    Capgemini SE</v>
      </c>
      <c r="B26" t="str">
        <f>"CAP FP Equity"</f>
        <v>CAP FP Equity</v>
      </c>
      <c r="C26" t="str">
        <f t="shared" si="3"/>
        <v>RR054</v>
      </c>
      <c r="D26" t="str">
        <f t="shared" si="4"/>
        <v>QUICK_RATIO</v>
      </c>
      <c r="E26" t="str">
        <f t="shared" si="5"/>
        <v>Dynamic</v>
      </c>
      <c r="F26" t="str">
        <f ca="1">IF(AND(ISNUMBER($F$224),$B$202=1),$F$224,HLOOKUP(INDIRECT(ADDRESS(2,COLUMN())),OFFSET($R$2,0,0,ROW()-1,12),ROW()-1,FALSE))</f>
        <v/>
      </c>
      <c r="G26">
        <f ca="1">IF(AND(ISNUMBER($G$224),$B$202=1),$G$224,HLOOKUP(INDIRECT(ADDRESS(2,COLUMN())),OFFSET($R$2,0,0,ROW()-1,12),ROW()-1,FALSE))</f>
        <v>0.93652343800000004</v>
      </c>
      <c r="H26" t="str">
        <f ca="1">IF(AND(ISNUMBER($H$224),$B$202=1),$H$224,HLOOKUP(INDIRECT(ADDRESS(2,COLUMN())),OFFSET($R$2,0,0,ROW()-1,12),ROW()-1,FALSE))</f>
        <v/>
      </c>
      <c r="I26" t="str">
        <f ca="1">IF(AND(ISNUMBER($I$224),$B$202=1),$I$224,HLOOKUP(INDIRECT(ADDRESS(2,COLUMN())),OFFSET($R$2,0,0,ROW()-1,12),ROW()-1,FALSE))</f>
        <v/>
      </c>
      <c r="J26" t="str">
        <f ca="1">IF(AND(ISNUMBER($J$224),$B$202=1),$J$224,HLOOKUP(INDIRECT(ADDRESS(2,COLUMN())),OFFSET($R$2,0,0,ROW()-1,12),ROW()-1,FALSE))</f>
        <v/>
      </c>
      <c r="K26" t="str">
        <f ca="1">IF(AND(ISNUMBER($K$224),$B$202=1),$K$224,HLOOKUP(INDIRECT(ADDRESS(2,COLUMN())),OFFSET($R$2,0,0,ROW()-1,12),ROW()-1,FALSE))</f>
        <v/>
      </c>
      <c r="L26" t="str">
        <f ca="1">IF(AND(ISNUMBER($L$224),$B$202=1),$L$224,HLOOKUP(INDIRECT(ADDRESS(2,COLUMN())),OFFSET($R$2,0,0,ROW()-1,12),ROW()-1,FALSE))</f>
        <v/>
      </c>
      <c r="M26" t="str">
        <f ca="1">IF(AND(ISNUMBER($M$224),$B$202=1),$M$224,HLOOKUP(INDIRECT(ADDRESS(2,COLUMN())),OFFSET($R$2,0,0,ROW()-1,12),ROW()-1,FALSE))</f>
        <v/>
      </c>
      <c r="N26" t="str">
        <f ca="1">IF(AND(ISNUMBER($N$224),$B$202=1),$N$224,HLOOKUP(INDIRECT(ADDRESS(2,COLUMN())),OFFSET($R$2,0,0,ROW()-1,12),ROW()-1,FALSE))</f>
        <v/>
      </c>
      <c r="O26" t="str">
        <f ca="1">IF(AND(ISNUMBER($O$224),$B$202=1),$O$224,HLOOKUP(INDIRECT(ADDRESS(2,COLUMN())),OFFSET($R$2,0,0,ROW()-1,12),ROW()-1,FALSE))</f>
        <v/>
      </c>
      <c r="P26" t="str">
        <f ca="1">IF(AND(ISNUMBER($P$224),$B$202=1),$P$224,HLOOKUP(INDIRECT(ADDRESS(2,COLUMN())),OFFSET($R$2,0,0,ROW()-1,12),ROW()-1,FALSE))</f>
        <v/>
      </c>
      <c r="Q26" t="str">
        <f ca="1">IF(AND(ISNUMBER($Q$224),$B$202=1),$Q$224,HLOOKUP(INDIRECT(ADDRESS(2,COLUMN())),OFFSET($R$2,0,0,ROW()-1,12),ROW()-1,FALSE))</f>
        <v/>
      </c>
      <c r="R26" t="str">
        <f>""</f>
        <v/>
      </c>
      <c r="S26">
        <f>0.936523438</f>
        <v>0.93652343800000004</v>
      </c>
      <c r="T26" t="str">
        <f>""</f>
        <v/>
      </c>
      <c r="U26" t="str">
        <f>""</f>
        <v/>
      </c>
      <c r="V26" t="str">
        <f>""</f>
        <v/>
      </c>
      <c r="W26" t="str">
        <f>""</f>
        <v/>
      </c>
      <c r="X26" t="str">
        <f>""</f>
        <v/>
      </c>
      <c r="Y26" t="str">
        <f>""</f>
        <v/>
      </c>
      <c r="Z26" t="str">
        <f>""</f>
        <v/>
      </c>
      <c r="AA26" t="str">
        <f>""</f>
        <v/>
      </c>
      <c r="AB26" t="str">
        <f>""</f>
        <v/>
      </c>
      <c r="AC26" t="str">
        <f>""</f>
        <v/>
      </c>
    </row>
    <row r="27" spans="1:29" x14ac:dyDescent="0.25">
      <c r="A27" t="str">
        <f>"    CGI Inc"</f>
        <v xml:space="preserve">    CGI Inc</v>
      </c>
      <c r="B27" t="str">
        <f>"GIB US Equity"</f>
        <v>GIB US Equity</v>
      </c>
      <c r="C27" t="str">
        <f t="shared" si="3"/>
        <v>RR054</v>
      </c>
      <c r="D27" t="str">
        <f t="shared" si="4"/>
        <v>QUICK_RATIO</v>
      </c>
      <c r="E27" t="str">
        <f t="shared" si="5"/>
        <v>Dynamic</v>
      </c>
      <c r="F27">
        <f ca="1">IF(AND(ISNUMBER($F$225),$B$202=1),$F$225,HLOOKUP(INDIRECT(ADDRESS(2,COLUMN())),OFFSET($R$2,0,0,ROW()-1,12),ROW()-1,FALSE))</f>
        <v>0.51987831100000004</v>
      </c>
      <c r="G27">
        <f ca="1">IF(AND(ISNUMBER($G$225),$B$202=1),$G$225,HLOOKUP(INDIRECT(ADDRESS(2,COLUMN())),OFFSET($R$2,0,0,ROW()-1,12),ROW()-1,FALSE))</f>
        <v>0.505156681</v>
      </c>
      <c r="H27">
        <f ca="1">IF(AND(ISNUMBER($H$225),$B$202=1),$H$225,HLOOKUP(INDIRECT(ADDRESS(2,COLUMN())),OFFSET($R$2,0,0,ROW()-1,12),ROW()-1,FALSE))</f>
        <v>0.41383775900000003</v>
      </c>
      <c r="I27">
        <f ca="1">IF(AND(ISNUMBER($I$225),$B$202=1),$I$225,HLOOKUP(INDIRECT(ADDRESS(2,COLUMN())),OFFSET($R$2,0,0,ROW()-1,12),ROW()-1,FALSE))</f>
        <v>0.54789697400000004</v>
      </c>
      <c r="J27">
        <f ca="1">IF(AND(ISNUMBER($J$225),$B$202=1),$J$225,HLOOKUP(INDIRECT(ADDRESS(2,COLUMN())),OFFSET($R$2,0,0,ROW()-1,12),ROW()-1,FALSE))</f>
        <v>0.639575271</v>
      </c>
      <c r="K27">
        <f ca="1">IF(AND(ISNUMBER($K$225),$B$202=1),$K$225,HLOOKUP(INDIRECT(ADDRESS(2,COLUMN())),OFFSET($R$2,0,0,ROW()-1,12),ROW()-1,FALSE))</f>
        <v>0.59092982800000005</v>
      </c>
      <c r="L27">
        <f ca="1">IF(AND(ISNUMBER($L$225),$B$202=1),$L$225,HLOOKUP(INDIRECT(ADDRESS(2,COLUMN())),OFFSET($R$2,0,0,ROW()-1,12),ROW()-1,FALSE))</f>
        <v>0.42019324499999999</v>
      </c>
      <c r="M27">
        <f ca="1">IF(AND(ISNUMBER($M$225),$B$202=1),$M$225,HLOOKUP(INDIRECT(ADDRESS(2,COLUMN())),OFFSET($R$2,0,0,ROW()-1,12),ROW()-1,FALSE))</f>
        <v>5.2731338000000003E-2</v>
      </c>
      <c r="N27">
        <f ca="1">IF(AND(ISNUMBER($N$225),$B$202=1),$N$225,HLOOKUP(INDIRECT(ADDRESS(2,COLUMN())),OFFSET($R$2,0,0,ROW()-1,12),ROW()-1,FALSE))</f>
        <v>0.48724634900000002</v>
      </c>
      <c r="O27">
        <f ca="1">IF(AND(ISNUMBER($O$225),$B$202=1),$O$225,HLOOKUP(INDIRECT(ADDRESS(2,COLUMN())),OFFSET($R$2,0,0,ROW()-1,12),ROW()-1,FALSE))</f>
        <v>0.52091852599999999</v>
      </c>
      <c r="P27">
        <f ca="1">IF(AND(ISNUMBER($P$225),$B$202=1),$P$225,HLOOKUP(INDIRECT(ADDRESS(2,COLUMN())),OFFSET($R$2,0,0,ROW()-1,12),ROW()-1,FALSE))</f>
        <v>0.406211989</v>
      </c>
      <c r="Q27">
        <f ca="1">IF(AND(ISNUMBER($Q$225),$B$202=1),$Q$225,HLOOKUP(INDIRECT(ADDRESS(2,COLUMN())),OFFSET($R$2,0,0,ROW()-1,12),ROW()-1,FALSE))</f>
        <v>0.55618716000000001</v>
      </c>
      <c r="R27">
        <f>0.519878311</f>
        <v>0.51987831100000004</v>
      </c>
      <c r="S27">
        <f>0.505156681</f>
        <v>0.505156681</v>
      </c>
      <c r="T27">
        <f>0.413837759</f>
        <v>0.41383775900000003</v>
      </c>
      <c r="U27">
        <f>0.547896974</f>
        <v>0.54789697400000004</v>
      </c>
      <c r="V27">
        <f>0.639575271</f>
        <v>0.639575271</v>
      </c>
      <c r="W27">
        <f>0.590929828</f>
        <v>0.59092982800000005</v>
      </c>
      <c r="X27">
        <f>0.420193245</f>
        <v>0.42019324499999999</v>
      </c>
      <c r="Y27">
        <f>0.052731338</f>
        <v>5.2731338000000003E-2</v>
      </c>
      <c r="Z27">
        <f>0.487246349</f>
        <v>0.48724634900000002</v>
      </c>
      <c r="AA27">
        <f>0.520918526</f>
        <v>0.52091852599999999</v>
      </c>
      <c r="AB27">
        <f>0.406211989</f>
        <v>0.406211989</v>
      </c>
      <c r="AC27">
        <f>0.55618716</f>
        <v>0.55618716000000001</v>
      </c>
    </row>
    <row r="28" spans="1:29" x14ac:dyDescent="0.25">
      <c r="A28" t="str">
        <f>"    Cognizant Technology Solutions Corp"</f>
        <v xml:space="preserve">    Cognizant Technology Solutions Corp</v>
      </c>
      <c r="B28" t="str">
        <f>"CTSH US Equity"</f>
        <v>CTSH US Equity</v>
      </c>
      <c r="C28" t="str">
        <f t="shared" si="3"/>
        <v>RR054</v>
      </c>
      <c r="D28" t="str">
        <f t="shared" si="4"/>
        <v>QUICK_RATIO</v>
      </c>
      <c r="E28" t="str">
        <f t="shared" si="5"/>
        <v>Dynamic</v>
      </c>
      <c r="F28">
        <f ca="1">IF(AND(ISNUMBER($F$226),$B$202=1),$F$226,HLOOKUP(INDIRECT(ADDRESS(2,COLUMN())),OFFSET($R$2,0,0,ROW()-1,12),ROW()-1,FALSE))</f>
        <v>2.6121169919999998</v>
      </c>
      <c r="G28">
        <f ca="1">IF(AND(ISNUMBER($G$226),$B$202=1),$G$226,HLOOKUP(INDIRECT(ADDRESS(2,COLUMN())),OFFSET($R$2,0,0,ROW()-1,12),ROW()-1,FALSE))</f>
        <v>2.2393563529999998</v>
      </c>
      <c r="H28">
        <f ca="1">IF(AND(ISNUMBER($H$226),$B$202=1),$H$226,HLOOKUP(INDIRECT(ADDRESS(2,COLUMN())),OFFSET($R$2,0,0,ROW()-1,12),ROW()-1,FALSE))</f>
        <v>2.2319287430000001</v>
      </c>
      <c r="I28">
        <f ca="1">IF(AND(ISNUMBER($I$226),$B$202=1),$I$226,HLOOKUP(INDIRECT(ADDRESS(2,COLUMN())),OFFSET($R$2,0,0,ROW()-1,12),ROW()-1,FALSE))</f>
        <v>2.2623937679999999</v>
      </c>
      <c r="J28">
        <f ca="1">IF(AND(ISNUMBER($J$226),$B$202=1),$J$226,HLOOKUP(INDIRECT(ADDRESS(2,COLUMN())),OFFSET($R$2,0,0,ROW()-1,12),ROW()-1,FALSE))</f>
        <v>2.5900735290000001</v>
      </c>
      <c r="K28">
        <f ca="1">IF(AND(ISNUMBER($K$226),$B$202=1),$K$226,HLOOKUP(INDIRECT(ADDRESS(2,COLUMN())),OFFSET($R$2,0,0,ROW()-1,12),ROW()-1,FALSE))</f>
        <v>2.8416974169999998</v>
      </c>
      <c r="L28">
        <f ca="1">IF(AND(ISNUMBER($L$226),$B$202=1),$L$226,HLOOKUP(INDIRECT(ADDRESS(2,COLUMN())),OFFSET($R$2,0,0,ROW()-1,12),ROW()-1,FALSE))</f>
        <v>2.9520980319999999</v>
      </c>
      <c r="M28">
        <f ca="1">IF(AND(ISNUMBER($M$226),$B$202=1),$M$226,HLOOKUP(INDIRECT(ADDRESS(2,COLUMN())),OFFSET($R$2,0,0,ROW()-1,12),ROW()-1,FALSE))</f>
        <v>2.9369333860000002</v>
      </c>
      <c r="N28">
        <f ca="1">IF(AND(ISNUMBER($N$226),$B$202=1),$N$226,HLOOKUP(INDIRECT(ADDRESS(2,COLUMN())),OFFSET($R$2,0,0,ROW()-1,12),ROW()-1,FALSE))</f>
        <v>3.230052653</v>
      </c>
      <c r="O28">
        <f ca="1">IF(AND(ISNUMBER($O$226),$B$202=1),$O$226,HLOOKUP(INDIRECT(ADDRESS(2,COLUMN())),OFFSET($R$2,0,0,ROW()-1,12),ROW()-1,FALSE))</f>
        <v>2.7900669250000001</v>
      </c>
      <c r="P28">
        <f ca="1">IF(AND(ISNUMBER($P$226),$B$202=1),$P$226,HLOOKUP(INDIRECT(ADDRESS(2,COLUMN())),OFFSET($R$2,0,0,ROW()-1,12),ROW()-1,FALSE))</f>
        <v>2.923846154</v>
      </c>
      <c r="Q28">
        <f ca="1">IF(AND(ISNUMBER($Q$226),$B$202=1),$Q$226,HLOOKUP(INDIRECT(ADDRESS(2,COLUMN())),OFFSET($R$2,0,0,ROW()-1,12),ROW()-1,FALSE))</f>
        <v>2.9225672880000002</v>
      </c>
      <c r="R28">
        <f>2.612116992</f>
        <v>2.6121169919999998</v>
      </c>
      <c r="S28">
        <f>2.239356353</f>
        <v>2.2393563529999998</v>
      </c>
      <c r="T28">
        <f>2.231928743</f>
        <v>2.2319287430000001</v>
      </c>
      <c r="U28">
        <f>2.262393768</f>
        <v>2.2623937679999999</v>
      </c>
      <c r="V28">
        <f>2.590073529</f>
        <v>2.5900735290000001</v>
      </c>
      <c r="W28">
        <f>2.841697417</f>
        <v>2.8416974169999998</v>
      </c>
      <c r="X28">
        <f>2.952098032</f>
        <v>2.9520980319999999</v>
      </c>
      <c r="Y28">
        <f>2.936933386</f>
        <v>2.9369333860000002</v>
      </c>
      <c r="Z28">
        <f>3.230052653</f>
        <v>3.230052653</v>
      </c>
      <c r="AA28">
        <f>2.790066925</f>
        <v>2.7900669250000001</v>
      </c>
      <c r="AB28">
        <f>2.923846154</f>
        <v>2.923846154</v>
      </c>
      <c r="AC28">
        <f>2.922567288</f>
        <v>2.9225672880000002</v>
      </c>
    </row>
    <row r="29" spans="1:29" x14ac:dyDescent="0.25">
      <c r="A29" t="str">
        <f>"    Conduent Inc"</f>
        <v xml:space="preserve">    Conduent Inc</v>
      </c>
      <c r="B29" t="str">
        <f>"CNDT US Equity"</f>
        <v>CNDT US Equity</v>
      </c>
      <c r="C29" t="str">
        <f t="shared" si="3"/>
        <v>RR054</v>
      </c>
      <c r="D29" t="str">
        <f t="shared" si="4"/>
        <v>QUICK_RATIO</v>
      </c>
      <c r="E29" t="str">
        <f t="shared" si="5"/>
        <v>Dynamic</v>
      </c>
      <c r="F29">
        <f ca="1">IF(AND(ISNUMBER($F$227),$B$202=1),$F$227,HLOOKUP(INDIRECT(ADDRESS(2,COLUMN())),OFFSET($R$2,0,0,ROW()-1,12),ROW()-1,FALSE))</f>
        <v>1.0606060610000001</v>
      </c>
      <c r="G29">
        <f ca="1">IF(AND(ISNUMBER($G$227),$B$202=1),$G$227,HLOOKUP(INDIRECT(ADDRESS(2,COLUMN())),OFFSET($R$2,0,0,ROW()-1,12),ROW()-1,FALSE))</f>
        <v>0.97536108799999999</v>
      </c>
      <c r="H29">
        <f ca="1">IF(AND(ISNUMBER($H$227),$B$202=1),$H$227,HLOOKUP(INDIRECT(ADDRESS(2,COLUMN())),OFFSET($R$2,0,0,ROW()-1,12),ROW()-1,FALSE))</f>
        <v>0.95102404299999999</v>
      </c>
      <c r="I29">
        <f ca="1">IF(AND(ISNUMBER($I$227),$B$202=1),$I$227,HLOOKUP(INDIRECT(ADDRESS(2,COLUMN())),OFFSET($R$2,0,0,ROW()-1,12),ROW()-1,FALSE))</f>
        <v>0.90386195599999997</v>
      </c>
      <c r="J29">
        <f ca="1">IF(AND(ISNUMBER($J$227),$B$202=1),$J$227,HLOOKUP(INDIRECT(ADDRESS(2,COLUMN())),OFFSET($R$2,0,0,ROW()-1,12),ROW()-1,FALSE))</f>
        <v>0.93444909300000001</v>
      </c>
      <c r="K29">
        <f ca="1">IF(AND(ISNUMBER($K$227),$B$202=1),$K$227,HLOOKUP(INDIRECT(ADDRESS(2,COLUMN())),OFFSET($R$2,0,0,ROW()-1,12),ROW()-1,FALSE))</f>
        <v>1.284878864</v>
      </c>
      <c r="L29">
        <f ca="1">IF(AND(ISNUMBER($L$227),$B$202=1),$L$227,HLOOKUP(INDIRECT(ADDRESS(2,COLUMN())),OFFSET($R$2,0,0,ROW()-1,12),ROW()-1,FALSE))</f>
        <v>1.228617106</v>
      </c>
      <c r="M29">
        <f ca="1">IF(AND(ISNUMBER($M$227),$B$202=1),$M$227,HLOOKUP(INDIRECT(ADDRESS(2,COLUMN())),OFFSET($R$2,0,0,ROW()-1,12),ROW()-1,FALSE))</f>
        <v>1.4645849200000001</v>
      </c>
      <c r="N29">
        <f ca="1">IF(AND(ISNUMBER($N$227),$B$202=1),$N$227,HLOOKUP(INDIRECT(ADDRESS(2,COLUMN())),OFFSET($R$2,0,0,ROW()-1,12),ROW()-1,FALSE))</f>
        <v>1.149199418</v>
      </c>
      <c r="O29">
        <f ca="1">IF(AND(ISNUMBER($O$227),$B$202=1),$O$227,HLOOKUP(INDIRECT(ADDRESS(2,COLUMN())),OFFSET($R$2,0,0,ROW()-1,12),ROW()-1,FALSE))</f>
        <v>1.2960526320000001</v>
      </c>
      <c r="P29">
        <f ca="1">IF(AND(ISNUMBER($P$227),$B$202=1),$P$227,HLOOKUP(INDIRECT(ADDRESS(2,COLUMN())),OFFSET($R$2,0,0,ROW()-1,12),ROW()-1,FALSE))</f>
        <v>1.5477759470000001</v>
      </c>
      <c r="Q29">
        <f ca="1">IF(AND(ISNUMBER($Q$227),$B$202=1),$Q$227,HLOOKUP(INDIRECT(ADDRESS(2,COLUMN())),OFFSET($R$2,0,0,ROW()-1,12),ROW()-1,FALSE))</f>
        <v>1.4207920789999999</v>
      </c>
      <c r="R29">
        <f>1.060606061</f>
        <v>1.0606060610000001</v>
      </c>
      <c r="S29">
        <f>0.975361088</f>
        <v>0.97536108799999999</v>
      </c>
      <c r="T29">
        <f>0.951024043</f>
        <v>0.95102404299999999</v>
      </c>
      <c r="U29">
        <f>0.903861956</f>
        <v>0.90386195599999997</v>
      </c>
      <c r="V29">
        <f>0.934449093</f>
        <v>0.93444909300000001</v>
      </c>
      <c r="W29">
        <f>1.284878864</f>
        <v>1.284878864</v>
      </c>
      <c r="X29">
        <f>1.228617106</f>
        <v>1.228617106</v>
      </c>
      <c r="Y29">
        <f>1.46458492</f>
        <v>1.4645849200000001</v>
      </c>
      <c r="Z29">
        <f>1.149199418</f>
        <v>1.149199418</v>
      </c>
      <c r="AA29">
        <f>1.296052632</f>
        <v>1.2960526320000001</v>
      </c>
      <c r="AB29">
        <f>1.547775947</f>
        <v>1.5477759470000001</v>
      </c>
      <c r="AC29">
        <f>1.420792079</f>
        <v>1.4207920789999999</v>
      </c>
    </row>
    <row r="30" spans="1:29" x14ac:dyDescent="0.25">
      <c r="A30" t="str">
        <f>"    DXC Technology Co"</f>
        <v xml:space="preserve">    DXC Technology Co</v>
      </c>
      <c r="B30" t="str">
        <f>"DXC US Equity"</f>
        <v>DXC US Equity</v>
      </c>
      <c r="C30" t="str">
        <f t="shared" si="3"/>
        <v>RR054</v>
      </c>
      <c r="D30" t="str">
        <f t="shared" si="4"/>
        <v>QUICK_RATIO</v>
      </c>
      <c r="E30" t="str">
        <f t="shared" si="5"/>
        <v>Dynamic</v>
      </c>
      <c r="F30">
        <f ca="1">IF(AND(ISNUMBER($F$228),$B$202=1),$F$228,HLOOKUP(INDIRECT(ADDRESS(2,COLUMN())),OFFSET($R$2,0,0,ROW()-1,12),ROW()-1,FALSE))</f>
        <v>0.73122229299999997</v>
      </c>
      <c r="G30">
        <f ca="1">IF(AND(ISNUMBER($G$228),$B$202=1),$G$228,HLOOKUP(INDIRECT(ADDRESS(2,COLUMN())),OFFSET($R$2,0,0,ROW()-1,12),ROW()-1,FALSE))</f>
        <v>0.81728142100000001</v>
      </c>
      <c r="H30">
        <f ca="1">IF(AND(ISNUMBER($H$228),$B$202=1),$H$228,HLOOKUP(INDIRECT(ADDRESS(2,COLUMN())),OFFSET($R$2,0,0,ROW()-1,12),ROW()-1,FALSE))</f>
        <v>0.834744818</v>
      </c>
      <c r="I30">
        <f ca="1">IF(AND(ISNUMBER($I$228),$B$202=1),$I$228,HLOOKUP(INDIRECT(ADDRESS(2,COLUMN())),OFFSET($R$2,0,0,ROW()-1,12),ROW()-1,FALSE))</f>
        <v>0.76054829700000004</v>
      </c>
      <c r="J30">
        <f ca="1">IF(AND(ISNUMBER($J$228),$B$202=1),$J$228,HLOOKUP(INDIRECT(ADDRESS(2,COLUMN())),OFFSET($R$2,0,0,ROW()-1,12),ROW()-1,FALSE))</f>
        <v>0.57198772899999994</v>
      </c>
      <c r="K30">
        <f ca="1">IF(AND(ISNUMBER($K$228),$B$202=1),$K$228,HLOOKUP(INDIRECT(ADDRESS(2,COLUMN())),OFFSET($R$2,0,0,ROW()-1,12),ROW()-1,FALSE))</f>
        <v>0.88840647699999997</v>
      </c>
      <c r="L30">
        <f ca="1">IF(AND(ISNUMBER($L$228),$B$202=1),$L$228,HLOOKUP(INDIRECT(ADDRESS(2,COLUMN())),OFFSET($R$2,0,0,ROW()-1,12),ROW()-1,FALSE))</f>
        <v>0.90533239399999998</v>
      </c>
      <c r="M30">
        <f ca="1">IF(AND(ISNUMBER($M$228),$B$202=1),$M$228,HLOOKUP(INDIRECT(ADDRESS(2,COLUMN())),OFFSET($R$2,0,0,ROW()-1,12),ROW()-1,FALSE))</f>
        <v>0.84281726400000001</v>
      </c>
      <c r="N30">
        <f ca="1">IF(AND(ISNUMBER($N$228),$B$202=1),$N$228,HLOOKUP(INDIRECT(ADDRESS(2,COLUMN())),OFFSET($R$2,0,0,ROW()-1,12),ROW()-1,FALSE))</f>
        <v>0.57886723500000004</v>
      </c>
      <c r="O30">
        <f ca="1">IF(AND(ISNUMBER($O$228),$B$202=1),$O$228,HLOOKUP(INDIRECT(ADDRESS(2,COLUMN())),OFFSET($R$2,0,0,ROW()-1,12),ROW()-1,FALSE))</f>
        <v>0.88576468100000005</v>
      </c>
      <c r="P30">
        <f ca="1">IF(AND(ISNUMBER($P$228),$B$202=1),$P$228,HLOOKUP(INDIRECT(ADDRESS(2,COLUMN())),OFFSET($R$2,0,0,ROW()-1,12),ROW()-1,FALSE))</f>
        <v>0.88449719199999999</v>
      </c>
      <c r="Q30">
        <f ca="1">IF(AND(ISNUMBER($Q$228),$B$202=1),$Q$228,HLOOKUP(INDIRECT(ADDRESS(2,COLUMN())),OFFSET($R$2,0,0,ROW()-1,12),ROW()-1,FALSE))</f>
        <v>1.0249660119999999</v>
      </c>
      <c r="R30">
        <f>0.731222293</f>
        <v>0.73122229299999997</v>
      </c>
      <c r="S30">
        <f>0.817281421</f>
        <v>0.81728142100000001</v>
      </c>
      <c r="T30">
        <f>0.834744818</f>
        <v>0.834744818</v>
      </c>
      <c r="U30">
        <f>0.760548297</f>
        <v>0.76054829700000004</v>
      </c>
      <c r="V30">
        <f>0.571987729</f>
        <v>0.57198772899999994</v>
      </c>
      <c r="W30">
        <f>0.888406477</f>
        <v>0.88840647699999997</v>
      </c>
      <c r="X30">
        <f>0.905332394</f>
        <v>0.90533239399999998</v>
      </c>
      <c r="Y30">
        <f>0.842817264</f>
        <v>0.84281726400000001</v>
      </c>
      <c r="Z30">
        <f>0.578867235</f>
        <v>0.57886723500000004</v>
      </c>
      <c r="AA30">
        <f>0.885764681</f>
        <v>0.88576468100000005</v>
      </c>
      <c r="AB30">
        <f>0.884497192</f>
        <v>0.88449719199999999</v>
      </c>
      <c r="AC30">
        <f>1.024966012</f>
        <v>1.0249660119999999</v>
      </c>
    </row>
    <row r="31" spans="1:29" x14ac:dyDescent="0.25">
      <c r="A31" t="str">
        <f>"    EPAM Systems Inc"</f>
        <v xml:space="preserve">    EPAM Systems Inc</v>
      </c>
      <c r="B31" t="str">
        <f>"EPAM US Equity"</f>
        <v>EPAM US Equity</v>
      </c>
      <c r="C31" t="str">
        <f t="shared" si="3"/>
        <v>RR054</v>
      </c>
      <c r="D31" t="str">
        <f t="shared" si="4"/>
        <v>QUICK_RATIO</v>
      </c>
      <c r="E31" t="str">
        <f t="shared" si="5"/>
        <v>Dynamic</v>
      </c>
      <c r="F31">
        <f ca="1">IF(AND(ISNUMBER($F$229),$B$202=1),$F$229,HLOOKUP(INDIRECT(ADDRESS(2,COLUMN())),OFFSET($R$2,0,0,ROW()-1,12),ROW()-1,FALSE))</f>
        <v>3.7474243619999998</v>
      </c>
      <c r="G31">
        <f ca="1">IF(AND(ISNUMBER($G$229),$B$202=1),$G$229,HLOOKUP(INDIRECT(ADDRESS(2,COLUMN())),OFFSET($R$2,0,0,ROW()-1,12),ROW()-1,FALSE))</f>
        <v>3.7066169100000002</v>
      </c>
      <c r="H31">
        <f ca="1">IF(AND(ISNUMBER($H$229),$B$202=1),$H$229,HLOOKUP(INDIRECT(ADDRESS(2,COLUMN())),OFFSET($R$2,0,0,ROW()-1,12),ROW()-1,FALSE))</f>
        <v>3.8281471730000001</v>
      </c>
      <c r="I31">
        <f ca="1">IF(AND(ISNUMBER($I$229),$B$202=1),$I$229,HLOOKUP(INDIRECT(ADDRESS(2,COLUMN())),OFFSET($R$2,0,0,ROW()-1,12),ROW()-1,FALSE))</f>
        <v>4.112881217</v>
      </c>
      <c r="J31">
        <f ca="1">IF(AND(ISNUMBER($J$229),$B$202=1),$J$229,HLOOKUP(INDIRECT(ADDRESS(2,COLUMN())),OFFSET($R$2,0,0,ROW()-1,12),ROW()-1,FALSE))</f>
        <v>3.7857739430000001</v>
      </c>
      <c r="K31">
        <f ca="1">IF(AND(ISNUMBER($K$229),$B$202=1),$K$229,HLOOKUP(INDIRECT(ADDRESS(2,COLUMN())),OFFSET($R$2,0,0,ROW()-1,12),ROW()-1,FALSE))</f>
        <v>4.0644106999999998</v>
      </c>
      <c r="L31">
        <f ca="1">IF(AND(ISNUMBER($L$229),$B$202=1),$L$229,HLOOKUP(INDIRECT(ADDRESS(2,COLUMN())),OFFSET($R$2,0,0,ROW()-1,12),ROW()-1,FALSE))</f>
        <v>4.3778380160000001</v>
      </c>
      <c r="M31">
        <f ca="1">IF(AND(ISNUMBER($M$229),$B$202=1),$M$229,HLOOKUP(INDIRECT(ADDRESS(2,COLUMN())),OFFSET($R$2,0,0,ROW()-1,12),ROW()-1,FALSE))</f>
        <v>4.7796550370000004</v>
      </c>
      <c r="N31">
        <f ca="1">IF(AND(ISNUMBER($N$229),$B$202=1),$N$229,HLOOKUP(INDIRECT(ADDRESS(2,COLUMN())),OFFSET($R$2,0,0,ROW()-1,12),ROW()-1,FALSE))</f>
        <v>4.4364452940000003</v>
      </c>
      <c r="O31">
        <f ca="1">IF(AND(ISNUMBER($O$229),$B$202=1),$O$229,HLOOKUP(INDIRECT(ADDRESS(2,COLUMN())),OFFSET($R$2,0,0,ROW()-1,12),ROW()-1,FALSE))</f>
        <v>4.6871750099999998</v>
      </c>
      <c r="P31">
        <f ca="1">IF(AND(ISNUMBER($P$229),$B$202=1),$P$229,HLOOKUP(INDIRECT(ADDRESS(2,COLUMN())),OFFSET($R$2,0,0,ROW()-1,12),ROW()-1,FALSE))</f>
        <v>4.6709857599999998</v>
      </c>
      <c r="Q31">
        <f ca="1">IF(AND(ISNUMBER($Q$229),$B$202=1),$Q$229,HLOOKUP(INDIRECT(ADDRESS(2,COLUMN())),OFFSET($R$2,0,0,ROW()-1,12),ROW()-1,FALSE))</f>
        <v>5.0051758560000001</v>
      </c>
      <c r="R31">
        <f>3.747424362</f>
        <v>3.7474243619999998</v>
      </c>
      <c r="S31">
        <f>3.70661691</f>
        <v>3.7066169100000002</v>
      </c>
      <c r="T31">
        <f>3.828147173</f>
        <v>3.8281471730000001</v>
      </c>
      <c r="U31">
        <f>4.112881217</f>
        <v>4.112881217</v>
      </c>
      <c r="V31">
        <f>3.785773943</f>
        <v>3.7857739430000001</v>
      </c>
      <c r="W31">
        <f>4.0644107</f>
        <v>4.0644106999999998</v>
      </c>
      <c r="X31">
        <f>4.377838016</f>
        <v>4.3778380160000001</v>
      </c>
      <c r="Y31">
        <f>4.779655037</f>
        <v>4.7796550370000004</v>
      </c>
      <c r="Z31">
        <f>4.436445294</f>
        <v>4.4364452940000003</v>
      </c>
      <c r="AA31">
        <f>4.68717501</f>
        <v>4.6871750099999998</v>
      </c>
      <c r="AB31">
        <f>4.67098576</f>
        <v>4.6709857599999998</v>
      </c>
      <c r="AC31">
        <f>5.005175856</f>
        <v>5.0051758560000001</v>
      </c>
    </row>
    <row r="32" spans="1:29" x14ac:dyDescent="0.25">
      <c r="A32" t="str">
        <f>"    Genpact Ltd"</f>
        <v xml:space="preserve">    Genpact Ltd</v>
      </c>
      <c r="B32" t="str">
        <f>"G US Equity"</f>
        <v>G US Equity</v>
      </c>
      <c r="C32" t="str">
        <f t="shared" si="3"/>
        <v>RR054</v>
      </c>
      <c r="D32" t="str">
        <f t="shared" si="4"/>
        <v>QUICK_RATIO</v>
      </c>
      <c r="E32" t="str">
        <f t="shared" si="5"/>
        <v>Dynamic</v>
      </c>
      <c r="F32">
        <f ca="1">IF(AND(ISNUMBER($F$230),$B$202=1),$F$230,HLOOKUP(INDIRECT(ADDRESS(2,COLUMN())),OFFSET($R$2,0,0,ROW()-1,12),ROW()-1,FALSE))</f>
        <v>1.3903599040000001</v>
      </c>
      <c r="G32">
        <f ca="1">IF(AND(ISNUMBER($G$230),$B$202=1),$G$230,HLOOKUP(INDIRECT(ADDRESS(2,COLUMN())),OFFSET($R$2,0,0,ROW()-1,12),ROW()-1,FALSE))</f>
        <v>1.5176162449999999</v>
      </c>
      <c r="H32">
        <f ca="1">IF(AND(ISNUMBER($H$230),$B$202=1),$H$230,HLOOKUP(INDIRECT(ADDRESS(2,COLUMN())),OFFSET($R$2,0,0,ROW()-1,12),ROW()-1,FALSE))</f>
        <v>1.2404730719999999</v>
      </c>
      <c r="I32">
        <f ca="1">IF(AND(ISNUMBER($I$230),$B$202=1),$I$230,HLOOKUP(INDIRECT(ADDRESS(2,COLUMN())),OFFSET($R$2,0,0,ROW()-1,12),ROW()-1,FALSE))</f>
        <v>1.230753894</v>
      </c>
      <c r="J32">
        <f ca="1">IF(AND(ISNUMBER($J$230),$B$202=1),$J$230,HLOOKUP(INDIRECT(ADDRESS(2,COLUMN())),OFFSET($R$2,0,0,ROW()-1,12),ROW()-1,FALSE))</f>
        <v>1.150811292</v>
      </c>
      <c r="K32">
        <f ca="1">IF(AND(ISNUMBER($K$230),$B$202=1),$K$230,HLOOKUP(INDIRECT(ADDRESS(2,COLUMN())),OFFSET($R$2,0,0,ROW()-1,12),ROW()-1,FALSE))</f>
        <v>1.1703021170000001</v>
      </c>
      <c r="L32">
        <f ca="1">IF(AND(ISNUMBER($L$230),$B$202=1),$L$230,HLOOKUP(INDIRECT(ADDRESS(2,COLUMN())),OFFSET($R$2,0,0,ROW()-1,12),ROW()-1,FALSE))</f>
        <v>1.104441818</v>
      </c>
      <c r="M32">
        <f ca="1">IF(AND(ISNUMBER($M$230),$B$202=1),$M$230,HLOOKUP(INDIRECT(ADDRESS(2,COLUMN())),OFFSET($R$2,0,0,ROW()-1,12),ROW()-1,FALSE))</f>
        <v>1.261155429</v>
      </c>
      <c r="N32">
        <f ca="1">IF(AND(ISNUMBER($N$230),$B$202=1),$N$230,HLOOKUP(INDIRECT(ADDRESS(2,COLUMN())),OFFSET($R$2,0,0,ROW()-1,12),ROW()-1,FALSE))</f>
        <v>1.293968021</v>
      </c>
      <c r="O32">
        <f ca="1">IF(AND(ISNUMBER($O$230),$B$202=1),$O$230,HLOOKUP(INDIRECT(ADDRESS(2,COLUMN())),OFFSET($R$2,0,0,ROW()-1,12),ROW()-1,FALSE))</f>
        <v>1.427725135</v>
      </c>
      <c r="P32">
        <f ca="1">IF(AND(ISNUMBER($P$230),$B$202=1),$P$230,HLOOKUP(INDIRECT(ADDRESS(2,COLUMN())),OFFSET($R$2,0,0,ROW()-1,12),ROW()-1,FALSE))</f>
        <v>1.3493809779999999</v>
      </c>
      <c r="Q32">
        <f ca="1">IF(AND(ISNUMBER($Q$230),$B$202=1),$Q$230,HLOOKUP(INDIRECT(ADDRESS(2,COLUMN())),OFFSET($R$2,0,0,ROW()-1,12),ROW()-1,FALSE))</f>
        <v>1.4079739469999999</v>
      </c>
      <c r="R32">
        <f>1.390359904</f>
        <v>1.3903599040000001</v>
      </c>
      <c r="S32">
        <f>1.517616245</f>
        <v>1.5176162449999999</v>
      </c>
      <c r="T32">
        <f>1.240473072</f>
        <v>1.2404730719999999</v>
      </c>
      <c r="U32">
        <f>1.230753894</f>
        <v>1.230753894</v>
      </c>
      <c r="V32">
        <f>1.150811292</f>
        <v>1.150811292</v>
      </c>
      <c r="W32">
        <f>1.170302117</f>
        <v>1.1703021170000001</v>
      </c>
      <c r="X32">
        <f>1.104441818</f>
        <v>1.104441818</v>
      </c>
      <c r="Y32">
        <f>1.261155429</f>
        <v>1.261155429</v>
      </c>
      <c r="Z32">
        <f>1.293968021</f>
        <v>1.293968021</v>
      </c>
      <c r="AA32">
        <f>1.427725135</f>
        <v>1.427725135</v>
      </c>
      <c r="AB32">
        <f>1.349380978</f>
        <v>1.3493809779999999</v>
      </c>
      <c r="AC32">
        <f>1.407973947</f>
        <v>1.4079739469999999</v>
      </c>
    </row>
    <row r="33" spans="1:29" x14ac:dyDescent="0.25">
      <c r="A33" t="str">
        <f>"    HCL Technologies Ltd"</f>
        <v xml:space="preserve">    HCL Technologies Ltd</v>
      </c>
      <c r="B33" t="str">
        <f>"HCLT IN Equity"</f>
        <v>HCLT IN Equity</v>
      </c>
      <c r="C33" t="str">
        <f t="shared" si="3"/>
        <v>RR054</v>
      </c>
      <c r="D33" t="str">
        <f t="shared" si="4"/>
        <v>QUICK_RATIO</v>
      </c>
      <c r="E33" t="str">
        <f t="shared" si="5"/>
        <v>Dynamic</v>
      </c>
      <c r="F33">
        <f ca="1">IF(AND(ISNUMBER($F$231),$B$202=1),$F$231,HLOOKUP(INDIRECT(ADDRESS(2,COLUMN())),OFFSET($R$2,0,0,ROW()-1,12),ROW()-1,FALSE))</f>
        <v>1.24639615</v>
      </c>
      <c r="G33">
        <f ca="1">IF(AND(ISNUMBER($G$231),$B$202=1),$G$231,HLOOKUP(INDIRECT(ADDRESS(2,COLUMN())),OFFSET($R$2,0,0,ROW()-1,12),ROW()-1,FALSE))</f>
        <v>1.280046378</v>
      </c>
      <c r="H33">
        <f ca="1">IF(AND(ISNUMBER($H$231),$B$202=1),$H$231,HLOOKUP(INDIRECT(ADDRESS(2,COLUMN())),OFFSET($R$2,0,0,ROW()-1,12),ROW()-1,FALSE))</f>
        <v>1.0726830300000001</v>
      </c>
      <c r="I33">
        <f ca="1">IF(AND(ISNUMBER($I$231),$B$202=1),$I$231,HLOOKUP(INDIRECT(ADDRESS(2,COLUMN())),OFFSET($R$2,0,0,ROW()-1,12),ROW()-1,FALSE))</f>
        <v>2.0719866069999999</v>
      </c>
      <c r="J33">
        <f ca="1">IF(AND(ISNUMBER($J$231),$B$202=1),$J$231,HLOOKUP(INDIRECT(ADDRESS(2,COLUMN())),OFFSET($R$2,0,0,ROW()-1,12),ROW()-1,FALSE))</f>
        <v>1.8839742690000001</v>
      </c>
      <c r="K33">
        <f ca="1">IF(AND(ISNUMBER($K$231),$B$202=1),$K$231,HLOOKUP(INDIRECT(ADDRESS(2,COLUMN())),OFFSET($R$2,0,0,ROW()-1,12),ROW()-1,FALSE))</f>
        <v>1.969155089</v>
      </c>
      <c r="L33">
        <f ca="1">IF(AND(ISNUMBER($L$231),$B$202=1),$L$231,HLOOKUP(INDIRECT(ADDRESS(2,COLUMN())),OFFSET($R$2,0,0,ROW()-1,12),ROW()-1,FALSE))</f>
        <v>1.816180269</v>
      </c>
      <c r="M33">
        <f ca="1">IF(AND(ISNUMBER($M$231),$B$202=1),$M$231,HLOOKUP(INDIRECT(ADDRESS(2,COLUMN())),OFFSET($R$2,0,0,ROW()-1,12),ROW()-1,FALSE))</f>
        <v>1.8715486189999999</v>
      </c>
      <c r="N33">
        <f ca="1">IF(AND(ISNUMBER($N$231),$B$202=1),$N$231,HLOOKUP(INDIRECT(ADDRESS(2,COLUMN())),OFFSET($R$2,0,0,ROW()-1,12),ROW()-1,FALSE))</f>
        <v>1.5839517169999999</v>
      </c>
      <c r="O33">
        <f ca="1">IF(AND(ISNUMBER($O$231),$B$202=1),$O$231,HLOOKUP(INDIRECT(ADDRESS(2,COLUMN())),OFFSET($R$2,0,0,ROW()-1,12),ROW()-1,FALSE))</f>
        <v>1.802334681</v>
      </c>
      <c r="P33">
        <f ca="1">IF(AND(ISNUMBER($P$231),$B$202=1),$P$231,HLOOKUP(INDIRECT(ADDRESS(2,COLUMN())),OFFSET($R$2,0,0,ROW()-1,12),ROW()-1,FALSE))</f>
        <v>1.738915655</v>
      </c>
      <c r="Q33">
        <f ca="1">IF(AND(ISNUMBER($Q$231),$B$202=1),$Q$231,HLOOKUP(INDIRECT(ADDRESS(2,COLUMN())),OFFSET($R$2,0,0,ROW()-1,12),ROW()-1,FALSE))</f>
        <v>1.824259734</v>
      </c>
      <c r="R33">
        <f>1.24639615</f>
        <v>1.24639615</v>
      </c>
      <c r="S33">
        <f>1.280046378</f>
        <v>1.280046378</v>
      </c>
      <c r="T33">
        <f>1.07268303</f>
        <v>1.0726830300000001</v>
      </c>
      <c r="U33">
        <f>2.071986607</f>
        <v>2.0719866069999999</v>
      </c>
      <c r="V33">
        <f>1.883974269</f>
        <v>1.8839742690000001</v>
      </c>
      <c r="W33">
        <f>1.969155089</f>
        <v>1.969155089</v>
      </c>
      <c r="X33">
        <f>1.816180269</f>
        <v>1.816180269</v>
      </c>
      <c r="Y33">
        <f>1.871548619</f>
        <v>1.8715486189999999</v>
      </c>
      <c r="Z33">
        <f>1.583951717</f>
        <v>1.5839517169999999</v>
      </c>
      <c r="AA33">
        <f>1.802334681</f>
        <v>1.802334681</v>
      </c>
      <c r="AB33">
        <f>1.738915655</f>
        <v>1.738915655</v>
      </c>
      <c r="AC33">
        <f>1.824259734</f>
        <v>1.824259734</v>
      </c>
    </row>
    <row r="34" spans="1:29" x14ac:dyDescent="0.25">
      <c r="A34" t="str">
        <f>"    Indra Sistemas SA"</f>
        <v xml:space="preserve">    Indra Sistemas SA</v>
      </c>
      <c r="B34" t="str">
        <f>"IDR SM Equity"</f>
        <v>IDR SM Equity</v>
      </c>
      <c r="C34" t="str">
        <f t="shared" si="3"/>
        <v>RR054</v>
      </c>
      <c r="D34" t="str">
        <f t="shared" si="4"/>
        <v>QUICK_RATIO</v>
      </c>
      <c r="E34" t="str">
        <f t="shared" si="5"/>
        <v>Dynamic</v>
      </c>
      <c r="F34">
        <f ca="1">IF(AND(ISNUMBER($F$232),$B$202=1),$F$232,HLOOKUP(INDIRECT(ADDRESS(2,COLUMN())),OFFSET($R$2,0,0,ROW()-1,12),ROW()-1,FALSE))</f>
        <v>0.44389715800000001</v>
      </c>
      <c r="G34">
        <f ca="1">IF(AND(ISNUMBER($G$232),$B$202=1),$G$232,HLOOKUP(INDIRECT(ADDRESS(2,COLUMN())),OFFSET($R$2,0,0,ROW()-1,12),ROW()-1,FALSE))</f>
        <v>1.0091132389999999</v>
      </c>
      <c r="H34">
        <f ca="1">IF(AND(ISNUMBER($H$232),$B$202=1),$H$232,HLOOKUP(INDIRECT(ADDRESS(2,COLUMN())),OFFSET($R$2,0,0,ROW()-1,12),ROW()-1,FALSE))</f>
        <v>0.435705224</v>
      </c>
      <c r="I34">
        <f ca="1">IF(AND(ISNUMBER($I$232),$B$202=1),$I$232,HLOOKUP(INDIRECT(ADDRESS(2,COLUMN())),OFFSET($R$2,0,0,ROW()-1,12),ROW()-1,FALSE))</f>
        <v>1.048172839</v>
      </c>
      <c r="J34">
        <f ca="1">IF(AND(ISNUMBER($J$232),$B$202=1),$J$232,HLOOKUP(INDIRECT(ADDRESS(2,COLUMN())),OFFSET($R$2,0,0,ROW()-1,12),ROW()-1,FALSE))</f>
        <v>0.48299671999999999</v>
      </c>
      <c r="K34">
        <f ca="1">IF(AND(ISNUMBER($K$232),$B$202=1),$K$232,HLOOKUP(INDIRECT(ADDRESS(2,COLUMN())),OFFSET($R$2,0,0,ROW()-1,12),ROW()-1,FALSE))</f>
        <v>1.041017898</v>
      </c>
      <c r="L34">
        <f ca="1">IF(AND(ISNUMBER($L$232),$B$202=1),$L$232,HLOOKUP(INDIRECT(ADDRESS(2,COLUMN())),OFFSET($R$2,0,0,ROW()-1,12),ROW()-1,FALSE))</f>
        <v>0.47051078099999999</v>
      </c>
      <c r="M34">
        <f ca="1">IF(AND(ISNUMBER($M$232),$B$202=1),$M$232,HLOOKUP(INDIRECT(ADDRESS(2,COLUMN())),OFFSET($R$2,0,0,ROW()-1,12),ROW()-1,FALSE))</f>
        <v>1.0024260469999999</v>
      </c>
      <c r="N34">
        <f ca="1">IF(AND(ISNUMBER($N$232),$B$202=1),$N$232,HLOOKUP(INDIRECT(ADDRESS(2,COLUMN())),OFFSET($R$2,0,0,ROW()-1,12),ROW()-1,FALSE))</f>
        <v>0.38517761299999997</v>
      </c>
      <c r="O34">
        <f ca="1">IF(AND(ISNUMBER($O$232),$B$202=1),$O$232,HLOOKUP(INDIRECT(ADDRESS(2,COLUMN())),OFFSET($R$2,0,0,ROW()-1,12),ROW()-1,FALSE))</f>
        <v>0.97021997299999996</v>
      </c>
      <c r="P34">
        <f ca="1">IF(AND(ISNUMBER($P$232),$B$202=1),$P$232,HLOOKUP(INDIRECT(ADDRESS(2,COLUMN())),OFFSET($R$2,0,0,ROW()-1,12),ROW()-1,FALSE))</f>
        <v>1.159451496</v>
      </c>
      <c r="Q34">
        <f ca="1">IF(AND(ISNUMBER($Q$232),$B$202=1),$Q$232,HLOOKUP(INDIRECT(ADDRESS(2,COLUMN())),OFFSET($R$2,0,0,ROW()-1,12),ROW()-1,FALSE))</f>
        <v>1.080401851</v>
      </c>
      <c r="R34">
        <f>0.443897158</f>
        <v>0.44389715800000001</v>
      </c>
      <c r="S34">
        <f>1.009113239</f>
        <v>1.0091132389999999</v>
      </c>
      <c r="T34">
        <f>0.435705224</f>
        <v>0.435705224</v>
      </c>
      <c r="U34">
        <f>1.048172839</f>
        <v>1.048172839</v>
      </c>
      <c r="V34">
        <f>0.48299672</f>
        <v>0.48299671999999999</v>
      </c>
      <c r="W34">
        <f>1.041017898</f>
        <v>1.041017898</v>
      </c>
      <c r="X34">
        <f>0.470510781</f>
        <v>0.47051078099999999</v>
      </c>
      <c r="Y34">
        <f>1.002426047</f>
        <v>1.0024260469999999</v>
      </c>
      <c r="Z34">
        <f>0.385177613</f>
        <v>0.38517761299999997</v>
      </c>
      <c r="AA34">
        <f>0.970219973</f>
        <v>0.97021997299999996</v>
      </c>
      <c r="AB34">
        <f>1.159451496</f>
        <v>1.159451496</v>
      </c>
      <c r="AC34">
        <f>1.080401851</f>
        <v>1.080401851</v>
      </c>
    </row>
    <row r="35" spans="1:29" x14ac:dyDescent="0.25">
      <c r="A35" t="str">
        <f>"    Infosys Ltd"</f>
        <v xml:space="preserve">    Infosys Ltd</v>
      </c>
      <c r="B35" t="str">
        <f>"INFY US Equity"</f>
        <v>INFY US Equity</v>
      </c>
      <c r="C35" t="str">
        <f t="shared" si="3"/>
        <v>RR054</v>
      </c>
      <c r="D35" t="str">
        <f t="shared" si="4"/>
        <v>QUICK_RATIO</v>
      </c>
      <c r="E35" t="str">
        <f t="shared" si="5"/>
        <v>Dynamic</v>
      </c>
      <c r="F35">
        <f ca="1">IF(AND(ISNUMBER($F$233),$B$202=1),$F$233,HLOOKUP(INDIRECT(ADDRESS(2,COLUMN())),OFFSET($R$2,0,0,ROW()-1,12),ROW()-1,FALSE))</f>
        <v>2.0037878789999999</v>
      </c>
      <c r="G35">
        <f ca="1">IF(AND(ISNUMBER($G$233),$B$202=1),$G$233,HLOOKUP(INDIRECT(ADDRESS(2,COLUMN())),OFFSET($R$2,0,0,ROW()-1,12),ROW()-1,FALSE))</f>
        <v>1.920761886</v>
      </c>
      <c r="H35">
        <f ca="1">IF(AND(ISNUMBER($H$233),$B$202=1),$H$233,HLOOKUP(INDIRECT(ADDRESS(2,COLUMN())),OFFSET($R$2,0,0,ROW()-1,12),ROW()-1,FALSE))</f>
        <v>1.8763208579999999</v>
      </c>
      <c r="I35">
        <f ca="1">IF(AND(ISNUMBER($I$233),$B$202=1),$I$233,HLOOKUP(INDIRECT(ADDRESS(2,COLUMN())),OFFSET($R$2,0,0,ROW()-1,12),ROW()-1,FALSE))</f>
        <v>1.540888926</v>
      </c>
      <c r="J35">
        <f ca="1">IF(AND(ISNUMBER($J$233),$B$202=1),$J$233,HLOOKUP(INDIRECT(ADDRESS(2,COLUMN())),OFFSET($R$2,0,0,ROW()-1,12),ROW()-1,FALSE))</f>
        <v>2.20098723</v>
      </c>
      <c r="K35">
        <f ca="1">IF(AND(ISNUMBER($K$233),$B$202=1),$K$233,HLOOKUP(INDIRECT(ADDRESS(2,COLUMN())),OFFSET($R$2,0,0,ROW()-1,12),ROW()-1,FALSE))</f>
        <v>2.4488240550000002</v>
      </c>
      <c r="L35">
        <f ca="1">IF(AND(ISNUMBER($L$233),$B$202=1),$L$233,HLOOKUP(INDIRECT(ADDRESS(2,COLUMN())),OFFSET($R$2,0,0,ROW()-1,12),ROW()-1,FALSE))</f>
        <v>2.5458689460000001</v>
      </c>
      <c r="M35">
        <f ca="1">IF(AND(ISNUMBER($M$233),$B$202=1),$M$233,HLOOKUP(INDIRECT(ADDRESS(2,COLUMN())),OFFSET($R$2,0,0,ROW()-1,12),ROW()-1,FALSE))</f>
        <v>2.2427119869999999</v>
      </c>
      <c r="N35">
        <f ca="1">IF(AND(ISNUMBER($N$233),$B$202=1),$N$233,HLOOKUP(INDIRECT(ADDRESS(2,COLUMN())),OFFSET($R$2,0,0,ROW()-1,12),ROW()-1,FALSE))</f>
        <v>2.7909961010000002</v>
      </c>
      <c r="O35">
        <f ca="1">IF(AND(ISNUMBER($O$233),$B$202=1),$O$233,HLOOKUP(INDIRECT(ADDRESS(2,COLUMN())),OFFSET($R$2,0,0,ROW()-1,12),ROW()-1,FALSE))</f>
        <v>2.5771692750000001</v>
      </c>
      <c r="P35">
        <f ca="1">IF(AND(ISNUMBER($P$233),$B$202=1),$P$233,HLOOKUP(INDIRECT(ADDRESS(2,COLUMN())),OFFSET($R$2,0,0,ROW()-1,12),ROW()-1,FALSE))</f>
        <v>3.0966679340000001</v>
      </c>
      <c r="Q35">
        <f ca="1">IF(AND(ISNUMBER($Q$233),$B$202=1),$Q$233,HLOOKUP(INDIRECT(ADDRESS(2,COLUMN())),OFFSET($R$2,0,0,ROW()-1,12),ROW()-1,FALSE))</f>
        <v>2.8221758609999998</v>
      </c>
      <c r="R35">
        <f>2.003787879</f>
        <v>2.0037878789999999</v>
      </c>
      <c r="S35">
        <f>1.920761886</f>
        <v>1.920761886</v>
      </c>
      <c r="T35">
        <f>1.876320858</f>
        <v>1.8763208579999999</v>
      </c>
      <c r="U35">
        <f>1.540888926</f>
        <v>1.540888926</v>
      </c>
      <c r="V35">
        <f>2.20098723</f>
        <v>2.20098723</v>
      </c>
      <c r="W35">
        <f>2.448824055</f>
        <v>2.4488240550000002</v>
      </c>
      <c r="X35">
        <f>2.545868946</f>
        <v>2.5458689460000001</v>
      </c>
      <c r="Y35">
        <f>2.242711987</f>
        <v>2.2427119869999999</v>
      </c>
      <c r="Z35">
        <f>2.790996101</f>
        <v>2.7909961010000002</v>
      </c>
      <c r="AA35">
        <f>2.577169275</f>
        <v>2.5771692750000001</v>
      </c>
      <c r="AB35">
        <f>3.096667934</f>
        <v>3.0966679340000001</v>
      </c>
      <c r="AC35">
        <f>2.822175861</f>
        <v>2.8221758609999998</v>
      </c>
    </row>
    <row r="36" spans="1:29" x14ac:dyDescent="0.25">
      <c r="A36" t="str">
        <f>"    International Business Machines Corp"</f>
        <v xml:space="preserve">    International Business Machines Corp</v>
      </c>
      <c r="B36" t="str">
        <f>"IBM US Equity"</f>
        <v>IBM US Equity</v>
      </c>
      <c r="C36" t="str">
        <f t="shared" si="3"/>
        <v>RR054</v>
      </c>
      <c r="D36" t="str">
        <f t="shared" si="4"/>
        <v>QUICK_RATIO</v>
      </c>
      <c r="E36" t="str">
        <f t="shared" si="5"/>
        <v>Dynamic</v>
      </c>
      <c r="F36">
        <f ca="1">IF(AND(ISNUMBER($F$234),$B$202=1),$F$234,HLOOKUP(INDIRECT(ADDRESS(2,COLUMN())),OFFSET($R$2,0,0,ROW()-1,12),ROW()-1,FALSE))</f>
        <v>0.76016030300000004</v>
      </c>
      <c r="G36">
        <f ca="1">IF(AND(ISNUMBER($G$234),$B$202=1),$G$234,HLOOKUP(INDIRECT(ADDRESS(2,COLUMN())),OFFSET($R$2,0,0,ROW()-1,12),ROW()-1,FALSE))</f>
        <v>0.82040264200000002</v>
      </c>
      <c r="H36">
        <f ca="1">IF(AND(ISNUMBER($H$234),$B$202=1),$H$234,HLOOKUP(INDIRECT(ADDRESS(2,COLUMN())),OFFSET($R$2,0,0,ROW()-1,12),ROW()-1,FALSE))</f>
        <v>0.85276336100000005</v>
      </c>
      <c r="I36">
        <f ca="1">IF(AND(ISNUMBER($I$234),$B$202=1),$I$234,HLOOKUP(INDIRECT(ADDRESS(2,COLUMN())),OFFSET($R$2,0,0,ROW()-1,12),ROW()-1,FALSE))</f>
        <v>1.6346721449999999</v>
      </c>
      <c r="J36">
        <f ca="1">IF(AND(ISNUMBER($J$234),$B$202=1),$J$234,HLOOKUP(INDIRECT(ADDRESS(2,COLUMN())),OFFSET($R$2,0,0,ROW()-1,12),ROW()-1,FALSE))</f>
        <v>1.1648787009999999</v>
      </c>
      <c r="K36">
        <f ca="1">IF(AND(ISNUMBER($K$234),$B$202=1),$K$234,HLOOKUP(INDIRECT(ADDRESS(2,COLUMN())),OFFSET($R$2,0,0,ROW()-1,12),ROW()-1,FALSE))</f>
        <v>1.0939126800000001</v>
      </c>
      <c r="L36">
        <f ca="1">IF(AND(ISNUMBER($L$234),$B$202=1),$L$234,HLOOKUP(INDIRECT(ADDRESS(2,COLUMN())),OFFSET($R$2,0,0,ROW()-1,12),ROW()-1,FALSE))</f>
        <v>1.1084406060000001</v>
      </c>
      <c r="M36">
        <f ca="1">IF(AND(ISNUMBER($M$234),$B$202=1),$M$234,HLOOKUP(INDIRECT(ADDRESS(2,COLUMN())),OFFSET($R$2,0,0,ROW()-1,12),ROW()-1,FALSE))</f>
        <v>1.0992043339999999</v>
      </c>
      <c r="N36">
        <f ca="1">IF(AND(ISNUMBER($N$234),$B$202=1),$N$234,HLOOKUP(INDIRECT(ADDRESS(2,COLUMN())),OFFSET($R$2,0,0,ROW()-1,12),ROW()-1,FALSE))</f>
        <v>1.1436207430000001</v>
      </c>
      <c r="O36">
        <f ca="1">IF(AND(ISNUMBER($O$234),$B$202=1),$O$234,HLOOKUP(INDIRECT(ADDRESS(2,COLUMN())),OFFSET($R$2,0,0,ROW()-1,12),ROW()-1,FALSE))</f>
        <v>1.157000241</v>
      </c>
      <c r="P36">
        <f ca="1">IF(AND(ISNUMBER($P$234),$B$202=1),$P$234,HLOOKUP(INDIRECT(ADDRESS(2,COLUMN())),OFFSET($R$2,0,0,ROW()-1,12),ROW()-1,FALSE))</f>
        <v>1.1898602389999999</v>
      </c>
      <c r="Q36">
        <f ca="1">IF(AND(ISNUMBER($Q$234),$B$202=1),$Q$234,HLOOKUP(INDIRECT(ADDRESS(2,COLUMN())),OFFSET($R$2,0,0,ROW()-1,12),ROW()-1,FALSE))</f>
        <v>1.063754657</v>
      </c>
      <c r="R36">
        <f>0.760160303</f>
        <v>0.76016030300000004</v>
      </c>
      <c r="S36">
        <f>0.820402642</f>
        <v>0.82040264200000002</v>
      </c>
      <c r="T36">
        <f>0.852763361</f>
        <v>0.85276336100000005</v>
      </c>
      <c r="U36">
        <f>1.634672145</f>
        <v>1.6346721449999999</v>
      </c>
      <c r="V36">
        <f>1.164878701</f>
        <v>1.1648787009999999</v>
      </c>
      <c r="W36">
        <f>1.09391268</f>
        <v>1.0939126800000001</v>
      </c>
      <c r="X36">
        <f>1.108440606</f>
        <v>1.1084406060000001</v>
      </c>
      <c r="Y36">
        <f>1.099204334</f>
        <v>1.0992043339999999</v>
      </c>
      <c r="Z36">
        <f>1.143620743</f>
        <v>1.1436207430000001</v>
      </c>
      <c r="AA36">
        <f>1.157000241</f>
        <v>1.157000241</v>
      </c>
      <c r="AB36">
        <f>1.189860239</f>
        <v>1.1898602389999999</v>
      </c>
      <c r="AC36">
        <f>1.063754657</f>
        <v>1.063754657</v>
      </c>
    </row>
    <row r="37" spans="1:29" x14ac:dyDescent="0.25">
      <c r="A37" t="str">
        <f>"    Tata Consultancy Services Ltd"</f>
        <v xml:space="preserve">    Tata Consultancy Services Ltd</v>
      </c>
      <c r="B37" t="str">
        <f>"TCS IN Equity"</f>
        <v>TCS IN Equity</v>
      </c>
      <c r="C37" t="str">
        <f t="shared" si="3"/>
        <v>RR054</v>
      </c>
      <c r="D37" t="str">
        <f t="shared" si="4"/>
        <v>QUICK_RATIO</v>
      </c>
      <c r="E37" t="str">
        <f t="shared" si="5"/>
        <v>Dynamic</v>
      </c>
      <c r="F37">
        <f ca="1">IF(AND(ISNUMBER($F$235),$B$202=1),$F$235,HLOOKUP(INDIRECT(ADDRESS(2,COLUMN())),OFFSET($R$2,0,0,ROW()-1,12),ROW()-1,FALSE))</f>
        <v>2.4435698449999999</v>
      </c>
      <c r="G37">
        <f ca="1">IF(AND(ISNUMBER($G$235),$B$202=1),$G$235,HLOOKUP(INDIRECT(ADDRESS(2,COLUMN())),OFFSET($R$2,0,0,ROW()-1,12),ROW()-1,FALSE))</f>
        <v>2.650024062</v>
      </c>
      <c r="H37">
        <f ca="1">IF(AND(ISNUMBER($H$235),$B$202=1),$H$235,HLOOKUP(INDIRECT(ADDRESS(2,COLUMN())),OFFSET($R$2,0,0,ROW()-1,12),ROW()-1,FALSE))</f>
        <v>3.1084312079999998</v>
      </c>
      <c r="I37">
        <f ca="1">IF(AND(ISNUMBER($I$235),$B$202=1),$I$235,HLOOKUP(INDIRECT(ADDRESS(2,COLUMN())),OFFSET($R$2,0,0,ROW()-1,12),ROW()-1,FALSE))</f>
        <v>2.8882104659999999</v>
      </c>
      <c r="J37">
        <f ca="1">IF(AND(ISNUMBER($J$235),$B$202=1),$J$235,HLOOKUP(INDIRECT(ADDRESS(2,COLUMN())),OFFSET($R$2,0,0,ROW()-1,12),ROW()-1,FALSE))</f>
        <v>3.1284640459999999</v>
      </c>
      <c r="K37">
        <f ca="1">IF(AND(ISNUMBER($K$235),$B$202=1),$K$235,HLOOKUP(INDIRECT(ADDRESS(2,COLUMN())),OFFSET($R$2,0,0,ROW()-1,12),ROW()-1,FALSE))</f>
        <v>2.9952250380000001</v>
      </c>
      <c r="L37">
        <f ca="1">IF(AND(ISNUMBER($L$235),$B$202=1),$L$235,HLOOKUP(INDIRECT(ADDRESS(2,COLUMN())),OFFSET($R$2,0,0,ROW()-1,12),ROW()-1,FALSE))</f>
        <v>2.7716325899999998</v>
      </c>
      <c r="M37">
        <f ca="1">IF(AND(ISNUMBER($M$235),$B$202=1),$M$235,HLOOKUP(INDIRECT(ADDRESS(2,COLUMN())),OFFSET($R$2,0,0,ROW()-1,12),ROW()-1,FALSE))</f>
        <v>3.1618703300000002</v>
      </c>
      <c r="N37">
        <f ca="1">IF(AND(ISNUMBER($N$235),$B$202=1),$N$235,HLOOKUP(INDIRECT(ADDRESS(2,COLUMN())),OFFSET($R$2,0,0,ROW()-1,12),ROW()-1,FALSE))</f>
        <v>3.7911711910000001</v>
      </c>
      <c r="O37">
        <f ca="1">IF(AND(ISNUMBER($O$235),$B$202=1),$O$235,HLOOKUP(INDIRECT(ADDRESS(2,COLUMN())),OFFSET($R$2,0,0,ROW()-1,12),ROW()-1,FALSE))</f>
        <v>3.7718050230000002</v>
      </c>
      <c r="P37">
        <f ca="1">IF(AND(ISNUMBER($P$235),$B$202=1),$P$235,HLOOKUP(INDIRECT(ADDRESS(2,COLUMN())),OFFSET($R$2,0,0,ROW()-1,12),ROW()-1,FALSE))</f>
        <v>3.570483367</v>
      </c>
      <c r="Q37">
        <f ca="1">IF(AND(ISNUMBER($Q$235),$B$202=1),$Q$235,HLOOKUP(INDIRECT(ADDRESS(2,COLUMN())),OFFSET($R$2,0,0,ROW()-1,12),ROW()-1,FALSE))</f>
        <v>3.607149937</v>
      </c>
      <c r="R37">
        <f>2.443569845</f>
        <v>2.4435698449999999</v>
      </c>
      <c r="S37">
        <f>2.650024062</f>
        <v>2.650024062</v>
      </c>
      <c r="T37">
        <f>3.108431208</f>
        <v>3.1084312079999998</v>
      </c>
      <c r="U37">
        <f>2.888210466</f>
        <v>2.8882104659999999</v>
      </c>
      <c r="V37">
        <f>3.128464046</f>
        <v>3.1284640459999999</v>
      </c>
      <c r="W37">
        <f>2.995225038</f>
        <v>2.9952250380000001</v>
      </c>
      <c r="X37">
        <f>2.77163259</f>
        <v>2.7716325899999998</v>
      </c>
      <c r="Y37">
        <f>3.16187033</f>
        <v>3.1618703300000002</v>
      </c>
      <c r="Z37">
        <f>3.791171191</f>
        <v>3.7911711910000001</v>
      </c>
      <c r="AA37">
        <f>3.771805023</f>
        <v>3.7718050230000002</v>
      </c>
      <c r="AB37">
        <f>3.570483367</f>
        <v>3.570483367</v>
      </c>
      <c r="AC37">
        <f>3.607149937</f>
        <v>3.607149937</v>
      </c>
    </row>
    <row r="38" spans="1:29" x14ac:dyDescent="0.25">
      <c r="A38" t="str">
        <f>"    Tech Mahindra Ltd"</f>
        <v xml:space="preserve">    Tech Mahindra Ltd</v>
      </c>
      <c r="B38" t="str">
        <f>"TECHM IN Equity"</f>
        <v>TECHM IN Equity</v>
      </c>
      <c r="C38" t="str">
        <f t="shared" si="3"/>
        <v>RR054</v>
      </c>
      <c r="D38" t="str">
        <f t="shared" si="4"/>
        <v>QUICK_RATIO</v>
      </c>
      <c r="E38" t="str">
        <f t="shared" si="5"/>
        <v>Dynamic</v>
      </c>
      <c r="F38">
        <f ca="1">IF(AND(ISNUMBER($F$236),$B$202=1),$F$236,HLOOKUP(INDIRECT(ADDRESS(2,COLUMN())),OFFSET($R$2,0,0,ROW()-1,12),ROW()-1,FALSE))</f>
        <v>1.495347078</v>
      </c>
      <c r="G38">
        <f ca="1">IF(AND(ISNUMBER($G$236),$B$202=1),$G$236,HLOOKUP(INDIRECT(ADDRESS(2,COLUMN())),OFFSET($R$2,0,0,ROW()-1,12),ROW()-1,FALSE))</f>
        <v>1.4483330029999999</v>
      </c>
      <c r="H38">
        <f ca="1">IF(AND(ISNUMBER($H$236),$B$202=1),$H$236,HLOOKUP(INDIRECT(ADDRESS(2,COLUMN())),OFFSET($R$2,0,0,ROW()-1,12),ROW()-1,FALSE))</f>
        <v>1.4044961359999999</v>
      </c>
      <c r="I38">
        <f ca="1">IF(AND(ISNUMBER($I$236),$B$202=1),$I$236,HLOOKUP(INDIRECT(ADDRESS(2,COLUMN())),OFFSET($R$2,0,0,ROW()-1,12),ROW()-1,FALSE))</f>
        <v>1.408351336</v>
      </c>
      <c r="J38">
        <f ca="1">IF(AND(ISNUMBER($J$236),$B$202=1),$J$236,HLOOKUP(INDIRECT(ADDRESS(2,COLUMN())),OFFSET($R$2,0,0,ROW()-1,12),ROW()-1,FALSE))</f>
        <v>1.3524512179999999</v>
      </c>
      <c r="K38">
        <f ca="1">IF(AND(ISNUMBER($K$236),$B$202=1),$K$236,HLOOKUP(INDIRECT(ADDRESS(2,COLUMN())),OFFSET($R$2,0,0,ROW()-1,12),ROW()-1,FALSE))</f>
        <v>1.428480338</v>
      </c>
      <c r="L38">
        <f ca="1">IF(AND(ISNUMBER($L$236),$B$202=1),$L$236,HLOOKUP(INDIRECT(ADDRESS(2,COLUMN())),OFFSET($R$2,0,0,ROW()-1,12),ROW()-1,FALSE))</f>
        <v>1.273807554</v>
      </c>
      <c r="M38">
        <f ca="1">IF(AND(ISNUMBER($M$236),$B$202=1),$M$236,HLOOKUP(INDIRECT(ADDRESS(2,COLUMN())),OFFSET($R$2,0,0,ROW()-1,12),ROW()-1,FALSE))</f>
        <v>1.4833943190000001</v>
      </c>
      <c r="N38">
        <f ca="1">IF(AND(ISNUMBER($N$236),$B$202=1),$N$236,HLOOKUP(INDIRECT(ADDRESS(2,COLUMN())),OFFSET($R$2,0,0,ROW()-1,12),ROW()-1,FALSE))</f>
        <v>1.4147544030000001</v>
      </c>
      <c r="O38">
        <f ca="1">IF(AND(ISNUMBER($O$236),$B$202=1),$O$236,HLOOKUP(INDIRECT(ADDRESS(2,COLUMN())),OFFSET($R$2,0,0,ROW()-1,12),ROW()-1,FALSE))</f>
        <v>1.4096705869999999</v>
      </c>
      <c r="P38">
        <f ca="1">IF(AND(ISNUMBER($P$236),$B$202=1),$P$236,HLOOKUP(INDIRECT(ADDRESS(2,COLUMN())),OFFSET($R$2,0,0,ROW()-1,12),ROW()-1,FALSE))</f>
        <v>1.420948589</v>
      </c>
      <c r="Q38">
        <f ca="1">IF(AND(ISNUMBER($Q$236),$B$202=1),$Q$236,HLOOKUP(INDIRECT(ADDRESS(2,COLUMN())),OFFSET($R$2,0,0,ROW()-1,12),ROW()-1,FALSE))</f>
        <v>1.381684973</v>
      </c>
      <c r="R38">
        <f>1.495347078</f>
        <v>1.495347078</v>
      </c>
      <c r="S38">
        <f>1.448333003</f>
        <v>1.4483330029999999</v>
      </c>
      <c r="T38">
        <f>1.404496136</f>
        <v>1.4044961359999999</v>
      </c>
      <c r="U38">
        <f>1.408351336</f>
        <v>1.408351336</v>
      </c>
      <c r="V38">
        <f>1.352451218</f>
        <v>1.3524512179999999</v>
      </c>
      <c r="W38">
        <f>1.428480338</f>
        <v>1.428480338</v>
      </c>
      <c r="X38">
        <f>1.273807554</f>
        <v>1.273807554</v>
      </c>
      <c r="Y38">
        <f>1.483394319</f>
        <v>1.4833943190000001</v>
      </c>
      <c r="Z38">
        <f>1.414754403</f>
        <v>1.4147544030000001</v>
      </c>
      <c r="AA38">
        <f>1.409670587</f>
        <v>1.4096705869999999</v>
      </c>
      <c r="AB38">
        <f>1.420948589</f>
        <v>1.420948589</v>
      </c>
      <c r="AC38">
        <f>1.381684973</f>
        <v>1.381684973</v>
      </c>
    </row>
    <row r="39" spans="1:29" x14ac:dyDescent="0.25">
      <c r="A39" t="str">
        <f>"    Wipro Ltd"</f>
        <v xml:space="preserve">    Wipro Ltd</v>
      </c>
      <c r="B39" t="str">
        <f>"WIT US Equity"</f>
        <v>WIT US Equity</v>
      </c>
      <c r="C39" t="str">
        <f t="shared" si="3"/>
        <v>RR054</v>
      </c>
      <c r="D39" t="str">
        <f t="shared" si="4"/>
        <v>QUICK_RATIO</v>
      </c>
      <c r="E39" t="str">
        <f t="shared" si="5"/>
        <v>Dynamic</v>
      </c>
      <c r="F39">
        <f ca="1">IF(AND(ISNUMBER($F$237),$B$202=1),$F$237,HLOOKUP(INDIRECT(ADDRESS(2,COLUMN())),OFFSET($R$2,0,0,ROW()-1,12),ROW()-1,FALSE))</f>
        <v>2.0269047520000001</v>
      </c>
      <c r="G39">
        <f ca="1">IF(AND(ISNUMBER($G$237),$B$202=1),$G$237,HLOOKUP(INDIRECT(ADDRESS(2,COLUMN())),OFFSET($R$2,0,0,ROW()-1,12),ROW()-1,FALSE))</f>
        <v>2.0918483170000002</v>
      </c>
      <c r="H39">
        <f ca="1">IF(AND(ISNUMBER($H$237),$B$202=1),$H$237,HLOOKUP(INDIRECT(ADDRESS(2,COLUMN())),OFFSET($R$2,0,0,ROW()-1,12),ROW()-1,FALSE))</f>
        <v>1.991671336</v>
      </c>
      <c r="I39">
        <f ca="1">IF(AND(ISNUMBER($I$237),$B$202=1),$I$237,HLOOKUP(INDIRECT(ADDRESS(2,COLUMN())),OFFSET($R$2,0,0,ROW()-1,12),ROW()-1,FALSE))</f>
        <v>2.3061135720000001</v>
      </c>
      <c r="J39">
        <f ca="1">IF(AND(ISNUMBER($J$237),$B$202=1),$J$237,HLOOKUP(INDIRECT(ADDRESS(2,COLUMN())),OFFSET($R$2,0,0,ROW()-1,12),ROW()-1,FALSE))</f>
        <v>2.23808724</v>
      </c>
      <c r="K39">
        <f ca="1">IF(AND(ISNUMBER($K$237),$B$202=1),$K$237,HLOOKUP(INDIRECT(ADDRESS(2,COLUMN())),OFFSET($R$2,0,0,ROW()-1,12),ROW()-1,FALSE))</f>
        <v>2.355722874</v>
      </c>
      <c r="L39">
        <f ca="1">IF(AND(ISNUMBER($L$237),$B$202=1),$L$237,HLOOKUP(INDIRECT(ADDRESS(2,COLUMN())),OFFSET($R$2,0,0,ROW()-1,12),ROW()-1,FALSE))</f>
        <v>2.0758196820000001</v>
      </c>
      <c r="M39">
        <f ca="1">IF(AND(ISNUMBER($M$237),$B$202=1),$M$237,HLOOKUP(INDIRECT(ADDRESS(2,COLUMN())),OFFSET($R$2,0,0,ROW()-1,12),ROW()-1,FALSE))</f>
        <v>2.1063050109999999</v>
      </c>
      <c r="N39">
        <f ca="1">IF(AND(ISNUMBER($N$237),$B$202=1),$N$237,HLOOKUP(INDIRECT(ADDRESS(2,COLUMN())),OFFSET($R$2,0,0,ROW()-1,12),ROW()-1,FALSE))</f>
        <v>1.8500985919999999</v>
      </c>
      <c r="O39">
        <f ca="1">IF(AND(ISNUMBER($O$237),$B$202=1),$O$237,HLOOKUP(INDIRECT(ADDRESS(2,COLUMN())),OFFSET($R$2,0,0,ROW()-1,12),ROW()-1,FALSE))</f>
        <v>1.7614368439999999</v>
      </c>
      <c r="P39">
        <f ca="1">IF(AND(ISNUMBER($P$237),$B$202=1),$P$237,HLOOKUP(INDIRECT(ADDRESS(2,COLUMN())),OFFSET($R$2,0,0,ROW()-1,12),ROW()-1,FALSE))</f>
        <v>2.1383949069999999</v>
      </c>
      <c r="Q39">
        <f ca="1">IF(AND(ISNUMBER($Q$237),$B$202=1),$Q$237,HLOOKUP(INDIRECT(ADDRESS(2,COLUMN())),OFFSET($R$2,0,0,ROW()-1,12),ROW()-1,FALSE))</f>
        <v>2.0055259940000001</v>
      </c>
      <c r="R39">
        <f>2.026904752</f>
        <v>2.0269047520000001</v>
      </c>
      <c r="S39">
        <f>2.091848317</f>
        <v>2.0918483170000002</v>
      </c>
      <c r="T39">
        <f>1.991671336</f>
        <v>1.991671336</v>
      </c>
      <c r="U39">
        <f>2.306113572</f>
        <v>2.3061135720000001</v>
      </c>
      <c r="V39">
        <f>2.23808724</f>
        <v>2.23808724</v>
      </c>
      <c r="W39">
        <f>2.355722874</f>
        <v>2.355722874</v>
      </c>
      <c r="X39">
        <f>2.075819682</f>
        <v>2.0758196820000001</v>
      </c>
      <c r="Y39">
        <f>2.106305011</f>
        <v>2.1063050109999999</v>
      </c>
      <c r="Z39">
        <f>1.850098592</f>
        <v>1.8500985919999999</v>
      </c>
      <c r="AA39">
        <f>1.761436844</f>
        <v>1.7614368439999999</v>
      </c>
      <c r="AB39">
        <f>2.138394907</f>
        <v>2.1383949069999999</v>
      </c>
      <c r="AC39">
        <f>2.005525994</f>
        <v>2.0055259940000001</v>
      </c>
    </row>
    <row r="40" spans="1:29" x14ac:dyDescent="0.25">
      <c r="A40" t="str">
        <f>"Current Ratio"</f>
        <v>Current Ratio</v>
      </c>
      <c r="B40" t="str">
        <f>"BRITBPOV Index"</f>
        <v>BRITBPOV Index</v>
      </c>
      <c r="E40" t="str">
        <f>"Average"</f>
        <v>Average</v>
      </c>
      <c r="F40">
        <f ca="1">IF(ISERROR(IF(AVERAGE($F$41:$F$57) = 0, "", AVERAGE($F$41:$F$57))), "", (IF(AVERAGE($F$41:$F$57) = 0, "", AVERAGE($F$41:$F$57))))</f>
        <v>1.9378423554666664</v>
      </c>
      <c r="G40">
        <f ca="1">IF(ISERROR(IF(AVERAGE($G$41:$G$57) = 0, "", AVERAGE($G$41:$G$57))), "", (IF(AVERAGE($G$41:$G$57) = 0, "", AVERAGE($G$41:$G$57))))</f>
        <v>1.8749159817499998</v>
      </c>
      <c r="H40">
        <f ca="1">IF(ISERROR(IF(AVERAGE($H$41:$H$57) = 0, "", AVERAGE($H$41:$H$57))), "", (IF(AVERAGE($H$41:$H$57) = 0, "", AVERAGE($H$41:$H$57))))</f>
        <v>1.983575180133333</v>
      </c>
      <c r="I40">
        <f ca="1">IF(ISERROR(IF(AVERAGE($I$41:$I$57) = 0, "", AVERAGE($I$41:$I$57))), "", (IF(AVERAGE($I$41:$I$57) = 0, "", AVERAGE($I$41:$I$57))))</f>
        <v>2.0822920179333333</v>
      </c>
      <c r="J40">
        <f ca="1">IF(ISERROR(IF(AVERAGE($J$41:$J$57) = 0, "", AVERAGE($J$41:$J$57))), "", (IF(AVERAGE($J$41:$J$57) = 0, "", AVERAGE($J$41:$J$57))))</f>
        <v>2.0957559264000003</v>
      </c>
      <c r="K40">
        <f ca="1">IF(ISERROR(IF(AVERAGE($K$41:$K$57) = 0, "", AVERAGE($K$41:$K$57))), "", (IF(AVERAGE($K$41:$K$57) = 0, "", AVERAGE($K$41:$K$57))))</f>
        <v>2.1725120379333331</v>
      </c>
      <c r="L40">
        <f ca="1">IF(ISERROR(IF(AVERAGE($L$41:$L$57) = 0, "", AVERAGE($L$41:$L$57))), "", (IF(AVERAGE($L$41:$L$57) = 0, "", AVERAGE($L$41:$L$57))))</f>
        <v>2.1387585617333333</v>
      </c>
      <c r="M40">
        <f ca="1">IF(ISERROR(IF(AVERAGE($M$41:$M$57) = 0, "", AVERAGE($M$41:$M$57))), "", (IF(AVERAGE($M$41:$M$57) = 0, "", AVERAGE($M$41:$M$57))))</f>
        <v>2.2435002324000006</v>
      </c>
      <c r="N40">
        <f ca="1">IF(ISERROR(IF(AVERAGE($N$41:$N$57) = 0, "", AVERAGE($N$41:$N$57))), "", (IF(AVERAGE($N$41:$N$57) = 0, "", AVERAGE($N$41:$N$57))))</f>
        <v>2.2948624799333337</v>
      </c>
      <c r="O40">
        <f ca="1">IF(ISERROR(IF(AVERAGE($O$41:$O$57) = 0, "", AVERAGE($O$41:$O$57))), "", (IF(AVERAGE($O$41:$O$57) = 0, "", AVERAGE($O$41:$O$57))))</f>
        <v>2.2568276800000002</v>
      </c>
      <c r="P40">
        <f ca="1">IF(ISERROR(IF(AVERAGE($P$41:$P$57) = 0, "", AVERAGE($P$41:$P$57))), "", (IF(AVERAGE($P$41:$P$57) = 0, "", AVERAGE($P$41:$P$57))))</f>
        <v>2.3193315231999998</v>
      </c>
      <c r="Q40">
        <f ca="1">IF(ISERROR(IF(AVERAGE($Q$41:$Q$57) = 0, "", AVERAGE($Q$41:$Q$57))), "", (IF(AVERAGE($Q$41:$Q$57) = 0, "", AVERAGE($Q$41:$Q$57))))</f>
        <v>2.3338728808666662</v>
      </c>
      <c r="R40">
        <f>1.937842356</f>
        <v>1.937842356</v>
      </c>
      <c r="S40">
        <f>1.874915982</f>
        <v>1.8749159820000001</v>
      </c>
      <c r="T40">
        <f>1.98357518</f>
        <v>1.9835751800000001</v>
      </c>
      <c r="U40">
        <f>2.082292018</f>
        <v>2.082292018</v>
      </c>
      <c r="V40">
        <f>2.095755926</f>
        <v>2.0957559259999998</v>
      </c>
      <c r="W40">
        <f>2.172512038</f>
        <v>2.1725120379999998</v>
      </c>
      <c r="X40">
        <f>2.138758562</f>
        <v>2.138758562</v>
      </c>
      <c r="Y40">
        <f>2.243500232</f>
        <v>2.2435002320000001</v>
      </c>
      <c r="Z40">
        <f>2.29486248</f>
        <v>2.2948624799999999</v>
      </c>
      <c r="AA40">
        <f>2.25682768</f>
        <v>2.2568276799999998</v>
      </c>
      <c r="AB40">
        <f>2.319331523</f>
        <v>2.3193315229999998</v>
      </c>
      <c r="AC40">
        <f>2.333872881</f>
        <v>2.333872881</v>
      </c>
    </row>
    <row r="41" spans="1:29" x14ac:dyDescent="0.25">
      <c r="A41" t="str">
        <f>"    Accenture PLC"</f>
        <v xml:space="preserve">    Accenture PLC</v>
      </c>
      <c r="B41" t="str">
        <f>"ACN US Equity"</f>
        <v>ACN US Equity</v>
      </c>
      <c r="C41" t="str">
        <f t="shared" ref="C41:C57" si="6">"RR053"</f>
        <v>RR053</v>
      </c>
      <c r="D41" t="str">
        <f t="shared" ref="D41:D57" si="7">"CUR_RATIO"</f>
        <v>CUR_RATIO</v>
      </c>
      <c r="E41" t="str">
        <f t="shared" ref="E41:E57" si="8">"Dynamic"</f>
        <v>Dynamic</v>
      </c>
      <c r="F41">
        <f ca="1">IF(AND(ISNUMBER($F$238),$B$202=1),$F$238,HLOOKUP(INDIRECT(ADDRESS(2,COLUMN())),OFFSET($R$2,0,0,ROW()-1,12),ROW()-1,FALSE))</f>
        <v>1.37823213</v>
      </c>
      <c r="G41">
        <f ca="1">IF(AND(ISNUMBER($G$238),$B$202=1),$G$238,HLOOKUP(INDIRECT(ADDRESS(2,COLUMN())),OFFSET($R$2,0,0,ROW()-1,12),ROW()-1,FALSE))</f>
        <v>1.3934757980000001</v>
      </c>
      <c r="H41">
        <f ca="1">IF(AND(ISNUMBER($H$238),$B$202=1),$H$238,HLOOKUP(INDIRECT(ADDRESS(2,COLUMN())),OFFSET($R$2,0,0,ROW()-1,12),ROW()-1,FALSE))</f>
        <v>1.396740758</v>
      </c>
      <c r="I41">
        <f ca="1">IF(AND(ISNUMBER($I$238),$B$202=1),$I$238,HLOOKUP(INDIRECT(ADDRESS(2,COLUMN())),OFFSET($R$2,0,0,ROW()-1,12),ROW()-1,FALSE))</f>
        <v>1.3401892929999999</v>
      </c>
      <c r="J41">
        <f ca="1">IF(AND(ISNUMBER($J$238),$B$202=1),$J$238,HLOOKUP(INDIRECT(ADDRESS(2,COLUMN())),OFFSET($R$2,0,0,ROW()-1,12),ROW()-1,FALSE))</f>
        <v>1.3536778229999999</v>
      </c>
      <c r="K41">
        <f ca="1">IF(AND(ISNUMBER($K$238),$B$202=1),$K$238,HLOOKUP(INDIRECT(ADDRESS(2,COLUMN())),OFFSET($R$2,0,0,ROW()-1,12),ROW()-1,FALSE))</f>
        <v>1.3305780519999999</v>
      </c>
      <c r="L41">
        <f ca="1">IF(AND(ISNUMBER($L$238),$B$202=1),$L$238,HLOOKUP(INDIRECT(ADDRESS(2,COLUMN())),OFFSET($R$2,0,0,ROW()-1,12),ROW()-1,FALSE))</f>
        <v>1.3382478550000001</v>
      </c>
      <c r="M41">
        <f ca="1">IF(AND(ISNUMBER($M$238),$B$202=1),$M$238,HLOOKUP(INDIRECT(ADDRESS(2,COLUMN())),OFFSET($R$2,0,0,ROW()-1,12),ROW()-1,FALSE))</f>
        <v>1.2913328129999999</v>
      </c>
      <c r="N41">
        <f ca="1">IF(AND(ISNUMBER($N$238),$B$202=1),$N$238,HLOOKUP(INDIRECT(ADDRESS(2,COLUMN())),OFFSET($R$2,0,0,ROW()-1,12),ROW()-1,FALSE))</f>
        <v>1.311385931</v>
      </c>
      <c r="O41">
        <f ca="1">IF(AND(ISNUMBER($O$238),$B$202=1),$O$238,HLOOKUP(INDIRECT(ADDRESS(2,COLUMN())),OFFSET($R$2,0,0,ROW()-1,12),ROW()-1,FALSE))</f>
        <v>1.247471212</v>
      </c>
      <c r="P41">
        <f ca="1">IF(AND(ISNUMBER($P$238),$B$202=1),$P$238,HLOOKUP(INDIRECT(ADDRESS(2,COLUMN())),OFFSET($R$2,0,0,ROW()-1,12),ROW()-1,FALSE))</f>
        <v>1.2313665970000001</v>
      </c>
      <c r="Q41">
        <f ca="1">IF(AND(ISNUMBER($Q$238),$B$202=1),$Q$238,HLOOKUP(INDIRECT(ADDRESS(2,COLUMN())),OFFSET($R$2,0,0,ROW()-1,12),ROW()-1,FALSE))</f>
        <v>1.224091891</v>
      </c>
      <c r="R41">
        <f>1.37823213</f>
        <v>1.37823213</v>
      </c>
      <c r="S41">
        <f>1.393475798</f>
        <v>1.3934757980000001</v>
      </c>
      <c r="T41">
        <f>1.396740758</f>
        <v>1.396740758</v>
      </c>
      <c r="U41">
        <f>1.340189293</f>
        <v>1.3401892929999999</v>
      </c>
      <c r="V41">
        <f>1.353677823</f>
        <v>1.3536778229999999</v>
      </c>
      <c r="W41">
        <f>1.330578052</f>
        <v>1.3305780519999999</v>
      </c>
      <c r="X41">
        <f>1.338247855</f>
        <v>1.3382478550000001</v>
      </c>
      <c r="Y41">
        <f>1.291332813</f>
        <v>1.2913328129999999</v>
      </c>
      <c r="Z41">
        <f>1.311385931</f>
        <v>1.311385931</v>
      </c>
      <c r="AA41">
        <f>1.247471212</f>
        <v>1.247471212</v>
      </c>
      <c r="AB41">
        <f>1.231366597</f>
        <v>1.2313665970000001</v>
      </c>
      <c r="AC41">
        <f>1.224091891</f>
        <v>1.224091891</v>
      </c>
    </row>
    <row r="42" spans="1:29" x14ac:dyDescent="0.25">
      <c r="A42" t="str">
        <f>"    Amdocs Ltd"</f>
        <v xml:space="preserve">    Amdocs Ltd</v>
      </c>
      <c r="B42" t="str">
        <f>"DOX US Equity"</f>
        <v>DOX US Equity</v>
      </c>
      <c r="C42" t="str">
        <f t="shared" si="6"/>
        <v>RR053</v>
      </c>
      <c r="D42" t="str">
        <f t="shared" si="7"/>
        <v>CUR_RATIO</v>
      </c>
      <c r="E42" t="str">
        <f t="shared" si="8"/>
        <v>Dynamic</v>
      </c>
      <c r="F42">
        <f ca="1">IF(AND(ISNUMBER($F$239),$B$202=1),$F$239,HLOOKUP(INDIRECT(ADDRESS(2,COLUMN())),OFFSET($R$2,0,0,ROW()-1,12),ROW()-1,FALSE))</f>
        <v>1.245368086</v>
      </c>
      <c r="G42">
        <f ca="1">IF(AND(ISNUMBER($G$239),$B$202=1),$G$239,HLOOKUP(INDIRECT(ADDRESS(2,COLUMN())),OFFSET($R$2,0,0,ROW()-1,12),ROW()-1,FALSE))</f>
        <v>1.3492651870000001</v>
      </c>
      <c r="H42">
        <f ca="1">IF(AND(ISNUMBER($H$239),$B$202=1),$H$239,HLOOKUP(INDIRECT(ADDRESS(2,COLUMN())),OFFSET($R$2,0,0,ROW()-1,12),ROW()-1,FALSE))</f>
        <v>1.3871449499999999</v>
      </c>
      <c r="I42">
        <f ca="1">IF(AND(ISNUMBER($I$239),$B$202=1),$I$239,HLOOKUP(INDIRECT(ADDRESS(2,COLUMN())),OFFSET($R$2,0,0,ROW()-1,12),ROW()-1,FALSE))</f>
        <v>1.3915494820000001</v>
      </c>
      <c r="J42">
        <f ca="1">IF(AND(ISNUMBER($J$239),$B$202=1),$J$239,HLOOKUP(INDIRECT(ADDRESS(2,COLUMN())),OFFSET($R$2,0,0,ROW()-1,12),ROW()-1,FALSE))</f>
        <v>1.3502285279999999</v>
      </c>
      <c r="K42">
        <f ca="1">IF(AND(ISNUMBER($K$239),$B$202=1),$K$239,HLOOKUP(INDIRECT(ADDRESS(2,COLUMN())),OFFSET($R$2,0,0,ROW()-1,12),ROW()-1,FALSE))</f>
        <v>1.320089472</v>
      </c>
      <c r="L42">
        <f ca="1">IF(AND(ISNUMBER($L$239),$B$202=1),$L$239,HLOOKUP(INDIRECT(ADDRESS(2,COLUMN())),OFFSET($R$2,0,0,ROW()-1,12),ROW()-1,FALSE))</f>
        <v>1.328783118</v>
      </c>
      <c r="M42">
        <f ca="1">IF(AND(ISNUMBER($M$239),$B$202=1),$M$239,HLOOKUP(INDIRECT(ADDRESS(2,COLUMN())),OFFSET($R$2,0,0,ROW()-1,12),ROW()-1,FALSE))</f>
        <v>1.3499393749999999</v>
      </c>
      <c r="N42">
        <f ca="1">IF(AND(ISNUMBER($N$239),$B$202=1),$N$239,HLOOKUP(INDIRECT(ADDRESS(2,COLUMN())),OFFSET($R$2,0,0,ROW()-1,12),ROW()-1,FALSE))</f>
        <v>1.3384689519999999</v>
      </c>
      <c r="O42">
        <f ca="1">IF(AND(ISNUMBER($O$239),$B$202=1),$O$239,HLOOKUP(INDIRECT(ADDRESS(2,COLUMN())),OFFSET($R$2,0,0,ROW()-1,12),ROW()-1,FALSE))</f>
        <v>1.713325574</v>
      </c>
      <c r="P42">
        <f ca="1">IF(AND(ISNUMBER($P$239),$B$202=1),$P$239,HLOOKUP(INDIRECT(ADDRESS(2,COLUMN())),OFFSET($R$2,0,0,ROW()-1,12),ROW()-1,FALSE))</f>
        <v>1.7464452749999999</v>
      </c>
      <c r="Q42">
        <f ca="1">IF(AND(ISNUMBER($Q$239),$B$202=1),$Q$239,HLOOKUP(INDIRECT(ADDRESS(2,COLUMN())),OFFSET($R$2,0,0,ROW()-1,12),ROW()-1,FALSE))</f>
        <v>1.7712291099999999</v>
      </c>
      <c r="R42">
        <f>1.245368086</f>
        <v>1.245368086</v>
      </c>
      <c r="S42">
        <f>1.349265187</f>
        <v>1.3492651870000001</v>
      </c>
      <c r="T42">
        <f>1.38714495</f>
        <v>1.3871449499999999</v>
      </c>
      <c r="U42">
        <f>1.391549482</f>
        <v>1.3915494820000001</v>
      </c>
      <c r="V42">
        <f>1.350228528</f>
        <v>1.3502285279999999</v>
      </c>
      <c r="W42">
        <f>1.320089472</f>
        <v>1.320089472</v>
      </c>
      <c r="X42">
        <f>1.328783118</f>
        <v>1.328783118</v>
      </c>
      <c r="Y42">
        <f>1.349939375</f>
        <v>1.3499393749999999</v>
      </c>
      <c r="Z42">
        <f>1.338468952</f>
        <v>1.3384689519999999</v>
      </c>
      <c r="AA42">
        <f>1.713325574</f>
        <v>1.713325574</v>
      </c>
      <c r="AB42">
        <f>1.746445275</f>
        <v>1.7464452749999999</v>
      </c>
      <c r="AC42">
        <f>1.77122911</f>
        <v>1.7712291099999999</v>
      </c>
    </row>
    <row r="43" spans="1:29" x14ac:dyDescent="0.25">
      <c r="A43" t="str">
        <f>"    Atos SE"</f>
        <v xml:space="preserve">    Atos SE</v>
      </c>
      <c r="B43" t="str">
        <f>"ATO FP Equity"</f>
        <v>ATO FP Equity</v>
      </c>
      <c r="C43" t="str">
        <f t="shared" si="6"/>
        <v>RR053</v>
      </c>
      <c r="D43" t="str">
        <f t="shared" si="7"/>
        <v>CUR_RATIO</v>
      </c>
      <c r="E43" t="str">
        <f t="shared" si="8"/>
        <v>Dynamic</v>
      </c>
      <c r="F43" t="str">
        <f ca="1">IF(AND(ISNUMBER($F$240),$B$202=1),$F$240,HLOOKUP(INDIRECT(ADDRESS(2,COLUMN())),OFFSET($R$2,0,0,ROW()-1,12),ROW()-1,FALSE))</f>
        <v/>
      </c>
      <c r="G43" t="str">
        <f ca="1">IF(AND(ISNUMBER($G$240),$B$202=1),$G$240,HLOOKUP(INDIRECT(ADDRESS(2,COLUMN())),OFFSET($R$2,0,0,ROW()-1,12),ROW()-1,FALSE))</f>
        <v/>
      </c>
      <c r="H43" t="str">
        <f ca="1">IF(AND(ISNUMBER($H$240),$B$202=1),$H$240,HLOOKUP(INDIRECT(ADDRESS(2,COLUMN())),OFFSET($R$2,0,0,ROW()-1,12),ROW()-1,FALSE))</f>
        <v/>
      </c>
      <c r="I43" t="str">
        <f ca="1">IF(AND(ISNUMBER($I$240),$B$202=1),$I$240,HLOOKUP(INDIRECT(ADDRESS(2,COLUMN())),OFFSET($R$2,0,0,ROW()-1,12),ROW()-1,FALSE))</f>
        <v/>
      </c>
      <c r="J43" t="str">
        <f ca="1">IF(AND(ISNUMBER($J$240),$B$202=1),$J$240,HLOOKUP(INDIRECT(ADDRESS(2,COLUMN())),OFFSET($R$2,0,0,ROW()-1,12),ROW()-1,FALSE))</f>
        <v/>
      </c>
      <c r="K43" t="str">
        <f ca="1">IF(AND(ISNUMBER($K$240),$B$202=1),$K$240,HLOOKUP(INDIRECT(ADDRESS(2,COLUMN())),OFFSET($R$2,0,0,ROW()-1,12),ROW()-1,FALSE))</f>
        <v/>
      </c>
      <c r="L43" t="str">
        <f ca="1">IF(AND(ISNUMBER($L$240),$B$202=1),$L$240,HLOOKUP(INDIRECT(ADDRESS(2,COLUMN())),OFFSET($R$2,0,0,ROW()-1,12),ROW()-1,FALSE))</f>
        <v/>
      </c>
      <c r="M43" t="str">
        <f ca="1">IF(AND(ISNUMBER($M$240),$B$202=1),$M$240,HLOOKUP(INDIRECT(ADDRESS(2,COLUMN())),OFFSET($R$2,0,0,ROW()-1,12),ROW()-1,FALSE))</f>
        <v/>
      </c>
      <c r="N43" t="str">
        <f ca="1">IF(AND(ISNUMBER($N$240),$B$202=1),$N$240,HLOOKUP(INDIRECT(ADDRESS(2,COLUMN())),OFFSET($R$2,0,0,ROW()-1,12),ROW()-1,FALSE))</f>
        <v/>
      </c>
      <c r="O43" t="str">
        <f ca="1">IF(AND(ISNUMBER($O$240),$B$202=1),$O$240,HLOOKUP(INDIRECT(ADDRESS(2,COLUMN())),OFFSET($R$2,0,0,ROW()-1,12),ROW()-1,FALSE))</f>
        <v/>
      </c>
      <c r="P43" t="str">
        <f ca="1">IF(AND(ISNUMBER($P$240),$B$202=1),$P$240,HLOOKUP(INDIRECT(ADDRESS(2,COLUMN())),OFFSET($R$2,0,0,ROW()-1,12),ROW()-1,FALSE))</f>
        <v/>
      </c>
      <c r="Q43" t="str">
        <f ca="1">IF(AND(ISNUMBER($Q$240),$B$202=1),$Q$240,HLOOKUP(INDIRECT(ADDRESS(2,COLUMN())),OFFSET($R$2,0,0,ROW()-1,12),ROW()-1,FALSE))</f>
        <v/>
      </c>
      <c r="R43" t="str">
        <f>""</f>
        <v/>
      </c>
      <c r="S43" t="str">
        <f>""</f>
        <v/>
      </c>
      <c r="T43" t="str">
        <f>""</f>
        <v/>
      </c>
      <c r="U43" t="str">
        <f>""</f>
        <v/>
      </c>
      <c r="V43" t="str">
        <f>""</f>
        <v/>
      </c>
      <c r="W43" t="str">
        <f>""</f>
        <v/>
      </c>
      <c r="X43" t="str">
        <f>""</f>
        <v/>
      </c>
      <c r="Y43" t="str">
        <f>""</f>
        <v/>
      </c>
      <c r="Z43" t="str">
        <f>""</f>
        <v/>
      </c>
      <c r="AA43" t="str">
        <f>""</f>
        <v/>
      </c>
      <c r="AB43" t="str">
        <f>""</f>
        <v/>
      </c>
      <c r="AC43" t="str">
        <f>""</f>
        <v/>
      </c>
    </row>
    <row r="44" spans="1:29" x14ac:dyDescent="0.25">
      <c r="A44" t="str">
        <f>"    Capgemini SE"</f>
        <v xml:space="preserve">    Capgemini SE</v>
      </c>
      <c r="B44" t="str">
        <f>"CAP FP Equity"</f>
        <v>CAP FP Equity</v>
      </c>
      <c r="C44" t="str">
        <f t="shared" si="6"/>
        <v>RR053</v>
      </c>
      <c r="D44" t="str">
        <f t="shared" si="7"/>
        <v>CUR_RATIO</v>
      </c>
      <c r="E44" t="str">
        <f t="shared" si="8"/>
        <v>Dynamic</v>
      </c>
      <c r="F44" t="str">
        <f ca="1">IF(AND(ISNUMBER($F$241),$B$202=1),$F$241,HLOOKUP(INDIRECT(ADDRESS(2,COLUMN())),OFFSET($R$2,0,0,ROW()-1,12),ROW()-1,FALSE))</f>
        <v/>
      </c>
      <c r="G44">
        <f ca="1">IF(AND(ISNUMBER($G$241),$B$202=1),$G$241,HLOOKUP(INDIRECT(ADDRESS(2,COLUMN())),OFFSET($R$2,0,0,ROW()-1,12),ROW()-1,FALSE))</f>
        <v>1.281835938</v>
      </c>
      <c r="H44" t="str">
        <f ca="1">IF(AND(ISNUMBER($H$241),$B$202=1),$H$241,HLOOKUP(INDIRECT(ADDRESS(2,COLUMN())),OFFSET($R$2,0,0,ROW()-1,12),ROW()-1,FALSE))</f>
        <v/>
      </c>
      <c r="I44" t="str">
        <f ca="1">IF(AND(ISNUMBER($I$241),$B$202=1),$I$241,HLOOKUP(INDIRECT(ADDRESS(2,COLUMN())),OFFSET($R$2,0,0,ROW()-1,12),ROW()-1,FALSE))</f>
        <v/>
      </c>
      <c r="J44" t="str">
        <f ca="1">IF(AND(ISNUMBER($J$241),$B$202=1),$J$241,HLOOKUP(INDIRECT(ADDRESS(2,COLUMN())),OFFSET($R$2,0,0,ROW()-1,12),ROW()-1,FALSE))</f>
        <v/>
      </c>
      <c r="K44" t="str">
        <f ca="1">IF(AND(ISNUMBER($K$241),$B$202=1),$K$241,HLOOKUP(INDIRECT(ADDRESS(2,COLUMN())),OFFSET($R$2,0,0,ROW()-1,12),ROW()-1,FALSE))</f>
        <v/>
      </c>
      <c r="L44" t="str">
        <f ca="1">IF(AND(ISNUMBER($L$241),$B$202=1),$L$241,HLOOKUP(INDIRECT(ADDRESS(2,COLUMN())),OFFSET($R$2,0,0,ROW()-1,12),ROW()-1,FALSE))</f>
        <v/>
      </c>
      <c r="M44" t="str">
        <f ca="1">IF(AND(ISNUMBER($M$241),$B$202=1),$M$241,HLOOKUP(INDIRECT(ADDRESS(2,COLUMN())),OFFSET($R$2,0,0,ROW()-1,12),ROW()-1,FALSE))</f>
        <v/>
      </c>
      <c r="N44" t="str">
        <f ca="1">IF(AND(ISNUMBER($N$241),$B$202=1),$N$241,HLOOKUP(INDIRECT(ADDRESS(2,COLUMN())),OFFSET($R$2,0,0,ROW()-1,12),ROW()-1,FALSE))</f>
        <v/>
      </c>
      <c r="O44" t="str">
        <f ca="1">IF(AND(ISNUMBER($O$241),$B$202=1),$O$241,HLOOKUP(INDIRECT(ADDRESS(2,COLUMN())),OFFSET($R$2,0,0,ROW()-1,12),ROW()-1,FALSE))</f>
        <v/>
      </c>
      <c r="P44" t="str">
        <f ca="1">IF(AND(ISNUMBER($P$241),$B$202=1),$P$241,HLOOKUP(INDIRECT(ADDRESS(2,COLUMN())),OFFSET($R$2,0,0,ROW()-1,12),ROW()-1,FALSE))</f>
        <v/>
      </c>
      <c r="Q44" t="str">
        <f ca="1">IF(AND(ISNUMBER($Q$241),$B$202=1),$Q$241,HLOOKUP(INDIRECT(ADDRESS(2,COLUMN())),OFFSET($R$2,0,0,ROW()-1,12),ROW()-1,FALSE))</f>
        <v/>
      </c>
      <c r="R44" t="str">
        <f>""</f>
        <v/>
      </c>
      <c r="S44">
        <f>1.281835938</f>
        <v>1.281835938</v>
      </c>
      <c r="T44" t="str">
        <f>""</f>
        <v/>
      </c>
      <c r="U44" t="str">
        <f>""</f>
        <v/>
      </c>
      <c r="V44" t="str">
        <f>""</f>
        <v/>
      </c>
      <c r="W44" t="str">
        <f>""</f>
        <v/>
      </c>
      <c r="X44" t="str">
        <f>""</f>
        <v/>
      </c>
      <c r="Y44" t="str">
        <f>""</f>
        <v/>
      </c>
      <c r="Z44" t="str">
        <f>""</f>
        <v/>
      </c>
      <c r="AA44" t="str">
        <f>""</f>
        <v/>
      </c>
      <c r="AB44" t="str">
        <f>""</f>
        <v/>
      </c>
      <c r="AC44" t="str">
        <f>""</f>
        <v/>
      </c>
    </row>
    <row r="45" spans="1:29" x14ac:dyDescent="0.25">
      <c r="A45" t="str">
        <f>"    CGI Inc"</f>
        <v xml:space="preserve">    CGI Inc</v>
      </c>
      <c r="B45" t="str">
        <f>"GIB US Equity"</f>
        <v>GIB US Equity</v>
      </c>
      <c r="C45" t="str">
        <f t="shared" si="6"/>
        <v>RR053</v>
      </c>
      <c r="D45" t="str">
        <f t="shared" si="7"/>
        <v>CUR_RATIO</v>
      </c>
      <c r="E45" t="str">
        <f t="shared" si="8"/>
        <v>Dynamic</v>
      </c>
      <c r="F45">
        <f ca="1">IF(AND(ISNUMBER($F$242),$B$202=1),$F$242,HLOOKUP(INDIRECT(ADDRESS(2,COLUMN())),OFFSET($R$2,0,0,ROW()-1,12),ROW()-1,FALSE))</f>
        <v>1.081997434</v>
      </c>
      <c r="G45">
        <f ca="1">IF(AND(ISNUMBER($G$242),$B$202=1),$G$242,HLOOKUP(INDIRECT(ADDRESS(2,COLUMN())),OFFSET($R$2,0,0,ROW()-1,12),ROW()-1,FALSE))</f>
        <v>1.043104303</v>
      </c>
      <c r="H45">
        <f ca="1">IF(AND(ISNUMBER($H$242),$B$202=1),$H$242,HLOOKUP(INDIRECT(ADDRESS(2,COLUMN())),OFFSET($R$2,0,0,ROW()-1,12),ROW()-1,FALSE))</f>
        <v>1.129418891</v>
      </c>
      <c r="I45">
        <f ca="1">IF(AND(ISNUMBER($I$242),$B$202=1),$I$242,HLOOKUP(INDIRECT(ADDRESS(2,COLUMN())),OFFSET($R$2,0,0,ROW()-1,12),ROW()-1,FALSE))</f>
        <v>1.0901579699999999</v>
      </c>
      <c r="J45">
        <f ca="1">IF(AND(ISNUMBER($J$242),$B$202=1),$J$242,HLOOKUP(INDIRECT(ADDRESS(2,COLUMN())),OFFSET($R$2,0,0,ROW()-1,12),ROW()-1,FALSE))</f>
        <v>1.1642292320000001</v>
      </c>
      <c r="K45">
        <f ca="1">IF(AND(ISNUMBER($K$242),$B$202=1),$K$242,HLOOKUP(INDIRECT(ADDRESS(2,COLUMN())),OFFSET($R$2,0,0,ROW()-1,12),ROW()-1,FALSE))</f>
        <v>1.143106328</v>
      </c>
      <c r="L45">
        <f ca="1">IF(AND(ISNUMBER($L$242),$B$202=1),$L$242,HLOOKUP(INDIRECT(ADDRESS(2,COLUMN())),OFFSET($R$2,0,0,ROW()-1,12),ROW()-1,FALSE))</f>
        <v>0.99511646600000003</v>
      </c>
      <c r="M45">
        <f ca="1">IF(AND(ISNUMBER($M$242),$B$202=1),$M$242,HLOOKUP(INDIRECT(ADDRESS(2,COLUMN())),OFFSET($R$2,0,0,ROW()-1,12),ROW()-1,FALSE))</f>
        <v>0.98514581099999998</v>
      </c>
      <c r="N45">
        <f ca="1">IF(AND(ISNUMBER($N$242),$B$202=1),$N$242,HLOOKUP(INDIRECT(ADDRESS(2,COLUMN())),OFFSET($R$2,0,0,ROW()-1,12),ROW()-1,FALSE))</f>
        <v>0.98651973199999998</v>
      </c>
      <c r="O45">
        <f ca="1">IF(AND(ISNUMBER($O$242),$B$202=1),$O$242,HLOOKUP(INDIRECT(ADDRESS(2,COLUMN())),OFFSET($R$2,0,0,ROW()-1,12),ROW()-1,FALSE))</f>
        <v>0.99314343500000002</v>
      </c>
      <c r="P45">
        <f ca="1">IF(AND(ISNUMBER($P$242),$B$202=1),$P$242,HLOOKUP(INDIRECT(ADDRESS(2,COLUMN())),OFFSET($R$2,0,0,ROW()-1,12),ROW()-1,FALSE))</f>
        <v>1.0597690209999999</v>
      </c>
      <c r="Q45">
        <f ca="1">IF(AND(ISNUMBER($Q$242),$B$202=1),$Q$242,HLOOKUP(INDIRECT(ADDRESS(2,COLUMN())),OFFSET($R$2,0,0,ROW()-1,12),ROW()-1,FALSE))</f>
        <v>1.1384999220000001</v>
      </c>
      <c r="R45">
        <f>1.081997434</f>
        <v>1.081997434</v>
      </c>
      <c r="S45">
        <f>1.043104303</f>
        <v>1.043104303</v>
      </c>
      <c r="T45">
        <f>1.129418891</f>
        <v>1.129418891</v>
      </c>
      <c r="U45">
        <f>1.09015797</f>
        <v>1.0901579699999999</v>
      </c>
      <c r="V45">
        <f>1.164229232</f>
        <v>1.1642292320000001</v>
      </c>
      <c r="W45">
        <f>1.143106328</f>
        <v>1.143106328</v>
      </c>
      <c r="X45">
        <f>0.995116466</f>
        <v>0.99511646600000003</v>
      </c>
      <c r="Y45">
        <f>0.985145811</f>
        <v>0.98514581099999998</v>
      </c>
      <c r="Z45">
        <f>0.986519732</f>
        <v>0.98651973199999998</v>
      </c>
      <c r="AA45">
        <f>0.993143435</f>
        <v>0.99314343500000002</v>
      </c>
      <c r="AB45">
        <f>1.059769021</f>
        <v>1.0597690209999999</v>
      </c>
      <c r="AC45">
        <f>1.138499922</f>
        <v>1.1384999220000001</v>
      </c>
    </row>
    <row r="46" spans="1:29" x14ac:dyDescent="0.25">
      <c r="A46" t="str">
        <f>"    Cognizant Technology Solutions Corp"</f>
        <v xml:space="preserve">    Cognizant Technology Solutions Corp</v>
      </c>
      <c r="B46" t="str">
        <f>"CTSH US Equity"</f>
        <v>CTSH US Equity</v>
      </c>
      <c r="C46" t="str">
        <f t="shared" si="6"/>
        <v>RR053</v>
      </c>
      <c r="D46" t="str">
        <f t="shared" si="7"/>
        <v>CUR_RATIO</v>
      </c>
      <c r="E46" t="str">
        <f t="shared" si="8"/>
        <v>Dynamic</v>
      </c>
      <c r="F46">
        <f ca="1">IF(AND(ISNUMBER($F$243),$B$202=1),$F$243,HLOOKUP(INDIRECT(ADDRESS(2,COLUMN())),OFFSET($R$2,0,0,ROW()-1,12),ROW()-1,FALSE))</f>
        <v>2.89867688</v>
      </c>
      <c r="G46">
        <f ca="1">IF(AND(ISNUMBER($G$243),$B$202=1),$G$243,HLOOKUP(INDIRECT(ADDRESS(2,COLUMN())),OFFSET($R$2,0,0,ROW()-1,12),ROW()-1,FALSE))</f>
        <v>2.5514582629999998</v>
      </c>
      <c r="H46">
        <f ca="1">IF(AND(ISNUMBER($H$243),$B$202=1),$H$243,HLOOKUP(INDIRECT(ADDRESS(2,COLUMN())),OFFSET($R$2,0,0,ROW()-1,12),ROW()-1,FALSE))</f>
        <v>2.5320315180000001</v>
      </c>
      <c r="I46">
        <f ca="1">IF(AND(ISNUMBER($I$243),$B$202=1),$I$243,HLOOKUP(INDIRECT(ADDRESS(2,COLUMN())),OFFSET($R$2,0,0,ROW()-1,12),ROW()-1,FALSE))</f>
        <v>2.551699717</v>
      </c>
      <c r="J46">
        <f ca="1">IF(AND(ISNUMBER($J$243),$B$202=1),$J$243,HLOOKUP(INDIRECT(ADDRESS(2,COLUMN())),OFFSET($R$2,0,0,ROW()-1,12),ROW()-1,FALSE))</f>
        <v>2.8981617649999998</v>
      </c>
      <c r="K46">
        <f ca="1">IF(AND(ISNUMBER($K$243),$B$202=1),$K$243,HLOOKUP(INDIRECT(ADDRESS(2,COLUMN())),OFFSET($R$2,0,0,ROW()-1,12),ROW()-1,FALSE))</f>
        <v>3.1771217709999999</v>
      </c>
      <c r="L46">
        <f ca="1">IF(AND(ISNUMBER($L$243),$B$202=1),$L$243,HLOOKUP(INDIRECT(ADDRESS(2,COLUMN())),OFFSET($R$2,0,0,ROW()-1,12),ROW()-1,FALSE))</f>
        <v>3.24062384</v>
      </c>
      <c r="M46">
        <f ca="1">IF(AND(ISNUMBER($M$243),$B$202=1),$M$243,HLOOKUP(INDIRECT(ADDRESS(2,COLUMN())),OFFSET($R$2,0,0,ROW()-1,12),ROW()-1,FALSE))</f>
        <v>3.2727631060000002</v>
      </c>
      <c r="N46">
        <f ca="1">IF(AND(ISNUMBER($N$243),$B$202=1),$N$243,HLOOKUP(INDIRECT(ADDRESS(2,COLUMN())),OFFSET($R$2,0,0,ROW()-1,12),ROW()-1,FALSE))</f>
        <v>3.6411502630000001</v>
      </c>
      <c r="O46">
        <f ca="1">IF(AND(ISNUMBER($O$243),$B$202=1),$O$243,HLOOKUP(INDIRECT(ADDRESS(2,COLUMN())),OFFSET($R$2,0,0,ROW()-1,12),ROW()-1,FALSE))</f>
        <v>3.209228602</v>
      </c>
      <c r="P46">
        <f ca="1">IF(AND(ISNUMBER($P$243),$B$202=1),$P$243,HLOOKUP(INDIRECT(ADDRESS(2,COLUMN())),OFFSET($R$2,0,0,ROW()-1,12),ROW()-1,FALSE))</f>
        <v>3.2911538459999998</v>
      </c>
      <c r="Q46">
        <f ca="1">IF(AND(ISNUMBER($Q$243),$B$202=1),$Q$243,HLOOKUP(INDIRECT(ADDRESS(2,COLUMN())),OFFSET($R$2,0,0,ROW()-1,12),ROW()-1,FALSE))</f>
        <v>3.3536231879999998</v>
      </c>
      <c r="R46">
        <f>2.89867688</f>
        <v>2.89867688</v>
      </c>
      <c r="S46">
        <f>2.551458263</f>
        <v>2.5514582629999998</v>
      </c>
      <c r="T46">
        <f>2.532031518</f>
        <v>2.5320315180000001</v>
      </c>
      <c r="U46">
        <f>2.551699717</f>
        <v>2.551699717</v>
      </c>
      <c r="V46">
        <f>2.898161765</f>
        <v>2.8981617649999998</v>
      </c>
      <c r="W46">
        <f>3.177121771</f>
        <v>3.1771217709999999</v>
      </c>
      <c r="X46">
        <f>3.24062384</f>
        <v>3.24062384</v>
      </c>
      <c r="Y46">
        <f>3.272763106</f>
        <v>3.2727631060000002</v>
      </c>
      <c r="Z46">
        <f>3.641150263</f>
        <v>3.6411502630000001</v>
      </c>
      <c r="AA46">
        <f>3.209228602</f>
        <v>3.209228602</v>
      </c>
      <c r="AB46">
        <f>3.291153846</f>
        <v>3.2911538459999998</v>
      </c>
      <c r="AC46">
        <f>3.353623188</f>
        <v>3.3536231879999998</v>
      </c>
    </row>
    <row r="47" spans="1:29" x14ac:dyDescent="0.25">
      <c r="A47" t="str">
        <f>"    Conduent Inc"</f>
        <v xml:space="preserve">    Conduent Inc</v>
      </c>
      <c r="B47" t="str">
        <f>"CNDT US Equity"</f>
        <v>CNDT US Equity</v>
      </c>
      <c r="C47" t="str">
        <f t="shared" si="6"/>
        <v>RR053</v>
      </c>
      <c r="D47" t="str">
        <f t="shared" si="7"/>
        <v>CUR_RATIO</v>
      </c>
      <c r="E47" t="str">
        <f t="shared" si="8"/>
        <v>Dynamic</v>
      </c>
      <c r="F47">
        <f ca="1">IF(AND(ISNUMBER($F$244),$B$202=1),$F$244,HLOOKUP(INDIRECT(ADDRESS(2,COLUMN())),OFFSET($R$2,0,0,ROW()-1,12),ROW()-1,FALSE))</f>
        <v>1.536656891</v>
      </c>
      <c r="G47">
        <f ca="1">IF(AND(ISNUMBER($G$244),$B$202=1),$G$244,HLOOKUP(INDIRECT(ADDRESS(2,COLUMN())),OFFSET($R$2,0,0,ROW()-1,12),ROW()-1,FALSE))</f>
        <v>1.3474936280000001</v>
      </c>
      <c r="H47">
        <f ca="1">IF(AND(ISNUMBER($H$244),$B$202=1),$H$244,HLOOKUP(INDIRECT(ADDRESS(2,COLUMN())),OFFSET($R$2,0,0,ROW()-1,12),ROW()-1,FALSE))</f>
        <v>1.3766696350000001</v>
      </c>
      <c r="I47">
        <f ca="1">IF(AND(ISNUMBER($I$244),$B$202=1),$I$244,HLOOKUP(INDIRECT(ADDRESS(2,COLUMN())),OFFSET($R$2,0,0,ROW()-1,12),ROW()-1,FALSE))</f>
        <v>1.320460148</v>
      </c>
      <c r="J47">
        <f ca="1">IF(AND(ISNUMBER($J$244),$B$202=1),$J$244,HLOOKUP(INDIRECT(ADDRESS(2,COLUMN())),OFFSET($R$2,0,0,ROW()-1,12),ROW()-1,FALSE))</f>
        <v>1.2768479779999999</v>
      </c>
      <c r="K47">
        <f ca="1">IF(AND(ISNUMBER($K$244),$B$202=1),$K$244,HLOOKUP(INDIRECT(ADDRESS(2,COLUMN())),OFFSET($R$2,0,0,ROW()-1,12),ROW()-1,FALSE))</f>
        <v>1.640768588</v>
      </c>
      <c r="L47">
        <f ca="1">IF(AND(ISNUMBER($L$244),$B$202=1),$L$244,HLOOKUP(INDIRECT(ADDRESS(2,COLUMN())),OFFSET($R$2,0,0,ROW()-1,12),ROW()-1,FALSE))</f>
        <v>1.5931255</v>
      </c>
      <c r="M47">
        <f ca="1">IF(AND(ISNUMBER($M$244),$B$202=1),$M$244,HLOOKUP(INDIRECT(ADDRESS(2,COLUMN())),OFFSET($R$2,0,0,ROW()-1,12),ROW()-1,FALSE))</f>
        <v>2.0266565120000002</v>
      </c>
      <c r="N47">
        <f ca="1">IF(AND(ISNUMBER($N$244),$B$202=1),$N$244,HLOOKUP(INDIRECT(ADDRESS(2,COLUMN())),OFFSET($R$2,0,0,ROW()-1,12),ROW()-1,FALSE))</f>
        <v>1.9068413390000001</v>
      </c>
      <c r="O47">
        <f ca="1">IF(AND(ISNUMBER($O$244),$B$202=1),$O$244,HLOOKUP(INDIRECT(ADDRESS(2,COLUMN())),OFFSET($R$2,0,0,ROW()-1,12),ROW()-1,FALSE))</f>
        <v>1.9809941520000001</v>
      </c>
      <c r="P47">
        <f ca="1">IF(AND(ISNUMBER($P$244),$B$202=1),$P$244,HLOOKUP(INDIRECT(ADDRESS(2,COLUMN())),OFFSET($R$2,0,0,ROW()-1,12),ROW()-1,FALSE))</f>
        <v>1.7397034600000001</v>
      </c>
      <c r="Q47">
        <f ca="1">IF(AND(ISNUMBER($Q$244),$B$202=1),$Q$244,HLOOKUP(INDIRECT(ADDRESS(2,COLUMN())),OFFSET($R$2,0,0,ROW()-1,12),ROW()-1,FALSE))</f>
        <v>1.6386138610000001</v>
      </c>
      <c r="R47">
        <f>1.536656891</f>
        <v>1.536656891</v>
      </c>
      <c r="S47">
        <f>1.347493628</f>
        <v>1.3474936280000001</v>
      </c>
      <c r="T47">
        <f>1.376669635</f>
        <v>1.3766696350000001</v>
      </c>
      <c r="U47">
        <f>1.320460148</f>
        <v>1.320460148</v>
      </c>
      <c r="V47">
        <f>1.276847978</f>
        <v>1.2768479779999999</v>
      </c>
      <c r="W47">
        <f>1.640768588</f>
        <v>1.640768588</v>
      </c>
      <c r="X47">
        <f>1.5931255</f>
        <v>1.5931255</v>
      </c>
      <c r="Y47">
        <f>2.026656512</f>
        <v>2.0266565120000002</v>
      </c>
      <c r="Z47">
        <f>1.906841339</f>
        <v>1.9068413390000001</v>
      </c>
      <c r="AA47">
        <f>1.980994152</f>
        <v>1.9809941520000001</v>
      </c>
      <c r="AB47">
        <f>1.73970346</f>
        <v>1.7397034600000001</v>
      </c>
      <c r="AC47">
        <f>1.638613861</f>
        <v>1.6386138610000001</v>
      </c>
    </row>
    <row r="48" spans="1:29" x14ac:dyDescent="0.25">
      <c r="A48" t="str">
        <f>"    DXC Technology Co"</f>
        <v xml:space="preserve">    DXC Technology Co</v>
      </c>
      <c r="B48" t="str">
        <f>"DXC US Equity"</f>
        <v>DXC US Equity</v>
      </c>
      <c r="C48" t="str">
        <f t="shared" si="6"/>
        <v>RR053</v>
      </c>
      <c r="D48" t="str">
        <f t="shared" si="7"/>
        <v>CUR_RATIO</v>
      </c>
      <c r="E48" t="str">
        <f t="shared" si="8"/>
        <v>Dynamic</v>
      </c>
      <c r="F48">
        <f ca="1">IF(AND(ISNUMBER($F$245),$B$202=1),$F$245,HLOOKUP(INDIRECT(ADDRESS(2,COLUMN())),OFFSET($R$2,0,0,ROW()-1,12),ROW()-1,FALSE))</f>
        <v>1.138315389</v>
      </c>
      <c r="G48">
        <f ca="1">IF(AND(ISNUMBER($G$245),$B$202=1),$G$245,HLOOKUP(INDIRECT(ADDRESS(2,COLUMN())),OFFSET($R$2,0,0,ROW()-1,12),ROW()-1,FALSE))</f>
        <v>0.93158014600000005</v>
      </c>
      <c r="H48">
        <f ca="1">IF(AND(ISNUMBER($H$245),$B$202=1),$H$245,HLOOKUP(INDIRECT(ADDRESS(2,COLUMN())),OFFSET($R$2,0,0,ROW()-1,12),ROW()-1,FALSE))</f>
        <v>0.94606641400000002</v>
      </c>
      <c r="I48">
        <f ca="1">IF(AND(ISNUMBER($I$245),$B$202=1),$I$245,HLOOKUP(INDIRECT(ADDRESS(2,COLUMN())),OFFSET($R$2,0,0,ROW()-1,12),ROW()-1,FALSE))</f>
        <v>0.87706146900000004</v>
      </c>
      <c r="J48">
        <f ca="1">IF(AND(ISNUMBER($J$245),$B$202=1),$J$245,HLOOKUP(INDIRECT(ADDRESS(2,COLUMN())),OFFSET($R$2,0,0,ROW()-1,12),ROW()-1,FALSE))</f>
        <v>0.95906061600000003</v>
      </c>
      <c r="K48">
        <f ca="1">IF(AND(ISNUMBER($K$245),$B$202=1),$K$245,HLOOKUP(INDIRECT(ADDRESS(2,COLUMN())),OFFSET($R$2,0,0,ROW()-1,12),ROW()-1,FALSE))</f>
        <v>1</v>
      </c>
      <c r="L48">
        <f ca="1">IF(AND(ISNUMBER($L$245),$B$202=1),$L$245,HLOOKUP(INDIRECT(ADDRESS(2,COLUMN())),OFFSET($R$2,0,0,ROW()-1,12),ROW()-1,FALSE))</f>
        <v>1.035353535</v>
      </c>
      <c r="M48">
        <f ca="1">IF(AND(ISNUMBER($M$245),$B$202=1),$M$245,HLOOKUP(INDIRECT(ADDRESS(2,COLUMN())),OFFSET($R$2,0,0,ROW()-1,12),ROW()-1,FALSE))</f>
        <v>0.94653210200000004</v>
      </c>
      <c r="N48">
        <f ca="1">IF(AND(ISNUMBER($N$245),$B$202=1),$N$245,HLOOKUP(INDIRECT(ADDRESS(2,COLUMN())),OFFSET($R$2,0,0,ROW()-1,12),ROW()-1,FALSE))</f>
        <v>0.97645148199999998</v>
      </c>
      <c r="O48">
        <f ca="1">IF(AND(ISNUMBER($O$245),$B$202=1),$O$245,HLOOKUP(INDIRECT(ADDRESS(2,COLUMN())),OFFSET($R$2,0,0,ROW()-1,12),ROW()-1,FALSE))</f>
        <v>0.987860552</v>
      </c>
      <c r="P48">
        <f ca="1">IF(AND(ISNUMBER($P$245),$B$202=1),$P$245,HLOOKUP(INDIRECT(ADDRESS(2,COLUMN())),OFFSET($R$2,0,0,ROW()-1,12),ROW()-1,FALSE))</f>
        <v>1.000317898</v>
      </c>
      <c r="Q48">
        <f ca="1">IF(AND(ISNUMBER($Q$245),$B$202=1),$Q$245,HLOOKUP(INDIRECT(ADDRESS(2,COLUMN())),OFFSET($R$2,0,0,ROW()-1,12),ROW()-1,FALSE))</f>
        <v>1.18341367</v>
      </c>
      <c r="R48">
        <f>1.138315389</f>
        <v>1.138315389</v>
      </c>
      <c r="S48">
        <f>0.931580146</f>
        <v>0.93158014600000005</v>
      </c>
      <c r="T48">
        <f>0.946066414</f>
        <v>0.94606641400000002</v>
      </c>
      <c r="U48">
        <f>0.877061469</f>
        <v>0.87706146900000004</v>
      </c>
      <c r="V48">
        <f>0.959060616</f>
        <v>0.95906061600000003</v>
      </c>
      <c r="W48">
        <f>1</f>
        <v>1</v>
      </c>
      <c r="X48">
        <f>1.035353535</f>
        <v>1.035353535</v>
      </c>
      <c r="Y48">
        <f>0.946532102</f>
        <v>0.94653210200000004</v>
      </c>
      <c r="Z48">
        <f>0.976451482</f>
        <v>0.97645148199999998</v>
      </c>
      <c r="AA48">
        <f>0.987860552</f>
        <v>0.987860552</v>
      </c>
      <c r="AB48">
        <f>1.000317898</f>
        <v>1.000317898</v>
      </c>
      <c r="AC48">
        <f>1.18341367</f>
        <v>1.18341367</v>
      </c>
    </row>
    <row r="49" spans="1:29" x14ac:dyDescent="0.25">
      <c r="A49" t="str">
        <f>"    EPAM Systems Inc"</f>
        <v xml:space="preserve">    EPAM Systems Inc</v>
      </c>
      <c r="B49" t="str">
        <f>"EPAM US Equity"</f>
        <v>EPAM US Equity</v>
      </c>
      <c r="C49" t="str">
        <f t="shared" si="6"/>
        <v>RR053</v>
      </c>
      <c r="D49" t="str">
        <f t="shared" si="7"/>
        <v>CUR_RATIO</v>
      </c>
      <c r="E49" t="str">
        <f t="shared" si="8"/>
        <v>Dynamic</v>
      </c>
      <c r="F49">
        <f ca="1">IF(AND(ISNUMBER($F$246),$B$202=1),$F$246,HLOOKUP(INDIRECT(ADDRESS(2,COLUMN())),OFFSET($R$2,0,0,ROW()-1,12),ROW()-1,FALSE))</f>
        <v>3.872734838</v>
      </c>
      <c r="G49">
        <f ca="1">IF(AND(ISNUMBER($G$246),$B$202=1),$G$246,HLOOKUP(INDIRECT(ADDRESS(2,COLUMN())),OFFSET($R$2,0,0,ROW()-1,12),ROW()-1,FALSE))</f>
        <v>3.8098426660000002</v>
      </c>
      <c r="H49">
        <f ca="1">IF(AND(ISNUMBER($H$246),$B$202=1),$H$246,HLOOKUP(INDIRECT(ADDRESS(2,COLUMN())),OFFSET($R$2,0,0,ROW()-1,12),ROW()-1,FALSE))</f>
        <v>4.381455678</v>
      </c>
      <c r="I49">
        <f ca="1">IF(AND(ISNUMBER($I$246),$B$202=1),$I$246,HLOOKUP(INDIRECT(ADDRESS(2,COLUMN())),OFFSET($R$2,0,0,ROW()-1,12),ROW()-1,FALSE))</f>
        <v>4.7166433129999996</v>
      </c>
      <c r="J49">
        <f ca="1">IF(AND(ISNUMBER($J$246),$B$202=1),$J$246,HLOOKUP(INDIRECT(ADDRESS(2,COLUMN())),OFFSET($R$2,0,0,ROW()-1,12),ROW()-1,FALSE))</f>
        <v>4.4051549019999996</v>
      </c>
      <c r="K49">
        <f ca="1">IF(AND(ISNUMBER($K$246),$B$202=1),$K$246,HLOOKUP(INDIRECT(ADDRESS(2,COLUMN())),OFFSET($R$2,0,0,ROW()-1,12),ROW()-1,FALSE))</f>
        <v>4.562160188</v>
      </c>
      <c r="L49">
        <f ca="1">IF(AND(ISNUMBER($L$246),$B$202=1),$L$246,HLOOKUP(INDIRECT(ADDRESS(2,COLUMN())),OFFSET($R$2,0,0,ROW()-1,12),ROW()-1,FALSE))</f>
        <v>5.1092305390000003</v>
      </c>
      <c r="M49">
        <f ca="1">IF(AND(ISNUMBER($M$246),$B$202=1),$M$246,HLOOKUP(INDIRECT(ADDRESS(2,COLUMN())),OFFSET($R$2,0,0,ROW()-1,12),ROW()-1,FALSE))</f>
        <v>5.6475020809999998</v>
      </c>
      <c r="N49">
        <f ca="1">IF(AND(ISNUMBER($N$246),$B$202=1),$N$246,HLOOKUP(INDIRECT(ADDRESS(2,COLUMN())),OFFSET($R$2,0,0,ROW()-1,12),ROW()-1,FALSE))</f>
        <v>5.39264513</v>
      </c>
      <c r="O49">
        <f ca="1">IF(AND(ISNUMBER($O$246),$B$202=1),$O$246,HLOOKUP(INDIRECT(ADDRESS(2,COLUMN())),OFFSET($R$2,0,0,ROW()-1,12),ROW()-1,FALSE))</f>
        <v>5.3050169370000004</v>
      </c>
      <c r="P49">
        <f ca="1">IF(AND(ISNUMBER($P$246),$B$202=1),$P$246,HLOOKUP(INDIRECT(ADDRESS(2,COLUMN())),OFFSET($R$2,0,0,ROW()-1,12),ROW()-1,FALSE))</f>
        <v>5.5586851509999997</v>
      </c>
      <c r="Q49">
        <f ca="1">IF(AND(ISNUMBER($Q$246),$B$202=1),$Q$246,HLOOKUP(INDIRECT(ADDRESS(2,COLUMN())),OFFSET($R$2,0,0,ROW()-1,12),ROW()-1,FALSE))</f>
        <v>6.0549915529999998</v>
      </c>
      <c r="R49">
        <f>3.872734838</f>
        <v>3.872734838</v>
      </c>
      <c r="S49">
        <f>3.809842666</f>
        <v>3.8098426660000002</v>
      </c>
      <c r="T49">
        <f>4.381455678</f>
        <v>4.381455678</v>
      </c>
      <c r="U49">
        <f>4.716643313</f>
        <v>4.7166433129999996</v>
      </c>
      <c r="V49">
        <f>4.405154902</f>
        <v>4.4051549019999996</v>
      </c>
      <c r="W49">
        <f>4.562160188</f>
        <v>4.562160188</v>
      </c>
      <c r="X49">
        <f>5.109230539</f>
        <v>5.1092305390000003</v>
      </c>
      <c r="Y49">
        <f>5.647502081</f>
        <v>5.6475020809999998</v>
      </c>
      <c r="Z49">
        <f>5.39264513</f>
        <v>5.39264513</v>
      </c>
      <c r="AA49">
        <f>5.305016937</f>
        <v>5.3050169370000004</v>
      </c>
      <c r="AB49">
        <f>5.558685151</f>
        <v>5.5586851509999997</v>
      </c>
      <c r="AC49">
        <f>6.054991553</f>
        <v>6.0549915529999998</v>
      </c>
    </row>
    <row r="50" spans="1:29" x14ac:dyDescent="0.25">
      <c r="A50" t="str">
        <f>"    Genpact Ltd"</f>
        <v xml:space="preserve">    Genpact Ltd</v>
      </c>
      <c r="B50" t="str">
        <f>"G US Equity"</f>
        <v>G US Equity</v>
      </c>
      <c r="C50" t="str">
        <f t="shared" si="6"/>
        <v>RR053</v>
      </c>
      <c r="D50" t="str">
        <f t="shared" si="7"/>
        <v>CUR_RATIO</v>
      </c>
      <c r="E50" t="str">
        <f t="shared" si="8"/>
        <v>Dynamic</v>
      </c>
      <c r="F50">
        <f ca="1">IF(AND(ISNUMBER($F$247),$B$202=1),$F$247,HLOOKUP(INDIRECT(ADDRESS(2,COLUMN())),OFFSET($R$2,0,0,ROW()-1,12),ROW()-1,FALSE))</f>
        <v>1.5665759589999999</v>
      </c>
      <c r="G50">
        <f ca="1">IF(AND(ISNUMBER($G$247),$B$202=1),$G$247,HLOOKUP(INDIRECT(ADDRESS(2,COLUMN())),OFFSET($R$2,0,0,ROW()-1,12),ROW()-1,FALSE))</f>
        <v>1.704743186</v>
      </c>
      <c r="H50">
        <f ca="1">IF(AND(ISNUMBER($H$247),$B$202=1),$H$247,HLOOKUP(INDIRECT(ADDRESS(2,COLUMN())),OFFSET($R$2,0,0,ROW()-1,12),ROW()-1,FALSE))</f>
        <v>1.462952244</v>
      </c>
      <c r="I50">
        <f ca="1">IF(AND(ISNUMBER($I$247),$B$202=1),$I$247,HLOOKUP(INDIRECT(ADDRESS(2,COLUMN())),OFFSET($R$2,0,0,ROW()-1,12),ROW()-1,FALSE))</f>
        <v>1.455209634</v>
      </c>
      <c r="J50">
        <f ca="1">IF(AND(ISNUMBER($J$247),$B$202=1),$J$247,HLOOKUP(INDIRECT(ADDRESS(2,COLUMN())),OFFSET($R$2,0,0,ROW()-1,12),ROW()-1,FALSE))</f>
        <v>1.3783061750000001</v>
      </c>
      <c r="K50">
        <f ca="1">IF(AND(ISNUMBER($K$247),$B$202=1),$K$247,HLOOKUP(INDIRECT(ADDRESS(2,COLUMN())),OFFSET($R$2,0,0,ROW()-1,12),ROW()-1,FALSE))</f>
        <v>1.3879343900000001</v>
      </c>
      <c r="L50">
        <f ca="1">IF(AND(ISNUMBER($L$247),$B$202=1),$L$247,HLOOKUP(INDIRECT(ADDRESS(2,COLUMN())),OFFSET($R$2,0,0,ROW()-1,12),ROW()-1,FALSE))</f>
        <v>1.3131565009999999</v>
      </c>
      <c r="M50">
        <f ca="1">IF(AND(ISNUMBER($M$247),$B$202=1),$M$247,HLOOKUP(INDIRECT(ADDRESS(2,COLUMN())),OFFSET($R$2,0,0,ROW()-1,12),ROW()-1,FALSE))</f>
        <v>1.516196053</v>
      </c>
      <c r="N50">
        <f ca="1">IF(AND(ISNUMBER($N$247),$B$202=1),$N$247,HLOOKUP(INDIRECT(ADDRESS(2,COLUMN())),OFFSET($R$2,0,0,ROW()-1,12),ROW()-1,FALSE))</f>
        <v>1.522629966</v>
      </c>
      <c r="O50">
        <f ca="1">IF(AND(ISNUMBER($O$247),$B$202=1),$O$247,HLOOKUP(INDIRECT(ADDRESS(2,COLUMN())),OFFSET($R$2,0,0,ROW()-1,12),ROW()-1,FALSE))</f>
        <v>1.7094925510000001</v>
      </c>
      <c r="P50">
        <f ca="1">IF(AND(ISNUMBER($P$247),$B$202=1),$P$247,HLOOKUP(INDIRECT(ADDRESS(2,COLUMN())),OFFSET($R$2,0,0,ROW()-1,12),ROW()-1,FALSE))</f>
        <v>1.645640604</v>
      </c>
      <c r="Q50">
        <f ca="1">IF(AND(ISNUMBER($Q$247),$B$202=1),$Q$247,HLOOKUP(INDIRECT(ADDRESS(2,COLUMN())),OFFSET($R$2,0,0,ROW()-1,12),ROW()-1,FALSE))</f>
        <v>1.729434031</v>
      </c>
      <c r="R50">
        <f>1.566575959</f>
        <v>1.5665759589999999</v>
      </c>
      <c r="S50">
        <f>1.704743186</f>
        <v>1.704743186</v>
      </c>
      <c r="T50">
        <f>1.462952244</f>
        <v>1.462952244</v>
      </c>
      <c r="U50">
        <f>1.455209634</f>
        <v>1.455209634</v>
      </c>
      <c r="V50">
        <f>1.378306175</f>
        <v>1.3783061750000001</v>
      </c>
      <c r="W50">
        <f>1.38793439</f>
        <v>1.3879343900000001</v>
      </c>
      <c r="X50">
        <f>1.313156501</f>
        <v>1.3131565009999999</v>
      </c>
      <c r="Y50">
        <f>1.516196053</f>
        <v>1.516196053</v>
      </c>
      <c r="Z50">
        <f>1.522629966</f>
        <v>1.522629966</v>
      </c>
      <c r="AA50">
        <f>1.709492551</f>
        <v>1.7094925510000001</v>
      </c>
      <c r="AB50">
        <f>1.645640604</f>
        <v>1.645640604</v>
      </c>
      <c r="AC50">
        <f>1.729434031</f>
        <v>1.729434031</v>
      </c>
    </row>
    <row r="51" spans="1:29" x14ac:dyDescent="0.25">
      <c r="A51" t="str">
        <f>"    HCL Technologies Ltd"</f>
        <v xml:space="preserve">    HCL Technologies Ltd</v>
      </c>
      <c r="B51" t="str">
        <f>"HCLT IN Equity"</f>
        <v>HCLT IN Equity</v>
      </c>
      <c r="C51" t="str">
        <f t="shared" si="6"/>
        <v>RR053</v>
      </c>
      <c r="D51" t="str">
        <f t="shared" si="7"/>
        <v>CUR_RATIO</v>
      </c>
      <c r="E51" t="str">
        <f t="shared" si="8"/>
        <v>Dynamic</v>
      </c>
      <c r="F51">
        <f ca="1">IF(AND(ISNUMBER($F$248),$B$202=1),$F$248,HLOOKUP(INDIRECT(ADDRESS(2,COLUMN())),OFFSET($R$2,0,0,ROW()-1,12),ROW()-1,FALSE))</f>
        <v>1.6230432299999999</v>
      </c>
      <c r="G51">
        <f ca="1">IF(AND(ISNUMBER($G$248),$B$202=1),$G$248,HLOOKUP(INDIRECT(ADDRESS(2,COLUMN())),OFFSET($R$2,0,0,ROW()-1,12),ROW()-1,FALSE))</f>
        <v>1.7269828620000001</v>
      </c>
      <c r="H51">
        <f ca="1">IF(AND(ISNUMBER($H$248),$B$202=1),$H$248,HLOOKUP(INDIRECT(ADDRESS(2,COLUMN())),OFFSET($R$2,0,0,ROW()-1,12),ROW()-1,FALSE))</f>
        <v>1.584356045</v>
      </c>
      <c r="I51">
        <f ca="1">IF(AND(ISNUMBER($I$248),$B$202=1),$I$248,HLOOKUP(INDIRECT(ADDRESS(2,COLUMN())),OFFSET($R$2,0,0,ROW()-1,12),ROW()-1,FALSE))</f>
        <v>2.665798611</v>
      </c>
      <c r="J51">
        <f ca="1">IF(AND(ISNUMBER($J$248),$B$202=1),$J$248,HLOOKUP(INDIRECT(ADDRESS(2,COLUMN())),OFFSET($R$2,0,0,ROW()-1,12),ROW()-1,FALSE))</f>
        <v>2.4239362689999999</v>
      </c>
      <c r="K51">
        <f ca="1">IF(AND(ISNUMBER($K$248),$B$202=1),$K$248,HLOOKUP(INDIRECT(ADDRESS(2,COLUMN())),OFFSET($R$2,0,0,ROW()-1,12),ROW()-1,FALSE))</f>
        <v>2.5671076249999998</v>
      </c>
      <c r="L51">
        <f ca="1">IF(AND(ISNUMBER($L$248),$B$202=1),$L$248,HLOOKUP(INDIRECT(ADDRESS(2,COLUMN())),OFFSET($R$2,0,0,ROW()-1,12),ROW()-1,FALSE))</f>
        <v>2.4616477269999999</v>
      </c>
      <c r="M51">
        <f ca="1">IF(AND(ISNUMBER($M$248),$B$202=1),$M$248,HLOOKUP(INDIRECT(ADDRESS(2,COLUMN())),OFFSET($R$2,0,0,ROW()-1,12),ROW()-1,FALSE))</f>
        <v>2.374423454</v>
      </c>
      <c r="N51">
        <f ca="1">IF(AND(ISNUMBER($N$248),$B$202=1),$N$248,HLOOKUP(INDIRECT(ADDRESS(2,COLUMN())),OFFSET($R$2,0,0,ROW()-1,12),ROW()-1,FALSE))</f>
        <v>2.4298011279999998</v>
      </c>
      <c r="O51">
        <f ca="1">IF(AND(ISNUMBER($O$248),$B$202=1),$O$248,HLOOKUP(INDIRECT(ADDRESS(2,COLUMN())),OFFSET($R$2,0,0,ROW()-1,12),ROW()-1,FALSE))</f>
        <v>2.3360506060000001</v>
      </c>
      <c r="P51">
        <f ca="1">IF(AND(ISNUMBER($P$248),$B$202=1),$P$248,HLOOKUP(INDIRECT(ADDRESS(2,COLUMN())),OFFSET($R$2,0,0,ROW()-1,12),ROW()-1,FALSE))</f>
        <v>2.265658352</v>
      </c>
      <c r="Q51">
        <f ca="1">IF(AND(ISNUMBER($Q$248),$B$202=1),$Q$248,HLOOKUP(INDIRECT(ADDRESS(2,COLUMN())),OFFSET($R$2,0,0,ROW()-1,12),ROW()-1,FALSE))</f>
        <v>2.3064816970000002</v>
      </c>
      <c r="R51">
        <f>1.62304323</f>
        <v>1.6230432299999999</v>
      </c>
      <c r="S51">
        <f>1.726982862</f>
        <v>1.7269828620000001</v>
      </c>
      <c r="T51">
        <f>1.584356045</f>
        <v>1.584356045</v>
      </c>
      <c r="U51">
        <f>2.665798611</f>
        <v>2.665798611</v>
      </c>
      <c r="V51">
        <f>2.423936269</f>
        <v>2.4239362689999999</v>
      </c>
      <c r="W51">
        <f>2.567107625</f>
        <v>2.5671076249999998</v>
      </c>
      <c r="X51">
        <f>2.461647727</f>
        <v>2.4616477269999999</v>
      </c>
      <c r="Y51">
        <f>2.374423454</f>
        <v>2.374423454</v>
      </c>
      <c r="Z51">
        <f>2.429801128</f>
        <v>2.4298011279999998</v>
      </c>
      <c r="AA51">
        <f>2.336050606</f>
        <v>2.3360506060000001</v>
      </c>
      <c r="AB51">
        <f>2.265658352</f>
        <v>2.265658352</v>
      </c>
      <c r="AC51">
        <f>2.306481697</f>
        <v>2.3064816970000002</v>
      </c>
    </row>
    <row r="52" spans="1:29" x14ac:dyDescent="0.25">
      <c r="A52" t="str">
        <f>"    Indra Sistemas SA"</f>
        <v xml:space="preserve">    Indra Sistemas SA</v>
      </c>
      <c r="B52" t="str">
        <f>"IDR SM Equity"</f>
        <v>IDR SM Equity</v>
      </c>
      <c r="C52" t="str">
        <f t="shared" si="6"/>
        <v>RR053</v>
      </c>
      <c r="D52" t="str">
        <f t="shared" si="7"/>
        <v>CUR_RATIO</v>
      </c>
      <c r="E52" t="str">
        <f t="shared" si="8"/>
        <v>Dynamic</v>
      </c>
      <c r="F52">
        <f ca="1">IF(AND(ISNUMBER($F$249),$B$202=1),$F$249,HLOOKUP(INDIRECT(ADDRESS(2,COLUMN())),OFFSET($R$2,0,0,ROW()-1,12),ROW()-1,FALSE))</f>
        <v>1.2941271990000001</v>
      </c>
      <c r="G52">
        <f ca="1">IF(AND(ISNUMBER($G$249),$B$202=1),$G$249,HLOOKUP(INDIRECT(ADDRESS(2,COLUMN())),OFFSET($R$2,0,0,ROW()-1,12),ROW()-1,FALSE))</f>
        <v>1.3105704549999999</v>
      </c>
      <c r="H52">
        <f ca="1">IF(AND(ISNUMBER($H$249),$B$202=1),$H$249,HLOOKUP(INDIRECT(ADDRESS(2,COLUMN())),OFFSET($R$2,0,0,ROW()-1,12),ROW()-1,FALSE))</f>
        <v>1.3746972669999999</v>
      </c>
      <c r="I52">
        <f ca="1">IF(AND(ISNUMBER($I$249),$B$202=1),$I$249,HLOOKUP(INDIRECT(ADDRESS(2,COLUMN())),OFFSET($R$2,0,0,ROW()-1,12),ROW()-1,FALSE))</f>
        <v>1.349363176</v>
      </c>
      <c r="J52">
        <f ca="1">IF(AND(ISNUMBER($J$249),$B$202=1),$J$249,HLOOKUP(INDIRECT(ADDRESS(2,COLUMN())),OFFSET($R$2,0,0,ROW()-1,12),ROW()-1,FALSE))</f>
        <v>1.328499914</v>
      </c>
      <c r="K52">
        <f ca="1">IF(AND(ISNUMBER($K$249),$B$202=1),$K$249,HLOOKUP(INDIRECT(ADDRESS(2,COLUMN())),OFFSET($R$2,0,0,ROW()-1,12),ROW()-1,FALSE))</f>
        <v>1.297386565</v>
      </c>
      <c r="L52">
        <f ca="1">IF(AND(ISNUMBER($L$249),$B$202=1),$L$249,HLOOKUP(INDIRECT(ADDRESS(2,COLUMN())),OFFSET($R$2,0,0,ROW()-1,12),ROW()-1,FALSE))</f>
        <v>1.276458002</v>
      </c>
      <c r="M52">
        <f ca="1">IF(AND(ISNUMBER($M$249),$B$202=1),$M$249,HLOOKUP(INDIRECT(ADDRESS(2,COLUMN())),OFFSET($R$2,0,0,ROW()-1,12),ROW()-1,FALSE))</f>
        <v>1.2604124379999999</v>
      </c>
      <c r="N52">
        <f ca="1">IF(AND(ISNUMBER($N$249),$B$202=1),$N$249,HLOOKUP(INDIRECT(ADDRESS(2,COLUMN())),OFFSET($R$2,0,0,ROW()-1,12),ROW()-1,FALSE))</f>
        <v>1.0901098899999999</v>
      </c>
      <c r="O52">
        <f ca="1">IF(AND(ISNUMBER($O$249),$B$202=1),$O$249,HLOOKUP(INDIRECT(ADDRESS(2,COLUMN())),OFFSET($R$2,0,0,ROW()-1,12),ROW()-1,FALSE))</f>
        <v>1.118784196</v>
      </c>
      <c r="P52">
        <f ca="1">IF(AND(ISNUMBER($P$249),$B$202=1),$P$249,HLOOKUP(INDIRECT(ADDRESS(2,COLUMN())),OFFSET($R$2,0,0,ROW()-1,12),ROW()-1,FALSE))</f>
        <v>1.269945603</v>
      </c>
      <c r="Q52">
        <f ca="1">IF(AND(ISNUMBER($Q$249),$B$202=1),$Q$249,HLOOKUP(INDIRECT(ADDRESS(2,COLUMN())),OFFSET($R$2,0,0,ROW()-1,12),ROW()-1,FALSE))</f>
        <v>1.2254369009999999</v>
      </c>
      <c r="R52">
        <f>1.294127199</f>
        <v>1.2941271990000001</v>
      </c>
      <c r="S52">
        <f>1.310570455</f>
        <v>1.3105704549999999</v>
      </c>
      <c r="T52">
        <f>1.374697267</f>
        <v>1.3746972669999999</v>
      </c>
      <c r="U52">
        <f>1.349363176</f>
        <v>1.349363176</v>
      </c>
      <c r="V52">
        <f>1.328499914</f>
        <v>1.328499914</v>
      </c>
      <c r="W52">
        <f>1.297386565</f>
        <v>1.297386565</v>
      </c>
      <c r="X52">
        <f>1.276458002</f>
        <v>1.276458002</v>
      </c>
      <c r="Y52">
        <f>1.260412438</f>
        <v>1.2604124379999999</v>
      </c>
      <c r="Z52">
        <f>1.09010989</f>
        <v>1.0901098899999999</v>
      </c>
      <c r="AA52">
        <f>1.118784196</f>
        <v>1.118784196</v>
      </c>
      <c r="AB52">
        <f>1.269945603</f>
        <v>1.269945603</v>
      </c>
      <c r="AC52">
        <f>1.225436901</f>
        <v>1.2254369009999999</v>
      </c>
    </row>
    <row r="53" spans="1:29" x14ac:dyDescent="0.25">
      <c r="A53" t="str">
        <f>"    Infosys Ltd"</f>
        <v xml:space="preserve">    Infosys Ltd</v>
      </c>
      <c r="B53" t="str">
        <f>"INFY US Equity"</f>
        <v>INFY US Equity</v>
      </c>
      <c r="C53" t="str">
        <f t="shared" si="6"/>
        <v>RR053</v>
      </c>
      <c r="D53" t="str">
        <f t="shared" si="7"/>
        <v>CUR_RATIO</v>
      </c>
      <c r="E53" t="str">
        <f t="shared" si="8"/>
        <v>Dynamic</v>
      </c>
      <c r="F53">
        <f ca="1">IF(AND(ISNUMBER($F$250),$B$202=1),$F$250,HLOOKUP(INDIRECT(ADDRESS(2,COLUMN())),OFFSET($R$2,0,0,ROW()-1,12),ROW()-1,FALSE))</f>
        <v>2.6168009209999998</v>
      </c>
      <c r="G53">
        <f ca="1">IF(AND(ISNUMBER($G$250),$B$202=1),$G$250,HLOOKUP(INDIRECT(ADDRESS(2,COLUMN())),OFFSET($R$2,0,0,ROW()-1,12),ROW()-1,FALSE))</f>
        <v>2.5416187570000002</v>
      </c>
      <c r="H53">
        <f ca="1">IF(AND(ISNUMBER($H$250),$B$202=1),$H$250,HLOOKUP(INDIRECT(ADDRESS(2,COLUMN())),OFFSET($R$2,0,0,ROW()-1,12),ROW()-1,FALSE))</f>
        <v>2.5427619589999999</v>
      </c>
      <c r="I53">
        <f ca="1">IF(AND(ISNUMBER($I$250),$B$202=1),$I$250,HLOOKUP(INDIRECT(ADDRESS(2,COLUMN())),OFFSET($R$2,0,0,ROW()-1,12),ROW()-1,FALSE))</f>
        <v>2.0835356159999998</v>
      </c>
      <c r="J53">
        <f ca="1">IF(AND(ISNUMBER($J$250),$B$202=1),$J$250,HLOOKUP(INDIRECT(ADDRESS(2,COLUMN())),OFFSET($R$2,0,0,ROW()-1,12),ROW()-1,FALSE))</f>
        <v>2.8371069860000002</v>
      </c>
      <c r="K53">
        <f ca="1">IF(AND(ISNUMBER($K$250),$B$202=1),$K$250,HLOOKUP(INDIRECT(ADDRESS(2,COLUMN())),OFFSET($R$2,0,0,ROW()-1,12),ROW()-1,FALSE))</f>
        <v>3.0819886869999999</v>
      </c>
      <c r="L53">
        <f ca="1">IF(AND(ISNUMBER($L$250),$B$202=1),$L$250,HLOOKUP(INDIRECT(ADDRESS(2,COLUMN())),OFFSET($R$2,0,0,ROW()-1,12),ROW()-1,FALSE))</f>
        <v>3.303133903</v>
      </c>
      <c r="M53">
        <f ca="1">IF(AND(ISNUMBER($M$250),$B$202=1),$M$250,HLOOKUP(INDIRECT(ADDRESS(2,COLUMN())),OFFSET($R$2,0,0,ROW()-1,12),ROW()-1,FALSE))</f>
        <v>2.9321398329999999</v>
      </c>
      <c r="N53">
        <f ca="1">IF(AND(ISNUMBER($N$250),$B$202=1),$N$250,HLOOKUP(INDIRECT(ADDRESS(2,COLUMN())),OFFSET($R$2,0,0,ROW()-1,12),ROW()-1,FALSE))</f>
        <v>3.5460475009999999</v>
      </c>
      <c r="O53">
        <f ca="1">IF(AND(ISNUMBER($O$250),$B$202=1),$O$250,HLOOKUP(INDIRECT(ADDRESS(2,COLUMN())),OFFSET($R$2,0,0,ROW()-1,12),ROW()-1,FALSE))</f>
        <v>3.2868421049999998</v>
      </c>
      <c r="P53">
        <f ca="1">IF(AND(ISNUMBER($P$250),$B$202=1),$P$250,HLOOKUP(INDIRECT(ADDRESS(2,COLUMN())),OFFSET($R$2,0,0,ROW()-1,12),ROW()-1,FALSE))</f>
        <v>3.689028253</v>
      </c>
      <c r="Q53">
        <f ca="1">IF(AND(ISNUMBER($Q$250),$B$202=1),$Q$250,HLOOKUP(INDIRECT(ADDRESS(2,COLUMN())),OFFSET($R$2,0,0,ROW()-1,12),ROW()-1,FALSE))</f>
        <v>3.3916671780000001</v>
      </c>
      <c r="R53">
        <f>2.616800921</f>
        <v>2.6168009209999998</v>
      </c>
      <c r="S53">
        <f>2.541618757</f>
        <v>2.5416187570000002</v>
      </c>
      <c r="T53">
        <f>2.542761959</f>
        <v>2.5427619589999999</v>
      </c>
      <c r="U53">
        <f>2.083535616</f>
        <v>2.0835356159999998</v>
      </c>
      <c r="V53">
        <f>2.837106986</f>
        <v>2.8371069860000002</v>
      </c>
      <c r="W53">
        <f>3.081988687</f>
        <v>3.0819886869999999</v>
      </c>
      <c r="X53">
        <f>3.303133903</f>
        <v>3.303133903</v>
      </c>
      <c r="Y53">
        <f>2.932139833</f>
        <v>2.9321398329999999</v>
      </c>
      <c r="Z53">
        <f>3.546047501</f>
        <v>3.5460475009999999</v>
      </c>
      <c r="AA53">
        <f>3.286842105</f>
        <v>3.2868421049999998</v>
      </c>
      <c r="AB53">
        <f>3.689028253</f>
        <v>3.689028253</v>
      </c>
      <c r="AC53">
        <f>3.391667178</f>
        <v>3.3916671780000001</v>
      </c>
    </row>
    <row r="54" spans="1:29" x14ac:dyDescent="0.25">
      <c r="A54" t="str">
        <f>"    International Business Machines Corp"</f>
        <v xml:space="preserve">    International Business Machines Corp</v>
      </c>
      <c r="B54" t="str">
        <f>"IBM US Equity"</f>
        <v>IBM US Equity</v>
      </c>
      <c r="C54" t="str">
        <f t="shared" si="6"/>
        <v>RR053</v>
      </c>
      <c r="D54" t="str">
        <f t="shared" si="7"/>
        <v>CUR_RATIO</v>
      </c>
      <c r="E54" t="str">
        <f t="shared" si="8"/>
        <v>Dynamic</v>
      </c>
      <c r="F54">
        <f ca="1">IF(AND(ISNUMBER($F$251),$B$202=1),$F$251,HLOOKUP(INDIRECT(ADDRESS(2,COLUMN())),OFFSET($R$2,0,0,ROW()-1,12),ROW()-1,FALSE))</f>
        <v>0.95717060499999995</v>
      </c>
      <c r="G54">
        <f ca="1">IF(AND(ISNUMBER($G$251),$B$202=1),$G$251,HLOOKUP(INDIRECT(ADDRESS(2,COLUMN())),OFFSET($R$2,0,0,ROW()-1,12),ROW()-1,FALSE))</f>
        <v>1.019071112</v>
      </c>
      <c r="H54">
        <f ca="1">IF(AND(ISNUMBER($H$251),$B$202=1),$H$251,HLOOKUP(INDIRECT(ADDRESS(2,COLUMN())),OFFSET($R$2,0,0,ROW()-1,12),ROW()-1,FALSE))</f>
        <v>1.0871214279999999</v>
      </c>
      <c r="I54">
        <f ca="1">IF(AND(ISNUMBER($I$251),$B$202=1),$I$251,HLOOKUP(INDIRECT(ADDRESS(2,COLUMN())),OFFSET($R$2,0,0,ROW()-1,12),ROW()-1,FALSE))</f>
        <v>1.830346391</v>
      </c>
      <c r="J54">
        <f ca="1">IF(AND(ISNUMBER($J$251),$B$202=1),$J$251,HLOOKUP(INDIRECT(ADDRESS(2,COLUMN())),OFFSET($R$2,0,0,ROW()-1,12),ROW()-1,FALSE))</f>
        <v>1.3558951400000001</v>
      </c>
      <c r="K54">
        <f ca="1">IF(AND(ISNUMBER($K$251),$B$202=1),$K$251,HLOOKUP(INDIRECT(ADDRESS(2,COLUMN())),OFFSET($R$2,0,0,ROW()-1,12),ROW()-1,FALSE))</f>
        <v>1.285635807</v>
      </c>
      <c r="L54">
        <f ca="1">IF(AND(ISNUMBER($L$251),$B$202=1),$L$251,HLOOKUP(INDIRECT(ADDRESS(2,COLUMN())),OFFSET($R$2,0,0,ROW()-1,12),ROW()-1,FALSE))</f>
        <v>1.310548042</v>
      </c>
      <c r="M54">
        <f ca="1">IF(AND(ISNUMBER($M$251),$B$202=1),$M$251,HLOOKUP(INDIRECT(ADDRESS(2,COLUMN())),OFFSET($R$2,0,0,ROW()-1,12),ROW()-1,FALSE))</f>
        <v>1.3203261669999999</v>
      </c>
      <c r="N54">
        <f ca="1">IF(AND(ISNUMBER($N$251),$B$202=1),$N$251,HLOOKUP(INDIRECT(ADDRESS(2,COLUMN())),OFFSET($R$2,0,0,ROW()-1,12),ROW()-1,FALSE))</f>
        <v>1.3746956589999999</v>
      </c>
      <c r="O54">
        <f ca="1">IF(AND(ISNUMBER($O$251),$B$202=1),$O$251,HLOOKUP(INDIRECT(ADDRESS(2,COLUMN())),OFFSET($R$2,0,0,ROW()-1,12),ROW()-1,FALSE))</f>
        <v>1.331129727</v>
      </c>
      <c r="P54">
        <f ca="1">IF(AND(ISNUMBER($P$251),$B$202=1),$P$251,HLOOKUP(INDIRECT(ADDRESS(2,COLUMN())),OFFSET($R$2,0,0,ROW()-1,12),ROW()-1,FALSE))</f>
        <v>1.411553144</v>
      </c>
      <c r="Q54">
        <f ca="1">IF(AND(ISNUMBER($Q$251),$B$202=1),$Q$251,HLOOKUP(INDIRECT(ADDRESS(2,COLUMN())),OFFSET($R$2,0,0,ROW()-1,12),ROW()-1,FALSE))</f>
        <v>1.2515431239999999</v>
      </c>
      <c r="R54">
        <f>0.957170605</f>
        <v>0.95717060499999995</v>
      </c>
      <c r="S54">
        <f>1.019071112</f>
        <v>1.019071112</v>
      </c>
      <c r="T54">
        <f>1.087121428</f>
        <v>1.0871214279999999</v>
      </c>
      <c r="U54">
        <f>1.830346391</f>
        <v>1.830346391</v>
      </c>
      <c r="V54">
        <f>1.35589514</f>
        <v>1.3558951400000001</v>
      </c>
      <c r="W54">
        <f>1.285635807</f>
        <v>1.285635807</v>
      </c>
      <c r="X54">
        <f>1.310548042</f>
        <v>1.310548042</v>
      </c>
      <c r="Y54">
        <f>1.320326167</f>
        <v>1.3203261669999999</v>
      </c>
      <c r="Z54">
        <f>1.374695659</f>
        <v>1.3746956589999999</v>
      </c>
      <c r="AA54">
        <f>1.331129727</f>
        <v>1.331129727</v>
      </c>
      <c r="AB54">
        <f>1.411553144</f>
        <v>1.411553144</v>
      </c>
      <c r="AC54">
        <f>1.251543124</f>
        <v>1.2515431239999999</v>
      </c>
    </row>
    <row r="55" spans="1:29" x14ac:dyDescent="0.25">
      <c r="A55" t="str">
        <f>"    Tata Consultancy Services Ltd"</f>
        <v xml:space="preserve">    Tata Consultancy Services Ltd</v>
      </c>
      <c r="B55" t="str">
        <f>"TCS IN Equity"</f>
        <v>TCS IN Equity</v>
      </c>
      <c r="C55" t="str">
        <f t="shared" si="6"/>
        <v>RR053</v>
      </c>
      <c r="D55" t="str">
        <f t="shared" si="7"/>
        <v>CUR_RATIO</v>
      </c>
      <c r="E55" t="str">
        <f t="shared" si="8"/>
        <v>Dynamic</v>
      </c>
      <c r="F55">
        <f ca="1">IF(AND(ISNUMBER($F$252),$B$202=1),$F$252,HLOOKUP(INDIRECT(ADDRESS(2,COLUMN())),OFFSET($R$2,0,0,ROW()-1,12),ROW()-1,FALSE))</f>
        <v>3.3347006650000002</v>
      </c>
      <c r="G55">
        <f ca="1">IF(AND(ISNUMBER($G$252),$B$202=1),$G$252,HLOOKUP(INDIRECT(ADDRESS(2,COLUMN())),OFFSET($R$2,0,0,ROW()-1,12),ROW()-1,FALSE))</f>
        <v>3.52470324</v>
      </c>
      <c r="H55">
        <f ca="1">IF(AND(ISNUMBER($H$252),$B$202=1),$H$252,HLOOKUP(INDIRECT(ADDRESS(2,COLUMN())),OFFSET($R$2,0,0,ROW()-1,12),ROW()-1,FALSE))</f>
        <v>4.131208054</v>
      </c>
      <c r="I55">
        <f ca="1">IF(AND(ISNUMBER($I$252),$B$202=1),$I$252,HLOOKUP(INDIRECT(ADDRESS(2,COLUMN())),OFFSET($R$2,0,0,ROW()-1,12),ROW()-1,FALSE))</f>
        <v>3.8044092940000001</v>
      </c>
      <c r="J55">
        <f ca="1">IF(AND(ISNUMBER($J$252),$B$202=1),$J$252,HLOOKUP(INDIRECT(ADDRESS(2,COLUMN())),OFFSET($R$2,0,0,ROW()-1,12),ROW()-1,FALSE))</f>
        <v>4.1718438689999999</v>
      </c>
      <c r="K55">
        <f ca="1">IF(AND(ISNUMBER($K$252),$B$202=1),$K$252,HLOOKUP(INDIRECT(ADDRESS(2,COLUMN())),OFFSET($R$2,0,0,ROW()-1,12),ROW()-1,FALSE))</f>
        <v>4.0242530260000002</v>
      </c>
      <c r="L55">
        <f ca="1">IF(AND(ISNUMBER($L$252),$B$202=1),$L$252,HLOOKUP(INDIRECT(ADDRESS(2,COLUMN())),OFFSET($R$2,0,0,ROW()-1,12),ROW()-1,FALSE))</f>
        <v>3.4470217769999998</v>
      </c>
      <c r="M55">
        <f ca="1">IF(AND(ISNUMBER($M$252),$B$202=1),$M$252,HLOOKUP(INDIRECT(ADDRESS(2,COLUMN())),OFFSET($R$2,0,0,ROW()-1,12),ROW()-1,FALSE))</f>
        <v>4.119016631</v>
      </c>
      <c r="N55">
        <f ca="1">IF(AND(ISNUMBER($N$252),$B$202=1),$N$252,HLOOKUP(INDIRECT(ADDRESS(2,COLUMN())),OFFSET($R$2,0,0,ROW()-1,12),ROW()-1,FALSE))</f>
        <v>4.5559793580000001</v>
      </c>
      <c r="O55">
        <f ca="1">IF(AND(ISNUMBER($O$252),$B$202=1),$O$252,HLOOKUP(INDIRECT(ADDRESS(2,COLUMN())),OFFSET($R$2,0,0,ROW()-1,12),ROW()-1,FALSE))</f>
        <v>4.5432388960000001</v>
      </c>
      <c r="P55">
        <f ca="1">IF(AND(ISNUMBER($P$252),$B$202=1),$P$252,HLOOKUP(INDIRECT(ADDRESS(2,COLUMN())),OFFSET($R$2,0,0,ROW()-1,12),ROW()-1,FALSE))</f>
        <v>4.3382956559999997</v>
      </c>
      <c r="Q55">
        <f ca="1">IF(AND(ISNUMBER($Q$252),$B$202=1),$Q$252,HLOOKUP(INDIRECT(ADDRESS(2,COLUMN())),OFFSET($R$2,0,0,ROW()-1,12),ROW()-1,FALSE))</f>
        <v>4.2875173459999996</v>
      </c>
      <c r="R55">
        <f>3.334700665</f>
        <v>3.3347006650000002</v>
      </c>
      <c r="S55">
        <f>3.52470324</f>
        <v>3.52470324</v>
      </c>
      <c r="T55">
        <f>4.131208054</f>
        <v>4.131208054</v>
      </c>
      <c r="U55">
        <f>3.804409294</f>
        <v>3.8044092940000001</v>
      </c>
      <c r="V55">
        <f>4.171843869</f>
        <v>4.1718438689999999</v>
      </c>
      <c r="W55">
        <f>4.024253026</f>
        <v>4.0242530260000002</v>
      </c>
      <c r="X55">
        <f>3.447021777</f>
        <v>3.4470217769999998</v>
      </c>
      <c r="Y55">
        <f>4.119016631</f>
        <v>4.119016631</v>
      </c>
      <c r="Z55">
        <f>4.555979358</f>
        <v>4.5559793580000001</v>
      </c>
      <c r="AA55">
        <f>4.543238896</f>
        <v>4.5432388960000001</v>
      </c>
      <c r="AB55">
        <f>4.338295656</f>
        <v>4.3382956559999997</v>
      </c>
      <c r="AC55">
        <f>4.287517346</f>
        <v>4.2875173459999996</v>
      </c>
    </row>
    <row r="56" spans="1:29" x14ac:dyDescent="0.25">
      <c r="A56" t="str">
        <f>"    Tech Mahindra Ltd"</f>
        <v xml:space="preserve">    Tech Mahindra Ltd</v>
      </c>
      <c r="B56" t="str">
        <f>"TECHM IN Equity"</f>
        <v>TECHM IN Equity</v>
      </c>
      <c r="C56" t="str">
        <f t="shared" si="6"/>
        <v>RR053</v>
      </c>
      <c r="D56" t="str">
        <f t="shared" si="7"/>
        <v>CUR_RATIO</v>
      </c>
      <c r="E56" t="str">
        <f t="shared" si="8"/>
        <v>Dynamic</v>
      </c>
      <c r="F56">
        <f ca="1">IF(AND(ISNUMBER($F$253),$B$202=1),$F$253,HLOOKUP(INDIRECT(ADDRESS(2,COLUMN())),OFFSET($R$2,0,0,ROW()-1,12),ROW()-1,FALSE))</f>
        <v>2.1208884490000002</v>
      </c>
      <c r="G56">
        <f ca="1">IF(AND(ISNUMBER($G$253),$B$202=1),$G$253,HLOOKUP(INDIRECT(ADDRESS(2,COLUMN())),OFFSET($R$2,0,0,ROW()-1,12),ROW()-1,FALSE))</f>
        <v>2.011419514</v>
      </c>
      <c r="H56">
        <f ca="1">IF(AND(ISNUMBER($H$253),$B$202=1),$H$253,HLOOKUP(INDIRECT(ADDRESS(2,COLUMN())),OFFSET($R$2,0,0,ROW()-1,12),ROW()-1,FALSE))</f>
        <v>2.0236610659999998</v>
      </c>
      <c r="I56">
        <f ca="1">IF(AND(ISNUMBER($I$253),$B$202=1),$I$253,HLOOKUP(INDIRECT(ADDRESS(2,COLUMN())),OFFSET($R$2,0,0,ROW()-1,12),ROW()-1,FALSE))</f>
        <v>2.045405889</v>
      </c>
      <c r="J56">
        <f ca="1">IF(AND(ISNUMBER($J$253),$B$202=1),$J$253,HLOOKUP(INDIRECT(ADDRESS(2,COLUMN())),OFFSET($R$2,0,0,ROW()-1,12),ROW()-1,FALSE))</f>
        <v>1.8652954610000001</v>
      </c>
      <c r="K56">
        <f ca="1">IF(AND(ISNUMBER($K$253),$B$202=1),$K$253,HLOOKUP(INDIRECT(ADDRESS(2,COLUMN())),OFFSET($R$2,0,0,ROW()-1,12),ROW()-1,FALSE))</f>
        <v>1.977383906</v>
      </c>
      <c r="L56">
        <f ca="1">IF(AND(ISNUMBER($L$253),$B$202=1),$L$253,HLOOKUP(INDIRECT(ADDRESS(2,COLUMN())),OFFSET($R$2,0,0,ROW()-1,12),ROW()-1,FALSE))</f>
        <v>1.822902408</v>
      </c>
      <c r="M56">
        <f ca="1">IF(AND(ISNUMBER($M$253),$B$202=1),$M$253,HLOOKUP(INDIRECT(ADDRESS(2,COLUMN())),OFFSET($R$2,0,0,ROW()-1,12),ROW()-1,FALSE))</f>
        <v>2.0766919549999998</v>
      </c>
      <c r="N56">
        <f ca="1">IF(AND(ISNUMBER($N$253),$B$202=1),$N$253,HLOOKUP(INDIRECT(ADDRESS(2,COLUMN())),OFFSET($R$2,0,0,ROW()-1,12),ROW()-1,FALSE))</f>
        <v>1.9795344969999999</v>
      </c>
      <c r="O56">
        <f ca="1">IF(AND(ISNUMBER($O$253),$B$202=1),$O$253,HLOOKUP(INDIRECT(ADDRESS(2,COLUMN())),OFFSET($R$2,0,0,ROW()-1,12),ROW()-1,FALSE))</f>
        <v>1.93391465</v>
      </c>
      <c r="P56">
        <f ca="1">IF(AND(ISNUMBER($P$253),$B$202=1),$P$253,HLOOKUP(INDIRECT(ADDRESS(2,COLUMN())),OFFSET($R$2,0,0,ROW()-1,12),ROW()-1,FALSE))</f>
        <v>2.0117085430000001</v>
      </c>
      <c r="Q56">
        <f ca="1">IF(AND(ISNUMBER($Q$253),$B$202=1),$Q$253,HLOOKUP(INDIRECT(ADDRESS(2,COLUMN())),OFFSET($R$2,0,0,ROW()-1,12),ROW()-1,FALSE))</f>
        <v>2.0394770449999999</v>
      </c>
      <c r="R56">
        <f>2.120888449</f>
        <v>2.1208884490000002</v>
      </c>
      <c r="S56">
        <f>2.011419514</f>
        <v>2.011419514</v>
      </c>
      <c r="T56">
        <f>2.023661066</f>
        <v>2.0236610659999998</v>
      </c>
      <c r="U56">
        <f>2.045405889</f>
        <v>2.045405889</v>
      </c>
      <c r="V56">
        <f>1.865295461</f>
        <v>1.8652954610000001</v>
      </c>
      <c r="W56">
        <f>1.977383906</f>
        <v>1.977383906</v>
      </c>
      <c r="X56">
        <f>1.822902408</f>
        <v>1.822902408</v>
      </c>
      <c r="Y56">
        <f>2.076691955</f>
        <v>2.0766919549999998</v>
      </c>
      <c r="Z56">
        <f>1.979534497</f>
        <v>1.9795344969999999</v>
      </c>
      <c r="AA56">
        <f>1.93391465</f>
        <v>1.93391465</v>
      </c>
      <c r="AB56">
        <f>2.011708543</f>
        <v>2.0117085430000001</v>
      </c>
      <c r="AC56">
        <f>2.039477045</f>
        <v>2.0394770449999999</v>
      </c>
    </row>
    <row r="57" spans="1:29" x14ac:dyDescent="0.25">
      <c r="A57" t="str">
        <f>"    Wipro Ltd"</f>
        <v xml:space="preserve">    Wipro Ltd</v>
      </c>
      <c r="B57" t="str">
        <f>"WIT US Equity"</f>
        <v>WIT US Equity</v>
      </c>
      <c r="C57" t="str">
        <f t="shared" si="6"/>
        <v>RR053</v>
      </c>
      <c r="D57" t="str">
        <f t="shared" si="7"/>
        <v>CUR_RATIO</v>
      </c>
      <c r="E57" t="str">
        <f t="shared" si="8"/>
        <v>Dynamic</v>
      </c>
      <c r="F57">
        <f ca="1">IF(AND(ISNUMBER($F$254),$B$202=1),$F$254,HLOOKUP(INDIRECT(ADDRESS(2,COLUMN())),OFFSET($R$2,0,0,ROW()-1,12),ROW()-1,FALSE))</f>
        <v>2.4023466560000002</v>
      </c>
      <c r="G57">
        <f ca="1">IF(AND(ISNUMBER($G$254),$B$202=1),$G$254,HLOOKUP(INDIRECT(ADDRESS(2,COLUMN())),OFFSET($R$2,0,0,ROW()-1,12),ROW()-1,FALSE))</f>
        <v>2.451490653</v>
      </c>
      <c r="H57">
        <f ca="1">IF(AND(ISNUMBER($H$254),$B$202=1),$H$254,HLOOKUP(INDIRECT(ADDRESS(2,COLUMN())),OFFSET($R$2,0,0,ROW()-1,12),ROW()-1,FALSE))</f>
        <v>2.397341795</v>
      </c>
      <c r="I57">
        <f ca="1">IF(AND(ISNUMBER($I$254),$B$202=1),$I$254,HLOOKUP(INDIRECT(ADDRESS(2,COLUMN())),OFFSET($R$2,0,0,ROW()-1,12),ROW()-1,FALSE))</f>
        <v>2.712550266</v>
      </c>
      <c r="J57">
        <f ca="1">IF(AND(ISNUMBER($J$254),$B$202=1),$J$254,HLOOKUP(INDIRECT(ADDRESS(2,COLUMN())),OFFSET($R$2,0,0,ROW()-1,12),ROW()-1,FALSE))</f>
        <v>2.6680942380000001</v>
      </c>
      <c r="K57">
        <f ca="1">IF(AND(ISNUMBER($K$254),$B$202=1),$K$254,HLOOKUP(INDIRECT(ADDRESS(2,COLUMN())),OFFSET($R$2,0,0,ROW()-1,12),ROW()-1,FALSE))</f>
        <v>2.7921661640000002</v>
      </c>
      <c r="L57">
        <f ca="1">IF(AND(ISNUMBER($L$254),$B$202=1),$L$254,HLOOKUP(INDIRECT(ADDRESS(2,COLUMN())),OFFSET($R$2,0,0,ROW()-1,12),ROW()-1,FALSE))</f>
        <v>2.5060292130000001</v>
      </c>
      <c r="M57">
        <f ca="1">IF(AND(ISNUMBER($M$254),$B$202=1),$M$254,HLOOKUP(INDIRECT(ADDRESS(2,COLUMN())),OFFSET($R$2,0,0,ROW()-1,12),ROW()-1,FALSE))</f>
        <v>2.5334251550000002</v>
      </c>
      <c r="N57">
        <f ca="1">IF(AND(ISNUMBER($N$254),$B$202=1),$N$254,HLOOKUP(INDIRECT(ADDRESS(2,COLUMN())),OFFSET($R$2,0,0,ROW()-1,12),ROW()-1,FALSE))</f>
        <v>2.3706763710000001</v>
      </c>
      <c r="O57">
        <f ca="1">IF(AND(ISNUMBER($O$254),$B$202=1),$O$254,HLOOKUP(INDIRECT(ADDRESS(2,COLUMN())),OFFSET($R$2,0,0,ROW()-1,12),ROW()-1,FALSE))</f>
        <v>2.1559220049999999</v>
      </c>
      <c r="P57">
        <f ca="1">IF(AND(ISNUMBER($P$254),$B$202=1),$P$254,HLOOKUP(INDIRECT(ADDRESS(2,COLUMN())),OFFSET($R$2,0,0,ROW()-1,12),ROW()-1,FALSE))</f>
        <v>2.530701445</v>
      </c>
      <c r="Q57">
        <f ca="1">IF(AND(ISNUMBER($Q$254),$B$202=1),$Q$254,HLOOKUP(INDIRECT(ADDRESS(2,COLUMN())),OFFSET($R$2,0,0,ROW()-1,12),ROW()-1,FALSE))</f>
        <v>2.4120726960000001</v>
      </c>
      <c r="R57">
        <f>2.402346656</f>
        <v>2.4023466560000002</v>
      </c>
      <c r="S57">
        <f>2.451490653</f>
        <v>2.451490653</v>
      </c>
      <c r="T57">
        <f>2.397341795</f>
        <v>2.397341795</v>
      </c>
      <c r="U57">
        <f>2.712550266</f>
        <v>2.712550266</v>
      </c>
      <c r="V57">
        <f>2.668094238</f>
        <v>2.6680942380000001</v>
      </c>
      <c r="W57">
        <f>2.792166164</f>
        <v>2.7921661640000002</v>
      </c>
      <c r="X57">
        <f>2.506029213</f>
        <v>2.5060292130000001</v>
      </c>
      <c r="Y57">
        <f>2.533425155</f>
        <v>2.5334251550000002</v>
      </c>
      <c r="Z57">
        <f>2.370676371</f>
        <v>2.3706763710000001</v>
      </c>
      <c r="AA57">
        <f>2.155922005</f>
        <v>2.1559220049999999</v>
      </c>
      <c r="AB57">
        <f>2.530701445</f>
        <v>2.530701445</v>
      </c>
      <c r="AC57">
        <f>2.412072696</f>
        <v>2.4120726960000001</v>
      </c>
    </row>
    <row r="58" spans="1:29" x14ac:dyDescent="0.25">
      <c r="A58" t="str">
        <f>"Interest Coverage"</f>
        <v>Interest Coverage</v>
      </c>
      <c r="B58" t="str">
        <f>""</f>
        <v/>
      </c>
      <c r="E58" t="str">
        <f>"Average"</f>
        <v>Average</v>
      </c>
      <c r="F58">
        <f ca="1">IF(ISERROR(IF(AVERAGE($F$59:$F$75) = 0, "", AVERAGE($F$59:$F$75))), "", (IF(AVERAGE($F$59:$F$75) = 0, "", AVERAGE($F$59:$F$75))))</f>
        <v>32.893045374499998</v>
      </c>
      <c r="G58">
        <f ca="1">IF(ISERROR(IF(AVERAGE($G$59:$G$75) = 0, "", AVERAGE($G$59:$G$75))), "", (IF(AVERAGE($G$59:$G$75) = 0, "", AVERAGE($G$59:$G$75))))</f>
        <v>51.761481334300001</v>
      </c>
      <c r="H58">
        <f ca="1">IF(ISERROR(IF(AVERAGE($H$59:$H$75) = 0, "", AVERAGE($H$59:$H$75))), "", (IF(AVERAGE($H$59:$H$75) = 0, "", AVERAGE($H$59:$H$75))))</f>
        <v>42.036963175200007</v>
      </c>
      <c r="I58">
        <f ca="1">IF(ISERROR(IF(AVERAGE($I$59:$I$75) = 0, "", AVERAGE($I$59:$I$75))), "", (IF(AVERAGE($I$59:$I$75) = 0, "", AVERAGE($I$59:$I$75))))</f>
        <v>58.078860307090913</v>
      </c>
      <c r="J58">
        <f ca="1">IF(ISERROR(IF(AVERAGE($J$59:$J$75) = 0, "", AVERAGE($J$59:$J$75))), "", (IF(AVERAGE($J$59:$J$75) = 0, "", AVERAGE($J$59:$J$75))))</f>
        <v>75.454987601499994</v>
      </c>
      <c r="K58">
        <f ca="1">IF(ISERROR(IF(AVERAGE($K$59:$K$75) = 0, "", AVERAGE($K$59:$K$75))), "", (IF(AVERAGE($K$59:$K$75) = 0, "", AVERAGE($K$59:$K$75))))</f>
        <v>117.13399262820001</v>
      </c>
      <c r="L58">
        <f ca="1">IF(ISERROR(IF(AVERAGE($L$59:$L$75) = 0, "", AVERAGE($L$59:$L$75))), "", (IF(AVERAGE($L$59:$L$75) = 0, "", AVERAGE($L$59:$L$75))))</f>
        <v>61.031221338777783</v>
      </c>
      <c r="M58">
        <f ca="1">IF(ISERROR(IF(AVERAGE($M$59:$M$75) = 0, "", AVERAGE($M$59:$M$75))), "", (IF(AVERAGE($M$59:$M$75) = 0, "", AVERAGE($M$59:$M$75))))</f>
        <v>107.0915890428889</v>
      </c>
      <c r="N58">
        <f ca="1">IF(ISERROR(IF(AVERAGE($N$59:$N$75) = 0, "", AVERAGE($N$59:$N$75))), "", (IF(AVERAGE($N$59:$N$75) = 0, "", AVERAGE($N$59:$N$75))))</f>
        <v>122.64611301990909</v>
      </c>
      <c r="O58">
        <f ca="1">IF(ISERROR(IF(AVERAGE($O$59:$O$75) = 0, "", AVERAGE($O$59:$O$75))), "", (IF(AVERAGE($O$59:$O$75) = 0, "", AVERAGE($O$59:$O$75))))</f>
        <v>186.13474840429998</v>
      </c>
      <c r="P58">
        <f ca="1">IF(ISERROR(IF(AVERAGE($P$59:$P$75) = 0, "", AVERAGE($P$59:$P$75))), "", (IF(AVERAGE($P$59:$P$75) = 0, "", AVERAGE($P$59:$P$75))))</f>
        <v>172.28184002133332</v>
      </c>
      <c r="Q58">
        <f ca="1">IF(ISERROR(IF(AVERAGE($Q$59:$Q$75) = 0, "", AVERAGE($Q$59:$Q$75))), "", (IF(AVERAGE($Q$59:$Q$75) = 0, "", AVERAGE($Q$59:$Q$75))))</f>
        <v>74.594574178000002</v>
      </c>
      <c r="R58">
        <f>32.89304537</f>
        <v>32.893045370000003</v>
      </c>
      <c r="S58">
        <f>51.76148134</f>
        <v>51.761481340000003</v>
      </c>
      <c r="T58">
        <f>42.03696317</f>
        <v>42.03696317</v>
      </c>
      <c r="U58">
        <f>58.07886031</f>
        <v>58.078860310000003</v>
      </c>
      <c r="V58">
        <f>75.4549876</f>
        <v>75.454987599999995</v>
      </c>
      <c r="W58">
        <f>117.1339926</f>
        <v>117.1339926</v>
      </c>
      <c r="X58">
        <f>61.03122133</f>
        <v>61.031221330000001</v>
      </c>
      <c r="Y58">
        <f>107.091589</f>
        <v>107.091589</v>
      </c>
      <c r="Z58">
        <f>122.646113</f>
        <v>122.646113</v>
      </c>
      <c r="AA58">
        <f>186.1347484</f>
        <v>186.13474840000001</v>
      </c>
      <c r="AB58">
        <f>172.2818401</f>
        <v>172.28184010000001</v>
      </c>
      <c r="AC58">
        <f>74.59457417</f>
        <v>74.594574170000001</v>
      </c>
    </row>
    <row r="59" spans="1:29" x14ac:dyDescent="0.25">
      <c r="A59" t="str">
        <f>"    Accenture PLC"</f>
        <v xml:space="preserve">    Accenture PLC</v>
      </c>
      <c r="B59" t="str">
        <f>"ACN US Equity"</f>
        <v>ACN US Equity</v>
      </c>
      <c r="C59" t="str">
        <f t="shared" ref="C59:C75" si="9">"RR060"</f>
        <v>RR060</v>
      </c>
      <c r="D59" t="str">
        <f t="shared" ref="D59:D75" si="10">"INTEREST_COVERAGE_RATIO"</f>
        <v>INTEREST_COVERAGE_RATIO</v>
      </c>
      <c r="E59" t="str">
        <f t="shared" ref="E59:E75" si="11">"Dynamic"</f>
        <v>Dynamic</v>
      </c>
      <c r="F59">
        <f ca="1">IF(AND(ISNUMBER($F$255),$B$202=1),$F$255,HLOOKUP(INDIRECT(ADDRESS(2,COLUMN())),OFFSET($R$2,0,0,ROW()-1,12),ROW()-1,FALSE))</f>
        <v>173.8000467</v>
      </c>
      <c r="G59">
        <f ca="1">IF(AND(ISNUMBER($G$255),$B$202=1),$G$255,HLOOKUP(INDIRECT(ADDRESS(2,COLUMN())),OFFSET($R$2,0,0,ROW()-1,12),ROW()-1,FALSE))</f>
        <v>322.84672999999998</v>
      </c>
      <c r="H59">
        <f ca="1">IF(AND(ISNUMBER($H$255),$B$202=1),$H$255,HLOOKUP(INDIRECT(ADDRESS(2,COLUMN())),OFFSET($R$2,0,0,ROW()-1,12),ROW()-1,FALSE))</f>
        <v>209.78414100000001</v>
      </c>
      <c r="I59">
        <f ca="1">IF(AND(ISNUMBER($I$255),$B$202=1),$I$255,HLOOKUP(INDIRECT(ADDRESS(2,COLUMN())),OFFSET($R$2,0,0,ROW()-1,12),ROW()-1,FALSE))</f>
        <v>321.23092739999998</v>
      </c>
      <c r="J59">
        <f ca="1">IF(AND(ISNUMBER($J$255),$B$202=1),$J$255,HLOOKUP(INDIRECT(ADDRESS(2,COLUMN())),OFFSET($R$2,0,0,ROW()-1,12),ROW()-1,FALSE))</f>
        <v>246.77451500000001</v>
      </c>
      <c r="K59">
        <f ca="1">IF(AND(ISNUMBER($K$255),$B$202=1),$K$255,HLOOKUP(INDIRECT(ADDRESS(2,COLUMN())),OFFSET($R$2,0,0,ROW()-1,12),ROW()-1,FALSE))</f>
        <v>361.60088789999998</v>
      </c>
      <c r="L59">
        <f ca="1">IF(AND(ISNUMBER($L$255),$B$202=1),$L$255,HLOOKUP(INDIRECT(ADDRESS(2,COLUMN())),OFFSET($R$2,0,0,ROW()-1,12),ROW()-1,FALSE))</f>
        <v>285.2093926</v>
      </c>
      <c r="M59">
        <f ca="1">IF(AND(ISNUMBER($M$255),$B$202=1),$M$255,HLOOKUP(INDIRECT(ADDRESS(2,COLUMN())),OFFSET($R$2,0,0,ROW()-1,12),ROW()-1,FALSE))</f>
        <v>279.99229320000001</v>
      </c>
      <c r="N59">
        <f ca="1">IF(AND(ISNUMBER($N$255),$B$202=1),$N$255,HLOOKUP(INDIRECT(ADDRESS(2,COLUMN())),OFFSET($R$2,0,0,ROW()-1,12),ROW()-1,FALSE))</f>
        <v>337.51145830000002</v>
      </c>
      <c r="O59">
        <f ca="1">IF(AND(ISNUMBER($O$255),$B$202=1),$O$255,HLOOKUP(INDIRECT(ADDRESS(2,COLUMN())),OFFSET($R$2,0,0,ROW()-1,12),ROW()-1,FALSE))</f>
        <v>318.28680689999999</v>
      </c>
      <c r="P59">
        <f ca="1">IF(AND(ISNUMBER($P$255),$B$202=1),$P$255,HLOOKUP(INDIRECT(ADDRESS(2,COLUMN())),OFFSET($R$2,0,0,ROW()-1,12),ROW()-1,FALSE))</f>
        <v>264.17318660000001</v>
      </c>
      <c r="Q59">
        <f ca="1">IF(AND(ISNUMBER($Q$255),$B$202=1),$Q$255,HLOOKUP(INDIRECT(ADDRESS(2,COLUMN())),OFFSET($R$2,0,0,ROW()-1,12),ROW()-1,FALSE))</f>
        <v>239.53362859999999</v>
      </c>
      <c r="R59">
        <f>173.8000467</f>
        <v>173.8000467</v>
      </c>
      <c r="S59">
        <f>322.84673</f>
        <v>322.84672999999998</v>
      </c>
      <c r="T59">
        <f>209.784141</f>
        <v>209.78414100000001</v>
      </c>
      <c r="U59">
        <f>321.2309274</f>
        <v>321.23092739999998</v>
      </c>
      <c r="V59">
        <f>246.774515</f>
        <v>246.77451500000001</v>
      </c>
      <c r="W59">
        <f>361.6008879</f>
        <v>361.60088789999998</v>
      </c>
      <c r="X59">
        <f>285.2093926</f>
        <v>285.2093926</v>
      </c>
      <c r="Y59">
        <f>279.9922932</f>
        <v>279.99229320000001</v>
      </c>
      <c r="Z59">
        <f>337.5114583</f>
        <v>337.51145830000002</v>
      </c>
      <c r="AA59">
        <f>318.2868069</f>
        <v>318.28680689999999</v>
      </c>
      <c r="AB59">
        <f>264.1731866</f>
        <v>264.17318660000001</v>
      </c>
      <c r="AC59">
        <f>239.5336286</f>
        <v>239.53362859999999</v>
      </c>
    </row>
    <row r="60" spans="1:29" x14ac:dyDescent="0.25">
      <c r="A60" t="str">
        <f>"    Amdocs Ltd"</f>
        <v xml:space="preserve">    Amdocs Ltd</v>
      </c>
      <c r="B60" t="str">
        <f>"DOX US Equity"</f>
        <v>DOX US Equity</v>
      </c>
      <c r="C60" t="str">
        <f t="shared" si="9"/>
        <v>RR060</v>
      </c>
      <c r="D60" t="str">
        <f t="shared" si="10"/>
        <v>INTEREST_COVERAGE_RATIO</v>
      </c>
      <c r="E60" t="str">
        <f t="shared" si="11"/>
        <v>Dynamic</v>
      </c>
      <c r="F60" t="str">
        <f ca="1">IF(AND(ISNUMBER($F$256),$B$202=1),$F$256,HLOOKUP(INDIRECT(ADDRESS(2,COLUMN())),OFFSET($R$2,0,0,ROW()-1,12),ROW()-1,FALSE))</f>
        <v/>
      </c>
      <c r="G60" t="str">
        <f ca="1">IF(AND(ISNUMBER($G$256),$B$202=1),$G$256,HLOOKUP(INDIRECT(ADDRESS(2,COLUMN())),OFFSET($R$2,0,0,ROW()-1,12),ROW()-1,FALSE))</f>
        <v/>
      </c>
      <c r="H60" t="str">
        <f ca="1">IF(AND(ISNUMBER($H$256),$B$202=1),$H$256,HLOOKUP(INDIRECT(ADDRESS(2,COLUMN())),OFFSET($R$2,0,0,ROW()-1,12),ROW()-1,FALSE))</f>
        <v/>
      </c>
      <c r="I60" t="str">
        <f ca="1">IF(AND(ISNUMBER($I$256),$B$202=1),$I$256,HLOOKUP(INDIRECT(ADDRESS(2,COLUMN())),OFFSET($R$2,0,0,ROW()-1,12),ROW()-1,FALSE))</f>
        <v/>
      </c>
      <c r="J60" t="str">
        <f ca="1">IF(AND(ISNUMBER($J$256),$B$202=1),$J$256,HLOOKUP(INDIRECT(ADDRESS(2,COLUMN())),OFFSET($R$2,0,0,ROW()-1,12),ROW()-1,FALSE))</f>
        <v/>
      </c>
      <c r="K60" t="str">
        <f ca="1">IF(AND(ISNUMBER($K$256),$B$202=1),$K$256,HLOOKUP(INDIRECT(ADDRESS(2,COLUMN())),OFFSET($R$2,0,0,ROW()-1,12),ROW()-1,FALSE))</f>
        <v/>
      </c>
      <c r="L60" t="str">
        <f ca="1">IF(AND(ISNUMBER($L$256),$B$202=1),$L$256,HLOOKUP(INDIRECT(ADDRESS(2,COLUMN())),OFFSET($R$2,0,0,ROW()-1,12),ROW()-1,FALSE))</f>
        <v/>
      </c>
      <c r="M60" t="str">
        <f ca="1">IF(AND(ISNUMBER($M$256),$B$202=1),$M$256,HLOOKUP(INDIRECT(ADDRESS(2,COLUMN())),OFFSET($R$2,0,0,ROW()-1,12),ROW()-1,FALSE))</f>
        <v/>
      </c>
      <c r="N60" t="str">
        <f ca="1">IF(AND(ISNUMBER($N$256),$B$202=1),$N$256,HLOOKUP(INDIRECT(ADDRESS(2,COLUMN())),OFFSET($R$2,0,0,ROW()-1,12),ROW()-1,FALSE))</f>
        <v/>
      </c>
      <c r="O60" t="str">
        <f ca="1">IF(AND(ISNUMBER($O$256),$B$202=1),$O$256,HLOOKUP(INDIRECT(ADDRESS(2,COLUMN())),OFFSET($R$2,0,0,ROW()-1,12),ROW()-1,FALSE))</f>
        <v/>
      </c>
      <c r="P60" t="str">
        <f ca="1">IF(AND(ISNUMBER($P$256),$B$202=1),$P$256,HLOOKUP(INDIRECT(ADDRESS(2,COLUMN())),OFFSET($R$2,0,0,ROW()-1,12),ROW()-1,FALSE))</f>
        <v/>
      </c>
      <c r="Q60" t="str">
        <f ca="1">IF(AND(ISNUMBER($Q$256),$B$202=1),$Q$256,HLOOKUP(INDIRECT(ADDRESS(2,COLUMN())),OFFSET($R$2,0,0,ROW()-1,12),ROW()-1,FALSE))</f>
        <v/>
      </c>
      <c r="R60" t="str">
        <f>""</f>
        <v/>
      </c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  <c r="Z60" t="str">
        <f>""</f>
        <v/>
      </c>
      <c r="AA60" t="str">
        <f>""</f>
        <v/>
      </c>
      <c r="AB60" t="str">
        <f>""</f>
        <v/>
      </c>
      <c r="AC60" t="str">
        <f>""</f>
        <v/>
      </c>
    </row>
    <row r="61" spans="1:29" x14ac:dyDescent="0.25">
      <c r="A61" t="str">
        <f>"    Atos SE"</f>
        <v xml:space="preserve">    Atos SE</v>
      </c>
      <c r="B61" t="str">
        <f>"ATO FP Equity"</f>
        <v>ATO FP Equity</v>
      </c>
      <c r="C61" t="str">
        <f t="shared" si="9"/>
        <v>RR060</v>
      </c>
      <c r="D61" t="str">
        <f t="shared" si="10"/>
        <v>INTEREST_COVERAGE_RATIO</v>
      </c>
      <c r="E61" t="str">
        <f t="shared" si="11"/>
        <v>Dynamic</v>
      </c>
      <c r="F61" t="str">
        <f ca="1">IF(AND(ISNUMBER($F$257),$B$202=1),$F$257,HLOOKUP(INDIRECT(ADDRESS(2,COLUMN())),OFFSET($R$2,0,0,ROW()-1,12),ROW()-1,FALSE))</f>
        <v/>
      </c>
      <c r="G61" t="str">
        <f ca="1">IF(AND(ISNUMBER($G$257),$B$202=1),$G$257,HLOOKUP(INDIRECT(ADDRESS(2,COLUMN())),OFFSET($R$2,0,0,ROW()-1,12),ROW()-1,FALSE))</f>
        <v/>
      </c>
      <c r="H61" t="str">
        <f ca="1">IF(AND(ISNUMBER($H$257),$B$202=1),$H$257,HLOOKUP(INDIRECT(ADDRESS(2,COLUMN())),OFFSET($R$2,0,0,ROW()-1,12),ROW()-1,FALSE))</f>
        <v/>
      </c>
      <c r="I61" t="str">
        <f ca="1">IF(AND(ISNUMBER($I$257),$B$202=1),$I$257,HLOOKUP(INDIRECT(ADDRESS(2,COLUMN())),OFFSET($R$2,0,0,ROW()-1,12),ROW()-1,FALSE))</f>
        <v/>
      </c>
      <c r="J61" t="str">
        <f ca="1">IF(AND(ISNUMBER($J$257),$B$202=1),$J$257,HLOOKUP(INDIRECT(ADDRESS(2,COLUMN())),OFFSET($R$2,0,0,ROW()-1,12),ROW()-1,FALSE))</f>
        <v/>
      </c>
      <c r="K61" t="str">
        <f ca="1">IF(AND(ISNUMBER($K$257),$B$202=1),$K$257,HLOOKUP(INDIRECT(ADDRESS(2,COLUMN())),OFFSET($R$2,0,0,ROW()-1,12),ROW()-1,FALSE))</f>
        <v/>
      </c>
      <c r="L61" t="str">
        <f ca="1">IF(AND(ISNUMBER($L$257),$B$202=1),$L$257,HLOOKUP(INDIRECT(ADDRESS(2,COLUMN())),OFFSET($R$2,0,0,ROW()-1,12),ROW()-1,FALSE))</f>
        <v/>
      </c>
      <c r="M61" t="str">
        <f ca="1">IF(AND(ISNUMBER($M$257),$B$202=1),$M$257,HLOOKUP(INDIRECT(ADDRESS(2,COLUMN())),OFFSET($R$2,0,0,ROW()-1,12),ROW()-1,FALSE))</f>
        <v/>
      </c>
      <c r="N61" t="str">
        <f ca="1">IF(AND(ISNUMBER($N$257),$B$202=1),$N$257,HLOOKUP(INDIRECT(ADDRESS(2,COLUMN())),OFFSET($R$2,0,0,ROW()-1,12),ROW()-1,FALSE))</f>
        <v/>
      </c>
      <c r="O61" t="str">
        <f ca="1">IF(AND(ISNUMBER($O$257),$B$202=1),$O$257,HLOOKUP(INDIRECT(ADDRESS(2,COLUMN())),OFFSET($R$2,0,0,ROW()-1,12),ROW()-1,FALSE))</f>
        <v/>
      </c>
      <c r="P61" t="str">
        <f ca="1">IF(AND(ISNUMBER($P$257),$B$202=1),$P$257,HLOOKUP(INDIRECT(ADDRESS(2,COLUMN())),OFFSET($R$2,0,0,ROW()-1,12),ROW()-1,FALSE))</f>
        <v/>
      </c>
      <c r="Q61" t="str">
        <f ca="1">IF(AND(ISNUMBER($Q$257),$B$202=1),$Q$257,HLOOKUP(INDIRECT(ADDRESS(2,COLUMN())),OFFSET($R$2,0,0,ROW()-1,12),ROW()-1,FALSE))</f>
        <v/>
      </c>
      <c r="R61" t="str">
        <f>""</f>
        <v/>
      </c>
      <c r="S61" t="str">
        <f>""</f>
        <v/>
      </c>
      <c r="T61" t="str">
        <f>""</f>
        <v/>
      </c>
      <c r="U61" t="str">
        <f>""</f>
        <v/>
      </c>
      <c r="V61" t="str">
        <f>""</f>
        <v/>
      </c>
      <c r="W61" t="str">
        <f>""</f>
        <v/>
      </c>
      <c r="X61" t="str">
        <f>""</f>
        <v/>
      </c>
      <c r="Y61" t="str">
        <f>""</f>
        <v/>
      </c>
      <c r="Z61" t="str">
        <f>""</f>
        <v/>
      </c>
      <c r="AA61" t="str">
        <f>""</f>
        <v/>
      </c>
      <c r="AB61" t="str">
        <f>""</f>
        <v/>
      </c>
      <c r="AC61" t="str">
        <f>""</f>
        <v/>
      </c>
    </row>
    <row r="62" spans="1:29" x14ac:dyDescent="0.25">
      <c r="A62" t="str">
        <f>"    Capgemini SE"</f>
        <v xml:space="preserve">    Capgemini SE</v>
      </c>
      <c r="B62" t="str">
        <f>"CAP FP Equity"</f>
        <v>CAP FP Equity</v>
      </c>
      <c r="C62" t="str">
        <f t="shared" si="9"/>
        <v>RR060</v>
      </c>
      <c r="D62" t="str">
        <f t="shared" si="10"/>
        <v>INTEREST_COVERAGE_RATIO</v>
      </c>
      <c r="E62" t="str">
        <f t="shared" si="11"/>
        <v>Dynamic</v>
      </c>
      <c r="F62" t="str">
        <f ca="1">IF(AND(ISNUMBER($F$258),$B$202=1),$F$258,HLOOKUP(INDIRECT(ADDRESS(2,COLUMN())),OFFSET($R$2,0,0,ROW()-1,12),ROW()-1,FALSE))</f>
        <v/>
      </c>
      <c r="G62" t="str">
        <f ca="1">IF(AND(ISNUMBER($G$258),$B$202=1),$G$258,HLOOKUP(INDIRECT(ADDRESS(2,COLUMN())),OFFSET($R$2,0,0,ROW()-1,12),ROW()-1,FALSE))</f>
        <v/>
      </c>
      <c r="H62" t="str">
        <f ca="1">IF(AND(ISNUMBER($H$258),$B$202=1),$H$258,HLOOKUP(INDIRECT(ADDRESS(2,COLUMN())),OFFSET($R$2,0,0,ROW()-1,12),ROW()-1,FALSE))</f>
        <v/>
      </c>
      <c r="I62" t="str">
        <f ca="1">IF(AND(ISNUMBER($I$258),$B$202=1),$I$258,HLOOKUP(INDIRECT(ADDRESS(2,COLUMN())),OFFSET($R$2,0,0,ROW()-1,12),ROW()-1,FALSE))</f>
        <v/>
      </c>
      <c r="J62" t="str">
        <f ca="1">IF(AND(ISNUMBER($J$258),$B$202=1),$J$258,HLOOKUP(INDIRECT(ADDRESS(2,COLUMN())),OFFSET($R$2,0,0,ROW()-1,12),ROW()-1,FALSE))</f>
        <v/>
      </c>
      <c r="K62" t="str">
        <f ca="1">IF(AND(ISNUMBER($K$258),$B$202=1),$K$258,HLOOKUP(INDIRECT(ADDRESS(2,COLUMN())),OFFSET($R$2,0,0,ROW()-1,12),ROW()-1,FALSE))</f>
        <v/>
      </c>
      <c r="L62" t="str">
        <f ca="1">IF(AND(ISNUMBER($L$258),$B$202=1),$L$258,HLOOKUP(INDIRECT(ADDRESS(2,COLUMN())),OFFSET($R$2,0,0,ROW()-1,12),ROW()-1,FALSE))</f>
        <v/>
      </c>
      <c r="M62" t="str">
        <f ca="1">IF(AND(ISNUMBER($M$258),$B$202=1),$M$258,HLOOKUP(INDIRECT(ADDRESS(2,COLUMN())),OFFSET($R$2,0,0,ROW()-1,12),ROW()-1,FALSE))</f>
        <v/>
      </c>
      <c r="N62" t="str">
        <f ca="1">IF(AND(ISNUMBER($N$258),$B$202=1),$N$258,HLOOKUP(INDIRECT(ADDRESS(2,COLUMN())),OFFSET($R$2,0,0,ROW()-1,12),ROW()-1,FALSE))</f>
        <v/>
      </c>
      <c r="O62" t="str">
        <f ca="1">IF(AND(ISNUMBER($O$258),$B$202=1),$O$258,HLOOKUP(INDIRECT(ADDRESS(2,COLUMN())),OFFSET($R$2,0,0,ROW()-1,12),ROW()-1,FALSE))</f>
        <v/>
      </c>
      <c r="P62" t="str">
        <f ca="1">IF(AND(ISNUMBER($P$258),$B$202=1),$P$258,HLOOKUP(INDIRECT(ADDRESS(2,COLUMN())),OFFSET($R$2,0,0,ROW()-1,12),ROW()-1,FALSE))</f>
        <v/>
      </c>
      <c r="Q62" t="str">
        <f ca="1">IF(AND(ISNUMBER($Q$258),$B$202=1),$Q$258,HLOOKUP(INDIRECT(ADDRESS(2,COLUMN())),OFFSET($R$2,0,0,ROW()-1,12),ROW()-1,FALSE))</f>
        <v/>
      </c>
      <c r="R62" t="str">
        <f>""</f>
        <v/>
      </c>
      <c r="S62" t="str">
        <f>""</f>
        <v/>
      </c>
      <c r="T62" t="str">
        <f>""</f>
        <v/>
      </c>
      <c r="U62" t="str">
        <f>""</f>
        <v/>
      </c>
      <c r="V62" t="str">
        <f>""</f>
        <v/>
      </c>
      <c r="W62" t="str">
        <f>""</f>
        <v/>
      </c>
      <c r="X62" t="str">
        <f>""</f>
        <v/>
      </c>
      <c r="Y62" t="str">
        <f>""</f>
        <v/>
      </c>
      <c r="Z62" t="str">
        <f>""</f>
        <v/>
      </c>
      <c r="AA62" t="str">
        <f>""</f>
        <v/>
      </c>
      <c r="AB62" t="str">
        <f>""</f>
        <v/>
      </c>
      <c r="AC62" t="str">
        <f>""</f>
        <v/>
      </c>
    </row>
    <row r="63" spans="1:29" x14ac:dyDescent="0.25">
      <c r="A63" t="str">
        <f>"    CGI Inc"</f>
        <v xml:space="preserve">    CGI Inc</v>
      </c>
      <c r="B63" t="str">
        <f>"GIB US Equity"</f>
        <v>GIB US Equity</v>
      </c>
      <c r="C63" t="str">
        <f t="shared" si="9"/>
        <v>RR060</v>
      </c>
      <c r="D63" t="str">
        <f t="shared" si="10"/>
        <v>INTEREST_COVERAGE_RATIO</v>
      </c>
      <c r="E63" t="str">
        <f t="shared" si="11"/>
        <v>Dynamic</v>
      </c>
      <c r="F63">
        <f ca="1">IF(AND(ISNUMBER($F$259),$B$202=1),$F$259,HLOOKUP(INDIRECT(ADDRESS(2,COLUMN())),OFFSET($R$2,0,0,ROW()-1,12),ROW()-1,FALSE))</f>
        <v>17.049759649999999</v>
      </c>
      <c r="G63">
        <f ca="1">IF(AND(ISNUMBER($G$259),$B$202=1),$G$259,HLOOKUP(INDIRECT(ADDRESS(2,COLUMN())),OFFSET($R$2,0,0,ROW()-1,12),ROW()-1,FALSE))</f>
        <v>15.850647410000001</v>
      </c>
      <c r="H63">
        <f ca="1">IF(AND(ISNUMBER($H$259),$B$202=1),$H$259,HLOOKUP(INDIRECT(ADDRESS(2,COLUMN())),OFFSET($R$2,0,0,ROW()-1,12),ROW()-1,FALSE))</f>
        <v>24.122643629999999</v>
      </c>
      <c r="I63">
        <f ca="1">IF(AND(ISNUMBER($I$259),$B$202=1),$I$259,HLOOKUP(INDIRECT(ADDRESS(2,COLUMN())),OFFSET($R$2,0,0,ROW()-1,12),ROW()-1,FALSE))</f>
        <v>22.575379860000002</v>
      </c>
      <c r="J63">
        <f ca="1">IF(AND(ISNUMBER($J$259),$B$202=1),$J$259,HLOOKUP(INDIRECT(ADDRESS(2,COLUMN())),OFFSET($R$2,0,0,ROW()-1,12),ROW()-1,FALSE))</f>
        <v>23.898088489999999</v>
      </c>
      <c r="K63">
        <f ca="1">IF(AND(ISNUMBER($K$259),$B$202=1),$K$259,HLOOKUP(INDIRECT(ADDRESS(2,COLUMN())),OFFSET($R$2,0,0,ROW()-1,12),ROW()-1,FALSE))</f>
        <v>29.618001370000002</v>
      </c>
      <c r="L63" t="str">
        <f ca="1">IF(AND(ISNUMBER($L$259),$B$202=1),$L$259,HLOOKUP(INDIRECT(ADDRESS(2,COLUMN())),OFFSET($R$2,0,0,ROW()-1,12),ROW()-1,FALSE))</f>
        <v/>
      </c>
      <c r="M63" t="str">
        <f ca="1">IF(AND(ISNUMBER($M$259),$B$202=1),$M$259,HLOOKUP(INDIRECT(ADDRESS(2,COLUMN())),OFFSET($R$2,0,0,ROW()-1,12),ROW()-1,FALSE))</f>
        <v/>
      </c>
      <c r="N63">
        <f ca="1">IF(AND(ISNUMBER($N$259),$B$202=1),$N$259,HLOOKUP(INDIRECT(ADDRESS(2,COLUMN())),OFFSET($R$2,0,0,ROW()-1,12),ROW()-1,FALSE))</f>
        <v>22.27898111</v>
      </c>
      <c r="O63">
        <f ca="1">IF(AND(ISNUMBER($O$259),$B$202=1),$O$259,HLOOKUP(INDIRECT(ADDRESS(2,COLUMN())),OFFSET($R$2,0,0,ROW()-1,12),ROW()-1,FALSE))</f>
        <v>20.87918758</v>
      </c>
      <c r="P63" t="str">
        <f ca="1">IF(AND(ISNUMBER($P$259),$B$202=1),$P$259,HLOOKUP(INDIRECT(ADDRESS(2,COLUMN())),OFFSET($R$2,0,0,ROW()-1,12),ROW()-1,FALSE))</f>
        <v/>
      </c>
      <c r="Q63" t="str">
        <f ca="1">IF(AND(ISNUMBER($Q$259),$B$202=1),$Q$259,HLOOKUP(INDIRECT(ADDRESS(2,COLUMN())),OFFSET($R$2,0,0,ROW()-1,12),ROW()-1,FALSE))</f>
        <v/>
      </c>
      <c r="R63">
        <f>17.04975965</f>
        <v>17.049759649999999</v>
      </c>
      <c r="S63">
        <f>15.85064741</f>
        <v>15.850647410000001</v>
      </c>
      <c r="T63">
        <f>24.12264363</f>
        <v>24.122643629999999</v>
      </c>
      <c r="U63">
        <f>22.57537986</f>
        <v>22.575379860000002</v>
      </c>
      <c r="V63">
        <f>23.89808849</f>
        <v>23.898088489999999</v>
      </c>
      <c r="W63">
        <f>29.61800137</f>
        <v>29.618001370000002</v>
      </c>
      <c r="X63" t="str">
        <f>""</f>
        <v/>
      </c>
      <c r="Y63" t="str">
        <f>""</f>
        <v/>
      </c>
      <c r="Z63">
        <f>22.27898111</f>
        <v>22.27898111</v>
      </c>
      <c r="AA63">
        <f>20.87918758</f>
        <v>20.87918758</v>
      </c>
      <c r="AB63" t="str">
        <f>""</f>
        <v/>
      </c>
      <c r="AC63" t="str">
        <f>""</f>
        <v/>
      </c>
    </row>
    <row r="64" spans="1:29" x14ac:dyDescent="0.25">
      <c r="A64" t="str">
        <f>"    Cognizant Technology Solutions Corp"</f>
        <v xml:space="preserve">    Cognizant Technology Solutions Corp</v>
      </c>
      <c r="B64" t="str">
        <f>"CTSH US Equity"</f>
        <v>CTSH US Equity</v>
      </c>
      <c r="C64" t="str">
        <f t="shared" si="9"/>
        <v>RR060</v>
      </c>
      <c r="D64" t="str">
        <f t="shared" si="10"/>
        <v>INTEREST_COVERAGE_RATIO</v>
      </c>
      <c r="E64" t="str">
        <f t="shared" si="11"/>
        <v>Dynamic</v>
      </c>
      <c r="F64">
        <f ca="1">IF(AND(ISNUMBER($F$260),$B$202=1),$F$260,HLOOKUP(INDIRECT(ADDRESS(2,COLUMN())),OFFSET($R$2,0,0,ROW()-1,12),ROW()-1,FALSE))</f>
        <v>96.5</v>
      </c>
      <c r="G64">
        <f ca="1">IF(AND(ISNUMBER($G$260),$B$202=1),$G$260,HLOOKUP(INDIRECT(ADDRESS(2,COLUMN())),OFFSET($R$2,0,0,ROW()-1,12),ROW()-1,FALSE))</f>
        <v>104.33333330000001</v>
      </c>
      <c r="H64">
        <f ca="1">IF(AND(ISNUMBER($H$260),$B$202=1),$H$260,HLOOKUP(INDIRECT(ADDRESS(2,COLUMN())),OFFSET($R$2,0,0,ROW()-1,12),ROW()-1,FALSE))</f>
        <v>95.571428569999995</v>
      </c>
      <c r="I64">
        <f ca="1">IF(AND(ISNUMBER($I$260),$B$202=1),$I$260,HLOOKUP(INDIRECT(ADDRESS(2,COLUMN())),OFFSET($R$2,0,0,ROW()-1,12),ROW()-1,FALSE))</f>
        <v>103.16666669999999</v>
      </c>
      <c r="J64">
        <f ca="1">IF(AND(ISNUMBER($J$260),$B$202=1),$J$260,HLOOKUP(INDIRECT(ADDRESS(2,COLUMN())),OFFSET($R$2,0,0,ROW()-1,12),ROW()-1,FALSE))</f>
        <v>77</v>
      </c>
      <c r="K64">
        <f ca="1">IF(AND(ISNUMBER($K$260),$B$202=1),$K$260,HLOOKUP(INDIRECT(ADDRESS(2,COLUMN())),OFFSET($R$2,0,0,ROW()-1,12),ROW()-1,FALSE))</f>
        <v>86.625</v>
      </c>
      <c r="L64">
        <f ca="1">IF(AND(ISNUMBER($L$260),$B$202=1),$L$260,HLOOKUP(INDIRECT(ADDRESS(2,COLUMN())),OFFSET($R$2,0,0,ROW()-1,12),ROW()-1,FALSE))</f>
        <v>124.16666669999999</v>
      </c>
      <c r="M64">
        <f ca="1">IF(AND(ISNUMBER($M$260),$B$202=1),$M$260,HLOOKUP(INDIRECT(ADDRESS(2,COLUMN())),OFFSET($R$2,0,0,ROW()-1,12),ROW()-1,FALSE))</f>
        <v>95.714285709999999</v>
      </c>
      <c r="N64">
        <f ca="1">IF(AND(ISNUMBER($N$260),$B$202=1),$N$260,HLOOKUP(INDIRECT(ADDRESS(2,COLUMN())),OFFSET($R$2,0,0,ROW()-1,12),ROW()-1,FALSE))</f>
        <v>115.5</v>
      </c>
      <c r="O64">
        <f ca="1">IF(AND(ISNUMBER($O$260),$B$202=1),$O$260,HLOOKUP(INDIRECT(ADDRESS(2,COLUMN())),OFFSET($R$2,0,0,ROW()-1,12),ROW()-1,FALSE))</f>
        <v>131.4</v>
      </c>
      <c r="P64">
        <f ca="1">IF(AND(ISNUMBER($P$260),$B$202=1),$P$260,HLOOKUP(INDIRECT(ADDRESS(2,COLUMN())),OFFSET($R$2,0,0,ROW()-1,12),ROW()-1,FALSE))</f>
        <v>108</v>
      </c>
      <c r="Q64">
        <f ca="1">IF(AND(ISNUMBER($Q$260),$B$202=1),$Q$260,HLOOKUP(INDIRECT(ADDRESS(2,COLUMN())),OFFSET($R$2,0,0,ROW()-1,12),ROW()-1,FALSE))</f>
        <v>101</v>
      </c>
      <c r="R64">
        <f>96.5</f>
        <v>96.5</v>
      </c>
      <c r="S64">
        <f>104.3333333</f>
        <v>104.33333330000001</v>
      </c>
      <c r="T64">
        <f>95.57142857</f>
        <v>95.571428569999995</v>
      </c>
      <c r="U64">
        <f>103.1666667</f>
        <v>103.16666669999999</v>
      </c>
      <c r="V64">
        <f>77</f>
        <v>77</v>
      </c>
      <c r="W64">
        <f>86.625</f>
        <v>86.625</v>
      </c>
      <c r="X64">
        <f>124.1666667</f>
        <v>124.16666669999999</v>
      </c>
      <c r="Y64">
        <f>95.71428571</f>
        <v>95.714285709999999</v>
      </c>
      <c r="Z64">
        <f>115.5</f>
        <v>115.5</v>
      </c>
      <c r="AA64">
        <f>131.4</f>
        <v>131.4</v>
      </c>
      <c r="AB64">
        <f>108</f>
        <v>108</v>
      </c>
      <c r="AC64">
        <f>101</f>
        <v>101</v>
      </c>
    </row>
    <row r="65" spans="1:29" x14ac:dyDescent="0.25">
      <c r="A65" t="str">
        <f>"    Conduent Inc"</f>
        <v xml:space="preserve">    Conduent Inc</v>
      </c>
      <c r="B65" t="str">
        <f>"CNDT US Equity"</f>
        <v>CNDT US Equity</v>
      </c>
      <c r="C65" t="str">
        <f t="shared" si="9"/>
        <v>RR060</v>
      </c>
      <c r="D65" t="str">
        <f t="shared" si="10"/>
        <v>INTEREST_COVERAGE_RATIO</v>
      </c>
      <c r="E65" t="str">
        <f t="shared" si="11"/>
        <v>Dynamic</v>
      </c>
      <c r="F65">
        <f ca="1">IF(AND(ISNUMBER($F$261),$B$202=1),$F$261,HLOOKUP(INDIRECT(ADDRESS(2,COLUMN())),OFFSET($R$2,0,0,ROW()-1,12),ROW()-1,FALSE))</f>
        <v>-2</v>
      </c>
      <c r="G65">
        <f ca="1">IF(AND(ISNUMBER($G$261),$B$202=1),$G$261,HLOOKUP(INDIRECT(ADDRESS(2,COLUMN())),OFFSET($R$2,0,0,ROW()-1,12),ROW()-1,FALSE))</f>
        <v>-34.277777780000001</v>
      </c>
      <c r="H65">
        <f ca="1">IF(AND(ISNUMBER($H$261),$B$202=1),$H$261,HLOOKUP(INDIRECT(ADDRESS(2,COLUMN())),OFFSET($R$2,0,0,ROW()-1,12),ROW()-1,FALSE))</f>
        <v>0.3</v>
      </c>
      <c r="I65">
        <f ca="1">IF(AND(ISNUMBER($I$261),$B$202=1),$I$261,HLOOKUP(INDIRECT(ADDRESS(2,COLUMN())),OFFSET($R$2,0,0,ROW()-1,12),ROW()-1,FALSE))</f>
        <v>-54.9</v>
      </c>
      <c r="J65">
        <f ca="1">IF(AND(ISNUMBER($J$261),$B$202=1),$J$261,HLOOKUP(INDIRECT(ADDRESS(2,COLUMN())),OFFSET($R$2,0,0,ROW()-1,12),ROW()-1,FALSE))</f>
        <v>-15.95</v>
      </c>
      <c r="K65">
        <f ca="1">IF(AND(ISNUMBER($K$261),$B$202=1),$K$261,HLOOKUP(INDIRECT(ADDRESS(2,COLUMN())),OFFSET($R$2,0,0,ROW()-1,12),ROW()-1,FALSE))</f>
        <v>-5.95</v>
      </c>
      <c r="L65">
        <f ca="1">IF(AND(ISNUMBER($L$261),$B$202=1),$L$261,HLOOKUP(INDIRECT(ADDRESS(2,COLUMN())),OFFSET($R$2,0,0,ROW()-1,12),ROW()-1,FALSE))</f>
        <v>-10.454545449999999</v>
      </c>
      <c r="M65">
        <f ca="1">IF(AND(ISNUMBER($M$261),$B$202=1),$M$261,HLOOKUP(INDIRECT(ADDRESS(2,COLUMN())),OFFSET($R$2,0,0,ROW()-1,12),ROW()-1,FALSE))</f>
        <v>2.4054054050000002</v>
      </c>
      <c r="N65">
        <f ca="1">IF(AND(ISNUMBER($N$261),$B$202=1),$N$261,HLOOKUP(INDIRECT(ADDRESS(2,COLUMN())),OFFSET($R$2,0,0,ROW()-1,12),ROW()-1,FALSE))</f>
        <v>-0.66666666699999999</v>
      </c>
      <c r="O65">
        <f ca="1">IF(AND(ISNUMBER($O$261),$B$202=1),$O$261,HLOOKUP(INDIRECT(ADDRESS(2,COLUMN())),OFFSET($R$2,0,0,ROW()-1,12),ROW()-1,FALSE))</f>
        <v>1.21875</v>
      </c>
      <c r="P65">
        <f ca="1">IF(AND(ISNUMBER($P$261),$B$202=1),$P$261,HLOOKUP(INDIRECT(ADDRESS(2,COLUMN())),OFFSET($R$2,0,0,ROW()-1,12),ROW()-1,FALSE))</f>
        <v>1.371428571</v>
      </c>
      <c r="Q65">
        <f ca="1">IF(AND(ISNUMBER($Q$261),$B$202=1),$Q$261,HLOOKUP(INDIRECT(ADDRESS(2,COLUMN())),OFFSET($R$2,0,0,ROW()-1,12),ROW()-1,FALSE))</f>
        <v>0.382352941</v>
      </c>
      <c r="R65">
        <f>-2</f>
        <v>-2</v>
      </c>
      <c r="S65">
        <f>-34.27777778</f>
        <v>-34.277777780000001</v>
      </c>
      <c r="T65">
        <f>0.3</f>
        <v>0.3</v>
      </c>
      <c r="U65">
        <f>-54.9</f>
        <v>-54.9</v>
      </c>
      <c r="V65">
        <f>-15.95</f>
        <v>-15.95</v>
      </c>
      <c r="W65">
        <f>-5.95</f>
        <v>-5.95</v>
      </c>
      <c r="X65">
        <f>-10.45454545</f>
        <v>-10.454545449999999</v>
      </c>
      <c r="Y65">
        <f>2.405405405</f>
        <v>2.4054054050000002</v>
      </c>
      <c r="Z65">
        <f>-0.666666667</f>
        <v>-0.66666666699999999</v>
      </c>
      <c r="AA65">
        <f>1.21875</f>
        <v>1.21875</v>
      </c>
      <c r="AB65">
        <f>1.371428571</f>
        <v>1.371428571</v>
      </c>
      <c r="AC65">
        <f>0.382352941</f>
        <v>0.382352941</v>
      </c>
    </row>
    <row r="66" spans="1:29" x14ac:dyDescent="0.25">
      <c r="A66" t="str">
        <f>"    DXC Technology Co"</f>
        <v xml:space="preserve">    DXC Technology Co</v>
      </c>
      <c r="B66" t="str">
        <f>"DXC US Equity"</f>
        <v>DXC US Equity</v>
      </c>
      <c r="C66" t="str">
        <f t="shared" si="9"/>
        <v>RR060</v>
      </c>
      <c r="D66" t="str">
        <f t="shared" si="10"/>
        <v>INTEREST_COVERAGE_RATIO</v>
      </c>
      <c r="E66" t="str">
        <f t="shared" si="11"/>
        <v>Dynamic</v>
      </c>
      <c r="F66">
        <f ca="1">IF(AND(ISNUMBER($F$262),$B$202=1),$F$262,HLOOKUP(INDIRECT(ADDRESS(2,COLUMN())),OFFSET($R$2,0,0,ROW()-1,12),ROW()-1,FALSE))</f>
        <v>-40.821052629999997</v>
      </c>
      <c r="G66">
        <f ca="1">IF(AND(ISNUMBER($G$262),$B$202=1),$G$262,HLOOKUP(INDIRECT(ADDRESS(2,COLUMN())),OFFSET($R$2,0,0,ROW()-1,12),ROW()-1,FALSE))</f>
        <v>0.75268817200000004</v>
      </c>
      <c r="H66">
        <f ca="1">IF(AND(ISNUMBER($H$262),$B$202=1),$H$262,HLOOKUP(INDIRECT(ADDRESS(2,COLUMN())),OFFSET($R$2,0,0,ROW()-1,12),ROW()-1,FALSE))</f>
        <v>-19.91346154</v>
      </c>
      <c r="I66">
        <f ca="1">IF(AND(ISNUMBER($I$262),$B$202=1),$I$262,HLOOKUP(INDIRECT(ADDRESS(2,COLUMN())),OFFSET($R$2,0,0,ROW()-1,12),ROW()-1,FALSE))</f>
        <v>1.6373626370000001</v>
      </c>
      <c r="J66">
        <f ca="1">IF(AND(ISNUMBER($J$262),$B$202=1),$J$262,HLOOKUP(INDIRECT(ADDRESS(2,COLUMN())),OFFSET($R$2,0,0,ROW()-1,12),ROW()-1,FALSE))</f>
        <v>4.7411764710000002</v>
      </c>
      <c r="K66">
        <f ca="1">IF(AND(ISNUMBER($K$262),$B$202=1),$K$262,HLOOKUP(INDIRECT(ADDRESS(2,COLUMN())),OFFSET($R$2,0,0,ROW()-1,12),ROW()-1,FALSE))</f>
        <v>4.6666666670000003</v>
      </c>
      <c r="L66">
        <f ca="1">IF(AND(ISNUMBER($L$262),$B$202=1),$L$262,HLOOKUP(INDIRECT(ADDRESS(2,COLUMN())),OFFSET($R$2,0,0,ROW()-1,12),ROW()-1,FALSE))</f>
        <v>3.4337349399999999</v>
      </c>
      <c r="M66">
        <f ca="1">IF(AND(ISNUMBER($M$262),$B$202=1),$M$262,HLOOKUP(INDIRECT(ADDRESS(2,COLUMN())),OFFSET($R$2,0,0,ROW()-1,12),ROW()-1,FALSE))</f>
        <v>3.7529411760000002</v>
      </c>
      <c r="N66">
        <f ca="1">IF(AND(ISNUMBER($N$262),$B$202=1),$N$262,HLOOKUP(INDIRECT(ADDRESS(2,COLUMN())),OFFSET($R$2,0,0,ROW()-1,12),ROW()-1,FALSE))</f>
        <v>6.58</v>
      </c>
      <c r="O66">
        <f ca="1">IF(AND(ISNUMBER($O$262),$B$202=1),$O$262,HLOOKUP(INDIRECT(ADDRESS(2,COLUMN())),OFFSET($R$2,0,0,ROW()-1,12),ROW()-1,FALSE))</f>
        <v>4.2739726029999998</v>
      </c>
      <c r="P66">
        <f ca="1">IF(AND(ISNUMBER($P$262),$B$202=1),$P$262,HLOOKUP(INDIRECT(ADDRESS(2,COLUMN())),OFFSET($R$2,0,0,ROW()-1,12),ROW()-1,FALSE))</f>
        <v>3.6849315069999999</v>
      </c>
      <c r="Q66">
        <f ca="1">IF(AND(ISNUMBER($Q$262),$B$202=1),$Q$262,HLOOKUP(INDIRECT(ADDRESS(2,COLUMN())),OFFSET($R$2,0,0,ROW()-1,12),ROW()-1,FALSE))</f>
        <v>6.7567567999999995E-2</v>
      </c>
      <c r="R66">
        <f>-40.82105263</f>
        <v>-40.821052629999997</v>
      </c>
      <c r="S66">
        <f>0.752688172</f>
        <v>0.75268817200000004</v>
      </c>
      <c r="T66">
        <f>-19.91346154</f>
        <v>-19.91346154</v>
      </c>
      <c r="U66">
        <f>1.637362637</f>
        <v>1.6373626370000001</v>
      </c>
      <c r="V66">
        <f>4.741176471</f>
        <v>4.7411764710000002</v>
      </c>
      <c r="W66">
        <f>4.666666667</f>
        <v>4.6666666670000003</v>
      </c>
      <c r="X66">
        <f>3.43373494</f>
        <v>3.4337349399999999</v>
      </c>
      <c r="Y66">
        <f>3.752941176</f>
        <v>3.7529411760000002</v>
      </c>
      <c r="Z66">
        <f>6.58</f>
        <v>6.58</v>
      </c>
      <c r="AA66">
        <f>4.273972603</f>
        <v>4.2739726029999998</v>
      </c>
      <c r="AB66">
        <f>3.684931507</f>
        <v>3.6849315069999999</v>
      </c>
      <c r="AC66">
        <f>0.067567568</f>
        <v>6.7567567999999995E-2</v>
      </c>
    </row>
    <row r="67" spans="1:29" x14ac:dyDescent="0.25">
      <c r="A67" t="str">
        <f>"    EPAM Systems Inc"</f>
        <v xml:space="preserve">    EPAM Systems Inc</v>
      </c>
      <c r="B67" t="str">
        <f>"EPAM US Equity"</f>
        <v>EPAM US Equity</v>
      </c>
      <c r="C67" t="str">
        <f t="shared" si="9"/>
        <v>RR060</v>
      </c>
      <c r="D67" t="str">
        <f t="shared" si="10"/>
        <v>INTEREST_COVERAGE_RATIO</v>
      </c>
      <c r="E67" t="str">
        <f t="shared" si="11"/>
        <v>Dynamic</v>
      </c>
      <c r="F67" t="str">
        <f ca="1">IF(AND(ISNUMBER($F$263),$B$202=1),$F$263,HLOOKUP(INDIRECT(ADDRESS(2,COLUMN())),OFFSET($R$2,0,0,ROW()-1,12),ROW()-1,FALSE))</f>
        <v/>
      </c>
      <c r="G67" t="str">
        <f ca="1">IF(AND(ISNUMBER($G$263),$B$202=1),$G$263,HLOOKUP(INDIRECT(ADDRESS(2,COLUMN())),OFFSET($R$2,0,0,ROW()-1,12),ROW()-1,FALSE))</f>
        <v/>
      </c>
      <c r="H67" t="str">
        <f ca="1">IF(AND(ISNUMBER($H$263),$B$202=1),$H$263,HLOOKUP(INDIRECT(ADDRESS(2,COLUMN())),OFFSET($R$2,0,0,ROW()-1,12),ROW()-1,FALSE))</f>
        <v/>
      </c>
      <c r="I67" t="str">
        <f ca="1">IF(AND(ISNUMBER($I$263),$B$202=1),$I$263,HLOOKUP(INDIRECT(ADDRESS(2,COLUMN())),OFFSET($R$2,0,0,ROW()-1,12),ROW()-1,FALSE))</f>
        <v/>
      </c>
      <c r="J67" t="str">
        <f ca="1">IF(AND(ISNUMBER($J$263),$B$202=1),$J$263,HLOOKUP(INDIRECT(ADDRESS(2,COLUMN())),OFFSET($R$2,0,0,ROW()-1,12),ROW()-1,FALSE))</f>
        <v/>
      </c>
      <c r="K67" t="str">
        <f ca="1">IF(AND(ISNUMBER($K$263),$B$202=1),$K$263,HLOOKUP(INDIRECT(ADDRESS(2,COLUMN())),OFFSET($R$2,0,0,ROW()-1,12),ROW()-1,FALSE))</f>
        <v/>
      </c>
      <c r="L67" t="str">
        <f ca="1">IF(AND(ISNUMBER($L$263),$B$202=1),$L$263,HLOOKUP(INDIRECT(ADDRESS(2,COLUMN())),OFFSET($R$2,0,0,ROW()-1,12),ROW()-1,FALSE))</f>
        <v/>
      </c>
      <c r="M67" t="str">
        <f ca="1">IF(AND(ISNUMBER($M$263),$B$202=1),$M$263,HLOOKUP(INDIRECT(ADDRESS(2,COLUMN())),OFFSET($R$2,0,0,ROW()-1,12),ROW()-1,FALSE))</f>
        <v/>
      </c>
      <c r="N67" t="str">
        <f ca="1">IF(AND(ISNUMBER($N$263),$B$202=1),$N$263,HLOOKUP(INDIRECT(ADDRESS(2,COLUMN())),OFFSET($R$2,0,0,ROW()-1,12),ROW()-1,FALSE))</f>
        <v/>
      </c>
      <c r="O67" t="str">
        <f ca="1">IF(AND(ISNUMBER($O$263),$B$202=1),$O$263,HLOOKUP(INDIRECT(ADDRESS(2,COLUMN())),OFFSET($R$2,0,0,ROW()-1,12),ROW()-1,FALSE))</f>
        <v/>
      </c>
      <c r="P67" t="str">
        <f ca="1">IF(AND(ISNUMBER($P$263),$B$202=1),$P$263,HLOOKUP(INDIRECT(ADDRESS(2,COLUMN())),OFFSET($R$2,0,0,ROW()-1,12),ROW()-1,FALSE))</f>
        <v/>
      </c>
      <c r="Q67" t="str">
        <f ca="1">IF(AND(ISNUMBER($Q$263),$B$202=1),$Q$263,HLOOKUP(INDIRECT(ADDRESS(2,COLUMN())),OFFSET($R$2,0,0,ROW()-1,12),ROW()-1,FALSE))</f>
        <v/>
      </c>
      <c r="R67" t="str">
        <f>""</f>
        <v/>
      </c>
      <c r="S67" t="str">
        <f>""</f>
        <v/>
      </c>
      <c r="T67" t="str">
        <f>""</f>
        <v/>
      </c>
      <c r="U67" t="str">
        <f>""</f>
        <v/>
      </c>
      <c r="V67" t="str">
        <f>""</f>
        <v/>
      </c>
      <c r="W67" t="str">
        <f>""</f>
        <v/>
      </c>
      <c r="X67" t="str">
        <f>""</f>
        <v/>
      </c>
      <c r="Y67" t="str">
        <f>""</f>
        <v/>
      </c>
      <c r="Z67" t="str">
        <f>""</f>
        <v/>
      </c>
      <c r="AA67" t="str">
        <f>""</f>
        <v/>
      </c>
      <c r="AB67" t="str">
        <f>""</f>
        <v/>
      </c>
      <c r="AC67" t="str">
        <f>""</f>
        <v/>
      </c>
    </row>
    <row r="68" spans="1:29" x14ac:dyDescent="0.25">
      <c r="A68" t="str">
        <f>"    Genpact Ltd"</f>
        <v xml:space="preserve">    Genpact Ltd</v>
      </c>
      <c r="B68" t="str">
        <f>"G US Equity"</f>
        <v>G US Equity</v>
      </c>
      <c r="C68" t="str">
        <f t="shared" si="9"/>
        <v>RR060</v>
      </c>
      <c r="D68" t="str">
        <f t="shared" si="10"/>
        <v>INTEREST_COVERAGE_RATIO</v>
      </c>
      <c r="E68" t="str">
        <f t="shared" si="11"/>
        <v>Dynamic</v>
      </c>
      <c r="F68">
        <f ca="1">IF(AND(ISNUMBER($F$264),$B$202=1),$F$264,HLOOKUP(INDIRECT(ADDRESS(2,COLUMN())),OFFSET($R$2,0,0,ROW()-1,12),ROW()-1,FALSE))</f>
        <v>7.9211166789999998</v>
      </c>
      <c r="G68">
        <f ca="1">IF(AND(ISNUMBER($G$264),$B$202=1),$G$264,HLOOKUP(INDIRECT(ADDRESS(2,COLUMN())),OFFSET($R$2,0,0,ROW()-1,12),ROW()-1,FALSE))</f>
        <v>9.5355034310000004</v>
      </c>
      <c r="H68">
        <f ca="1">IF(AND(ISNUMBER($H$264),$B$202=1),$H$264,HLOOKUP(INDIRECT(ADDRESS(2,COLUMN())),OFFSET($R$2,0,0,ROW()-1,12),ROW()-1,FALSE))</f>
        <v>9.3185659199999993</v>
      </c>
      <c r="I68">
        <f ca="1">IF(AND(ISNUMBER($I$264),$B$202=1),$I$264,HLOOKUP(INDIRECT(ADDRESS(2,COLUMN())),OFFSET($R$2,0,0,ROW()-1,12),ROW()-1,FALSE))</f>
        <v>8.0645455239999997</v>
      </c>
      <c r="J68">
        <f ca="1">IF(AND(ISNUMBER($J$264),$B$202=1),$J$264,HLOOKUP(INDIRECT(ADDRESS(2,COLUMN())),OFFSET($R$2,0,0,ROW()-1,12),ROW()-1,FALSE))</f>
        <v>6.9893691320000002</v>
      </c>
      <c r="K68">
        <f ca="1">IF(AND(ISNUMBER($K$264),$B$202=1),$K$264,HLOOKUP(INDIRECT(ADDRESS(2,COLUMN())),OFFSET($R$2,0,0,ROW()-1,12),ROW()-1,FALSE))</f>
        <v>8.9467269349999992</v>
      </c>
      <c r="L68">
        <f ca="1">IF(AND(ISNUMBER($L$264),$B$202=1),$L$264,HLOOKUP(INDIRECT(ADDRESS(2,COLUMN())),OFFSET($R$2,0,0,ROW()-1,12),ROW()-1,FALSE))</f>
        <v>7.5421512789999996</v>
      </c>
      <c r="M68">
        <f ca="1">IF(AND(ISNUMBER($M$264),$B$202=1),$M$264,HLOOKUP(INDIRECT(ADDRESS(2,COLUMN())),OFFSET($R$2,0,0,ROW()-1,12),ROW()-1,FALSE))</f>
        <v>6.5283638450000003</v>
      </c>
      <c r="N68">
        <f ca="1">IF(AND(ISNUMBER($N$264),$B$202=1),$N$264,HLOOKUP(INDIRECT(ADDRESS(2,COLUMN())),OFFSET($R$2,0,0,ROW()-1,12),ROW()-1,FALSE))</f>
        <v>5.5589363560000002</v>
      </c>
      <c r="O68">
        <f ca="1">IF(AND(ISNUMBER($O$264),$B$202=1),$O$264,HLOOKUP(INDIRECT(ADDRESS(2,COLUMN())),OFFSET($R$2,0,0,ROW()-1,12),ROW()-1,FALSE))</f>
        <v>6.4831520300000003</v>
      </c>
      <c r="P68">
        <f ca="1">IF(AND(ISNUMBER($P$264),$B$202=1),$P$264,HLOOKUP(INDIRECT(ADDRESS(2,COLUMN())),OFFSET($R$2,0,0,ROW()-1,12),ROW()-1,FALSE))</f>
        <v>8.6861527540000001</v>
      </c>
      <c r="Q68">
        <f ca="1">IF(AND(ISNUMBER($Q$264),$B$202=1),$Q$264,HLOOKUP(INDIRECT(ADDRESS(2,COLUMN())),OFFSET($R$2,0,0,ROW()-1,12),ROW()-1,FALSE))</f>
        <v>7.5570801830000001</v>
      </c>
      <c r="R68">
        <f>7.921116679</f>
        <v>7.9211166789999998</v>
      </c>
      <c r="S68">
        <f>9.535503431</f>
        <v>9.5355034310000004</v>
      </c>
      <c r="T68">
        <f>9.31856592</f>
        <v>9.3185659199999993</v>
      </c>
      <c r="U68">
        <f>8.064545524</f>
        <v>8.0645455239999997</v>
      </c>
      <c r="V68">
        <f>6.989369132</f>
        <v>6.9893691320000002</v>
      </c>
      <c r="W68">
        <f>8.946726935</f>
        <v>8.9467269349999992</v>
      </c>
      <c r="X68">
        <f>7.542151279</f>
        <v>7.5421512789999996</v>
      </c>
      <c r="Y68">
        <f>6.528363845</f>
        <v>6.5283638450000003</v>
      </c>
      <c r="Z68">
        <f>5.558936356</f>
        <v>5.5589363560000002</v>
      </c>
      <c r="AA68">
        <f>6.48315203</f>
        <v>6.4831520300000003</v>
      </c>
      <c r="AB68">
        <f>8.686152754</f>
        <v>8.6861527540000001</v>
      </c>
      <c r="AC68">
        <f>7.557080183</f>
        <v>7.5570801830000001</v>
      </c>
    </row>
    <row r="69" spans="1:29" x14ac:dyDescent="0.25">
      <c r="A69" t="str">
        <f>"    HCL Technologies Ltd"</f>
        <v xml:space="preserve">    HCL Technologies Ltd</v>
      </c>
      <c r="B69" t="str">
        <f>"HCLT IN Equity"</f>
        <v>HCLT IN Equity</v>
      </c>
      <c r="C69" t="str">
        <f t="shared" si="9"/>
        <v>RR060</v>
      </c>
      <c r="D69" t="str">
        <f t="shared" si="10"/>
        <v>INTEREST_COVERAGE_RATIO</v>
      </c>
      <c r="E69" t="str">
        <f t="shared" si="11"/>
        <v>Dynamic</v>
      </c>
      <c r="F69" t="str">
        <f ca="1">IF(AND(ISNUMBER($F$265),$B$202=1),$F$265,HLOOKUP(INDIRECT(ADDRESS(2,COLUMN())),OFFSET($R$2,0,0,ROW()-1,12),ROW()-1,FALSE))</f>
        <v/>
      </c>
      <c r="G69" t="str">
        <f ca="1">IF(AND(ISNUMBER($G$265),$B$202=1),$G$265,HLOOKUP(INDIRECT(ADDRESS(2,COLUMN())),OFFSET($R$2,0,0,ROW()-1,12),ROW()-1,FALSE))</f>
        <v/>
      </c>
      <c r="H69" t="str">
        <f ca="1">IF(AND(ISNUMBER($H$265),$B$202=1),$H$265,HLOOKUP(INDIRECT(ADDRESS(2,COLUMN())),OFFSET($R$2,0,0,ROW()-1,12),ROW()-1,FALSE))</f>
        <v/>
      </c>
      <c r="I69" t="str">
        <f ca="1">IF(AND(ISNUMBER($I$265),$B$202=1),$I$265,HLOOKUP(INDIRECT(ADDRESS(2,COLUMN())),OFFSET($R$2,0,0,ROW()-1,12),ROW()-1,FALSE))</f>
        <v/>
      </c>
      <c r="J69" t="str">
        <f ca="1">IF(AND(ISNUMBER($J$265),$B$202=1),$J$265,HLOOKUP(INDIRECT(ADDRESS(2,COLUMN())),OFFSET($R$2,0,0,ROW()-1,12),ROW()-1,FALSE))</f>
        <v/>
      </c>
      <c r="K69" t="str">
        <f ca="1">IF(AND(ISNUMBER($K$265),$B$202=1),$K$265,HLOOKUP(INDIRECT(ADDRESS(2,COLUMN())),OFFSET($R$2,0,0,ROW()-1,12),ROW()-1,FALSE))</f>
        <v/>
      </c>
      <c r="L69" t="str">
        <f ca="1">IF(AND(ISNUMBER($L$265),$B$202=1),$L$265,HLOOKUP(INDIRECT(ADDRESS(2,COLUMN())),OFFSET($R$2,0,0,ROW()-1,12),ROW()-1,FALSE))</f>
        <v/>
      </c>
      <c r="M69" t="str">
        <f ca="1">IF(AND(ISNUMBER($M$265),$B$202=1),$M$265,HLOOKUP(INDIRECT(ADDRESS(2,COLUMN())),OFFSET($R$2,0,0,ROW()-1,12),ROW()-1,FALSE))</f>
        <v/>
      </c>
      <c r="N69">
        <f ca="1">IF(AND(ISNUMBER($N$265),$B$202=1),$N$265,HLOOKUP(INDIRECT(ADDRESS(2,COLUMN())),OFFSET($R$2,0,0,ROW()-1,12),ROW()-1,FALSE))</f>
        <v>136.47368420000001</v>
      </c>
      <c r="O69" t="str">
        <f ca="1">IF(AND(ISNUMBER($O$265),$B$202=1),$O$265,HLOOKUP(INDIRECT(ADDRESS(2,COLUMN())),OFFSET($R$2,0,0,ROW()-1,12),ROW()-1,FALSE))</f>
        <v/>
      </c>
      <c r="P69" t="str">
        <f ca="1">IF(AND(ISNUMBER($P$265),$B$202=1),$P$265,HLOOKUP(INDIRECT(ADDRESS(2,COLUMN())),OFFSET($R$2,0,0,ROW()-1,12),ROW()-1,FALSE))</f>
        <v/>
      </c>
      <c r="Q69" t="str">
        <f ca="1">IF(AND(ISNUMBER($Q$265),$B$202=1),$Q$265,HLOOKUP(INDIRECT(ADDRESS(2,COLUMN())),OFFSET($R$2,0,0,ROW()-1,12),ROW()-1,FALSE))</f>
        <v/>
      </c>
      <c r="R69" t="str">
        <f>""</f>
        <v/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  <c r="Z69">
        <f>136.4736842</f>
        <v>136.47368420000001</v>
      </c>
      <c r="AA69" t="str">
        <f>""</f>
        <v/>
      </c>
      <c r="AB69" t="str">
        <f>""</f>
        <v/>
      </c>
      <c r="AC69" t="str">
        <f>""</f>
        <v/>
      </c>
    </row>
    <row r="70" spans="1:29" x14ac:dyDescent="0.25">
      <c r="A70" t="str">
        <f>"    Indra Sistemas SA"</f>
        <v xml:space="preserve">    Indra Sistemas SA</v>
      </c>
      <c r="B70" t="str">
        <f>"IDR SM Equity"</f>
        <v>IDR SM Equity</v>
      </c>
      <c r="C70" t="str">
        <f t="shared" si="9"/>
        <v>RR060</v>
      </c>
      <c r="D70" t="str">
        <f t="shared" si="10"/>
        <v>INTEREST_COVERAGE_RATIO</v>
      </c>
      <c r="E70" t="str">
        <f t="shared" si="11"/>
        <v>Dynamic</v>
      </c>
      <c r="F70" t="str">
        <f ca="1">IF(AND(ISNUMBER($F$266),$B$202=1),$F$266,HLOOKUP(INDIRECT(ADDRESS(2,COLUMN())),OFFSET($R$2,0,0,ROW()-1,12),ROW()-1,FALSE))</f>
        <v/>
      </c>
      <c r="G70" t="str">
        <f ca="1">IF(AND(ISNUMBER($G$266),$B$202=1),$G$266,HLOOKUP(INDIRECT(ADDRESS(2,COLUMN())),OFFSET($R$2,0,0,ROW()-1,12),ROW()-1,FALSE))</f>
        <v/>
      </c>
      <c r="H70" t="str">
        <f ca="1">IF(AND(ISNUMBER($H$266),$B$202=1),$H$266,HLOOKUP(INDIRECT(ADDRESS(2,COLUMN())),OFFSET($R$2,0,0,ROW()-1,12),ROW()-1,FALSE))</f>
        <v/>
      </c>
      <c r="I70" t="str">
        <f ca="1">IF(AND(ISNUMBER($I$266),$B$202=1),$I$266,HLOOKUP(INDIRECT(ADDRESS(2,COLUMN())),OFFSET($R$2,0,0,ROW()-1,12),ROW()-1,FALSE))</f>
        <v/>
      </c>
      <c r="J70" t="str">
        <f ca="1">IF(AND(ISNUMBER($J$266),$B$202=1),$J$266,HLOOKUP(INDIRECT(ADDRESS(2,COLUMN())),OFFSET($R$2,0,0,ROW()-1,12),ROW()-1,FALSE))</f>
        <v/>
      </c>
      <c r="K70" t="str">
        <f ca="1">IF(AND(ISNUMBER($K$266),$B$202=1),$K$266,HLOOKUP(INDIRECT(ADDRESS(2,COLUMN())),OFFSET($R$2,0,0,ROW()-1,12),ROW()-1,FALSE))</f>
        <v/>
      </c>
      <c r="L70" t="str">
        <f ca="1">IF(AND(ISNUMBER($L$266),$B$202=1),$L$266,HLOOKUP(INDIRECT(ADDRESS(2,COLUMN())),OFFSET($R$2,0,0,ROW()-1,12),ROW()-1,FALSE))</f>
        <v/>
      </c>
      <c r="M70" t="str">
        <f ca="1">IF(AND(ISNUMBER($M$266),$B$202=1),$M$266,HLOOKUP(INDIRECT(ADDRESS(2,COLUMN())),OFFSET($R$2,0,0,ROW()-1,12),ROW()-1,FALSE))</f>
        <v/>
      </c>
      <c r="N70" t="str">
        <f ca="1">IF(AND(ISNUMBER($N$266),$B$202=1),$N$266,HLOOKUP(INDIRECT(ADDRESS(2,COLUMN())),OFFSET($R$2,0,0,ROW()-1,12),ROW()-1,FALSE))</f>
        <v/>
      </c>
      <c r="O70" t="str">
        <f ca="1">IF(AND(ISNUMBER($O$266),$B$202=1),$O$266,HLOOKUP(INDIRECT(ADDRESS(2,COLUMN())),OFFSET($R$2,0,0,ROW()-1,12),ROW()-1,FALSE))</f>
        <v/>
      </c>
      <c r="P70" t="str">
        <f ca="1">IF(AND(ISNUMBER($P$266),$B$202=1),$P$266,HLOOKUP(INDIRECT(ADDRESS(2,COLUMN())),OFFSET($R$2,0,0,ROW()-1,12),ROW()-1,FALSE))</f>
        <v/>
      </c>
      <c r="Q70" t="str">
        <f ca="1">IF(AND(ISNUMBER($Q$266),$B$202=1),$Q$266,HLOOKUP(INDIRECT(ADDRESS(2,COLUMN())),OFFSET($R$2,0,0,ROW()-1,12),ROW()-1,FALSE))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  <c r="Z70" t="str">
        <f>""</f>
        <v/>
      </c>
      <c r="AA70" t="str">
        <f>""</f>
        <v/>
      </c>
      <c r="AB70" t="str">
        <f>""</f>
        <v/>
      </c>
      <c r="AC70" t="str">
        <f>""</f>
        <v/>
      </c>
    </row>
    <row r="71" spans="1:29" x14ac:dyDescent="0.25">
      <c r="A71" t="str">
        <f>"    Infosys Ltd"</f>
        <v xml:space="preserve">    Infosys Ltd</v>
      </c>
      <c r="B71" t="str">
        <f>"INFY US Equity"</f>
        <v>INFY US Equity</v>
      </c>
      <c r="C71" t="str">
        <f t="shared" si="9"/>
        <v>RR060</v>
      </c>
      <c r="D71" t="str">
        <f t="shared" si="10"/>
        <v>INTEREST_COVERAGE_RATIO</v>
      </c>
      <c r="E71" t="str">
        <f t="shared" si="11"/>
        <v>Dynamic</v>
      </c>
      <c r="F71" t="str">
        <f ca="1">IF(AND(ISNUMBER($F$267),$B$202=1),$F$267,HLOOKUP(INDIRECT(ADDRESS(2,COLUMN())),OFFSET($R$2,0,0,ROW()-1,12),ROW()-1,FALSE))</f>
        <v/>
      </c>
      <c r="G71" t="str">
        <f ca="1">IF(AND(ISNUMBER($G$267),$B$202=1),$G$267,HLOOKUP(INDIRECT(ADDRESS(2,COLUMN())),OFFSET($R$2,0,0,ROW()-1,12),ROW()-1,FALSE))</f>
        <v/>
      </c>
      <c r="H71" t="str">
        <f ca="1">IF(AND(ISNUMBER($H$267),$B$202=1),$H$267,HLOOKUP(INDIRECT(ADDRESS(2,COLUMN())),OFFSET($R$2,0,0,ROW()-1,12),ROW()-1,FALSE))</f>
        <v/>
      </c>
      <c r="I71">
        <f ca="1">IF(AND(ISNUMBER($I$267),$B$202=1),$I$267,HLOOKUP(INDIRECT(ADDRESS(2,COLUMN())),OFFSET($R$2,0,0,ROW()-1,12),ROW()-1,FALSE))</f>
        <v>111.77500000000001</v>
      </c>
      <c r="J71" t="str">
        <f ca="1">IF(AND(ISNUMBER($J$267),$B$202=1),$J$267,HLOOKUP(INDIRECT(ADDRESS(2,COLUMN())),OFFSET($R$2,0,0,ROW()-1,12),ROW()-1,FALSE))</f>
        <v/>
      </c>
      <c r="K71" t="str">
        <f ca="1">IF(AND(ISNUMBER($K$267),$B$202=1),$K$267,HLOOKUP(INDIRECT(ADDRESS(2,COLUMN())),OFFSET($R$2,0,0,ROW()-1,12),ROW()-1,FALSE))</f>
        <v/>
      </c>
      <c r="L71" t="str">
        <f ca="1">IF(AND(ISNUMBER($L$267),$B$202=1),$L$267,HLOOKUP(INDIRECT(ADDRESS(2,COLUMN())),OFFSET($R$2,0,0,ROW()-1,12),ROW()-1,FALSE))</f>
        <v/>
      </c>
      <c r="M71" t="str">
        <f ca="1">IF(AND(ISNUMBER($M$267),$B$202=1),$M$267,HLOOKUP(INDIRECT(ADDRESS(2,COLUMN())),OFFSET($R$2,0,0,ROW()-1,12),ROW()-1,FALSE))</f>
        <v/>
      </c>
      <c r="N71" t="str">
        <f ca="1">IF(AND(ISNUMBER($N$267),$B$202=1),$N$267,HLOOKUP(INDIRECT(ADDRESS(2,COLUMN())),OFFSET($R$2,0,0,ROW()-1,12),ROW()-1,FALSE))</f>
        <v/>
      </c>
      <c r="O71" t="str">
        <f ca="1">IF(AND(ISNUMBER($O$267),$B$202=1),$O$267,HLOOKUP(INDIRECT(ADDRESS(2,COLUMN())),OFFSET($R$2,0,0,ROW()-1,12),ROW()-1,FALSE))</f>
        <v/>
      </c>
      <c r="P71" t="str">
        <f ca="1">IF(AND(ISNUMBER($P$267),$B$202=1),$P$267,HLOOKUP(INDIRECT(ADDRESS(2,COLUMN())),OFFSET($R$2,0,0,ROW()-1,12),ROW()-1,FALSE))</f>
        <v/>
      </c>
      <c r="Q71" t="str">
        <f ca="1">IF(AND(ISNUMBER($Q$267),$B$202=1),$Q$267,HLOOKUP(INDIRECT(ADDRESS(2,COLUMN())),OFFSET($R$2,0,0,ROW()-1,12),ROW()-1,FALSE))</f>
        <v/>
      </c>
      <c r="R71" t="str">
        <f>""</f>
        <v/>
      </c>
      <c r="S71" t="str">
        <f>""</f>
        <v/>
      </c>
      <c r="T71" t="str">
        <f>""</f>
        <v/>
      </c>
      <c r="U71">
        <f>111.775</f>
        <v>111.77500000000001</v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  <c r="Z71" t="str">
        <f>""</f>
        <v/>
      </c>
      <c r="AA71" t="str">
        <f>""</f>
        <v/>
      </c>
      <c r="AB71" t="str">
        <f>""</f>
        <v/>
      </c>
      <c r="AC71" t="str">
        <f>""</f>
        <v/>
      </c>
    </row>
    <row r="72" spans="1:29" x14ac:dyDescent="0.25">
      <c r="A72" t="str">
        <f>"    International Business Machines Corp"</f>
        <v xml:space="preserve">    International Business Machines Corp</v>
      </c>
      <c r="B72" t="str">
        <f>"IBM US Equity"</f>
        <v>IBM US Equity</v>
      </c>
      <c r="C72" t="str">
        <f t="shared" si="9"/>
        <v>RR060</v>
      </c>
      <c r="D72" t="str">
        <f t="shared" si="10"/>
        <v>INTEREST_COVERAGE_RATIO</v>
      </c>
      <c r="E72" t="str">
        <f t="shared" si="11"/>
        <v>Dynamic</v>
      </c>
      <c r="F72">
        <f ca="1">IF(AND(ISNUMBER($F$268),$B$202=1),$F$268,HLOOKUP(INDIRECT(ADDRESS(2,COLUMN())),OFFSET($R$2,0,0,ROW()-1,12),ROW()-1,FALSE))</f>
        <v>1.0362537759999999</v>
      </c>
      <c r="G72">
        <f ca="1">IF(AND(ISNUMBER($G$268),$B$202=1),$G$268,HLOOKUP(INDIRECT(ADDRESS(2,COLUMN())),OFFSET($R$2,0,0,ROW()-1,12),ROW()-1,FALSE))</f>
        <v>11.5</v>
      </c>
      <c r="H72">
        <f ca="1">IF(AND(ISNUMBER($H$268),$B$202=1),$H$268,HLOOKUP(INDIRECT(ADDRESS(2,COLUMN())),OFFSET($R$2,0,0,ROW()-1,12),ROW()-1,FALSE))</f>
        <v>4.0529953919999997</v>
      </c>
      <c r="I72">
        <f ca="1">IF(AND(ISNUMBER($I$268),$B$202=1),$I$268,HLOOKUP(INDIRECT(ADDRESS(2,COLUMN())),OFFSET($R$2,0,0,ROW()-1,12),ROW()-1,FALSE))</f>
        <v>6.1168091169999999</v>
      </c>
      <c r="J72">
        <f ca="1">IF(AND(ISNUMBER($J$268),$B$202=1),$J$268,HLOOKUP(INDIRECT(ADDRESS(2,COLUMN())),OFFSET($R$2,0,0,ROW()-1,12),ROW()-1,FALSE))</f>
        <v>9.0518867919999995</v>
      </c>
      <c r="K72">
        <f ca="1">IF(AND(ISNUMBER($K$268),$B$202=1),$K$268,HLOOKUP(INDIRECT(ADDRESS(2,COLUMN())),OFFSET($R$2,0,0,ROW()-1,12),ROW()-1,FALSE))</f>
        <v>23.979274610000001</v>
      </c>
      <c r="L72">
        <f ca="1">IF(AND(ISNUMBER($L$268),$B$202=1),$L$268,HLOOKUP(INDIRECT(ADDRESS(2,COLUMN())),OFFSET($R$2,0,0,ROW()-1,12),ROW()-1,FALSE))</f>
        <v>16.691099479999998</v>
      </c>
      <c r="M72">
        <f ca="1">IF(AND(ISNUMBER($M$268),$B$202=1),$M$268,HLOOKUP(INDIRECT(ADDRESS(2,COLUMN())),OFFSET($R$2,0,0,ROW()-1,12),ROW()-1,FALSE))</f>
        <v>16.920454549999999</v>
      </c>
      <c r="N72">
        <f ca="1">IF(AND(ISNUMBER($N$268),$B$202=1),$N$268,HLOOKUP(INDIRECT(ADDRESS(2,COLUMN())),OFFSET($R$2,0,0,ROW()-1,12),ROW()-1,FALSE))</f>
        <v>8.31547619</v>
      </c>
      <c r="O72">
        <f ca="1">IF(AND(ISNUMBER($O$268),$B$202=1),$O$268,HLOOKUP(INDIRECT(ADDRESS(2,COLUMN())),OFFSET($R$2,0,0,ROW()-1,12),ROW()-1,FALSE))</f>
        <v>27.4</v>
      </c>
      <c r="P72">
        <f ca="1">IF(AND(ISNUMBER($P$268),$B$202=1),$P$268,HLOOKUP(INDIRECT(ADDRESS(2,COLUMN())),OFFSET($R$2,0,0,ROW()-1,12),ROW()-1,FALSE))</f>
        <v>16.72619048</v>
      </c>
      <c r="Q72">
        <f ca="1">IF(AND(ISNUMBER($Q$268),$B$202=1),$Q$268,HLOOKUP(INDIRECT(ADDRESS(2,COLUMN())),OFFSET($R$2,0,0,ROW()-1,12),ROW()-1,FALSE))</f>
        <v>16.885135139999999</v>
      </c>
      <c r="R72">
        <f>1.036253776</f>
        <v>1.0362537759999999</v>
      </c>
      <c r="S72">
        <f>11.5</f>
        <v>11.5</v>
      </c>
      <c r="T72">
        <f>4.052995392</f>
        <v>4.0529953919999997</v>
      </c>
      <c r="U72">
        <f>6.116809117</f>
        <v>6.1168091169999999</v>
      </c>
      <c r="V72">
        <f>9.051886792</f>
        <v>9.0518867919999995</v>
      </c>
      <c r="W72">
        <f>23.97927461</f>
        <v>23.979274610000001</v>
      </c>
      <c r="X72">
        <f>16.69109948</f>
        <v>16.691099479999998</v>
      </c>
      <c r="Y72">
        <f>16.92045455</f>
        <v>16.920454549999999</v>
      </c>
      <c r="Z72">
        <f>8.31547619</f>
        <v>8.31547619</v>
      </c>
      <c r="AA72">
        <f>27.4</f>
        <v>27.4</v>
      </c>
      <c r="AB72">
        <f>16.72619048</f>
        <v>16.72619048</v>
      </c>
      <c r="AC72">
        <f>16.88513514</f>
        <v>16.885135139999999</v>
      </c>
    </row>
    <row r="73" spans="1:29" x14ac:dyDescent="0.25">
      <c r="A73" t="str">
        <f>"    Tata Consultancy Services Ltd"</f>
        <v xml:space="preserve">    Tata Consultancy Services Ltd</v>
      </c>
      <c r="B73" t="str">
        <f>"TCS IN Equity"</f>
        <v>TCS IN Equity</v>
      </c>
      <c r="C73" t="str">
        <f t="shared" si="9"/>
        <v>RR060</v>
      </c>
      <c r="D73" t="str">
        <f t="shared" si="10"/>
        <v>INTEREST_COVERAGE_RATIO</v>
      </c>
      <c r="E73" t="str">
        <f t="shared" si="11"/>
        <v>Dynamic</v>
      </c>
      <c r="F73">
        <f ca="1">IF(AND(ISNUMBER($F$269),$B$202=1),$F$269,HLOOKUP(INDIRECT(ADDRESS(2,COLUMN())),OFFSET($R$2,0,0,ROW()-1,12),ROW()-1,FALSE))</f>
        <v>39.940239040000002</v>
      </c>
      <c r="G73">
        <f ca="1">IF(AND(ISNUMBER($G$269),$B$202=1),$G$269,HLOOKUP(INDIRECT(ADDRESS(2,COLUMN())),OFFSET($R$2,0,0,ROW()-1,12),ROW()-1,FALSE))</f>
        <v>44.726457400000001</v>
      </c>
      <c r="H73">
        <f ca="1">IF(AND(ISNUMBER($H$269),$B$202=1),$H$269,HLOOKUP(INDIRECT(ADDRESS(2,COLUMN())),OFFSET($R$2,0,0,ROW()-1,12),ROW()-1,FALSE))</f>
        <v>48.502590669999996</v>
      </c>
      <c r="I73">
        <f ca="1">IF(AND(ISNUMBER($I$269),$B$202=1),$I$269,HLOOKUP(INDIRECT(ADDRESS(2,COLUMN())),OFFSET($R$2,0,0,ROW()-1,12),ROW()-1,FALSE))</f>
        <v>78.135593220000004</v>
      </c>
      <c r="J73">
        <f ca="1">IF(AND(ISNUMBER($J$269),$B$202=1),$J$269,HLOOKUP(INDIRECT(ADDRESS(2,COLUMN())),OFFSET($R$2,0,0,ROW()-1,12),ROW()-1,FALSE))</f>
        <v>340.60714289999999</v>
      </c>
      <c r="K73">
        <f ca="1">IF(AND(ISNUMBER($K$269),$B$202=1),$K$269,HLOOKUP(INDIRECT(ADDRESS(2,COLUMN())),OFFSET($R$2,0,0,ROW()-1,12),ROW()-1,FALSE))</f>
        <v>597.75</v>
      </c>
      <c r="L73">
        <f ca="1">IF(AND(ISNUMBER($L$269),$B$202=1),$L$269,HLOOKUP(INDIRECT(ADDRESS(2,COLUMN())),OFFSET($R$2,0,0,ROW()-1,12),ROW()-1,FALSE))</f>
        <v>71.321167880000004</v>
      </c>
      <c r="M73">
        <f ca="1">IF(AND(ISNUMBER($M$269),$B$202=1),$M$269,HLOOKUP(INDIRECT(ADDRESS(2,COLUMN())),OFFSET($R$2,0,0,ROW()-1,12),ROW()-1,FALSE))</f>
        <v>504.58823530000001</v>
      </c>
      <c r="N73">
        <f ca="1">IF(AND(ISNUMBER($N$269),$B$202=1),$N$269,HLOOKUP(INDIRECT(ADDRESS(2,COLUMN())),OFFSET($R$2,0,0,ROW()-1,12),ROW()-1,FALSE))</f>
        <v>678.91666669999995</v>
      </c>
      <c r="O73">
        <f ca="1">IF(AND(ISNUMBER($O$269),$B$202=1),$O$269,HLOOKUP(INDIRECT(ADDRESS(2,COLUMN())),OFFSET($R$2,0,0,ROW()-1,12),ROW()-1,FALSE))</f>
        <v>1296.833333</v>
      </c>
      <c r="P73">
        <f ca="1">IF(AND(ISNUMBER($P$269),$B$202=1),$P$269,HLOOKUP(INDIRECT(ADDRESS(2,COLUMN())),OFFSET($R$2,0,0,ROW()-1,12),ROW()-1,FALSE))</f>
        <v>1094.2857140000001</v>
      </c>
      <c r="Q73">
        <f ca="1">IF(AND(ISNUMBER($Q$269),$B$202=1),$Q$269,HLOOKUP(INDIRECT(ADDRESS(2,COLUMN())),OFFSET($R$2,0,0,ROW()-1,12),ROW()-1,FALSE))</f>
        <v>256.07407410000002</v>
      </c>
      <c r="R73">
        <f>39.94023904</f>
        <v>39.940239040000002</v>
      </c>
      <c r="S73">
        <f>44.7264574</f>
        <v>44.726457400000001</v>
      </c>
      <c r="T73">
        <f>48.50259067</f>
        <v>48.502590669999996</v>
      </c>
      <c r="U73">
        <f>78.13559322</f>
        <v>78.135593220000004</v>
      </c>
      <c r="V73">
        <f>340.6071429</f>
        <v>340.60714289999999</v>
      </c>
      <c r="W73">
        <f>597.75</f>
        <v>597.75</v>
      </c>
      <c r="X73">
        <f>71.32116788</f>
        <v>71.321167880000004</v>
      </c>
      <c r="Y73">
        <f>504.5882353</f>
        <v>504.58823530000001</v>
      </c>
      <c r="Z73">
        <f>678.9166667</f>
        <v>678.91666669999995</v>
      </c>
      <c r="AA73">
        <f>1296.833333</f>
        <v>1296.833333</v>
      </c>
      <c r="AB73">
        <f>1094.285714</f>
        <v>1094.2857140000001</v>
      </c>
      <c r="AC73">
        <f>256.0740741</f>
        <v>256.07407410000002</v>
      </c>
    </row>
    <row r="74" spans="1:29" x14ac:dyDescent="0.25">
      <c r="A74" t="str">
        <f>"    Tech Mahindra Ltd"</f>
        <v xml:space="preserve">    Tech Mahindra Ltd</v>
      </c>
      <c r="B74" t="str">
        <f>"TECHM IN Equity"</f>
        <v>TECHM IN Equity</v>
      </c>
      <c r="C74" t="str">
        <f t="shared" si="9"/>
        <v>RR060</v>
      </c>
      <c r="D74" t="str">
        <f t="shared" si="10"/>
        <v>INTEREST_COVERAGE_RATIO</v>
      </c>
      <c r="E74" t="str">
        <f t="shared" si="11"/>
        <v>Dynamic</v>
      </c>
      <c r="F74">
        <f ca="1">IF(AND(ISNUMBER($F$270),$B$202=1),$F$270,HLOOKUP(INDIRECT(ADDRESS(2,COLUMN())),OFFSET($R$2,0,0,ROW()-1,12),ROW()-1,FALSE))</f>
        <v>13.76093985</v>
      </c>
      <c r="G74">
        <f ca="1">IF(AND(ISNUMBER($G$270),$B$202=1),$G$270,HLOOKUP(INDIRECT(ADDRESS(2,COLUMN())),OFFSET($R$2,0,0,ROW()-1,12),ROW()-1,FALSE))</f>
        <v>21.426947269999999</v>
      </c>
      <c r="H74">
        <f ca="1">IF(AND(ISNUMBER($H$270),$B$202=1),$H$270,HLOOKUP(INDIRECT(ADDRESS(2,COLUMN())),OFFSET($R$2,0,0,ROW()-1,12),ROW()-1,FALSE))</f>
        <v>30.271177550000001</v>
      </c>
      <c r="I74">
        <f ca="1">IF(AND(ISNUMBER($I$270),$B$202=1),$I$270,HLOOKUP(INDIRECT(ADDRESS(2,COLUMN())),OFFSET($R$2,0,0,ROW()-1,12),ROW()-1,FALSE))</f>
        <v>21.86784141</v>
      </c>
      <c r="J74">
        <f ca="1">IF(AND(ISNUMBER($J$270),$B$202=1),$J$270,HLOOKUP(INDIRECT(ADDRESS(2,COLUMN())),OFFSET($R$2,0,0,ROW()-1,12),ROW()-1,FALSE))</f>
        <v>48.693950180000002</v>
      </c>
      <c r="K74">
        <f ca="1">IF(AND(ISNUMBER($K$270),$B$202=1),$K$270,HLOOKUP(INDIRECT(ADDRESS(2,COLUMN())),OFFSET($R$2,0,0,ROW()-1,12),ROW()-1,FALSE))</f>
        <v>40.195530730000002</v>
      </c>
      <c r="L74">
        <f ca="1">IF(AND(ISNUMBER($L$270),$B$202=1),$L$270,HLOOKUP(INDIRECT(ADDRESS(2,COLUMN())),OFFSET($R$2,0,0,ROW()-1,12),ROW()-1,FALSE))</f>
        <v>34.158369870000001</v>
      </c>
      <c r="M74">
        <f ca="1">IF(AND(ISNUMBER($M$270),$B$202=1),$M$270,HLOOKUP(INDIRECT(ADDRESS(2,COLUMN())),OFFSET($R$2,0,0,ROW()-1,12),ROW()-1,FALSE))</f>
        <v>35.282950820000003</v>
      </c>
      <c r="N74">
        <f ca="1">IF(AND(ISNUMBER($N$270),$B$202=1),$N$270,HLOOKUP(INDIRECT(ADDRESS(2,COLUMN())),OFFSET($R$2,0,0,ROW()-1,12),ROW()-1,FALSE))</f>
        <v>21.12428843</v>
      </c>
      <c r="O74">
        <f ca="1">IF(AND(ISNUMBER($O$270),$B$202=1),$O$270,HLOOKUP(INDIRECT(ADDRESS(2,COLUMN())),OFFSET($R$2,0,0,ROW()-1,12),ROW()-1,FALSE))</f>
        <v>29.052801410000001</v>
      </c>
      <c r="P74">
        <f ca="1">IF(AND(ISNUMBER($P$270),$B$202=1),$P$270,HLOOKUP(INDIRECT(ADDRESS(2,COLUMN())),OFFSET($R$2,0,0,ROW()-1,12),ROW()-1,FALSE))</f>
        <v>21.75</v>
      </c>
      <c r="Q74">
        <f ca="1">IF(AND(ISNUMBER($Q$270),$B$202=1),$Q$270,HLOOKUP(INDIRECT(ADDRESS(2,COLUMN())),OFFSET($R$2,0,0,ROW()-1,12),ROW()-1,FALSE))</f>
        <v>18.615696889999999</v>
      </c>
      <c r="R74">
        <f>13.76093985</f>
        <v>13.76093985</v>
      </c>
      <c r="S74">
        <f>21.42694727</f>
        <v>21.426947269999999</v>
      </c>
      <c r="T74">
        <f>30.27117755</f>
        <v>30.271177550000001</v>
      </c>
      <c r="U74">
        <f>21.86784141</f>
        <v>21.86784141</v>
      </c>
      <c r="V74">
        <f>48.69395018</f>
        <v>48.693950180000002</v>
      </c>
      <c r="W74">
        <f>40.19553073</f>
        <v>40.195530730000002</v>
      </c>
      <c r="X74">
        <f>34.15836987</f>
        <v>34.158369870000001</v>
      </c>
      <c r="Y74">
        <f>35.28295082</f>
        <v>35.282950820000003</v>
      </c>
      <c r="Z74">
        <f>21.12428843</f>
        <v>21.12428843</v>
      </c>
      <c r="AA74">
        <f>29.05280141</f>
        <v>29.052801410000001</v>
      </c>
      <c r="AB74">
        <f>21.75</f>
        <v>21.75</v>
      </c>
      <c r="AC74">
        <f>18.61569689</f>
        <v>18.615696889999999</v>
      </c>
    </row>
    <row r="75" spans="1:29" x14ac:dyDescent="0.25">
      <c r="A75" t="str">
        <f>"    Wipro Ltd"</f>
        <v xml:space="preserve">    Wipro Ltd</v>
      </c>
      <c r="B75" t="str">
        <f>"WIT US Equity"</f>
        <v>WIT US Equity</v>
      </c>
      <c r="C75" t="str">
        <f t="shared" si="9"/>
        <v>RR060</v>
      </c>
      <c r="D75" t="str">
        <f t="shared" si="10"/>
        <v>INTEREST_COVERAGE_RATIO</v>
      </c>
      <c r="E75" t="str">
        <f t="shared" si="11"/>
        <v>Dynamic</v>
      </c>
      <c r="F75">
        <f ca="1">IF(AND(ISNUMBER($F$271),$B$202=1),$F$271,HLOOKUP(INDIRECT(ADDRESS(2,COLUMN())),OFFSET($R$2,0,0,ROW()-1,12),ROW()-1,FALSE))</f>
        <v>21.743150679999999</v>
      </c>
      <c r="G75">
        <f ca="1">IF(AND(ISNUMBER($G$271),$B$202=1),$G$271,HLOOKUP(INDIRECT(ADDRESS(2,COLUMN())),OFFSET($R$2,0,0,ROW()-1,12),ROW()-1,FALSE))</f>
        <v>20.92028414</v>
      </c>
      <c r="H75">
        <f ca="1">IF(AND(ISNUMBER($H$271),$B$202=1),$H$271,HLOOKUP(INDIRECT(ADDRESS(2,COLUMN())),OFFSET($R$2,0,0,ROW()-1,12),ROW()-1,FALSE))</f>
        <v>18.359550559999999</v>
      </c>
      <c r="I75">
        <f ca="1">IF(AND(ISNUMBER($I$271),$B$202=1),$I$271,HLOOKUP(INDIRECT(ADDRESS(2,COLUMN())),OFFSET($R$2,0,0,ROW()-1,12),ROW()-1,FALSE))</f>
        <v>19.197337510000001</v>
      </c>
      <c r="J75">
        <f ca="1">IF(AND(ISNUMBER($J$271),$B$202=1),$J$271,HLOOKUP(INDIRECT(ADDRESS(2,COLUMN())),OFFSET($R$2,0,0,ROW()-1,12),ROW()-1,FALSE))</f>
        <v>12.74374705</v>
      </c>
      <c r="K75">
        <f ca="1">IF(AND(ISNUMBER($K$271),$B$202=1),$K$271,HLOOKUP(INDIRECT(ADDRESS(2,COLUMN())),OFFSET($R$2,0,0,ROW()-1,12),ROW()-1,FALSE))</f>
        <v>23.90783807</v>
      </c>
      <c r="L75">
        <f ca="1">IF(AND(ISNUMBER($L$271),$B$202=1),$L$271,HLOOKUP(INDIRECT(ADDRESS(2,COLUMN())),OFFSET($R$2,0,0,ROW()-1,12),ROW()-1,FALSE))</f>
        <v>17.212954750000002</v>
      </c>
      <c r="M75">
        <f ca="1">IF(AND(ISNUMBER($M$271),$B$202=1),$M$271,HLOOKUP(INDIRECT(ADDRESS(2,COLUMN())),OFFSET($R$2,0,0,ROW()-1,12),ROW()-1,FALSE))</f>
        <v>18.63937138</v>
      </c>
      <c r="N75">
        <f ca="1">IF(AND(ISNUMBER($N$271),$B$202=1),$N$271,HLOOKUP(INDIRECT(ADDRESS(2,COLUMN())),OFFSET($R$2,0,0,ROW()-1,12),ROW()-1,FALSE))</f>
        <v>17.514418599999999</v>
      </c>
      <c r="O75">
        <f ca="1">IF(AND(ISNUMBER($O$271),$B$202=1),$O$271,HLOOKUP(INDIRECT(ADDRESS(2,COLUMN())),OFFSET($R$2,0,0,ROW()-1,12),ROW()-1,FALSE))</f>
        <v>25.519480519999998</v>
      </c>
      <c r="P75">
        <f ca="1">IF(AND(ISNUMBER($P$271),$B$202=1),$P$271,HLOOKUP(INDIRECT(ADDRESS(2,COLUMN())),OFFSET($R$2,0,0,ROW()-1,12),ROW()-1,FALSE))</f>
        <v>31.858956280000001</v>
      </c>
      <c r="Q75">
        <f ca="1">IF(AND(ISNUMBER($Q$271),$B$202=1),$Q$271,HLOOKUP(INDIRECT(ADDRESS(2,COLUMN())),OFFSET($R$2,0,0,ROW()-1,12),ROW()-1,FALSE))</f>
        <v>31.23563218</v>
      </c>
      <c r="R75">
        <f>21.74315068</f>
        <v>21.743150679999999</v>
      </c>
      <c r="S75">
        <f>20.92028414</f>
        <v>20.92028414</v>
      </c>
      <c r="T75">
        <f>18.35955056</f>
        <v>18.359550559999999</v>
      </c>
      <c r="U75">
        <f>19.19733751</f>
        <v>19.197337510000001</v>
      </c>
      <c r="V75">
        <f>12.74374705</f>
        <v>12.74374705</v>
      </c>
      <c r="W75">
        <f>23.90783807</f>
        <v>23.90783807</v>
      </c>
      <c r="X75">
        <f>17.21295475</f>
        <v>17.212954750000002</v>
      </c>
      <c r="Y75">
        <f>18.63937138</f>
        <v>18.63937138</v>
      </c>
      <c r="Z75">
        <f>17.5144186</f>
        <v>17.514418599999999</v>
      </c>
      <c r="AA75">
        <f>25.51948052</f>
        <v>25.519480519999998</v>
      </c>
      <c r="AB75">
        <f>31.85895628</f>
        <v>31.858956280000001</v>
      </c>
      <c r="AC75">
        <f>31.23563218</f>
        <v>31.23563218</v>
      </c>
    </row>
    <row r="76" spans="1:29" x14ac:dyDescent="0.25">
      <c r="A76" t="str">
        <f>"Leverage:"</f>
        <v>Leverage:</v>
      </c>
      <c r="B76" t="str">
        <f>""</f>
        <v/>
      </c>
      <c r="E76" t="str">
        <f>"Heading"</f>
        <v>Heading</v>
      </c>
      <c r="R76" t="str">
        <f>""</f>
        <v/>
      </c>
      <c r="S76" t="str">
        <f>""</f>
        <v/>
      </c>
      <c r="T76" t="str">
        <f>""</f>
        <v/>
      </c>
      <c r="U76" t="str">
        <f>""</f>
        <v/>
      </c>
      <c r="V76" t="str">
        <f>""</f>
        <v/>
      </c>
      <c r="W76" t="str">
        <f>""</f>
        <v/>
      </c>
      <c r="X76" t="str">
        <f>""</f>
        <v/>
      </c>
      <c r="Y76" t="str">
        <f>""</f>
        <v/>
      </c>
      <c r="Z76" t="str">
        <f>""</f>
        <v/>
      </c>
      <c r="AA76" t="str">
        <f>""</f>
        <v/>
      </c>
      <c r="AB76" t="str">
        <f>""</f>
        <v/>
      </c>
      <c r="AC76" t="str">
        <f>""</f>
        <v/>
      </c>
    </row>
    <row r="77" spans="1:29" x14ac:dyDescent="0.25">
      <c r="A77" t="str">
        <f>"Total Debt/EV"</f>
        <v>Total Debt/EV</v>
      </c>
      <c r="B77" t="str">
        <f>"BRITBPOV Index"</f>
        <v>BRITBPOV Index</v>
      </c>
      <c r="E77" t="str">
        <f>"Average"</f>
        <v>Average</v>
      </c>
      <c r="F77">
        <f ca="1">IF(ISERROR(IF(AVERAGE($F$78:$F$94) = 0, "", AVERAGE($F$78:$F$94))), "", (IF(AVERAGE($F$78:$F$94) = 0, "", AVERAGE($F$78:$F$94))))</f>
        <v>0.27227157260000001</v>
      </c>
      <c r="G77">
        <f ca="1">IF(ISERROR(IF(AVERAGE($G$78:$G$94) = 0, "", AVERAGE($G$78:$G$94))), "", (IF(AVERAGE($G$78:$G$94) = 0, "", AVERAGE($G$78:$G$94))))</f>
        <v>0.19365825718750002</v>
      </c>
      <c r="H77">
        <f ca="1">IF(ISERROR(IF(AVERAGE($H$78:$H$94) = 0, "", AVERAGE($H$78:$H$94))), "", (IF(AVERAGE($H$78:$H$94) = 0, "", AVERAGE($H$78:$H$94))))</f>
        <v>0.19256333140000004</v>
      </c>
      <c r="I77">
        <f ca="1">IF(ISERROR(IF(AVERAGE($I$78:$I$94) = 0, "", AVERAGE($I$78:$I$94))), "", (IF(AVERAGE($I$78:$I$94) = 0, "", AVERAGE($I$78:$I$94))))</f>
        <v>0.17609335793333333</v>
      </c>
      <c r="J77">
        <f ca="1">IF(ISERROR(IF(AVERAGE($J$78:$J$94) = 0, "", AVERAGE($J$78:$J$94))), "", (IF(AVERAGE($J$78:$J$94) = 0, "", AVERAGE($J$78:$J$94))))</f>
        <v>0.14527151648</v>
      </c>
      <c r="K77">
        <f ca="1">IF(ISERROR(IF(AVERAGE($K$78:$K$94) = 0, "", AVERAGE($K$78:$K$94))), "", (IF(AVERAGE($K$78:$K$94) = 0, "", AVERAGE($K$78:$K$94))))</f>
        <v>0.15934025162666662</v>
      </c>
      <c r="L77">
        <f ca="1">IF(ISERROR(IF(AVERAGE($L$78:$L$94) = 0, "", AVERAGE($L$78:$L$94))), "", (IF(AVERAGE($L$78:$L$94) = 0, "", AVERAGE($L$78:$L$94))))</f>
        <v>0.12028296848000002</v>
      </c>
      <c r="M77">
        <f ca="1">IF(ISERROR(IF(AVERAGE($M$78:$M$94) = 0, "", AVERAGE($M$78:$M$94))), "", (IF(AVERAGE($M$78:$M$94) = 0, "", AVERAGE($M$78:$M$94))))</f>
        <v>0.13379184633999996</v>
      </c>
      <c r="N77">
        <f ca="1">IF(ISERROR(IF(AVERAGE($N$78:$N$94) = 0, "", AVERAGE($N$78:$N$94))), "", (IF(AVERAGE($N$78:$N$94) = 0, "", AVERAGE($N$78:$N$94))))</f>
        <v>0.12223318386666668</v>
      </c>
      <c r="O77">
        <f ca="1">IF(ISERROR(IF(AVERAGE($O$78:$O$94) = 0, "", AVERAGE($O$78:$O$94))), "", (IF(AVERAGE($O$78:$O$94) = 0, "", AVERAGE($O$78:$O$94))))</f>
        <v>0.1230273462</v>
      </c>
      <c r="P77">
        <f ca="1">IF(ISERROR(IF(AVERAGE($P$78:$P$94) = 0, "", AVERAGE($P$78:$P$94))), "", (IF(AVERAGE($P$78:$P$94) = 0, "", AVERAGE($P$78:$P$94))))</f>
        <v>0.12156729659999997</v>
      </c>
      <c r="Q77">
        <f ca="1">IF(ISERROR(IF(AVERAGE($Q$78:$Q$94) = 0, "", AVERAGE($Q$78:$Q$94))), "", (IF(AVERAGE($Q$78:$Q$94) = 0, "", AVERAGE($Q$78:$Q$94))))</f>
        <v>0.1232660054</v>
      </c>
      <c r="R77">
        <f>0.272271573</f>
        <v>0.27227157299999999</v>
      </c>
      <c r="S77">
        <f>0.193658257</f>
        <v>0.193658257</v>
      </c>
      <c r="T77">
        <f>0.192563331</f>
        <v>0.192563331</v>
      </c>
      <c r="U77">
        <f>0.176093358</f>
        <v>0.17609335800000001</v>
      </c>
      <c r="V77">
        <f>0.145271517</f>
        <v>0.14527151699999999</v>
      </c>
      <c r="W77">
        <f>0.159340252</f>
        <v>0.15934025199999999</v>
      </c>
      <c r="X77">
        <f>0.120282969</f>
        <v>0.120282969</v>
      </c>
      <c r="Y77">
        <f>0.133791846</f>
        <v>0.13379184599999999</v>
      </c>
      <c r="Z77">
        <f>0.122233184</f>
        <v>0.12223318399999999</v>
      </c>
      <c r="AA77">
        <f>0.123027346</f>
        <v>0.123027346</v>
      </c>
      <c r="AB77">
        <f>0.121567297</f>
        <v>0.121567297</v>
      </c>
      <c r="AC77">
        <f>0.123266005</f>
        <v>0.123266005</v>
      </c>
    </row>
    <row r="78" spans="1:29" x14ac:dyDescent="0.25">
      <c r="A78" t="str">
        <f>"    Accenture PLC"</f>
        <v xml:space="preserve">    Accenture PLC</v>
      </c>
      <c r="B78" t="str">
        <f>"ACN US Equity"</f>
        <v>ACN US Equity</v>
      </c>
      <c r="C78" t="str">
        <f t="shared" ref="C78:C94" si="12">"RR481"</f>
        <v>RR481</v>
      </c>
      <c r="D78" t="str">
        <f t="shared" ref="D78:D94" si="13">"TOTAL_DEBT_TO_EV"</f>
        <v>TOTAL_DEBT_TO_EV</v>
      </c>
      <c r="E78" t="str">
        <f t="shared" ref="E78:E94" si="14">"Dynamic"</f>
        <v>Dynamic</v>
      </c>
      <c r="F78">
        <f ca="1">IF(AND(ISNUMBER($F$272),$B$202=1),$F$272,HLOOKUP(INDIRECT(ADDRESS(2,COLUMN())),OFFSET($R$2,0,0,ROW()-1,12),ROW()-1,FALSE))</f>
        <v>3.0019443999999999E-2</v>
      </c>
      <c r="G78">
        <f ca="1">IF(AND(ISNUMBER($G$272),$B$202=1),$G$272,HLOOKUP(INDIRECT(ADDRESS(2,COLUMN())),OFFSET($R$2,0,0,ROW()-1,12),ROW()-1,FALSE))</f>
        <v>2.687223E-2</v>
      </c>
      <c r="H78">
        <f ca="1">IF(AND(ISNUMBER($H$272),$B$202=1),$H$272,HLOOKUP(INDIRECT(ADDRESS(2,COLUMN())),OFFSET($R$2,0,0,ROW()-1,12),ROW()-1,FALSE))</f>
        <v>1.8814E-4</v>
      </c>
      <c r="I78">
        <f ca="1">IF(AND(ISNUMBER($I$272),$B$202=1),$I$272,HLOOKUP(INDIRECT(ADDRESS(2,COLUMN())),OFFSET($R$2,0,0,ROW()-1,12),ROW()-1,FALSE))</f>
        <v>2.1963399999999999E-4</v>
      </c>
      <c r="J78">
        <f ca="1">IF(AND(ISNUMBER($J$272),$B$202=1),$J$272,HLOOKUP(INDIRECT(ADDRESS(2,COLUMN())),OFFSET($R$2,0,0,ROW()-1,12),ROW()-1,FALSE))</f>
        <v>2.43618E-4</v>
      </c>
      <c r="K78">
        <f ca="1">IF(AND(ISNUMBER($K$272),$B$202=1),$K$272,HLOOKUP(INDIRECT(ADDRESS(2,COLUMN())),OFFSET($R$2,0,0,ROW()-1,12),ROW()-1,FALSE))</f>
        <v>2.4378600000000001E-4</v>
      </c>
      <c r="L78">
        <f ca="1">IF(AND(ISNUMBER($L$272),$B$202=1),$L$272,HLOOKUP(INDIRECT(ADDRESS(2,COLUMN())),OFFSET($R$2,0,0,ROW()-1,12),ROW()-1,FALSE))</f>
        <v>2.4171899999999999E-4</v>
      </c>
      <c r="M78">
        <f ca="1">IF(AND(ISNUMBER($M$272),$B$202=1),$M$272,HLOOKUP(INDIRECT(ADDRESS(2,COLUMN())),OFFSET($R$2,0,0,ROW()-1,12),ROW()-1,FALSE))</f>
        <v>2.9883500000000001E-4</v>
      </c>
      <c r="N78">
        <f ca="1">IF(AND(ISNUMBER($N$272),$B$202=1),$N$272,HLOOKUP(INDIRECT(ADDRESS(2,COLUMN())),OFFSET($R$2,0,0,ROW()-1,12),ROW()-1,FALSE))</f>
        <v>2.8887100000000001E-4</v>
      </c>
      <c r="O78">
        <f ca="1">IF(AND(ISNUMBER($O$272),$B$202=1),$O$272,HLOOKUP(INDIRECT(ADDRESS(2,COLUMN())),OFFSET($R$2,0,0,ROW()-1,12),ROW()-1,FALSE))</f>
        <v>2.7648700000000001E-4</v>
      </c>
      <c r="P78">
        <f ca="1">IF(AND(ISNUMBER($P$272),$B$202=1),$P$272,HLOOKUP(INDIRECT(ADDRESS(2,COLUMN())),OFFSET($R$2,0,0,ROW()-1,12),ROW()-1,FALSE))</f>
        <v>3.14018E-4</v>
      </c>
      <c r="Q78">
        <f ca="1">IF(AND(ISNUMBER($Q$272),$B$202=1),$Q$272,HLOOKUP(INDIRECT(ADDRESS(2,COLUMN())),OFFSET($R$2,0,0,ROW()-1,12),ROW()-1,FALSE))</f>
        <v>3.60074E-4</v>
      </c>
      <c r="R78">
        <f>0.030019444</f>
        <v>3.0019443999999999E-2</v>
      </c>
      <c r="S78">
        <f>0.02687223</f>
        <v>2.687223E-2</v>
      </c>
      <c r="T78">
        <f>0.00018814</f>
        <v>1.8814E-4</v>
      </c>
      <c r="U78">
        <f>0.000219634</f>
        <v>2.1963399999999999E-4</v>
      </c>
      <c r="V78">
        <f>0.000243618</f>
        <v>2.43618E-4</v>
      </c>
      <c r="W78">
        <f>0.000243786</f>
        <v>2.4378600000000001E-4</v>
      </c>
      <c r="X78">
        <f>0.000241719</f>
        <v>2.4171899999999999E-4</v>
      </c>
      <c r="Y78">
        <f>0.000298835</f>
        <v>2.9883500000000001E-4</v>
      </c>
      <c r="Z78">
        <f>0.000288871</f>
        <v>2.8887100000000001E-4</v>
      </c>
      <c r="AA78">
        <f>0.000276487</f>
        <v>2.7648700000000001E-4</v>
      </c>
      <c r="AB78">
        <f>0.000314018</f>
        <v>3.14018E-4</v>
      </c>
      <c r="AC78">
        <f>0.000360074</f>
        <v>3.60074E-4</v>
      </c>
    </row>
    <row r="79" spans="1:29" x14ac:dyDescent="0.25">
      <c r="A79" t="str">
        <f>"    Amdocs Ltd"</f>
        <v xml:space="preserve">    Amdocs Ltd</v>
      </c>
      <c r="B79" t="str">
        <f>"DOX US Equity"</f>
        <v>DOX US Equity</v>
      </c>
      <c r="C79" t="str">
        <f t="shared" si="12"/>
        <v>RR481</v>
      </c>
      <c r="D79" t="str">
        <f t="shared" si="13"/>
        <v>TOTAL_DEBT_TO_EV</v>
      </c>
      <c r="E79" t="str">
        <f t="shared" si="14"/>
        <v>Dynamic</v>
      </c>
      <c r="F79">
        <f ca="1">IF(AND(ISNUMBER($F$273),$B$202=1),$F$273,HLOOKUP(INDIRECT(ADDRESS(2,COLUMN())),OFFSET($R$2,0,0,ROW()-1,12),ROW()-1,FALSE))</f>
        <v>8.5979226000000006E-2</v>
      </c>
      <c r="G79">
        <f ca="1">IF(AND(ISNUMBER($G$273),$B$202=1),$G$273,HLOOKUP(INDIRECT(ADDRESS(2,COLUMN())),OFFSET($R$2,0,0,ROW()-1,12),ROW()-1,FALSE))</f>
        <v>2.9414320000000001E-2</v>
      </c>
      <c r="H79">
        <f ca="1">IF(AND(ISNUMBER($H$273),$B$202=1),$H$273,HLOOKUP(INDIRECT(ADDRESS(2,COLUMN())),OFFSET($R$2,0,0,ROW()-1,12),ROW()-1,FALSE))</f>
        <v>0</v>
      </c>
      <c r="I79">
        <f ca="1">IF(AND(ISNUMBER($I$273),$B$202=1),$I$273,HLOOKUP(INDIRECT(ADDRESS(2,COLUMN())),OFFSET($R$2,0,0,ROW()-1,12),ROW()-1,FALSE))</f>
        <v>0</v>
      </c>
      <c r="J79">
        <f ca="1">IF(AND(ISNUMBER($J$273),$B$202=1),$J$273,HLOOKUP(INDIRECT(ADDRESS(2,COLUMN())),OFFSET($R$2,0,0,ROW()-1,12),ROW()-1,FALSE))</f>
        <v>0</v>
      </c>
      <c r="K79">
        <f ca="1">IF(AND(ISNUMBER($K$273),$B$202=1),$K$273,HLOOKUP(INDIRECT(ADDRESS(2,COLUMN())),OFFSET($R$2,0,0,ROW()-1,12),ROW()-1,FALSE))</f>
        <v>0</v>
      </c>
      <c r="L79">
        <f ca="1">IF(AND(ISNUMBER($L$273),$B$202=1),$L$273,HLOOKUP(INDIRECT(ADDRESS(2,COLUMN())),OFFSET($R$2,0,0,ROW()-1,12),ROW()-1,FALSE))</f>
        <v>0</v>
      </c>
      <c r="M79">
        <f ca="1">IF(AND(ISNUMBER($M$273),$B$202=1),$M$273,HLOOKUP(INDIRECT(ADDRESS(2,COLUMN())),OFFSET($R$2,0,0,ROW()-1,12),ROW()-1,FALSE))</f>
        <v>0</v>
      </c>
      <c r="N79">
        <f ca="1">IF(AND(ISNUMBER($N$273),$B$202=1),$N$273,HLOOKUP(INDIRECT(ADDRESS(2,COLUMN())),OFFSET($R$2,0,0,ROW()-1,12),ROW()-1,FALSE))</f>
        <v>1.3236994E-2</v>
      </c>
      <c r="O79">
        <f ca="1">IF(AND(ISNUMBER($O$273),$B$202=1),$O$273,HLOOKUP(INDIRECT(ADDRESS(2,COLUMN())),OFFSET($R$2,0,0,ROW()-1,12),ROW()-1,FALSE))</f>
        <v>0</v>
      </c>
      <c r="P79">
        <f ca="1">IF(AND(ISNUMBER($P$273),$B$202=1),$P$273,HLOOKUP(INDIRECT(ADDRESS(2,COLUMN())),OFFSET($R$2,0,0,ROW()-1,12),ROW()-1,FALSE))</f>
        <v>0</v>
      </c>
      <c r="Q79">
        <f ca="1">IF(AND(ISNUMBER($Q$273),$B$202=1),$Q$273,HLOOKUP(INDIRECT(ADDRESS(2,COLUMN())),OFFSET($R$2,0,0,ROW()-1,12),ROW()-1,FALSE))</f>
        <v>0</v>
      </c>
      <c r="R79">
        <f>0.085979226</f>
        <v>8.5979226000000006E-2</v>
      </c>
      <c r="S79">
        <f>0.02941432</f>
        <v>2.9414320000000001E-2</v>
      </c>
      <c r="T79">
        <f>0</f>
        <v>0</v>
      </c>
      <c r="U79">
        <f>0</f>
        <v>0</v>
      </c>
      <c r="V79">
        <f>0</f>
        <v>0</v>
      </c>
      <c r="W79">
        <f>0</f>
        <v>0</v>
      </c>
      <c r="X79">
        <f>0</f>
        <v>0</v>
      </c>
      <c r="Y79">
        <f>0</f>
        <v>0</v>
      </c>
      <c r="Z79">
        <f>0.013236994</f>
        <v>1.3236994E-2</v>
      </c>
      <c r="AA79">
        <f>0</f>
        <v>0</v>
      </c>
      <c r="AB79">
        <f>0</f>
        <v>0</v>
      </c>
      <c r="AC79">
        <f>0</f>
        <v>0</v>
      </c>
    </row>
    <row r="80" spans="1:29" x14ac:dyDescent="0.25">
      <c r="A80" t="str">
        <f>"    Atos SE"</f>
        <v xml:space="preserve">    Atos SE</v>
      </c>
      <c r="B80" t="str">
        <f>"ATO FP Equity"</f>
        <v>ATO FP Equity</v>
      </c>
      <c r="C80" t="str">
        <f t="shared" si="12"/>
        <v>RR481</v>
      </c>
      <c r="D80" t="str">
        <f t="shared" si="13"/>
        <v>TOTAL_DEBT_TO_EV</v>
      </c>
      <c r="E80" t="str">
        <f t="shared" si="14"/>
        <v>Dynamic</v>
      </c>
      <c r="F80" t="str">
        <f ca="1">IF(AND(ISNUMBER($F$274),$B$202=1),$F$274,HLOOKUP(INDIRECT(ADDRESS(2,COLUMN())),OFFSET($R$2,0,0,ROW()-1,12),ROW()-1,FALSE))</f>
        <v/>
      </c>
      <c r="G80" t="str">
        <f ca="1">IF(AND(ISNUMBER($G$274),$B$202=1),$G$274,HLOOKUP(INDIRECT(ADDRESS(2,COLUMN())),OFFSET($R$2,0,0,ROW()-1,12),ROW()-1,FALSE))</f>
        <v/>
      </c>
      <c r="H80" t="str">
        <f ca="1">IF(AND(ISNUMBER($H$274),$B$202=1),$H$274,HLOOKUP(INDIRECT(ADDRESS(2,COLUMN())),OFFSET($R$2,0,0,ROW()-1,12),ROW()-1,FALSE))</f>
        <v/>
      </c>
      <c r="I80" t="str">
        <f ca="1">IF(AND(ISNUMBER($I$274),$B$202=1),$I$274,HLOOKUP(INDIRECT(ADDRESS(2,COLUMN())),OFFSET($R$2,0,0,ROW()-1,12),ROW()-1,FALSE))</f>
        <v/>
      </c>
      <c r="J80" t="str">
        <f ca="1">IF(AND(ISNUMBER($J$274),$B$202=1),$J$274,HLOOKUP(INDIRECT(ADDRESS(2,COLUMN())),OFFSET($R$2,0,0,ROW()-1,12),ROW()-1,FALSE))</f>
        <v/>
      </c>
      <c r="K80" t="str">
        <f ca="1">IF(AND(ISNUMBER($K$274),$B$202=1),$K$274,HLOOKUP(INDIRECT(ADDRESS(2,COLUMN())),OFFSET($R$2,0,0,ROW()-1,12),ROW()-1,FALSE))</f>
        <v/>
      </c>
      <c r="L80" t="str">
        <f ca="1">IF(AND(ISNUMBER($L$274),$B$202=1),$L$274,HLOOKUP(INDIRECT(ADDRESS(2,COLUMN())),OFFSET($R$2,0,0,ROW()-1,12),ROW()-1,FALSE))</f>
        <v/>
      </c>
      <c r="M80" t="str">
        <f ca="1">IF(AND(ISNUMBER($M$274),$B$202=1),$M$274,HLOOKUP(INDIRECT(ADDRESS(2,COLUMN())),OFFSET($R$2,0,0,ROW()-1,12),ROW()-1,FALSE))</f>
        <v/>
      </c>
      <c r="N80" t="str">
        <f ca="1">IF(AND(ISNUMBER($N$274),$B$202=1),$N$274,HLOOKUP(INDIRECT(ADDRESS(2,COLUMN())),OFFSET($R$2,0,0,ROW()-1,12),ROW()-1,FALSE))</f>
        <v/>
      </c>
      <c r="O80" t="str">
        <f ca="1">IF(AND(ISNUMBER($O$274),$B$202=1),$O$274,HLOOKUP(INDIRECT(ADDRESS(2,COLUMN())),OFFSET($R$2,0,0,ROW()-1,12),ROW()-1,FALSE))</f>
        <v/>
      </c>
      <c r="P80" t="str">
        <f ca="1">IF(AND(ISNUMBER($P$274),$B$202=1),$P$274,HLOOKUP(INDIRECT(ADDRESS(2,COLUMN())),OFFSET($R$2,0,0,ROW()-1,12),ROW()-1,FALSE))</f>
        <v/>
      </c>
      <c r="Q80" t="str">
        <f ca="1">IF(AND(ISNUMBER($Q$274),$B$202=1),$Q$274,HLOOKUP(INDIRECT(ADDRESS(2,COLUMN())),OFFSET($R$2,0,0,ROW()-1,12),ROW()-1,FALSE))</f>
        <v/>
      </c>
      <c r="R80" t="str">
        <f>""</f>
        <v/>
      </c>
      <c r="S80" t="str">
        <f>""</f>
        <v/>
      </c>
      <c r="T80" t="str">
        <f>""</f>
        <v/>
      </c>
      <c r="U80" t="str">
        <f>""</f>
        <v/>
      </c>
      <c r="V80" t="str">
        <f>""</f>
        <v/>
      </c>
      <c r="W80" t="str">
        <f>""</f>
        <v/>
      </c>
      <c r="X80" t="str">
        <f>""</f>
        <v/>
      </c>
      <c r="Y80" t="str">
        <f>""</f>
        <v/>
      </c>
      <c r="Z80" t="str">
        <f>""</f>
        <v/>
      </c>
      <c r="AA80" t="str">
        <f>""</f>
        <v/>
      </c>
      <c r="AB80" t="str">
        <f>""</f>
        <v/>
      </c>
      <c r="AC80" t="str">
        <f>""</f>
        <v/>
      </c>
    </row>
    <row r="81" spans="1:29" x14ac:dyDescent="0.25">
      <c r="A81" t="str">
        <f>"    Capgemini SE"</f>
        <v xml:space="preserve">    Capgemini SE</v>
      </c>
      <c r="B81" t="str">
        <f>"CAP FP Equity"</f>
        <v>CAP FP Equity</v>
      </c>
      <c r="C81" t="str">
        <f t="shared" si="12"/>
        <v>RR481</v>
      </c>
      <c r="D81" t="str">
        <f t="shared" si="13"/>
        <v>TOTAL_DEBT_TO_EV</v>
      </c>
      <c r="E81" t="str">
        <f t="shared" si="14"/>
        <v>Dynamic</v>
      </c>
      <c r="F81" t="str">
        <f ca="1">IF(AND(ISNUMBER($F$275),$B$202=1),$F$275,HLOOKUP(INDIRECT(ADDRESS(2,COLUMN())),OFFSET($R$2,0,0,ROW()-1,12),ROW()-1,FALSE))</f>
        <v/>
      </c>
      <c r="G81">
        <f ca="1">IF(AND(ISNUMBER($G$275),$B$202=1),$G$275,HLOOKUP(INDIRECT(ADDRESS(2,COLUMN())),OFFSET($R$2,0,0,ROW()-1,12),ROW()-1,FALSE))</f>
        <v>0.206177002</v>
      </c>
      <c r="H81" t="str">
        <f ca="1">IF(AND(ISNUMBER($H$275),$B$202=1),$H$275,HLOOKUP(INDIRECT(ADDRESS(2,COLUMN())),OFFSET($R$2,0,0,ROW()-1,12),ROW()-1,FALSE))</f>
        <v/>
      </c>
      <c r="I81" t="str">
        <f ca="1">IF(AND(ISNUMBER($I$275),$B$202=1),$I$275,HLOOKUP(INDIRECT(ADDRESS(2,COLUMN())),OFFSET($R$2,0,0,ROW()-1,12),ROW()-1,FALSE))</f>
        <v/>
      </c>
      <c r="J81" t="str">
        <f ca="1">IF(AND(ISNUMBER($J$275),$B$202=1),$J$275,HLOOKUP(INDIRECT(ADDRESS(2,COLUMN())),OFFSET($R$2,0,0,ROW()-1,12),ROW()-1,FALSE))</f>
        <v/>
      </c>
      <c r="K81" t="str">
        <f ca="1">IF(AND(ISNUMBER($K$275),$B$202=1),$K$275,HLOOKUP(INDIRECT(ADDRESS(2,COLUMN())),OFFSET($R$2,0,0,ROW()-1,12),ROW()-1,FALSE))</f>
        <v/>
      </c>
      <c r="L81" t="str">
        <f ca="1">IF(AND(ISNUMBER($L$275),$B$202=1),$L$275,HLOOKUP(INDIRECT(ADDRESS(2,COLUMN())),OFFSET($R$2,0,0,ROW()-1,12),ROW()-1,FALSE))</f>
        <v/>
      </c>
      <c r="M81" t="str">
        <f ca="1">IF(AND(ISNUMBER($M$275),$B$202=1),$M$275,HLOOKUP(INDIRECT(ADDRESS(2,COLUMN())),OFFSET($R$2,0,0,ROW()-1,12),ROW()-1,FALSE))</f>
        <v/>
      </c>
      <c r="N81" t="str">
        <f ca="1">IF(AND(ISNUMBER($N$275),$B$202=1),$N$275,HLOOKUP(INDIRECT(ADDRESS(2,COLUMN())),OFFSET($R$2,0,0,ROW()-1,12),ROW()-1,FALSE))</f>
        <v/>
      </c>
      <c r="O81" t="str">
        <f ca="1">IF(AND(ISNUMBER($O$275),$B$202=1),$O$275,HLOOKUP(INDIRECT(ADDRESS(2,COLUMN())),OFFSET($R$2,0,0,ROW()-1,12),ROW()-1,FALSE))</f>
        <v/>
      </c>
      <c r="P81" t="str">
        <f ca="1">IF(AND(ISNUMBER($P$275),$B$202=1),$P$275,HLOOKUP(INDIRECT(ADDRESS(2,COLUMN())),OFFSET($R$2,0,0,ROW()-1,12),ROW()-1,FALSE))</f>
        <v/>
      </c>
      <c r="Q81" t="str">
        <f ca="1">IF(AND(ISNUMBER($Q$275),$B$202=1),$Q$275,HLOOKUP(INDIRECT(ADDRESS(2,COLUMN())),OFFSET($R$2,0,0,ROW()-1,12),ROW()-1,FALSE))</f>
        <v/>
      </c>
      <c r="R81" t="str">
        <f>""</f>
        <v/>
      </c>
      <c r="S81">
        <f>0.206177002</f>
        <v>0.206177002</v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  <c r="Z81" t="str">
        <f>""</f>
        <v/>
      </c>
      <c r="AA81" t="str">
        <f>""</f>
        <v/>
      </c>
      <c r="AB81" t="str">
        <f>""</f>
        <v/>
      </c>
      <c r="AC81" t="str">
        <f>""</f>
        <v/>
      </c>
    </row>
    <row r="82" spans="1:29" x14ac:dyDescent="0.25">
      <c r="A82" t="str">
        <f>"    CGI Inc"</f>
        <v xml:space="preserve">    CGI Inc</v>
      </c>
      <c r="B82" t="str">
        <f>"GIB US Equity"</f>
        <v>GIB US Equity</v>
      </c>
      <c r="C82" t="str">
        <f t="shared" si="12"/>
        <v>RR481</v>
      </c>
      <c r="D82" t="str">
        <f t="shared" si="13"/>
        <v>TOTAL_DEBT_TO_EV</v>
      </c>
      <c r="E82" t="str">
        <f t="shared" si="14"/>
        <v>Dynamic</v>
      </c>
      <c r="F82">
        <f ca="1">IF(AND(ISNUMBER($F$276),$B$202=1),$F$276,HLOOKUP(INDIRECT(ADDRESS(2,COLUMN())),OFFSET($R$2,0,0,ROW()-1,12),ROW()-1,FALSE))</f>
        <v>0.17650228200000001</v>
      </c>
      <c r="G82">
        <f ca="1">IF(AND(ISNUMBER($G$276),$B$202=1),$G$276,HLOOKUP(INDIRECT(ADDRESS(2,COLUMN())),OFFSET($R$2,0,0,ROW()-1,12),ROW()-1,FALSE))</f>
        <v>9.3793082999999999E-2</v>
      </c>
      <c r="H82">
        <f ca="1">IF(AND(ISNUMBER($H$276),$B$202=1),$H$276,HLOOKUP(INDIRECT(ADDRESS(2,COLUMN())),OFFSET($R$2,0,0,ROW()-1,12),ROW()-1,FALSE))</f>
        <v>7.6995471999999995E-2</v>
      </c>
      <c r="I82">
        <f ca="1">IF(AND(ISNUMBER($I$276),$B$202=1),$I$276,HLOOKUP(INDIRECT(ADDRESS(2,COLUMN())),OFFSET($R$2,0,0,ROW()-1,12),ROW()-1,FALSE))</f>
        <v>8.6064033999999998E-2</v>
      </c>
      <c r="J82">
        <f ca="1">IF(AND(ISNUMBER($J$276),$B$202=1),$J$276,HLOOKUP(INDIRECT(ADDRESS(2,COLUMN())),OFFSET($R$2,0,0,ROW()-1,12),ROW()-1,FALSE))</f>
        <v>7.9838332999999997E-2</v>
      </c>
      <c r="K82">
        <f ca="1">IF(AND(ISNUMBER($K$276),$B$202=1),$K$276,HLOOKUP(INDIRECT(ADDRESS(2,COLUMN())),OFFSET($R$2,0,0,ROW()-1,12),ROW()-1,FALSE))</f>
        <v>8.8207483000000003E-2</v>
      </c>
      <c r="L82">
        <f ca="1">IF(AND(ISNUMBER($L$276),$B$202=1),$L$276,HLOOKUP(INDIRECT(ADDRESS(2,COLUMN())),OFFSET($R$2,0,0,ROW()-1,12),ROW()-1,FALSE))</f>
        <v>7.2375002999999993E-2</v>
      </c>
      <c r="M82">
        <f ca="1">IF(AND(ISNUMBER($M$276),$B$202=1),$M$276,HLOOKUP(INDIRECT(ADDRESS(2,COLUMN())),OFFSET($R$2,0,0,ROW()-1,12),ROW()-1,FALSE))</f>
        <v>7.3326369000000002E-2</v>
      </c>
      <c r="N82">
        <f ca="1">IF(AND(ISNUMBER($N$276),$B$202=1),$N$276,HLOOKUP(INDIRECT(ADDRESS(2,COLUMN())),OFFSET($R$2,0,0,ROW()-1,12),ROW()-1,FALSE))</f>
        <v>7.8446331999999994E-2</v>
      </c>
      <c r="O82">
        <f ca="1">IF(AND(ISNUMBER($O$276),$B$202=1),$O$276,HLOOKUP(INDIRECT(ADDRESS(2,COLUMN())),OFFSET($R$2,0,0,ROW()-1,12),ROW()-1,FALSE))</f>
        <v>8.5818288000000006E-2</v>
      </c>
      <c r="P82">
        <f ca="1">IF(AND(ISNUMBER($P$276),$B$202=1),$P$276,HLOOKUP(INDIRECT(ADDRESS(2,COLUMN())),OFFSET($R$2,0,0,ROW()-1,12),ROW()-1,FALSE))</f>
        <v>9.1894432999999998E-2</v>
      </c>
      <c r="Q82">
        <f ca="1">IF(AND(ISNUMBER($Q$276),$B$202=1),$Q$276,HLOOKUP(INDIRECT(ADDRESS(2,COLUMN())),OFFSET($R$2,0,0,ROW()-1,12),ROW()-1,FALSE))</f>
        <v>8.2261904999999996E-2</v>
      </c>
      <c r="R82">
        <f>0.176502282</f>
        <v>0.17650228200000001</v>
      </c>
      <c r="S82">
        <f>0.093793083</f>
        <v>9.3793082999999999E-2</v>
      </c>
      <c r="T82">
        <f>0.076995472</f>
        <v>7.6995471999999995E-2</v>
      </c>
      <c r="U82">
        <f>0.086064034</f>
        <v>8.6064033999999998E-2</v>
      </c>
      <c r="V82">
        <f>0.079838333</f>
        <v>7.9838332999999997E-2</v>
      </c>
      <c r="W82">
        <f>0.088207483</f>
        <v>8.8207483000000003E-2</v>
      </c>
      <c r="X82">
        <f>0.072375003</f>
        <v>7.2375002999999993E-2</v>
      </c>
      <c r="Y82">
        <f>0.073326369</f>
        <v>7.3326369000000002E-2</v>
      </c>
      <c r="Z82">
        <f>0.078446332</f>
        <v>7.8446331999999994E-2</v>
      </c>
      <c r="AA82">
        <f>0.085818288</f>
        <v>8.5818288000000006E-2</v>
      </c>
      <c r="AB82">
        <f>0.091894433</f>
        <v>9.1894432999999998E-2</v>
      </c>
      <c r="AC82">
        <f>0.082261905</f>
        <v>8.2261904999999996E-2</v>
      </c>
    </row>
    <row r="83" spans="1:29" x14ac:dyDescent="0.25">
      <c r="A83" t="str">
        <f>"    Cognizant Technology Solutions Corp"</f>
        <v xml:space="preserve">    Cognizant Technology Solutions Corp</v>
      </c>
      <c r="B83" t="str">
        <f>"CTSH US Equity"</f>
        <v>CTSH US Equity</v>
      </c>
      <c r="C83" t="str">
        <f t="shared" si="12"/>
        <v>RR481</v>
      </c>
      <c r="D83" t="str">
        <f t="shared" si="13"/>
        <v>TOTAL_DEBT_TO_EV</v>
      </c>
      <c r="E83" t="str">
        <f t="shared" si="14"/>
        <v>Dynamic</v>
      </c>
      <c r="F83">
        <f ca="1">IF(AND(ISNUMBER($F$277),$B$202=1),$F$277,HLOOKUP(INDIRECT(ADDRESS(2,COLUMN())),OFFSET($R$2,0,0,ROW()-1,12),ROW()-1,FALSE))</f>
        <v>0.140122941</v>
      </c>
      <c r="G83">
        <f ca="1">IF(AND(ISNUMBER($G$277),$B$202=1),$G$277,HLOOKUP(INDIRECT(ADDRESS(2,COLUMN())),OFFSET($R$2,0,0,ROW()-1,12),ROW()-1,FALSE))</f>
        <v>5.3014876000000002E-2</v>
      </c>
      <c r="H83">
        <f ca="1">IF(AND(ISNUMBER($H$277),$B$202=1),$H$277,HLOOKUP(INDIRECT(ADDRESS(2,COLUMN())),OFFSET($R$2,0,0,ROW()-1,12),ROW()-1,FALSE))</f>
        <v>5.3511705999999999E-2</v>
      </c>
      <c r="I83">
        <f ca="1">IF(AND(ISNUMBER($I$277),$B$202=1),$I$277,HLOOKUP(INDIRECT(ADDRESS(2,COLUMN())),OFFSET($R$2,0,0,ROW()-1,12),ROW()-1,FALSE))</f>
        <v>4.9164325000000002E-2</v>
      </c>
      <c r="J83">
        <f ca="1">IF(AND(ISNUMBER($J$277),$B$202=1),$J$277,HLOOKUP(INDIRECT(ADDRESS(2,COLUMN())),OFFSET($R$2,0,0,ROW()-1,12),ROW()-1,FALSE))</f>
        <v>4.1131512000000002E-2</v>
      </c>
      <c r="K83">
        <f ca="1">IF(AND(ISNUMBER($K$277),$B$202=1),$K$277,HLOOKUP(INDIRECT(ADDRESS(2,COLUMN())),OFFSET($R$2,0,0,ROW()-1,12),ROW()-1,FALSE))</f>
        <v>2.2670589000000001E-2</v>
      </c>
      <c r="L83">
        <f ca="1">IF(AND(ISNUMBER($L$277),$B$202=1),$L$277,HLOOKUP(INDIRECT(ADDRESS(2,COLUMN())),OFFSET($R$2,0,0,ROW()-1,12),ROW()-1,FALSE))</f>
        <v>1.7785202E-2</v>
      </c>
      <c r="M83">
        <f ca="1">IF(AND(ISNUMBER($M$277),$B$202=1),$M$277,HLOOKUP(INDIRECT(ADDRESS(2,COLUMN())),OFFSET($R$2,0,0,ROW()-1,12),ROW()-1,FALSE))</f>
        <v>1.7700077000000002E-2</v>
      </c>
      <c r="N83">
        <f ca="1">IF(AND(ISNUMBER($N$277),$B$202=1),$N$277,HLOOKUP(INDIRECT(ADDRESS(2,COLUMN())),OFFSET($R$2,0,0,ROW()-1,12),ROW()-1,FALSE))</f>
        <v>1.7928379000000001E-2</v>
      </c>
      <c r="O83">
        <f ca="1">IF(AND(ISNUMBER($O$277),$B$202=1),$O$277,HLOOKUP(INDIRECT(ADDRESS(2,COLUMN())),OFFSET($R$2,0,0,ROW()-1,12),ROW()-1,FALSE))</f>
        <v>2.3232445000000001E-2</v>
      </c>
      <c r="P83">
        <f ca="1">IF(AND(ISNUMBER($P$277),$B$202=1),$P$277,HLOOKUP(INDIRECT(ADDRESS(2,COLUMN())),OFFSET($R$2,0,0,ROW()-1,12),ROW()-1,FALSE))</f>
        <v>2.1152135999999998E-2</v>
      </c>
      <c r="Q83">
        <f ca="1">IF(AND(ISNUMBER($Q$277),$B$202=1),$Q$277,HLOOKUP(INDIRECT(ADDRESS(2,COLUMN())),OFFSET($R$2,0,0,ROW()-1,12),ROW()-1,FALSE))</f>
        <v>2.7690072E-2</v>
      </c>
      <c r="R83">
        <f>0.140122941</f>
        <v>0.140122941</v>
      </c>
      <c r="S83">
        <f>0.053014876</f>
        <v>5.3014876000000002E-2</v>
      </c>
      <c r="T83">
        <f>0.053511706</f>
        <v>5.3511705999999999E-2</v>
      </c>
      <c r="U83">
        <f>0.049164325</f>
        <v>4.9164325000000002E-2</v>
      </c>
      <c r="V83">
        <f>0.041131512</f>
        <v>4.1131512000000002E-2</v>
      </c>
      <c r="W83">
        <f>0.022670589</f>
        <v>2.2670589000000001E-2</v>
      </c>
      <c r="X83">
        <f>0.017785202</f>
        <v>1.7785202E-2</v>
      </c>
      <c r="Y83">
        <f>0.017700077</f>
        <v>1.7700077000000002E-2</v>
      </c>
      <c r="Z83">
        <f>0.017928379</f>
        <v>1.7928379000000001E-2</v>
      </c>
      <c r="AA83">
        <f>0.023232445</f>
        <v>2.3232445000000001E-2</v>
      </c>
      <c r="AB83">
        <f>0.021152136</f>
        <v>2.1152135999999998E-2</v>
      </c>
      <c r="AC83">
        <f>0.027690072</f>
        <v>2.7690072E-2</v>
      </c>
    </row>
    <row r="84" spans="1:29" x14ac:dyDescent="0.25">
      <c r="A84" t="str">
        <f>"    Conduent Inc"</f>
        <v xml:space="preserve">    Conduent Inc</v>
      </c>
      <c r="B84" t="str">
        <f>"CNDT US Equity"</f>
        <v>CNDT US Equity</v>
      </c>
      <c r="C84" t="str">
        <f t="shared" si="12"/>
        <v>RR481</v>
      </c>
      <c r="D84" t="str">
        <f t="shared" si="13"/>
        <v>TOTAL_DEBT_TO_EV</v>
      </c>
      <c r="E84" t="str">
        <f t="shared" si="14"/>
        <v>Dynamic</v>
      </c>
      <c r="F84">
        <f ca="1">IF(AND(ISNUMBER($F$278),$B$202=1),$F$278,HLOOKUP(INDIRECT(ADDRESS(2,COLUMN())),OFFSET($R$2,0,0,ROW()-1,12),ROW()-1,FALSE))</f>
        <v>0.89239045900000002</v>
      </c>
      <c r="G84">
        <f ca="1">IF(AND(ISNUMBER($G$278),$B$202=1),$G$278,HLOOKUP(INDIRECT(ADDRESS(2,COLUMN())),OFFSET($R$2,0,0,ROW()-1,12),ROW()-1,FALSE))</f>
        <v>0.66309648700000001</v>
      </c>
      <c r="H84">
        <f ca="1">IF(AND(ISNUMBER($H$278),$B$202=1),$H$278,HLOOKUP(INDIRECT(ADDRESS(2,COLUMN())),OFFSET($R$2,0,0,ROW()-1,12),ROW()-1,FALSE))</f>
        <v>0.60309771700000003</v>
      </c>
      <c r="I84">
        <f ca="1">IF(AND(ISNUMBER($I$278),$B$202=1),$I$278,HLOOKUP(INDIRECT(ADDRESS(2,COLUMN())),OFFSET($R$2,0,0,ROW()-1,12),ROW()-1,FALSE))</f>
        <v>0.50343986100000004</v>
      </c>
      <c r="J84">
        <f ca="1">IF(AND(ISNUMBER($J$278),$B$202=1),$J$278,HLOOKUP(INDIRECT(ADDRESS(2,COLUMN())),OFFSET($R$2,0,0,ROW()-1,12),ROW()-1,FALSE))</f>
        <v>0.43470030799999998</v>
      </c>
      <c r="K84">
        <f ca="1">IF(AND(ISNUMBER($K$278),$B$202=1),$K$278,HLOOKUP(INDIRECT(ADDRESS(2,COLUMN())),OFFSET($R$2,0,0,ROW()-1,12),ROW()-1,FALSE))</f>
        <v>0.48981258900000002</v>
      </c>
      <c r="L84">
        <f ca="1">IF(AND(ISNUMBER($L$278),$B$202=1),$L$278,HLOOKUP(INDIRECT(ADDRESS(2,COLUMN())),OFFSET($R$2,0,0,ROW()-1,12),ROW()-1,FALSE))</f>
        <v>0.26870187000000001</v>
      </c>
      <c r="M84">
        <f ca="1">IF(AND(ISNUMBER($M$278),$B$202=1),$M$278,HLOOKUP(INDIRECT(ADDRESS(2,COLUMN())),OFFSET($R$2,0,0,ROW()-1,12),ROW()-1,FALSE))</f>
        <v>0.409103247</v>
      </c>
      <c r="N84">
        <f ca="1">IF(AND(ISNUMBER($N$278),$B$202=1),$N$278,HLOOKUP(INDIRECT(ADDRESS(2,COLUMN())),OFFSET($R$2,0,0,ROW()-1,12),ROW()-1,FALSE))</f>
        <v>0.37033642</v>
      </c>
      <c r="O84">
        <f ca="1">IF(AND(ISNUMBER($O$278),$B$202=1),$O$278,HLOOKUP(INDIRECT(ADDRESS(2,COLUMN())),OFFSET($R$2,0,0,ROW()-1,12),ROW()-1,FALSE))</f>
        <v>0.41858676299999997</v>
      </c>
      <c r="P84">
        <f ca="1">IF(AND(ISNUMBER($P$278),$B$202=1),$P$278,HLOOKUP(INDIRECT(ADDRESS(2,COLUMN())),OFFSET($R$2,0,0,ROW()-1,12),ROW()-1,FALSE))</f>
        <v>0.41153337299999998</v>
      </c>
      <c r="Q84">
        <f ca="1">IF(AND(ISNUMBER($Q$278),$B$202=1),$Q$278,HLOOKUP(INDIRECT(ADDRESS(2,COLUMN())),OFFSET($R$2,0,0,ROW()-1,12),ROW()-1,FALSE))</f>
        <v>0.40355288</v>
      </c>
      <c r="R84">
        <f>0.892390459</f>
        <v>0.89239045900000002</v>
      </c>
      <c r="S84">
        <f>0.663096487</f>
        <v>0.66309648700000001</v>
      </c>
      <c r="T84">
        <f>0.603097717</f>
        <v>0.60309771700000003</v>
      </c>
      <c r="U84">
        <f>0.503439861</f>
        <v>0.50343986100000004</v>
      </c>
      <c r="V84">
        <f>0.434700308</f>
        <v>0.43470030799999998</v>
      </c>
      <c r="W84">
        <f>0.489812589</f>
        <v>0.48981258900000002</v>
      </c>
      <c r="X84">
        <f>0.26870187</f>
        <v>0.26870187000000001</v>
      </c>
      <c r="Y84">
        <f>0.409103247</f>
        <v>0.409103247</v>
      </c>
      <c r="Z84">
        <f>0.37033642</f>
        <v>0.37033642</v>
      </c>
      <c r="AA84">
        <f>0.418586763</f>
        <v>0.41858676299999997</v>
      </c>
      <c r="AB84">
        <f>0.411533373</f>
        <v>0.41153337299999998</v>
      </c>
      <c r="AC84">
        <f>0.40355288</f>
        <v>0.40355288</v>
      </c>
    </row>
    <row r="85" spans="1:29" x14ac:dyDescent="0.25">
      <c r="A85" t="str">
        <f>"    DXC Technology Co"</f>
        <v xml:space="preserve">    DXC Technology Co</v>
      </c>
      <c r="B85" t="str">
        <f>"DXC US Equity"</f>
        <v>DXC US Equity</v>
      </c>
      <c r="C85" t="str">
        <f t="shared" si="12"/>
        <v>RR481</v>
      </c>
      <c r="D85" t="str">
        <f t="shared" si="13"/>
        <v>TOTAL_DEBT_TO_EV</v>
      </c>
      <c r="E85" t="str">
        <f t="shared" si="14"/>
        <v>Dynamic</v>
      </c>
      <c r="F85">
        <f ca="1">IF(AND(ISNUMBER($F$279),$B$202=1),$F$279,HLOOKUP(INDIRECT(ADDRESS(2,COLUMN())),OFFSET($R$2,0,0,ROW()-1,12),ROW()-1,FALSE))</f>
        <v>1.0023105919999999</v>
      </c>
      <c r="G85">
        <f ca="1">IF(AND(ISNUMBER($G$279),$B$202=1),$G$279,HLOOKUP(INDIRECT(ADDRESS(2,COLUMN())),OFFSET($R$2,0,0,ROW()-1,12),ROW()-1,FALSE))</f>
        <v>0.58901663699999995</v>
      </c>
      <c r="H85">
        <f ca="1">IF(AND(ISNUMBER($H$279),$B$202=1),$H$279,HLOOKUP(INDIRECT(ADDRESS(2,COLUMN())),OFFSET($R$2,0,0,ROW()-1,12),ROW()-1,FALSE))</f>
        <v>0.68433149100000001</v>
      </c>
      <c r="I85">
        <f ca="1">IF(AND(ISNUMBER($I$279),$B$202=1),$I$279,HLOOKUP(INDIRECT(ADDRESS(2,COLUMN())),OFFSET($R$2,0,0,ROW()-1,12),ROW()-1,FALSE))</f>
        <v>0.46351375099999997</v>
      </c>
      <c r="J85">
        <f ca="1">IF(AND(ISNUMBER($J$279),$B$202=1),$J$279,HLOOKUP(INDIRECT(ADDRESS(2,COLUMN())),OFFSET($R$2,0,0,ROW()-1,12),ROW()-1,FALSE))</f>
        <v>0.33540849299999997</v>
      </c>
      <c r="K85">
        <f ca="1">IF(AND(ISNUMBER($K$279),$B$202=1),$K$279,HLOOKUP(INDIRECT(ADDRESS(2,COLUMN())),OFFSET($R$2,0,0,ROW()-1,12),ROW()-1,FALSE))</f>
        <v>0.38242933400000001</v>
      </c>
      <c r="L85">
        <f ca="1">IF(AND(ISNUMBER($L$279),$B$202=1),$L$279,HLOOKUP(INDIRECT(ADDRESS(2,COLUMN())),OFFSET($R$2,0,0,ROW()-1,12),ROW()-1,FALSE))</f>
        <v>0.227491004</v>
      </c>
      <c r="M85">
        <f ca="1">IF(AND(ISNUMBER($M$279),$B$202=1),$M$279,HLOOKUP(INDIRECT(ADDRESS(2,COLUMN())),OFFSET($R$2,0,0,ROW()-1,12),ROW()-1,FALSE))</f>
        <v>0.25620721800000001</v>
      </c>
      <c r="N85">
        <f ca="1">IF(AND(ISNUMBER($N$279),$B$202=1),$N$279,HLOOKUP(INDIRECT(ADDRESS(2,COLUMN())),OFFSET($R$2,0,0,ROW()-1,12),ROW()-1,FALSE))</f>
        <v>0.232471278</v>
      </c>
      <c r="O85">
        <f ca="1">IF(AND(ISNUMBER($O$279),$B$202=1),$O$279,HLOOKUP(INDIRECT(ADDRESS(2,COLUMN())),OFFSET($R$2,0,0,ROW()-1,12),ROW()-1,FALSE))</f>
        <v>0.258177816</v>
      </c>
      <c r="P85">
        <f ca="1">IF(AND(ISNUMBER($P$279),$B$202=1),$P$279,HLOOKUP(INDIRECT(ADDRESS(2,COLUMN())),OFFSET($R$2,0,0,ROW()-1,12),ROW()-1,FALSE))</f>
        <v>0.27698585100000001</v>
      </c>
      <c r="Q85">
        <f ca="1">IF(AND(ISNUMBER($Q$279),$B$202=1),$Q$279,HLOOKUP(INDIRECT(ADDRESS(2,COLUMN())),OFFSET($R$2,0,0,ROW()-1,12),ROW()-1,FALSE))</f>
        <v>0.27432883699999999</v>
      </c>
      <c r="R85">
        <f>1.002310592</f>
        <v>1.0023105919999999</v>
      </c>
      <c r="S85">
        <f>0.589016637</f>
        <v>0.58901663699999995</v>
      </c>
      <c r="T85">
        <f>0.684331491</f>
        <v>0.68433149100000001</v>
      </c>
      <c r="U85">
        <f>0.463513751</f>
        <v>0.46351375099999997</v>
      </c>
      <c r="V85">
        <f>0.335408493</f>
        <v>0.33540849299999997</v>
      </c>
      <c r="W85">
        <f>0.382429334</f>
        <v>0.38242933400000001</v>
      </c>
      <c r="X85">
        <f>0.227491004</f>
        <v>0.227491004</v>
      </c>
      <c r="Y85">
        <f>0.256207218</f>
        <v>0.25620721800000001</v>
      </c>
      <c r="Z85">
        <f>0.232471278</f>
        <v>0.232471278</v>
      </c>
      <c r="AA85">
        <f>0.258177816</f>
        <v>0.258177816</v>
      </c>
      <c r="AB85">
        <f>0.276985851</f>
        <v>0.27698585100000001</v>
      </c>
      <c r="AC85">
        <f>0.274328837</f>
        <v>0.27432883699999999</v>
      </c>
    </row>
    <row r="86" spans="1:29" x14ac:dyDescent="0.25">
      <c r="A86" t="str">
        <f>"    EPAM Systems Inc"</f>
        <v xml:space="preserve">    EPAM Systems Inc</v>
      </c>
      <c r="B86" t="str">
        <f>"EPAM US Equity"</f>
        <v>EPAM US Equity</v>
      </c>
      <c r="C86" t="str">
        <f t="shared" si="12"/>
        <v>RR481</v>
      </c>
      <c r="D86" t="str">
        <f t="shared" si="13"/>
        <v>TOTAL_DEBT_TO_EV</v>
      </c>
      <c r="E86" t="str">
        <f t="shared" si="14"/>
        <v>Dynamic</v>
      </c>
      <c r="F86">
        <f ca="1">IF(AND(ISNUMBER($F$280),$B$202=1),$F$280,HLOOKUP(INDIRECT(ADDRESS(2,COLUMN())),OFFSET($R$2,0,0,ROW()-1,12),ROW()-1,FALSE))</f>
        <v>2.8357191E-2</v>
      </c>
      <c r="G86">
        <f ca="1">IF(AND(ISNUMBER($G$280),$B$202=1),$G$280,HLOOKUP(INDIRECT(ADDRESS(2,COLUMN())),OFFSET($R$2,0,0,ROW()-1,12),ROW()-1,FALSE))</f>
        <v>2.3874144999999999E-2</v>
      </c>
      <c r="H86">
        <f ca="1">IF(AND(ISNUMBER($H$280),$B$202=1),$H$280,HLOOKUP(INDIRECT(ADDRESS(2,COLUMN())),OFFSET($R$2,0,0,ROW()-1,12),ROW()-1,FALSE))</f>
        <v>2.4522848999999999E-2</v>
      </c>
      <c r="I86">
        <f ca="1">IF(AND(ISNUMBER($I$280),$B$202=1),$I$280,HLOOKUP(INDIRECT(ADDRESS(2,COLUMN())),OFFSET($R$2,0,0,ROW()-1,12),ROW()-1,FALSE))</f>
        <v>2.5912393999999998E-2</v>
      </c>
      <c r="J86">
        <f ca="1">IF(AND(ISNUMBER($J$280),$B$202=1),$J$280,HLOOKUP(INDIRECT(ADDRESS(2,COLUMN())),OFFSET($R$2,0,0,ROW()-1,12),ROW()-1,FALSE))</f>
        <v>2.2265435E-2</v>
      </c>
      <c r="K86">
        <f ca="1">IF(AND(ISNUMBER($K$280),$B$202=1),$K$280,HLOOKUP(INDIRECT(ADDRESS(2,COLUMN())),OFFSET($R$2,0,0,ROW()-1,12),ROW()-1,FALSE))</f>
        <v>4.5277820000000002E-3</v>
      </c>
      <c r="L86">
        <f ca="1">IF(AND(ISNUMBER($L$280),$B$202=1),$L$280,HLOOKUP(INDIRECT(ADDRESS(2,COLUMN())),OFFSET($R$2,0,0,ROW()-1,12),ROW()-1,FALSE))</f>
        <v>3.6943900000000001E-3</v>
      </c>
      <c r="M86">
        <f ca="1">IF(AND(ISNUMBER($M$280),$B$202=1),$M$280,HLOOKUP(INDIRECT(ADDRESS(2,COLUMN())),OFFSET($R$2,0,0,ROW()-1,12),ROW()-1,FALSE))</f>
        <v>4.0911580000000001E-3</v>
      </c>
      <c r="N86">
        <f ca="1">IF(AND(ISNUMBER($N$280),$B$202=1),$N$280,HLOOKUP(INDIRECT(ADDRESS(2,COLUMN())),OFFSET($R$2,0,0,ROW()-1,12),ROW()-1,FALSE))</f>
        <v>4.4736350000000001E-3</v>
      </c>
      <c r="O86">
        <f ca="1">IF(AND(ISNUMBER($O$280),$B$202=1),$O$280,HLOOKUP(INDIRECT(ADDRESS(2,COLUMN())),OFFSET($R$2,0,0,ROW()-1,12),ROW()-1,FALSE))</f>
        <v>4.8754640000000004E-3</v>
      </c>
      <c r="P86">
        <f ca="1">IF(AND(ISNUMBER($P$280),$B$202=1),$P$280,HLOOKUP(INDIRECT(ADDRESS(2,COLUMN())),OFFSET($R$2,0,0,ROW()-1,12),ROW()-1,FALSE))</f>
        <v>6.03551E-3</v>
      </c>
      <c r="Q86">
        <f ca="1">IF(AND(ISNUMBER($Q$280),$B$202=1),$Q$280,HLOOKUP(INDIRECT(ADDRESS(2,COLUMN())),OFFSET($R$2,0,0,ROW()-1,12),ROW()-1,FALSE))</f>
        <v>6.2743740000000001E-3</v>
      </c>
      <c r="R86">
        <f>0.028357191</f>
        <v>2.8357191E-2</v>
      </c>
      <c r="S86">
        <f>0.023874145</f>
        <v>2.3874144999999999E-2</v>
      </c>
      <c r="T86">
        <f>0.024522849</f>
        <v>2.4522848999999999E-2</v>
      </c>
      <c r="U86">
        <f>0.025912394</f>
        <v>2.5912393999999998E-2</v>
      </c>
      <c r="V86">
        <f>0.022265435</f>
        <v>2.2265435E-2</v>
      </c>
      <c r="W86">
        <f>0.004527782</f>
        <v>4.5277820000000002E-3</v>
      </c>
      <c r="X86">
        <f>0.00369439</f>
        <v>3.6943900000000001E-3</v>
      </c>
      <c r="Y86">
        <f>0.004091158</f>
        <v>4.0911580000000001E-3</v>
      </c>
      <c r="Z86">
        <f>0.004473635</f>
        <v>4.4736350000000001E-3</v>
      </c>
      <c r="AA86">
        <f>0.004875464</f>
        <v>4.8754640000000004E-3</v>
      </c>
      <c r="AB86">
        <f>0.00603551</f>
        <v>6.03551E-3</v>
      </c>
      <c r="AC86">
        <f>0.006274374</f>
        <v>6.2743740000000001E-3</v>
      </c>
    </row>
    <row r="87" spans="1:29" x14ac:dyDescent="0.25">
      <c r="A87" t="str">
        <f>"    Genpact Ltd"</f>
        <v xml:space="preserve">    Genpact Ltd</v>
      </c>
      <c r="B87" t="str">
        <f>"G US Equity"</f>
        <v>G US Equity</v>
      </c>
      <c r="C87" t="str">
        <f t="shared" si="12"/>
        <v>RR481</v>
      </c>
      <c r="D87" t="str">
        <f t="shared" si="13"/>
        <v>TOTAL_DEBT_TO_EV</v>
      </c>
      <c r="E87" t="str">
        <f t="shared" si="14"/>
        <v>Dynamic</v>
      </c>
      <c r="F87">
        <f ca="1">IF(AND(ISNUMBER($F$281),$B$202=1),$F$281,HLOOKUP(INDIRECT(ADDRESS(2,COLUMN())),OFFSET($R$2,0,0,ROW()-1,12),ROW()-1,FALSE))</f>
        <v>0.273500929</v>
      </c>
      <c r="G87">
        <f ca="1">IF(AND(ISNUMBER($G$281),$B$202=1),$G$281,HLOOKUP(INDIRECT(ADDRESS(2,COLUMN())),OFFSET($R$2,0,0,ROW()-1,12),ROW()-1,FALSE))</f>
        <v>0.195395181</v>
      </c>
      <c r="H87">
        <f ca="1">IF(AND(ISNUMBER($H$281),$B$202=1),$H$281,HLOOKUP(INDIRECT(ADDRESS(2,COLUMN())),OFFSET($R$2,0,0,ROW()-1,12),ROW()-1,FALSE))</f>
        <v>0.18688553099999999</v>
      </c>
      <c r="I87">
        <f ca="1">IF(AND(ISNUMBER($I$281),$B$202=1),$I$281,HLOOKUP(INDIRECT(ADDRESS(2,COLUMN())),OFFSET($R$2,0,0,ROW()-1,12),ROW()-1,FALSE))</f>
        <v>0.19298269400000001</v>
      </c>
      <c r="J87">
        <f ca="1">IF(AND(ISNUMBER($J$281),$B$202=1),$J$281,HLOOKUP(INDIRECT(ADDRESS(2,COLUMN())),OFFSET($R$2,0,0,ROW()-1,12),ROW()-1,FALSE))</f>
        <v>0.20627763099999999</v>
      </c>
      <c r="K87">
        <f ca="1">IF(AND(ISNUMBER($K$281),$B$202=1),$K$281,HLOOKUP(INDIRECT(ADDRESS(2,COLUMN())),OFFSET($R$2,0,0,ROW()-1,12),ROW()-1,FALSE))</f>
        <v>0.215694421</v>
      </c>
      <c r="L87">
        <f ca="1">IF(AND(ISNUMBER($L$281),$B$202=1),$L$281,HLOOKUP(INDIRECT(ADDRESS(2,COLUMN())),OFFSET($R$2,0,0,ROW()-1,12),ROW()-1,FALSE))</f>
        <v>0.19920575700000001</v>
      </c>
      <c r="M87">
        <f ca="1">IF(AND(ISNUMBER($M$281),$B$202=1),$M$281,HLOOKUP(INDIRECT(ADDRESS(2,COLUMN())),OFFSET($R$2,0,0,ROW()-1,12),ROW()-1,FALSE))</f>
        <v>0.19141923399999999</v>
      </c>
      <c r="N87">
        <f ca="1">IF(AND(ISNUMBER($N$281),$B$202=1),$N$281,HLOOKUP(INDIRECT(ADDRESS(2,COLUMN())),OFFSET($R$2,0,0,ROW()-1,12),ROW()-1,FALSE))</f>
        <v>0.18584624199999999</v>
      </c>
      <c r="O87">
        <f ca="1">IF(AND(ISNUMBER($O$281),$B$202=1),$O$281,HLOOKUP(INDIRECT(ADDRESS(2,COLUMN())),OFFSET($R$2,0,0,ROW()-1,12),ROW()-1,FALSE))</f>
        <v>0.177856923</v>
      </c>
      <c r="P87">
        <f ca="1">IF(AND(ISNUMBER($P$281),$B$202=1),$P$281,HLOOKUP(INDIRECT(ADDRESS(2,COLUMN())),OFFSET($R$2,0,0,ROW()-1,12),ROW()-1,FALSE))</f>
        <v>0.19206432400000001</v>
      </c>
      <c r="Q87">
        <f ca="1">IF(AND(ISNUMBER($Q$281),$B$202=1),$Q$281,HLOOKUP(INDIRECT(ADDRESS(2,COLUMN())),OFFSET($R$2,0,0,ROW()-1,12),ROW()-1,FALSE))</f>
        <v>0.204834249</v>
      </c>
      <c r="R87">
        <f>0.273500929</f>
        <v>0.273500929</v>
      </c>
      <c r="S87">
        <f>0.195395181</f>
        <v>0.195395181</v>
      </c>
      <c r="T87">
        <f>0.186885531</f>
        <v>0.18688553099999999</v>
      </c>
      <c r="U87">
        <f>0.192982694</f>
        <v>0.19298269400000001</v>
      </c>
      <c r="V87">
        <f>0.206277631</f>
        <v>0.20627763099999999</v>
      </c>
      <c r="W87">
        <f>0.215694421</f>
        <v>0.215694421</v>
      </c>
      <c r="X87">
        <f>0.199205757</f>
        <v>0.19920575700000001</v>
      </c>
      <c r="Y87">
        <f>0.191419234</f>
        <v>0.19141923399999999</v>
      </c>
      <c r="Z87">
        <f>0.185846242</f>
        <v>0.18584624199999999</v>
      </c>
      <c r="AA87">
        <f>0.177856923</f>
        <v>0.177856923</v>
      </c>
      <c r="AB87">
        <f>0.192064324</f>
        <v>0.19206432400000001</v>
      </c>
      <c r="AC87">
        <f>0.204834249</f>
        <v>0.204834249</v>
      </c>
    </row>
    <row r="88" spans="1:29" x14ac:dyDescent="0.25">
      <c r="A88" t="str">
        <f>"    HCL Technologies Ltd"</f>
        <v xml:space="preserve">    HCL Technologies Ltd</v>
      </c>
      <c r="B88" t="str">
        <f>"HCLT IN Equity"</f>
        <v>HCLT IN Equity</v>
      </c>
      <c r="C88" t="str">
        <f t="shared" si="12"/>
        <v>RR481</v>
      </c>
      <c r="D88" t="str">
        <f t="shared" si="13"/>
        <v>TOTAL_DEBT_TO_EV</v>
      </c>
      <c r="E88" t="str">
        <f t="shared" si="14"/>
        <v>Dynamic</v>
      </c>
      <c r="F88">
        <f ca="1">IF(AND(ISNUMBER($F$282),$B$202=1),$F$282,HLOOKUP(INDIRECT(ADDRESS(2,COLUMN())),OFFSET($R$2,0,0,ROW()-1,12),ROW()-1,FALSE))</f>
        <v>7.1272872000000001E-2</v>
      </c>
      <c r="G88">
        <f ca="1">IF(AND(ISNUMBER($G$282),$B$202=1),$G$282,HLOOKUP(INDIRECT(ADDRESS(2,COLUMN())),OFFSET($R$2,0,0,ROW()-1,12),ROW()-1,FALSE))</f>
        <v>4.2738181E-2</v>
      </c>
      <c r="H88">
        <f ca="1">IF(AND(ISNUMBER($H$282),$B$202=1),$H$282,HLOOKUP(INDIRECT(ADDRESS(2,COLUMN())),OFFSET($R$2,0,0,ROW()-1,12),ROW()-1,FALSE))</f>
        <v>4.4392156000000002E-2</v>
      </c>
      <c r="I88">
        <f ca="1">IF(AND(ISNUMBER($I$282),$B$202=1),$I$282,HLOOKUP(INDIRECT(ADDRESS(2,COLUMN())),OFFSET($R$2,0,0,ROW()-1,12),ROW()-1,FALSE))</f>
        <v>2.8915264999999999E-2</v>
      </c>
      <c r="J88">
        <f ca="1">IF(AND(ISNUMBER($J$282),$B$202=1),$J$282,HLOOKUP(INDIRECT(ADDRESS(2,COLUMN())),OFFSET($R$2,0,0,ROW()-1,12),ROW()-1,FALSE))</f>
        <v>2.9892279000000001E-2</v>
      </c>
      <c r="K88">
        <f ca="1">IF(AND(ISNUMBER($K$282),$B$202=1),$K$282,HLOOKUP(INDIRECT(ADDRESS(2,COLUMN())),OFFSET($R$2,0,0,ROW()-1,12),ROW()-1,FALSE))</f>
        <v>3.0062866000000001E-2</v>
      </c>
      <c r="L88">
        <f ca="1">IF(AND(ISNUMBER($L$282),$B$202=1),$L$282,HLOOKUP(INDIRECT(ADDRESS(2,COLUMN())),OFFSET($R$2,0,0,ROW()-1,12),ROW()-1,FALSE))</f>
        <v>2.1213480999999999E-2</v>
      </c>
      <c r="M88">
        <f ca="1">IF(AND(ISNUMBER($M$282),$B$202=1),$M$282,HLOOKUP(INDIRECT(ADDRESS(2,COLUMN())),OFFSET($R$2,0,0,ROW()-1,12),ROW()-1,FALSE))</f>
        <v>3.000581E-3</v>
      </c>
      <c r="N88">
        <f ca="1">IF(AND(ISNUMBER($N$282),$B$202=1),$N$282,HLOOKUP(INDIRECT(ADDRESS(2,COLUMN())),OFFSET($R$2,0,0,ROW()-1,12),ROW()-1,FALSE))</f>
        <v>3.8533109999999999E-3</v>
      </c>
      <c r="O88">
        <f ca="1">IF(AND(ISNUMBER($O$282),$B$202=1),$O$282,HLOOKUP(INDIRECT(ADDRESS(2,COLUMN())),OFFSET($R$2,0,0,ROW()-1,12),ROW()-1,FALSE))</f>
        <v>4.277108E-3</v>
      </c>
      <c r="P88">
        <f ca="1">IF(AND(ISNUMBER($P$282),$B$202=1),$P$282,HLOOKUP(INDIRECT(ADDRESS(2,COLUMN())),OFFSET($R$2,0,0,ROW()-1,12),ROW()-1,FALSE))</f>
        <v>6.2849200000000003E-3</v>
      </c>
      <c r="Q88">
        <f ca="1">IF(AND(ISNUMBER($Q$282),$B$202=1),$Q$282,HLOOKUP(INDIRECT(ADDRESS(2,COLUMN())),OFFSET($R$2,0,0,ROW()-1,12),ROW()-1,FALSE))</f>
        <v>5.1677429999999998E-3</v>
      </c>
      <c r="R88">
        <f>0.071272872</f>
        <v>7.1272872000000001E-2</v>
      </c>
      <c r="S88">
        <f>0.042738181</f>
        <v>4.2738181E-2</v>
      </c>
      <c r="T88">
        <f>0.044392156</f>
        <v>4.4392156000000002E-2</v>
      </c>
      <c r="U88">
        <f>0.028915265</f>
        <v>2.8915264999999999E-2</v>
      </c>
      <c r="V88">
        <f>0.029892279</f>
        <v>2.9892279000000001E-2</v>
      </c>
      <c r="W88">
        <f>0.030062866</f>
        <v>3.0062866000000001E-2</v>
      </c>
      <c r="X88">
        <f>0.021213481</f>
        <v>2.1213480999999999E-2</v>
      </c>
      <c r="Y88">
        <f>0.003000581</f>
        <v>3.000581E-3</v>
      </c>
      <c r="Z88">
        <f>0.003853311</f>
        <v>3.8533109999999999E-3</v>
      </c>
      <c r="AA88">
        <f>0.004277108</f>
        <v>4.277108E-3</v>
      </c>
      <c r="AB88">
        <f>0.00628492</f>
        <v>6.2849200000000003E-3</v>
      </c>
      <c r="AC88">
        <f>0.005167743</f>
        <v>5.1677429999999998E-3</v>
      </c>
    </row>
    <row r="89" spans="1:29" x14ac:dyDescent="0.25">
      <c r="A89" t="str">
        <f>"    Indra Sistemas SA"</f>
        <v xml:space="preserve">    Indra Sistemas SA</v>
      </c>
      <c r="B89" t="str">
        <f>"IDR SM Equity"</f>
        <v>IDR SM Equity</v>
      </c>
      <c r="C89" t="str">
        <f t="shared" si="12"/>
        <v>RR481</v>
      </c>
      <c r="D89" t="str">
        <f t="shared" si="13"/>
        <v>TOTAL_DEBT_TO_EV</v>
      </c>
      <c r="E89" t="str">
        <f t="shared" si="14"/>
        <v>Dynamic</v>
      </c>
      <c r="F89">
        <f ca="1">IF(AND(ISNUMBER($F$283),$B$202=1),$F$283,HLOOKUP(INDIRECT(ADDRESS(2,COLUMN())),OFFSET($R$2,0,0,ROW()-1,12),ROW()-1,FALSE))</f>
        <v>0.74292644799999996</v>
      </c>
      <c r="G89">
        <f ca="1">IF(AND(ISNUMBER($G$283),$B$202=1),$G$283,HLOOKUP(INDIRECT(ADDRESS(2,COLUMN())),OFFSET($R$2,0,0,ROW()-1,12),ROW()-1,FALSE))</f>
        <v>0.62238852499999997</v>
      </c>
      <c r="H89">
        <f ca="1">IF(AND(ISNUMBER($H$283),$B$202=1),$H$283,HLOOKUP(INDIRECT(ADDRESS(2,COLUMN())),OFFSET($R$2,0,0,ROW()-1,12),ROW()-1,FALSE))</f>
        <v>0.69751346700000005</v>
      </c>
      <c r="I89">
        <f ca="1">IF(AND(ISNUMBER($I$283),$B$202=1),$I$283,HLOOKUP(INDIRECT(ADDRESS(2,COLUMN())),OFFSET($R$2,0,0,ROW()-1,12),ROW()-1,FALSE))</f>
        <v>0.65849457899999997</v>
      </c>
      <c r="J89">
        <f ca="1">IF(AND(ISNUMBER($J$283),$B$202=1),$J$283,HLOOKUP(INDIRECT(ADDRESS(2,COLUMN())),OFFSET($R$2,0,0,ROW()-1,12),ROW()-1,FALSE))</f>
        <v>0.60609644200000001</v>
      </c>
      <c r="K89">
        <f ca="1">IF(AND(ISNUMBER($K$283),$B$202=1),$K$283,HLOOKUP(INDIRECT(ADDRESS(2,COLUMN())),OFFSET($R$2,0,0,ROW()-1,12),ROW()-1,FALSE))</f>
        <v>0.71523900299999998</v>
      </c>
      <c r="L89">
        <f ca="1">IF(AND(ISNUMBER($L$283),$B$202=1),$L$283,HLOOKUP(INDIRECT(ADDRESS(2,COLUMN())),OFFSET($R$2,0,0,ROW()-1,12),ROW()-1,FALSE))</f>
        <v>0.62949987500000004</v>
      </c>
      <c r="M89">
        <f ca="1">IF(AND(ISNUMBER($M$283),$B$202=1),$M$283,HLOOKUP(INDIRECT(ADDRESS(2,COLUMN())),OFFSET($R$2,0,0,ROW()-1,12),ROW()-1,FALSE))</f>
        <v>0.64552399299999996</v>
      </c>
      <c r="N89">
        <f ca="1">IF(AND(ISNUMBER($N$283),$B$202=1),$N$283,HLOOKUP(INDIRECT(ADDRESS(2,COLUMN())),OFFSET($R$2,0,0,ROW()-1,12),ROW()-1,FALSE))</f>
        <v>0.52066267200000005</v>
      </c>
      <c r="O89">
        <f ca="1">IF(AND(ISNUMBER($O$283),$B$202=1),$O$283,HLOOKUP(INDIRECT(ADDRESS(2,COLUMN())),OFFSET($R$2,0,0,ROW()-1,12),ROW()-1,FALSE))</f>
        <v>0.49152152700000001</v>
      </c>
      <c r="P89">
        <f ca="1">IF(AND(ISNUMBER($P$283),$B$202=1),$P$283,HLOOKUP(INDIRECT(ADDRESS(2,COLUMN())),OFFSET($R$2,0,0,ROW()-1,12),ROW()-1,FALSE))</f>
        <v>0.43125461900000001</v>
      </c>
      <c r="Q89">
        <f ca="1">IF(AND(ISNUMBER($Q$283),$B$202=1),$Q$283,HLOOKUP(INDIRECT(ADDRESS(2,COLUMN())),OFFSET($R$2,0,0,ROW()-1,12),ROW()-1,FALSE))</f>
        <v>0.44450788200000002</v>
      </c>
      <c r="R89">
        <f>0.742926448</f>
        <v>0.74292644799999996</v>
      </c>
      <c r="S89">
        <f>0.622388525</f>
        <v>0.62238852499999997</v>
      </c>
      <c r="T89">
        <f>0.697513467</f>
        <v>0.69751346700000005</v>
      </c>
      <c r="U89">
        <f>0.658494579</f>
        <v>0.65849457899999997</v>
      </c>
      <c r="V89">
        <f>0.606096442</f>
        <v>0.60609644200000001</v>
      </c>
      <c r="W89">
        <f>0.715239003</f>
        <v>0.71523900299999998</v>
      </c>
      <c r="X89">
        <f>0.629499875</f>
        <v>0.62949987500000004</v>
      </c>
      <c r="Y89">
        <f>0.645523993</f>
        <v>0.64552399299999996</v>
      </c>
      <c r="Z89">
        <f>0.520662672</f>
        <v>0.52066267200000005</v>
      </c>
      <c r="AA89">
        <f>0.491521527</f>
        <v>0.49152152700000001</v>
      </c>
      <c r="AB89">
        <f>0.431254619</f>
        <v>0.43125461900000001</v>
      </c>
      <c r="AC89">
        <f>0.444507882</f>
        <v>0.44450788200000002</v>
      </c>
    </row>
    <row r="90" spans="1:29" x14ac:dyDescent="0.25">
      <c r="A90" t="str">
        <f>"    Infosys Ltd"</f>
        <v xml:space="preserve">    Infosys Ltd</v>
      </c>
      <c r="B90" t="str">
        <f>"INFY US Equity"</f>
        <v>INFY US Equity</v>
      </c>
      <c r="C90" t="str">
        <f t="shared" si="12"/>
        <v>RR481</v>
      </c>
      <c r="D90" t="str">
        <f t="shared" si="13"/>
        <v>TOTAL_DEBT_TO_EV</v>
      </c>
      <c r="E90" t="str">
        <f t="shared" si="14"/>
        <v>Dynamic</v>
      </c>
      <c r="F90">
        <f ca="1">IF(AND(ISNUMBER($F$284),$B$202=1),$F$284,HLOOKUP(INDIRECT(ADDRESS(2,COLUMN())),OFFSET($R$2,0,0,ROW()-1,12),ROW()-1,FALSE))</f>
        <v>1.8256881999999999E-2</v>
      </c>
      <c r="G90">
        <f ca="1">IF(AND(ISNUMBER($G$284),$B$202=1),$G$284,HLOOKUP(INDIRECT(ADDRESS(2,COLUMN())),OFFSET($R$2,0,0,ROW()-1,12),ROW()-1,FALSE))</f>
        <v>1.4085009000000001E-2</v>
      </c>
      <c r="H90">
        <f ca="1">IF(AND(ISNUMBER($H$284),$B$202=1),$H$284,HLOOKUP(INDIRECT(ADDRESS(2,COLUMN())),OFFSET($R$2,0,0,ROW()-1,12),ROW()-1,FALSE))</f>
        <v>1.2506138E-2</v>
      </c>
      <c r="I90">
        <f ca="1">IF(AND(ISNUMBER($I$284),$B$202=1),$I$284,HLOOKUP(INDIRECT(ADDRESS(2,COLUMN())),OFFSET($R$2,0,0,ROW()-1,12),ROW()-1,FALSE))</f>
        <v>1.2952082E-2</v>
      </c>
      <c r="J90">
        <f ca="1">IF(AND(ISNUMBER($J$284),$B$202=1),$J$284,HLOOKUP(INDIRECT(ADDRESS(2,COLUMN())),OFFSET($R$2,0,0,ROW()-1,12),ROW()-1,FALSE))</f>
        <v>0</v>
      </c>
      <c r="K90">
        <f ca="1">IF(AND(ISNUMBER($K$284),$B$202=1),$K$284,HLOOKUP(INDIRECT(ADDRESS(2,COLUMN())),OFFSET($R$2,0,0,ROW()-1,12),ROW()-1,FALSE))</f>
        <v>0</v>
      </c>
      <c r="L90">
        <f ca="1">IF(AND(ISNUMBER($L$284),$B$202=1),$L$284,HLOOKUP(INDIRECT(ADDRESS(2,COLUMN())),OFFSET($R$2,0,0,ROW()-1,12),ROW()-1,FALSE))</f>
        <v>0</v>
      </c>
      <c r="M90">
        <f ca="1">IF(AND(ISNUMBER($M$284),$B$202=1),$M$284,HLOOKUP(INDIRECT(ADDRESS(2,COLUMN())),OFFSET($R$2,0,0,ROW()-1,12),ROW()-1,FALSE))</f>
        <v>0</v>
      </c>
      <c r="N90">
        <f ca="1">IF(AND(ISNUMBER($N$284),$B$202=1),$N$284,HLOOKUP(INDIRECT(ADDRESS(2,COLUMN())),OFFSET($R$2,0,0,ROW()-1,12),ROW()-1,FALSE))</f>
        <v>0</v>
      </c>
      <c r="O90">
        <f ca="1">IF(AND(ISNUMBER($O$284),$B$202=1),$O$284,HLOOKUP(INDIRECT(ADDRESS(2,COLUMN())),OFFSET($R$2,0,0,ROW()-1,12),ROW()-1,FALSE))</f>
        <v>0</v>
      </c>
      <c r="P90">
        <f ca="1">IF(AND(ISNUMBER($P$284),$B$202=1),$P$284,HLOOKUP(INDIRECT(ADDRESS(2,COLUMN())),OFFSET($R$2,0,0,ROW()-1,12),ROW()-1,FALSE))</f>
        <v>0</v>
      </c>
      <c r="Q90">
        <f ca="1">IF(AND(ISNUMBER($Q$284),$B$202=1),$Q$284,HLOOKUP(INDIRECT(ADDRESS(2,COLUMN())),OFFSET($R$2,0,0,ROW()-1,12),ROW()-1,FALSE))</f>
        <v>0</v>
      </c>
      <c r="R90">
        <f>0.018256882</f>
        <v>1.8256881999999999E-2</v>
      </c>
      <c r="S90">
        <f>0.014085009</f>
        <v>1.4085009000000001E-2</v>
      </c>
      <c r="T90">
        <f>0.012506138</f>
        <v>1.2506138E-2</v>
      </c>
      <c r="U90">
        <f>0.012952082</f>
        <v>1.2952082E-2</v>
      </c>
      <c r="V90">
        <f>0</f>
        <v>0</v>
      </c>
      <c r="W90">
        <f>0</f>
        <v>0</v>
      </c>
      <c r="X90">
        <f>0</f>
        <v>0</v>
      </c>
      <c r="Y90">
        <f>0</f>
        <v>0</v>
      </c>
      <c r="Z90">
        <f>0</f>
        <v>0</v>
      </c>
      <c r="AA90">
        <f>0</f>
        <v>0</v>
      </c>
      <c r="AB90">
        <f>0</f>
        <v>0</v>
      </c>
      <c r="AC90">
        <f>0</f>
        <v>0</v>
      </c>
    </row>
    <row r="91" spans="1:29" x14ac:dyDescent="0.25">
      <c r="A91" t="str">
        <f>"    International Business Machines Corp"</f>
        <v xml:space="preserve">    International Business Machines Corp</v>
      </c>
      <c r="B91" t="str">
        <f>"IBM US Equity"</f>
        <v>IBM US Equity</v>
      </c>
      <c r="C91" t="str">
        <f t="shared" si="12"/>
        <v>RR481</v>
      </c>
      <c r="D91" t="str">
        <f t="shared" si="13"/>
        <v>TOTAL_DEBT_TO_EV</v>
      </c>
      <c r="E91" t="str">
        <f t="shared" si="14"/>
        <v>Dynamic</v>
      </c>
      <c r="F91">
        <f ca="1">IF(AND(ISNUMBER($F$285),$B$202=1),$F$285,HLOOKUP(INDIRECT(ADDRESS(2,COLUMN())),OFFSET($R$2,0,0,ROW()-1,12),ROW()-1,FALSE))</f>
        <v>0.44461058799999997</v>
      </c>
      <c r="G91">
        <f ca="1">IF(AND(ISNUMBER($G$285),$B$202=1),$G$285,HLOOKUP(INDIRECT(ADDRESS(2,COLUMN())),OFFSET($R$2,0,0,ROW()-1,12),ROW()-1,FALSE))</f>
        <v>0.38217199400000001</v>
      </c>
      <c r="H91">
        <f ca="1">IF(AND(ISNUMBER($H$285),$B$202=1),$H$285,HLOOKUP(INDIRECT(ADDRESS(2,COLUMN())),OFFSET($R$2,0,0,ROW()-1,12),ROW()-1,FALSE))</f>
        <v>0.35650267699999999</v>
      </c>
      <c r="I91">
        <f ca="1">IF(AND(ISNUMBER($I$285),$B$202=1),$I$285,HLOOKUP(INDIRECT(ADDRESS(2,COLUMN())),OFFSET($R$2,0,0,ROW()-1,12),ROW()-1,FALSE))</f>
        <v>0.48655542899999998</v>
      </c>
      <c r="J91">
        <f ca="1">IF(AND(ISNUMBER($J$285),$B$202=1),$J$285,HLOOKUP(INDIRECT(ADDRESS(2,COLUMN())),OFFSET($R$2,0,0,ROW()-1,12),ROW()-1,FALSE))</f>
        <v>0.31235107600000001</v>
      </c>
      <c r="K91">
        <f ca="1">IF(AND(ISNUMBER($K$285),$B$202=1),$K$285,HLOOKUP(INDIRECT(ADDRESS(2,COLUMN())),OFFSET($R$2,0,0,ROW()-1,12),ROW()-1,FALSE))</f>
        <v>0.33377948000000002</v>
      </c>
      <c r="L91">
        <f ca="1">IF(AND(ISNUMBER($L$285),$B$202=1),$L$285,HLOOKUP(INDIRECT(ADDRESS(2,COLUMN())),OFFSET($R$2,0,0,ROW()-1,12),ROW()-1,FALSE))</f>
        <v>0.24820278400000001</v>
      </c>
      <c r="M91">
        <f ca="1">IF(AND(ISNUMBER($M$285),$B$202=1),$M$285,HLOOKUP(INDIRECT(ADDRESS(2,COLUMN())),OFFSET($R$2,0,0,ROW()-1,12),ROW()-1,FALSE))</f>
        <v>0.25241374799999999</v>
      </c>
      <c r="N91">
        <f ca="1">IF(AND(ISNUMBER($N$285),$B$202=1),$N$285,HLOOKUP(INDIRECT(ADDRESS(2,COLUMN())),OFFSET($R$2,0,0,ROW()-1,12),ROW()-1,FALSE))</f>
        <v>0.23653195399999999</v>
      </c>
      <c r="O91">
        <f ca="1">IF(AND(ISNUMBER($O$285),$B$202=1),$O$285,HLOOKUP(INDIRECT(ADDRESS(2,COLUMN())),OFFSET($R$2,0,0,ROW()-1,12),ROW()-1,FALSE))</f>
        <v>0.23823068999999999</v>
      </c>
      <c r="P91">
        <f ca="1">IF(AND(ISNUMBER($P$285),$B$202=1),$P$285,HLOOKUP(INDIRECT(ADDRESS(2,COLUMN())),OFFSET($R$2,0,0,ROW()-1,12),ROW()-1,FALSE))</f>
        <v>0.21744166000000001</v>
      </c>
      <c r="Q91">
        <f ca="1">IF(AND(ISNUMBER($Q$285),$B$202=1),$Q$285,HLOOKUP(INDIRECT(ADDRESS(2,COLUMN())),OFFSET($R$2,0,0,ROW()-1,12),ROW()-1,FALSE))</f>
        <v>0.210554344</v>
      </c>
      <c r="R91">
        <f>0.444610588</f>
        <v>0.44461058799999997</v>
      </c>
      <c r="S91">
        <f>0.382171994</f>
        <v>0.38217199400000001</v>
      </c>
      <c r="T91">
        <f>0.356502677</f>
        <v>0.35650267699999999</v>
      </c>
      <c r="U91">
        <f>0.486555429</f>
        <v>0.48655542899999998</v>
      </c>
      <c r="V91">
        <f>0.312351076</f>
        <v>0.31235107600000001</v>
      </c>
      <c r="W91">
        <f>0.33377948</f>
        <v>0.33377948000000002</v>
      </c>
      <c r="X91">
        <f>0.248202784</f>
        <v>0.24820278400000001</v>
      </c>
      <c r="Y91">
        <f>0.252413748</f>
        <v>0.25241374799999999</v>
      </c>
      <c r="Z91">
        <f>0.236531954</f>
        <v>0.23653195399999999</v>
      </c>
      <c r="AA91">
        <f>0.23823069</f>
        <v>0.23823068999999999</v>
      </c>
      <c r="AB91">
        <f>0.21744166</f>
        <v>0.21744166000000001</v>
      </c>
      <c r="AC91">
        <f>0.210554344</f>
        <v>0.210554344</v>
      </c>
    </row>
    <row r="92" spans="1:29" x14ac:dyDescent="0.25">
      <c r="A92" t="str">
        <f>"    Tata Consultancy Services Ltd"</f>
        <v xml:space="preserve">    Tata Consultancy Services Ltd</v>
      </c>
      <c r="B92" t="str">
        <f>"TCS IN Equity"</f>
        <v>TCS IN Equity</v>
      </c>
      <c r="C92" t="str">
        <f t="shared" si="12"/>
        <v>RR481</v>
      </c>
      <c r="D92" t="str">
        <f t="shared" si="13"/>
        <v>TOTAL_DEBT_TO_EV</v>
      </c>
      <c r="E92" t="str">
        <f t="shared" si="14"/>
        <v>Dynamic</v>
      </c>
      <c r="F92">
        <f ca="1">IF(AND(ISNUMBER($F$286),$B$202=1),$F$286,HLOOKUP(INDIRECT(ADDRESS(2,COLUMN())),OFFSET($R$2,0,0,ROW()-1,12),ROW()-1,FALSE))</f>
        <v>1.2414399E-2</v>
      </c>
      <c r="G92">
        <f ca="1">IF(AND(ISNUMBER($G$286),$B$202=1),$G$286,HLOOKUP(INDIRECT(ADDRESS(2,COLUMN())),OFFSET($R$2,0,0,ROW()-1,12),ROW()-1,FALSE))</f>
        <v>9.0390959999999999E-3</v>
      </c>
      <c r="H92">
        <f ca="1">IF(AND(ISNUMBER($H$286),$B$202=1),$H$286,HLOOKUP(INDIRECT(ADDRESS(2,COLUMN())),OFFSET($R$2,0,0,ROW()-1,12),ROW()-1,FALSE))</f>
        <v>9.0622840000000003E-3</v>
      </c>
      <c r="I92">
        <f ca="1">IF(AND(ISNUMBER($I$286),$B$202=1),$I$286,HLOOKUP(INDIRECT(ADDRESS(2,COLUMN())),OFFSET($R$2,0,0,ROW()-1,12),ROW()-1,FALSE))</f>
        <v>8.5504980000000001E-3</v>
      </c>
      <c r="J92">
        <f ca="1">IF(AND(ISNUMBER($J$286),$B$202=1),$J$286,HLOOKUP(INDIRECT(ADDRESS(2,COLUMN())),OFFSET($R$2,0,0,ROW()-1,12),ROW()-1,FALSE))</f>
        <v>8.7340200000000001E-5</v>
      </c>
      <c r="K92">
        <f ca="1">IF(AND(ISNUMBER($K$286),$B$202=1),$K$286,HLOOKUP(INDIRECT(ADDRESS(2,COLUMN())),OFFSET($R$2,0,0,ROW()-1,12),ROW()-1,FALSE))</f>
        <v>9.3366400000000001E-5</v>
      </c>
      <c r="L92">
        <f ca="1">IF(AND(ISNUMBER($L$286),$B$202=1),$L$286,HLOOKUP(INDIRECT(ADDRESS(2,COLUMN())),OFFSET($R$2,0,0,ROW()-1,12),ROW()-1,FALSE))</f>
        <v>8.0151199999999999E-5</v>
      </c>
      <c r="M92">
        <f ca="1">IF(AND(ISNUMBER($M$286),$B$202=1),$M$286,HLOOKUP(INDIRECT(ADDRESS(2,COLUMN())),OFFSET($R$2,0,0,ROW()-1,12),ROW()-1,FALSE))</f>
        <v>9.7085100000000003E-5</v>
      </c>
      <c r="N92">
        <f ca="1">IF(AND(ISNUMBER($N$286),$B$202=1),$N$286,HLOOKUP(INDIRECT(ADDRESS(2,COLUMN())),OFFSET($R$2,0,0,ROW()-1,12),ROW()-1,FALSE))</f>
        <v>4.9065199999999995E-4</v>
      </c>
      <c r="O92">
        <f ca="1">IF(AND(ISNUMBER($O$286),$B$202=1),$O$286,HLOOKUP(INDIRECT(ADDRESS(2,COLUMN())),OFFSET($R$2,0,0,ROW()-1,12),ROW()-1,FALSE))</f>
        <v>1.5807000000000001E-4</v>
      </c>
      <c r="P92">
        <f ca="1">IF(AND(ISNUMBER($P$286),$B$202=1),$P$286,HLOOKUP(INDIRECT(ADDRESS(2,COLUMN())),OFFSET($R$2,0,0,ROW()-1,12),ROW()-1,FALSE))</f>
        <v>1.8236000000000001E-4</v>
      </c>
      <c r="Q92">
        <f ca="1">IF(AND(ISNUMBER($Q$286),$B$202=1),$Q$286,HLOOKUP(INDIRECT(ADDRESS(2,COLUMN())),OFFSET($R$2,0,0,ROW()-1,12),ROW()-1,FALSE))</f>
        <v>1.97264E-4</v>
      </c>
      <c r="R92">
        <f>0.012414399</f>
        <v>1.2414399E-2</v>
      </c>
      <c r="S92">
        <f>0.009039096</f>
        <v>9.0390959999999999E-3</v>
      </c>
      <c r="T92">
        <f>0.009062284</f>
        <v>9.0622840000000003E-3</v>
      </c>
      <c r="U92">
        <f>0.008550498</f>
        <v>8.5504980000000001E-3</v>
      </c>
      <c r="V92">
        <f>0.0000873402</f>
        <v>8.7340200000000001E-5</v>
      </c>
      <c r="W92">
        <f>0.0000933664</f>
        <v>9.3366400000000001E-5</v>
      </c>
      <c r="X92">
        <f>0.0000801512</f>
        <v>8.0151199999999999E-5</v>
      </c>
      <c r="Y92">
        <f>0.0000970851</f>
        <v>9.7085100000000003E-5</v>
      </c>
      <c r="Z92">
        <f>0.000490652</f>
        <v>4.9065199999999995E-4</v>
      </c>
      <c r="AA92">
        <f>0.00015807</f>
        <v>1.5807000000000001E-4</v>
      </c>
      <c r="AB92">
        <f>0.00018236</f>
        <v>1.8236000000000001E-4</v>
      </c>
      <c r="AC92">
        <f>0.000197264</f>
        <v>1.97264E-4</v>
      </c>
    </row>
    <row r="93" spans="1:29" x14ac:dyDescent="0.25">
      <c r="A93" t="str">
        <f>"    Tech Mahindra Ltd"</f>
        <v xml:space="preserve">    Tech Mahindra Ltd</v>
      </c>
      <c r="B93" t="str">
        <f>"TECHM IN Equity"</f>
        <v>TECHM IN Equity</v>
      </c>
      <c r="C93" t="str">
        <f t="shared" si="12"/>
        <v>RR481</v>
      </c>
      <c r="D93" t="str">
        <f t="shared" si="13"/>
        <v>TOTAL_DEBT_TO_EV</v>
      </c>
      <c r="E93" t="str">
        <f t="shared" si="14"/>
        <v>Dynamic</v>
      </c>
      <c r="F93">
        <f ca="1">IF(AND(ISNUMBER($F$287),$B$202=1),$F$287,HLOOKUP(INDIRECT(ADDRESS(2,COLUMN())),OFFSET($R$2,0,0,ROW()-1,12),ROW()-1,FALSE))</f>
        <v>5.6003197999999997E-2</v>
      </c>
      <c r="G93">
        <f ca="1">IF(AND(ISNUMBER($G$287),$B$202=1),$G$287,HLOOKUP(INDIRECT(ADDRESS(2,COLUMN())),OFFSET($R$2,0,0,ROW()-1,12),ROW()-1,FALSE))</f>
        <v>5.1710954000000003E-2</v>
      </c>
      <c r="H93">
        <f ca="1">IF(AND(ISNUMBER($H$287),$B$202=1),$H$287,HLOOKUP(INDIRECT(ADDRESS(2,COLUMN())),OFFSET($R$2,0,0,ROW()-1,12),ROW()-1,FALSE))</f>
        <v>5.4111815000000001E-2</v>
      </c>
      <c r="I93">
        <f ca="1">IF(AND(ISNUMBER($I$287),$B$202=1),$I$287,HLOOKUP(INDIRECT(ADDRESS(2,COLUMN())),OFFSET($R$2,0,0,ROW()-1,12),ROW()-1,FALSE))</f>
        <v>3.7438952999999997E-2</v>
      </c>
      <c r="J93">
        <f ca="1">IF(AND(ISNUMBER($J$287),$B$202=1),$J$287,HLOOKUP(INDIRECT(ADDRESS(2,COLUMN())),OFFSET($R$2,0,0,ROW()-1,12),ROW()-1,FALSE))</f>
        <v>3.1857366999999998E-2</v>
      </c>
      <c r="K93">
        <f ca="1">IF(AND(ISNUMBER($K$287),$B$202=1),$K$287,HLOOKUP(INDIRECT(ADDRESS(2,COLUMN())),OFFSET($R$2,0,0,ROW()-1,12),ROW()-1,FALSE))</f>
        <v>2.4175094000000001E-2</v>
      </c>
      <c r="L93">
        <f ca="1">IF(AND(ISNUMBER($L$287),$B$202=1),$L$287,HLOOKUP(INDIRECT(ADDRESS(2,COLUMN())),OFFSET($R$2,0,0,ROW()-1,12),ROW()-1,FALSE))</f>
        <v>2.4042075E-2</v>
      </c>
      <c r="M93">
        <f ca="1">IF(AND(ISNUMBER($M$287),$B$202=1),$M$287,HLOOKUP(INDIRECT(ADDRESS(2,COLUMN())),OFFSET($R$2,0,0,ROW()-1,12),ROW()-1,FALSE))</f>
        <v>3.3750451000000001E-2</v>
      </c>
      <c r="N93">
        <f ca="1">IF(AND(ISNUMBER($N$287),$B$202=1),$N$287,HLOOKUP(INDIRECT(ADDRESS(2,COLUMN())),OFFSET($R$2,0,0,ROW()-1,12),ROW()-1,FALSE))</f>
        <v>4.5321259000000003E-2</v>
      </c>
      <c r="O93">
        <f ca="1">IF(AND(ISNUMBER($O$287),$B$202=1),$O$287,HLOOKUP(INDIRECT(ADDRESS(2,COLUMN())),OFFSET($R$2,0,0,ROW()-1,12),ROW()-1,FALSE))</f>
        <v>3.8223557999999998E-2</v>
      </c>
      <c r="P93">
        <f ca="1">IF(AND(ISNUMBER($P$287),$B$202=1),$P$287,HLOOKUP(INDIRECT(ADDRESS(2,COLUMN())),OFFSET($R$2,0,0,ROW()-1,12),ROW()-1,FALSE))</f>
        <v>3.9411092000000002E-2</v>
      </c>
      <c r="Q93">
        <f ca="1">IF(AND(ISNUMBER($Q$287),$B$202=1),$Q$287,HLOOKUP(INDIRECT(ADDRESS(2,COLUMN())),OFFSET($R$2,0,0,ROW()-1,12),ROW()-1,FALSE))</f>
        <v>4.7837658999999998E-2</v>
      </c>
      <c r="R93">
        <f>0.056003198</f>
        <v>5.6003197999999997E-2</v>
      </c>
      <c r="S93">
        <f>0.051710954</f>
        <v>5.1710954000000003E-2</v>
      </c>
      <c r="T93">
        <f>0.054111815</f>
        <v>5.4111815000000001E-2</v>
      </c>
      <c r="U93">
        <f>0.037438953</f>
        <v>3.7438952999999997E-2</v>
      </c>
      <c r="V93">
        <f>0.031857367</f>
        <v>3.1857366999999998E-2</v>
      </c>
      <c r="W93">
        <f>0.024175094</f>
        <v>2.4175094000000001E-2</v>
      </c>
      <c r="X93">
        <f>0.024042075</f>
        <v>2.4042075E-2</v>
      </c>
      <c r="Y93">
        <f>0.033750451</f>
        <v>3.3750451000000001E-2</v>
      </c>
      <c r="Z93">
        <f>0.045321259</f>
        <v>4.5321259000000003E-2</v>
      </c>
      <c r="AA93">
        <f>0.038223558</f>
        <v>3.8223557999999998E-2</v>
      </c>
      <c r="AB93">
        <f>0.039411092</f>
        <v>3.9411092000000002E-2</v>
      </c>
      <c r="AC93">
        <f>0.047837659</f>
        <v>4.7837658999999998E-2</v>
      </c>
    </row>
    <row r="94" spans="1:29" x14ac:dyDescent="0.25">
      <c r="A94" t="str">
        <f>"    Wipro Ltd"</f>
        <v xml:space="preserve">    Wipro Ltd</v>
      </c>
      <c r="B94" t="str">
        <f>"WIT US Equity"</f>
        <v>WIT US Equity</v>
      </c>
      <c r="C94" t="str">
        <f t="shared" si="12"/>
        <v>RR481</v>
      </c>
      <c r="D94" t="str">
        <f t="shared" si="13"/>
        <v>TOTAL_DEBT_TO_EV</v>
      </c>
      <c r="E94" t="str">
        <f t="shared" si="14"/>
        <v>Dynamic</v>
      </c>
      <c r="F94">
        <f ca="1">IF(AND(ISNUMBER($F$288),$B$202=1),$F$288,HLOOKUP(INDIRECT(ADDRESS(2,COLUMN())),OFFSET($R$2,0,0,ROW()-1,12),ROW()-1,FALSE))</f>
        <v>0.109406138</v>
      </c>
      <c r="G94">
        <f ca="1">IF(AND(ISNUMBER($G$288),$B$202=1),$G$288,HLOOKUP(INDIRECT(ADDRESS(2,COLUMN())),OFFSET($R$2,0,0,ROW()-1,12),ROW()-1,FALSE))</f>
        <v>9.5744394999999996E-2</v>
      </c>
      <c r="H94">
        <f ca="1">IF(AND(ISNUMBER($H$288),$B$202=1),$H$288,HLOOKUP(INDIRECT(ADDRESS(2,COLUMN())),OFFSET($R$2,0,0,ROW()-1,12),ROW()-1,FALSE))</f>
        <v>8.4828528E-2</v>
      </c>
      <c r="I94">
        <f ca="1">IF(AND(ISNUMBER($I$288),$B$202=1),$I$288,HLOOKUP(INDIRECT(ADDRESS(2,COLUMN())),OFFSET($R$2,0,0,ROW()-1,12),ROW()-1,FALSE))</f>
        <v>8.7196869999999996E-2</v>
      </c>
      <c r="J94">
        <f ca="1">IF(AND(ISNUMBER($J$288),$B$202=1),$J$288,HLOOKUP(INDIRECT(ADDRESS(2,COLUMN())),OFFSET($R$2,0,0,ROW()-1,12),ROW()-1,FALSE))</f>
        <v>7.8922912999999997E-2</v>
      </c>
      <c r="K94">
        <f ca="1">IF(AND(ISNUMBER($K$288),$B$202=1),$K$288,HLOOKUP(INDIRECT(ADDRESS(2,COLUMN())),OFFSET($R$2,0,0,ROW()-1,12),ROW()-1,FALSE))</f>
        <v>8.3167981000000002E-2</v>
      </c>
      <c r="L94">
        <f ca="1">IF(AND(ISNUMBER($L$288),$B$202=1),$L$288,HLOOKUP(INDIRECT(ADDRESS(2,COLUMN())),OFFSET($R$2,0,0,ROW()-1,12),ROW()-1,FALSE))</f>
        <v>9.1711215999999998E-2</v>
      </c>
      <c r="M94">
        <f ca="1">IF(AND(ISNUMBER($M$288),$B$202=1),$M$288,HLOOKUP(INDIRECT(ADDRESS(2,COLUMN())),OFFSET($R$2,0,0,ROW()-1,12),ROW()-1,FALSE))</f>
        <v>0.119945699</v>
      </c>
      <c r="N94">
        <f ca="1">IF(AND(ISNUMBER($N$288),$B$202=1),$N$288,HLOOKUP(INDIRECT(ADDRESS(2,COLUMN())),OFFSET($R$2,0,0,ROW()-1,12),ROW()-1,FALSE))</f>
        <v>0.123609759</v>
      </c>
      <c r="O94">
        <f ca="1">IF(AND(ISNUMBER($O$288),$B$202=1),$O$288,HLOOKUP(INDIRECT(ADDRESS(2,COLUMN())),OFFSET($R$2,0,0,ROW()-1,12),ROW()-1,FALSE))</f>
        <v>0.104175054</v>
      </c>
      <c r="P94">
        <f ca="1">IF(AND(ISNUMBER($P$288),$B$202=1),$P$288,HLOOKUP(INDIRECT(ADDRESS(2,COLUMN())),OFFSET($R$2,0,0,ROW()-1,12),ROW()-1,FALSE))</f>
        <v>0.12895515299999999</v>
      </c>
      <c r="Q94">
        <f ca="1">IF(AND(ISNUMBER($Q$288),$B$202=1),$Q$288,HLOOKUP(INDIRECT(ADDRESS(2,COLUMN())),OFFSET($R$2,0,0,ROW()-1,12),ROW()-1,FALSE))</f>
        <v>0.14142279799999999</v>
      </c>
      <c r="R94">
        <f>0.109406138</f>
        <v>0.109406138</v>
      </c>
      <c r="S94">
        <f>0.095744395</f>
        <v>9.5744394999999996E-2</v>
      </c>
      <c r="T94">
        <f>0.084828528</f>
        <v>8.4828528E-2</v>
      </c>
      <c r="U94">
        <f>0.08719687</f>
        <v>8.7196869999999996E-2</v>
      </c>
      <c r="V94">
        <f>0.078922913</f>
        <v>7.8922912999999997E-2</v>
      </c>
      <c r="W94">
        <f>0.083167981</f>
        <v>8.3167981000000002E-2</v>
      </c>
      <c r="X94">
        <f>0.091711216</f>
        <v>9.1711215999999998E-2</v>
      </c>
      <c r="Y94">
        <f>0.119945699</f>
        <v>0.119945699</v>
      </c>
      <c r="Z94">
        <f>0.123609759</f>
        <v>0.123609759</v>
      </c>
      <c r="AA94">
        <f>0.104175054</f>
        <v>0.104175054</v>
      </c>
      <c r="AB94">
        <f>0.128955153</f>
        <v>0.12895515299999999</v>
      </c>
      <c r="AC94">
        <f>0.141422798</f>
        <v>0.14142279799999999</v>
      </c>
    </row>
    <row r="95" spans="1:29" x14ac:dyDescent="0.25">
      <c r="A95" t="str">
        <f>"Total Debt/EBITDA"</f>
        <v>Total Debt/EBITDA</v>
      </c>
      <c r="B95" t="str">
        <f>"BRITBPOV Index"</f>
        <v>BRITBPOV Index</v>
      </c>
      <c r="E95" t="str">
        <f>"Average"</f>
        <v>Average</v>
      </c>
      <c r="F95">
        <f ca="1">IF(ISERROR(IF(AVERAGE($F$96:$F$112) = 0, "", AVERAGE($F$96:$F$112))), "", (IF(AVERAGE($F$96:$F$112) = 0, "", AVERAGE($F$96:$F$112))))</f>
        <v>1.4543590546153846</v>
      </c>
      <c r="G95">
        <f ca="1">IF(ISERROR(IF(AVERAGE($G$96:$G$112) = 0, "", AVERAGE($G$96:$G$112))), "", (IF(AVERAGE($G$96:$G$112) = 0, "", AVERAGE($G$96:$G$112))))</f>
        <v>1.8737500219285714</v>
      </c>
      <c r="H95">
        <f ca="1">IF(ISERROR(IF(AVERAGE($H$96:$H$112) = 0, "", AVERAGE($H$96:$H$112))), "", (IF(AVERAGE($H$96:$H$112) = 0, "", AVERAGE($H$96:$H$112))))</f>
        <v>1.6234766228571427</v>
      </c>
      <c r="I95">
        <f ca="1">IF(ISERROR(IF(AVERAGE($I$96:$I$112) = 0, "", AVERAGE($I$96:$I$112))), "", (IF(AVERAGE($I$96:$I$112) = 0, "", AVERAGE($I$96:$I$112))))</f>
        <v>1.3663718945714287</v>
      </c>
      <c r="J95">
        <f ca="1">IF(ISERROR(IF(AVERAGE($J$96:$J$112) = 0, "", AVERAGE($J$96:$J$112))), "", (IF(AVERAGE($J$96:$J$112) = 0, "", AVERAGE($J$96:$J$112))))</f>
        <v>1.1240654794285714</v>
      </c>
      <c r="K95">
        <f ca="1">IF(ISERROR(IF(AVERAGE($K$96:$K$112) = 0, "", AVERAGE($K$96:$K$112))), "", (IF(AVERAGE($K$96:$K$112) = 0, "", AVERAGE($K$96:$K$112))))</f>
        <v>1.5960887612666665</v>
      </c>
      <c r="L95">
        <f ca="1">IF(ISERROR(IF(AVERAGE($L$96:$L$112) = 0, "", AVERAGE($L$96:$L$112))), "", (IF(AVERAGE($L$96:$L$112) = 0, "", AVERAGE($L$96:$L$112))))</f>
        <v>1.3677990543333334</v>
      </c>
      <c r="M95">
        <f ca="1">IF(ISERROR(IF(AVERAGE($M$96:$M$112) = 0, "", AVERAGE($M$96:$M$112))), "", (IF(AVERAGE($M$96:$M$112) = 0, "", AVERAGE($M$96:$M$112))))</f>
        <v>1.2589032960666666</v>
      </c>
      <c r="N95">
        <f ca="1">IF(ISERROR(IF(AVERAGE($N$96:$N$112) = 0, "", AVERAGE($N$96:$N$112))), "", (IF(AVERAGE($N$96:$N$112) = 0, "", AVERAGE($N$96:$N$112))))</f>
        <v>1.3318217153999998</v>
      </c>
      <c r="O95">
        <f ca="1">IF(ISERROR(IF(AVERAGE($O$96:$O$112) = 0, "", AVERAGE($O$96:$O$112))), "", (IF(AVERAGE($O$96:$O$112) = 0, "", AVERAGE($O$96:$O$112))))</f>
        <v>1.1872210210714285</v>
      </c>
      <c r="P95">
        <f ca="1">IF(ISERROR(IF(AVERAGE($P$96:$P$112) = 0, "", AVERAGE($P$96:$P$112))), "", (IF(AVERAGE($P$96:$P$112) = 0, "", AVERAGE($P$96:$P$112))))</f>
        <v>1.0225831850769229</v>
      </c>
      <c r="Q95">
        <f ca="1">IF(ISERROR(IF(AVERAGE($Q$96:$Q$112) = 0, "", AVERAGE($Q$96:$Q$112))), "", (IF(AVERAGE($Q$96:$Q$112) = 0, "", AVERAGE($Q$96:$Q$112))))</f>
        <v>1.0794048243076924</v>
      </c>
      <c r="R95">
        <f>1.454359055</f>
        <v>1.4543590550000001</v>
      </c>
      <c r="S95">
        <f>1.873750022</f>
        <v>1.8737500220000001</v>
      </c>
      <c r="T95">
        <f>1.623476623</f>
        <v>1.623476623</v>
      </c>
      <c r="U95">
        <f>1.366371895</f>
        <v>1.3663718949999999</v>
      </c>
      <c r="V95">
        <f>1.124065479</f>
        <v>1.124065479</v>
      </c>
      <c r="W95">
        <f>1.596088761</f>
        <v>1.5960887610000001</v>
      </c>
      <c r="X95">
        <f>1.367799054</f>
        <v>1.367799054</v>
      </c>
      <c r="Y95">
        <f>1.258903296</f>
        <v>1.2589032959999999</v>
      </c>
      <c r="Z95">
        <f>1.331821715</f>
        <v>1.331821715</v>
      </c>
      <c r="AA95">
        <f>1.187221021</f>
        <v>1.187221021</v>
      </c>
      <c r="AB95">
        <f>1.022583185</f>
        <v>1.022583185</v>
      </c>
      <c r="AC95">
        <f>1.079404824</f>
        <v>1.079404824</v>
      </c>
    </row>
    <row r="96" spans="1:29" x14ac:dyDescent="0.25">
      <c r="A96" t="str">
        <f>"    Accenture PLC"</f>
        <v xml:space="preserve">    Accenture PLC</v>
      </c>
      <c r="B96" t="str">
        <f>"ACN US Equity"</f>
        <v>ACN US Equity</v>
      </c>
      <c r="C96" t="str">
        <f t="shared" ref="C96:C112" si="15">"RR052"</f>
        <v>RR052</v>
      </c>
      <c r="D96" t="str">
        <f t="shared" ref="D96:D112" si="16">"TOT_DEBT_TO_EBITDA"</f>
        <v>TOT_DEBT_TO_EBITDA</v>
      </c>
      <c r="E96" t="str">
        <f t="shared" ref="E96:E112" si="17">"Dynamic"</f>
        <v>Dynamic</v>
      </c>
      <c r="F96">
        <f ca="1">IF(AND(ISNUMBER($F$289),$B$202=1),$F$289,HLOOKUP(INDIRECT(ADDRESS(2,COLUMN())),OFFSET($R$2,0,0,ROW()-1,12),ROW()-1,FALSE))</f>
        <v>0.39732855500000003</v>
      </c>
      <c r="G96">
        <f ca="1">IF(AND(ISNUMBER($G$289),$B$202=1),$G$289,HLOOKUP(INDIRECT(ADDRESS(2,COLUMN())),OFFSET($R$2,0,0,ROW()-1,12),ROW()-1,FALSE))</f>
        <v>0.40998790600000001</v>
      </c>
      <c r="H96">
        <f ca="1">IF(AND(ISNUMBER($H$289),$B$202=1),$H$289,HLOOKUP(INDIRECT(ADDRESS(2,COLUMN())),OFFSET($R$2,0,0,ROW()-1,12),ROW()-1,FALSE))</f>
        <v>3.1360569999999998E-3</v>
      </c>
      <c r="I96">
        <f ca="1">IF(AND(ISNUMBER($I$289),$B$202=1),$I$289,HLOOKUP(INDIRECT(ADDRESS(2,COLUMN())),OFFSET($R$2,0,0,ROW()-1,12),ROW()-1,FALSE))</f>
        <v>3.3463519999999999E-3</v>
      </c>
      <c r="J96">
        <f ca="1">IF(AND(ISNUMBER($J$289),$B$202=1),$J$289,HLOOKUP(INDIRECT(ADDRESS(2,COLUMN())),OFFSET($R$2,0,0,ROW()-1,12),ROW()-1,FALSE))</f>
        <v>3.3951749999999998E-3</v>
      </c>
      <c r="K96">
        <f ca="1">IF(AND(ISNUMBER($K$289),$B$202=1),$K$289,HLOOKUP(INDIRECT(ADDRESS(2,COLUMN())),OFFSET($R$2,0,0,ROW()-1,12),ROW()-1,FALSE))</f>
        <v>3.5105029999999999E-3</v>
      </c>
      <c r="L96">
        <f ca="1">IF(AND(ISNUMBER($L$289),$B$202=1),$L$289,HLOOKUP(INDIRECT(ADDRESS(2,COLUMN())),OFFSET($R$2,0,0,ROW()-1,12),ROW()-1,FALSE))</f>
        <v>3.6228639999999999E-3</v>
      </c>
      <c r="M96">
        <f ca="1">IF(AND(ISNUMBER($M$289),$B$202=1),$M$289,HLOOKUP(INDIRECT(ADDRESS(2,COLUMN())),OFFSET($R$2,0,0,ROW()-1,12),ROW()-1,FALSE))</f>
        <v>4.330909E-3</v>
      </c>
      <c r="N96">
        <f ca="1">IF(AND(ISNUMBER($N$289),$B$202=1),$N$289,HLOOKUP(INDIRECT(ADDRESS(2,COLUMN())),OFFSET($R$2,0,0,ROW()-1,12),ROW()-1,FALSE))</f>
        <v>4.9411739999999996E-3</v>
      </c>
      <c r="O96">
        <f ca="1">IF(AND(ISNUMBER($O$289),$B$202=1),$O$289,HLOOKUP(INDIRECT(ADDRESS(2,COLUMN())),OFFSET($R$2,0,0,ROW()-1,12),ROW()-1,FALSE))</f>
        <v>4.4643690000000001E-3</v>
      </c>
      <c r="P96">
        <f ca="1">IF(AND(ISNUMBER($P$289),$B$202=1),$P$289,HLOOKUP(INDIRECT(ADDRESS(2,COLUMN())),OFFSET($R$2,0,0,ROW()-1,12),ROW()-1,FALSE))</f>
        <v>4.6132059999999999E-3</v>
      </c>
      <c r="Q96">
        <f ca="1">IF(AND(ISNUMBER($Q$289),$B$202=1),$Q$289,HLOOKUP(INDIRECT(ADDRESS(2,COLUMN())),OFFSET($R$2,0,0,ROW()-1,12),ROW()-1,FALSE))</f>
        <v>5.2270520000000003E-3</v>
      </c>
      <c r="R96">
        <f>0.397328555</f>
        <v>0.39732855500000003</v>
      </c>
      <c r="S96">
        <f>0.409987906</f>
        <v>0.40998790600000001</v>
      </c>
      <c r="T96">
        <f>0.003136057</f>
        <v>3.1360569999999998E-3</v>
      </c>
      <c r="U96">
        <f>0.003346352</f>
        <v>3.3463519999999999E-3</v>
      </c>
      <c r="V96">
        <f>0.003395175</f>
        <v>3.3951749999999998E-3</v>
      </c>
      <c r="W96">
        <f>0.003510503</f>
        <v>3.5105029999999999E-3</v>
      </c>
      <c r="X96">
        <f>0.003622864</f>
        <v>3.6228639999999999E-3</v>
      </c>
      <c r="Y96">
        <f>0.004330909</f>
        <v>4.330909E-3</v>
      </c>
      <c r="Z96">
        <f>0.004941174</f>
        <v>4.9411739999999996E-3</v>
      </c>
      <c r="AA96">
        <f>0.004464369</f>
        <v>4.4643690000000001E-3</v>
      </c>
      <c r="AB96">
        <f>0.004613206</f>
        <v>4.6132059999999999E-3</v>
      </c>
      <c r="AC96">
        <f>0.005227052</f>
        <v>5.2270520000000003E-3</v>
      </c>
    </row>
    <row r="97" spans="1:29" x14ac:dyDescent="0.25">
      <c r="A97" t="str">
        <f>"    Amdocs Ltd"</f>
        <v xml:space="preserve">    Amdocs Ltd</v>
      </c>
      <c r="B97" t="str">
        <f>"DOX US Equity"</f>
        <v>DOX US Equity</v>
      </c>
      <c r="C97" t="str">
        <f t="shared" si="15"/>
        <v>RR052</v>
      </c>
      <c r="D97" t="str">
        <f t="shared" si="16"/>
        <v>TOT_DEBT_TO_EBITDA</v>
      </c>
      <c r="E97" t="str">
        <f t="shared" si="17"/>
        <v>Dynamic</v>
      </c>
      <c r="F97">
        <f ca="1">IF(AND(ISNUMBER($F$290),$B$202=1),$F$290,HLOOKUP(INDIRECT(ADDRESS(2,COLUMN())),OFFSET($R$2,0,0,ROW()-1,12),ROW()-1,FALSE))</f>
        <v>0.79635745400000002</v>
      </c>
      <c r="G97">
        <f ca="1">IF(AND(ISNUMBER($G$290),$B$202=1),$G$290,HLOOKUP(INDIRECT(ADDRESS(2,COLUMN())),OFFSET($R$2,0,0,ROW()-1,12),ROW()-1,FALSE))</f>
        <v>0.359168879</v>
      </c>
      <c r="H97">
        <f ca="1">IF(AND(ISNUMBER($H$290),$B$202=1),$H$290,HLOOKUP(INDIRECT(ADDRESS(2,COLUMN())),OFFSET($R$2,0,0,ROW()-1,12),ROW()-1,FALSE))</f>
        <v>0</v>
      </c>
      <c r="I97">
        <f ca="1">IF(AND(ISNUMBER($I$290),$B$202=1),$I$290,HLOOKUP(INDIRECT(ADDRESS(2,COLUMN())),OFFSET($R$2,0,0,ROW()-1,12),ROW()-1,FALSE))</f>
        <v>0</v>
      </c>
      <c r="J97">
        <f ca="1">IF(AND(ISNUMBER($J$290),$B$202=1),$J$290,HLOOKUP(INDIRECT(ADDRESS(2,COLUMN())),OFFSET($R$2,0,0,ROW()-1,12),ROW()-1,FALSE))</f>
        <v>0</v>
      </c>
      <c r="K97">
        <f ca="1">IF(AND(ISNUMBER($K$290),$B$202=1),$K$290,HLOOKUP(INDIRECT(ADDRESS(2,COLUMN())),OFFSET($R$2,0,0,ROW()-1,12),ROW()-1,FALSE))</f>
        <v>0</v>
      </c>
      <c r="L97">
        <f ca="1">IF(AND(ISNUMBER($L$290),$B$202=1),$L$290,HLOOKUP(INDIRECT(ADDRESS(2,COLUMN())),OFFSET($R$2,0,0,ROW()-1,12),ROW()-1,FALSE))</f>
        <v>0</v>
      </c>
      <c r="M97">
        <f ca="1">IF(AND(ISNUMBER($M$290),$B$202=1),$M$290,HLOOKUP(INDIRECT(ADDRESS(2,COLUMN())),OFFSET($R$2,0,0,ROW()-1,12),ROW()-1,FALSE))</f>
        <v>0</v>
      </c>
      <c r="N97">
        <f ca="1">IF(AND(ISNUMBER($N$290),$B$202=1),$N$290,HLOOKUP(INDIRECT(ADDRESS(2,COLUMN())),OFFSET($R$2,0,0,ROW()-1,12),ROW()-1,FALSE))</f>
        <v>0.165591244</v>
      </c>
      <c r="O97">
        <f ca="1">IF(AND(ISNUMBER($O$290),$B$202=1),$O$290,HLOOKUP(INDIRECT(ADDRESS(2,COLUMN())),OFFSET($R$2,0,0,ROW()-1,12),ROW()-1,FALSE))</f>
        <v>0</v>
      </c>
      <c r="P97">
        <f ca="1">IF(AND(ISNUMBER($P$290),$B$202=1),$P$290,HLOOKUP(INDIRECT(ADDRESS(2,COLUMN())),OFFSET($R$2,0,0,ROW()-1,12),ROW()-1,FALSE))</f>
        <v>0</v>
      </c>
      <c r="Q97">
        <f ca="1">IF(AND(ISNUMBER($Q$290),$B$202=1),$Q$290,HLOOKUP(INDIRECT(ADDRESS(2,COLUMN())),OFFSET($R$2,0,0,ROW()-1,12),ROW()-1,FALSE))</f>
        <v>0</v>
      </c>
      <c r="R97">
        <f>0.796357454</f>
        <v>0.79635745400000002</v>
      </c>
      <c r="S97">
        <f>0.359168879</f>
        <v>0.359168879</v>
      </c>
      <c r="T97">
        <f>0</f>
        <v>0</v>
      </c>
      <c r="U97">
        <f>0</f>
        <v>0</v>
      </c>
      <c r="V97">
        <f>0</f>
        <v>0</v>
      </c>
      <c r="W97">
        <f>0</f>
        <v>0</v>
      </c>
      <c r="X97">
        <f>0</f>
        <v>0</v>
      </c>
      <c r="Y97">
        <f>0</f>
        <v>0</v>
      </c>
      <c r="Z97">
        <f>0.165591244</f>
        <v>0.165591244</v>
      </c>
      <c r="AA97">
        <f>0</f>
        <v>0</v>
      </c>
      <c r="AB97">
        <f>0</f>
        <v>0</v>
      </c>
      <c r="AC97">
        <f>0</f>
        <v>0</v>
      </c>
    </row>
    <row r="98" spans="1:29" x14ac:dyDescent="0.25">
      <c r="A98" t="str">
        <f>"    Atos SE"</f>
        <v xml:space="preserve">    Atos SE</v>
      </c>
      <c r="B98" t="str">
        <f>"ATO FP Equity"</f>
        <v>ATO FP Equity</v>
      </c>
      <c r="C98" t="str">
        <f t="shared" si="15"/>
        <v>RR052</v>
      </c>
      <c r="D98" t="str">
        <f t="shared" si="16"/>
        <v>TOT_DEBT_TO_EBITDA</v>
      </c>
      <c r="E98" t="str">
        <f t="shared" si="17"/>
        <v>Dynamic</v>
      </c>
      <c r="F98" t="str">
        <f ca="1">IF(AND(ISNUMBER($F$291),$B$202=1),$F$291,HLOOKUP(INDIRECT(ADDRESS(2,COLUMN())),OFFSET($R$2,0,0,ROW()-1,12),ROW()-1,FALSE))</f>
        <v/>
      </c>
      <c r="G98" t="str">
        <f ca="1">IF(AND(ISNUMBER($G$291),$B$202=1),$G$291,HLOOKUP(INDIRECT(ADDRESS(2,COLUMN())),OFFSET($R$2,0,0,ROW()-1,12),ROW()-1,FALSE))</f>
        <v/>
      </c>
      <c r="H98" t="str">
        <f ca="1">IF(AND(ISNUMBER($H$291),$B$202=1),$H$291,HLOOKUP(INDIRECT(ADDRESS(2,COLUMN())),OFFSET($R$2,0,0,ROW()-1,12),ROW()-1,FALSE))</f>
        <v/>
      </c>
      <c r="I98" t="str">
        <f ca="1">IF(AND(ISNUMBER($I$291),$B$202=1),$I$291,HLOOKUP(INDIRECT(ADDRESS(2,COLUMN())),OFFSET($R$2,0,0,ROW()-1,12),ROW()-1,FALSE))</f>
        <v/>
      </c>
      <c r="J98" t="str">
        <f ca="1">IF(AND(ISNUMBER($J$291),$B$202=1),$J$291,HLOOKUP(INDIRECT(ADDRESS(2,COLUMN())),OFFSET($R$2,0,0,ROW()-1,12),ROW()-1,FALSE))</f>
        <v/>
      </c>
      <c r="K98" t="str">
        <f ca="1">IF(AND(ISNUMBER($K$291),$B$202=1),$K$291,HLOOKUP(INDIRECT(ADDRESS(2,COLUMN())),OFFSET($R$2,0,0,ROW()-1,12),ROW()-1,FALSE))</f>
        <v/>
      </c>
      <c r="L98" t="str">
        <f ca="1">IF(AND(ISNUMBER($L$291),$B$202=1),$L$291,HLOOKUP(INDIRECT(ADDRESS(2,COLUMN())),OFFSET($R$2,0,0,ROW()-1,12),ROW()-1,FALSE))</f>
        <v/>
      </c>
      <c r="M98" t="str">
        <f ca="1">IF(AND(ISNUMBER($M$291),$B$202=1),$M$291,HLOOKUP(INDIRECT(ADDRESS(2,COLUMN())),OFFSET($R$2,0,0,ROW()-1,12),ROW()-1,FALSE))</f>
        <v/>
      </c>
      <c r="N98" t="str">
        <f ca="1">IF(AND(ISNUMBER($N$291),$B$202=1),$N$291,HLOOKUP(INDIRECT(ADDRESS(2,COLUMN())),OFFSET($R$2,0,0,ROW()-1,12),ROW()-1,FALSE))</f>
        <v/>
      </c>
      <c r="O98" t="str">
        <f ca="1">IF(AND(ISNUMBER($O$291),$B$202=1),$O$291,HLOOKUP(INDIRECT(ADDRESS(2,COLUMN())),OFFSET($R$2,0,0,ROW()-1,12),ROW()-1,FALSE))</f>
        <v/>
      </c>
      <c r="P98" t="str">
        <f ca="1">IF(AND(ISNUMBER($P$291),$B$202=1),$P$291,HLOOKUP(INDIRECT(ADDRESS(2,COLUMN())),OFFSET($R$2,0,0,ROW()-1,12),ROW()-1,FALSE))</f>
        <v/>
      </c>
      <c r="Q98" t="str">
        <f ca="1">IF(AND(ISNUMBER($Q$291),$B$202=1),$Q$291,HLOOKUP(INDIRECT(ADDRESS(2,COLUMN())),OFFSET($R$2,0,0,ROW()-1,12),ROW()-1,FALSE))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  <c r="Z98" t="str">
        <f>""</f>
        <v/>
      </c>
      <c r="AA98" t="str">
        <f>""</f>
        <v/>
      </c>
      <c r="AB98" t="str">
        <f>""</f>
        <v/>
      </c>
      <c r="AC98" t="str">
        <f>""</f>
        <v/>
      </c>
    </row>
    <row r="99" spans="1:29" x14ac:dyDescent="0.25">
      <c r="A99" t="str">
        <f>"    Capgemini SE"</f>
        <v xml:space="preserve">    Capgemini SE</v>
      </c>
      <c r="B99" t="str">
        <f>"CAP FP Equity"</f>
        <v>CAP FP Equity</v>
      </c>
      <c r="C99" t="str">
        <f t="shared" si="15"/>
        <v>RR052</v>
      </c>
      <c r="D99" t="str">
        <f t="shared" si="16"/>
        <v>TOT_DEBT_TO_EBITDA</v>
      </c>
      <c r="E99" t="str">
        <f t="shared" si="17"/>
        <v>Dynamic</v>
      </c>
      <c r="F99" t="str">
        <f ca="1">IF(AND(ISNUMBER($F$292),$B$202=1),$F$292,HLOOKUP(INDIRECT(ADDRESS(2,COLUMN())),OFFSET($R$2,0,0,ROW()-1,12),ROW()-1,FALSE))</f>
        <v/>
      </c>
      <c r="G99" t="str">
        <f ca="1">IF(AND(ISNUMBER($G$292),$B$202=1),$G$292,HLOOKUP(INDIRECT(ADDRESS(2,COLUMN())),OFFSET($R$2,0,0,ROW()-1,12),ROW()-1,FALSE))</f>
        <v/>
      </c>
      <c r="H99" t="str">
        <f ca="1">IF(AND(ISNUMBER($H$292),$B$202=1),$H$292,HLOOKUP(INDIRECT(ADDRESS(2,COLUMN())),OFFSET($R$2,0,0,ROW()-1,12),ROW()-1,FALSE))</f>
        <v/>
      </c>
      <c r="I99" t="str">
        <f ca="1">IF(AND(ISNUMBER($I$292),$B$202=1),$I$292,HLOOKUP(INDIRECT(ADDRESS(2,COLUMN())),OFFSET($R$2,0,0,ROW()-1,12),ROW()-1,FALSE))</f>
        <v/>
      </c>
      <c r="J99" t="str">
        <f ca="1">IF(AND(ISNUMBER($J$292),$B$202=1),$J$292,HLOOKUP(INDIRECT(ADDRESS(2,COLUMN())),OFFSET($R$2,0,0,ROW()-1,12),ROW()-1,FALSE))</f>
        <v/>
      </c>
      <c r="K99" t="str">
        <f ca="1">IF(AND(ISNUMBER($K$292),$B$202=1),$K$292,HLOOKUP(INDIRECT(ADDRESS(2,COLUMN())),OFFSET($R$2,0,0,ROW()-1,12),ROW()-1,FALSE))</f>
        <v/>
      </c>
      <c r="L99" t="str">
        <f ca="1">IF(AND(ISNUMBER($L$292),$B$202=1),$L$292,HLOOKUP(INDIRECT(ADDRESS(2,COLUMN())),OFFSET($R$2,0,0,ROW()-1,12),ROW()-1,FALSE))</f>
        <v/>
      </c>
      <c r="M99" t="str">
        <f ca="1">IF(AND(ISNUMBER($M$292),$B$202=1),$M$292,HLOOKUP(INDIRECT(ADDRESS(2,COLUMN())),OFFSET($R$2,0,0,ROW()-1,12),ROW()-1,FALSE))</f>
        <v/>
      </c>
      <c r="N99" t="str">
        <f ca="1">IF(AND(ISNUMBER($N$292),$B$202=1),$N$292,HLOOKUP(INDIRECT(ADDRESS(2,COLUMN())),OFFSET($R$2,0,0,ROW()-1,12),ROW()-1,FALSE))</f>
        <v/>
      </c>
      <c r="O99" t="str">
        <f ca="1">IF(AND(ISNUMBER($O$292),$B$202=1),$O$292,HLOOKUP(INDIRECT(ADDRESS(2,COLUMN())),OFFSET($R$2,0,0,ROW()-1,12),ROW()-1,FALSE))</f>
        <v/>
      </c>
      <c r="P99" t="str">
        <f ca="1">IF(AND(ISNUMBER($P$292),$B$202=1),$P$292,HLOOKUP(INDIRECT(ADDRESS(2,COLUMN())),OFFSET($R$2,0,0,ROW()-1,12),ROW()-1,FALSE))</f>
        <v/>
      </c>
      <c r="Q99" t="str">
        <f ca="1">IF(AND(ISNUMBER($Q$292),$B$202=1),$Q$292,HLOOKUP(INDIRECT(ADDRESS(2,COLUMN())),OFFSET($R$2,0,0,ROW()-1,12),ROW()-1,FALSE))</f>
        <v/>
      </c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  <c r="Z99" t="str">
        <f>""</f>
        <v/>
      </c>
      <c r="AA99" t="str">
        <f>""</f>
        <v/>
      </c>
      <c r="AB99" t="str">
        <f>""</f>
        <v/>
      </c>
      <c r="AC99" t="str">
        <f>""</f>
        <v/>
      </c>
    </row>
    <row r="100" spans="1:29" x14ac:dyDescent="0.25">
      <c r="A100" t="str">
        <f>"    CGI Inc"</f>
        <v xml:space="preserve">    CGI Inc</v>
      </c>
      <c r="B100" t="str">
        <f>"GIB US Equity"</f>
        <v>GIB US Equity</v>
      </c>
      <c r="C100" t="str">
        <f t="shared" si="15"/>
        <v>RR052</v>
      </c>
      <c r="D100" t="str">
        <f t="shared" si="16"/>
        <v>TOT_DEBT_TO_EBITDA</v>
      </c>
      <c r="E100" t="str">
        <f t="shared" si="17"/>
        <v>Dynamic</v>
      </c>
      <c r="F100">
        <f ca="1">IF(AND(ISNUMBER($F$293),$B$202=1),$F$293,HLOOKUP(INDIRECT(ADDRESS(2,COLUMN())),OFFSET($R$2,0,0,ROW()-1,12),ROW()-1,FALSE))</f>
        <v>1.8872556949999999</v>
      </c>
      <c r="G100">
        <f ca="1">IF(AND(ISNUMBER($G$293),$B$202=1),$G$293,HLOOKUP(INDIRECT(ADDRESS(2,COLUMN())),OFFSET($R$2,0,0,ROW()-1,12),ROW()-1,FALSE))</f>
        <v>1.385215308</v>
      </c>
      <c r="H100">
        <f ca="1">IF(AND(ISNUMBER($H$293),$B$202=1),$H$293,HLOOKUP(INDIRECT(ADDRESS(2,COLUMN())),OFFSET($R$2,0,0,ROW()-1,12),ROW()-1,FALSE))</f>
        <v>1.088274521</v>
      </c>
      <c r="I100">
        <f ca="1">IF(AND(ISNUMBER($I$293),$B$202=1),$I$293,HLOOKUP(INDIRECT(ADDRESS(2,COLUMN())),OFFSET($R$2,0,0,ROW()-1,12),ROW()-1,FALSE))</f>
        <v>1.187936184</v>
      </c>
      <c r="J100">
        <f ca="1">IF(AND(ISNUMBER($J$293),$B$202=1),$J$293,HLOOKUP(INDIRECT(ADDRESS(2,COLUMN())),OFFSET($R$2,0,0,ROW()-1,12),ROW()-1,FALSE))</f>
        <v>1.017501419</v>
      </c>
      <c r="K100">
        <f ca="1">IF(AND(ISNUMBER($K$293),$B$202=1),$K$293,HLOOKUP(INDIRECT(ADDRESS(2,COLUMN())),OFFSET($R$2,0,0,ROW()-1,12),ROW()-1,FALSE))</f>
        <v>1.0731779749999999</v>
      </c>
      <c r="L100">
        <f ca="1">IF(AND(ISNUMBER($L$293),$B$202=1),$L$293,HLOOKUP(INDIRECT(ADDRESS(2,COLUMN())),OFFSET($R$2,0,0,ROW()-1,12),ROW()-1,FALSE))</f>
        <v>0.91889797100000004</v>
      </c>
      <c r="M100">
        <f ca="1">IF(AND(ISNUMBER($M$293),$B$202=1),$M$293,HLOOKUP(INDIRECT(ADDRESS(2,COLUMN())),OFFSET($R$2,0,0,ROW()-1,12),ROW()-1,FALSE))</f>
        <v>0.99888706900000002</v>
      </c>
      <c r="N100">
        <f ca="1">IF(AND(ISNUMBER($N$293),$B$202=1),$N$293,HLOOKUP(INDIRECT(ADDRESS(2,COLUMN())),OFFSET($R$2,0,0,ROW()-1,12),ROW()-1,FALSE))</f>
        <v>0.97508433999999999</v>
      </c>
      <c r="O100">
        <f ca="1">IF(AND(ISNUMBER($O$293),$B$202=1),$O$293,HLOOKUP(INDIRECT(ADDRESS(2,COLUMN())),OFFSET($R$2,0,0,ROW()-1,12),ROW()-1,FALSE))</f>
        <v>0.99530980899999999</v>
      </c>
      <c r="P100">
        <f ca="1">IF(AND(ISNUMBER($P$293),$B$202=1),$P$293,HLOOKUP(INDIRECT(ADDRESS(2,COLUMN())),OFFSET($R$2,0,0,ROW()-1,12),ROW()-1,FALSE))</f>
        <v>0.99803074199999997</v>
      </c>
      <c r="Q100">
        <f ca="1">IF(AND(ISNUMBER($Q$293),$B$202=1),$Q$293,HLOOKUP(INDIRECT(ADDRESS(2,COLUMN())),OFFSET($R$2,0,0,ROW()-1,12),ROW()-1,FALSE))</f>
        <v>0.88328928900000003</v>
      </c>
      <c r="R100">
        <f>1.887255695</f>
        <v>1.8872556949999999</v>
      </c>
      <c r="S100">
        <f>1.385215308</f>
        <v>1.385215308</v>
      </c>
      <c r="T100">
        <f>1.088274521</f>
        <v>1.088274521</v>
      </c>
      <c r="U100">
        <f>1.187936184</f>
        <v>1.187936184</v>
      </c>
      <c r="V100">
        <f>1.017501419</f>
        <v>1.017501419</v>
      </c>
      <c r="W100">
        <f>1.073177975</f>
        <v>1.0731779749999999</v>
      </c>
      <c r="X100">
        <f>0.918897971</f>
        <v>0.91889797100000004</v>
      </c>
      <c r="Y100">
        <f>0.998887069</f>
        <v>0.99888706900000002</v>
      </c>
      <c r="Z100">
        <f>0.97508434</f>
        <v>0.97508433999999999</v>
      </c>
      <c r="AA100">
        <f>0.995309809</f>
        <v>0.99530980899999999</v>
      </c>
      <c r="AB100">
        <f>0.998030742</f>
        <v>0.99803074199999997</v>
      </c>
      <c r="AC100">
        <f>0.883289289</f>
        <v>0.88328928900000003</v>
      </c>
    </row>
    <row r="101" spans="1:29" x14ac:dyDescent="0.25">
      <c r="A101" t="str">
        <f>"    Cognizant Technology Solutions Corp"</f>
        <v xml:space="preserve">    Cognizant Technology Solutions Corp</v>
      </c>
      <c r="B101" t="str">
        <f>"CTSH US Equity"</f>
        <v>CTSH US Equity</v>
      </c>
      <c r="C101" t="str">
        <f t="shared" si="15"/>
        <v>RR052</v>
      </c>
      <c r="D101" t="str">
        <f t="shared" si="16"/>
        <v>TOT_DEBT_TO_EBITDA</v>
      </c>
      <c r="E101" t="str">
        <f t="shared" si="17"/>
        <v>Dynamic</v>
      </c>
      <c r="F101">
        <f ca="1">IF(AND(ISNUMBER($F$294),$B$202=1),$F$294,HLOOKUP(INDIRECT(ADDRESS(2,COLUMN())),OFFSET($R$2,0,0,ROW()-1,12),ROW()-1,FALSE))</f>
        <v>1.0595386529999999</v>
      </c>
      <c r="G101">
        <f ca="1">IF(AND(ISNUMBER($G$294),$B$202=1),$G$294,HLOOKUP(INDIRECT(ADDRESS(2,COLUMN())),OFFSET($R$2,0,0,ROW()-1,12),ROW()-1,FALSE))</f>
        <v>0.54060031600000003</v>
      </c>
      <c r="H101">
        <f ca="1">IF(AND(ISNUMBER($H$294),$B$202=1),$H$294,HLOOKUP(INDIRECT(ADDRESS(2,COLUMN())),OFFSET($R$2,0,0,ROW()-1,12),ROW()-1,FALSE))</f>
        <v>0.52904564300000001</v>
      </c>
      <c r="I101">
        <f ca="1">IF(AND(ISNUMBER($I$294),$B$202=1),$I$294,HLOOKUP(INDIRECT(ADDRESS(2,COLUMN())),OFFSET($R$2,0,0,ROW()-1,12),ROW()-1,FALSE))</f>
        <v>0.50923645299999998</v>
      </c>
      <c r="J101">
        <f ca="1">IF(AND(ISNUMBER($J$294),$B$202=1),$J$294,HLOOKUP(INDIRECT(ADDRESS(2,COLUMN())),OFFSET($R$2,0,0,ROW()-1,12),ROW()-1,FALSE))</f>
        <v>0.50964884499999996</v>
      </c>
      <c r="K101">
        <f ca="1">IF(AND(ISNUMBER($K$294),$B$202=1),$K$294,HLOOKUP(INDIRECT(ADDRESS(2,COLUMN())),OFFSET($R$2,0,0,ROW()-1,12),ROW()-1,FALSE))</f>
        <v>0.22582600799999999</v>
      </c>
      <c r="L101">
        <f ca="1">IF(AND(ISNUMBER($L$294),$B$202=1),$L$294,HLOOKUP(INDIRECT(ADDRESS(2,COLUMN())),OFFSET($R$2,0,0,ROW()-1,12),ROW()-1,FALSE))</f>
        <v>0.22249538999999999</v>
      </c>
      <c r="M101">
        <f ca="1">IF(AND(ISNUMBER($M$294),$B$202=1),$M$294,HLOOKUP(INDIRECT(ADDRESS(2,COLUMN())),OFFSET($R$2,0,0,ROW()-1,12),ROW()-1,FALSE))</f>
        <v>0.23823155200000001</v>
      </c>
      <c r="N101">
        <f ca="1">IF(AND(ISNUMBER($N$294),$B$202=1),$N$294,HLOOKUP(INDIRECT(ADDRESS(2,COLUMN())),OFFSET($R$2,0,0,ROW()-1,12),ROW()-1,FALSE))</f>
        <v>0.244310999</v>
      </c>
      <c r="O101">
        <f ca="1">IF(AND(ISNUMBER($O$294),$B$202=1),$O$294,HLOOKUP(INDIRECT(ADDRESS(2,COLUMN())),OFFSET($R$2,0,0,ROW()-1,12),ROW()-1,FALSE))</f>
        <v>0.288309115</v>
      </c>
      <c r="P101">
        <f ca="1">IF(AND(ISNUMBER($P$294),$B$202=1),$P$294,HLOOKUP(INDIRECT(ADDRESS(2,COLUMN())),OFFSET($R$2,0,0,ROW()-1,12),ROW()-1,FALSE))</f>
        <v>0.28272071500000001</v>
      </c>
      <c r="Q101">
        <f ca="1">IF(AND(ISNUMBER($Q$294),$B$202=1),$Q$294,HLOOKUP(INDIRECT(ADDRESS(2,COLUMN())),OFFSET($R$2,0,0,ROW()-1,12),ROW()-1,FALSE))</f>
        <v>0.35030045900000001</v>
      </c>
      <c r="R101">
        <f>1.059538653</f>
        <v>1.0595386529999999</v>
      </c>
      <c r="S101">
        <f>0.540600316</f>
        <v>0.54060031600000003</v>
      </c>
      <c r="T101">
        <f>0.529045643</f>
        <v>0.52904564300000001</v>
      </c>
      <c r="U101">
        <f>0.509236453</f>
        <v>0.50923645299999998</v>
      </c>
      <c r="V101">
        <f>0.509648845</f>
        <v>0.50964884499999996</v>
      </c>
      <c r="W101">
        <f>0.225826008</f>
        <v>0.22582600799999999</v>
      </c>
      <c r="X101">
        <f>0.22249539</f>
        <v>0.22249538999999999</v>
      </c>
      <c r="Y101">
        <f>0.238231552</f>
        <v>0.23823155200000001</v>
      </c>
      <c r="Z101">
        <f>0.244310999</f>
        <v>0.244310999</v>
      </c>
      <c r="AA101">
        <f>0.288309115</f>
        <v>0.288309115</v>
      </c>
      <c r="AB101">
        <f>0.282720715</f>
        <v>0.28272071500000001</v>
      </c>
      <c r="AC101">
        <f>0.350300459</f>
        <v>0.35030045900000001</v>
      </c>
    </row>
    <row r="102" spans="1:29" x14ac:dyDescent="0.25">
      <c r="A102" t="str">
        <f>"    Conduent Inc"</f>
        <v xml:space="preserve">    Conduent Inc</v>
      </c>
      <c r="B102" t="str">
        <f>"CNDT US Equity"</f>
        <v>CNDT US Equity</v>
      </c>
      <c r="C102" t="str">
        <f t="shared" si="15"/>
        <v>RR052</v>
      </c>
      <c r="D102" t="str">
        <f t="shared" si="16"/>
        <v>TOT_DEBT_TO_EBITDA</v>
      </c>
      <c r="E102" t="str">
        <f t="shared" si="17"/>
        <v>Dynamic</v>
      </c>
      <c r="F102" t="str">
        <f ca="1">IF(AND(ISNUMBER($F$295),$B$202=1),$F$295,HLOOKUP(INDIRECT(ADDRESS(2,COLUMN())),OFFSET($R$2,0,0,ROW()-1,12),ROW()-1,FALSE))</f>
        <v/>
      </c>
      <c r="G102" t="str">
        <f ca="1">IF(AND(ISNUMBER($G$295),$B$202=1),$G$295,HLOOKUP(INDIRECT(ADDRESS(2,COLUMN())),OFFSET($R$2,0,0,ROW()-1,12),ROW()-1,FALSE))</f>
        <v/>
      </c>
      <c r="H102" t="str">
        <f ca="1">IF(AND(ISNUMBER($H$295),$B$202=1),$H$295,HLOOKUP(INDIRECT(ADDRESS(2,COLUMN())),OFFSET($R$2,0,0,ROW()-1,12),ROW()-1,FALSE))</f>
        <v/>
      </c>
      <c r="I102" t="str">
        <f ca="1">IF(AND(ISNUMBER($I$295),$B$202=1),$I$295,HLOOKUP(INDIRECT(ADDRESS(2,COLUMN())),OFFSET($R$2,0,0,ROW()-1,12),ROW()-1,FALSE))</f>
        <v/>
      </c>
      <c r="J102" t="str">
        <f ca="1">IF(AND(ISNUMBER($J$295),$B$202=1),$J$295,HLOOKUP(INDIRECT(ADDRESS(2,COLUMN())),OFFSET($R$2,0,0,ROW()-1,12),ROW()-1,FALSE))</f>
        <v/>
      </c>
      <c r="K102">
        <f ca="1">IF(AND(ISNUMBER($K$295),$B$202=1),$K$295,HLOOKUP(INDIRECT(ADDRESS(2,COLUMN())),OFFSET($R$2,0,0,ROW()-1,12),ROW()-1,FALSE))</f>
        <v>8.8033707870000004</v>
      </c>
      <c r="L102">
        <f ca="1">IF(AND(ISNUMBER($L$295),$B$202=1),$L$295,HLOOKUP(INDIRECT(ADDRESS(2,COLUMN())),OFFSET($R$2,0,0,ROW()-1,12),ROW()-1,FALSE))</f>
        <v>4.6656804730000001</v>
      </c>
      <c r="M102">
        <f ca="1">IF(AND(ISNUMBER($M$295),$B$202=1),$M$295,HLOOKUP(INDIRECT(ADDRESS(2,COLUMN())),OFFSET($R$2,0,0,ROW()-1,12),ROW()-1,FALSE))</f>
        <v>3.2651757190000001</v>
      </c>
      <c r="N102">
        <f ca="1">IF(AND(ISNUMBER($N$295),$B$202=1),$N$295,HLOOKUP(INDIRECT(ADDRESS(2,COLUMN())),OFFSET($R$2,0,0,ROW()-1,12),ROW()-1,FALSE))</f>
        <v>3.6336283190000001</v>
      </c>
      <c r="O102">
        <f ca="1">IF(AND(ISNUMBER($O$295),$B$202=1),$O$295,HLOOKUP(INDIRECT(ADDRESS(2,COLUMN())),OFFSET($R$2,0,0,ROW()-1,12),ROW()-1,FALSE))</f>
        <v>3.3898026319999999</v>
      </c>
      <c r="P102" t="str">
        <f ca="1">IF(AND(ISNUMBER($P$295),$B$202=1),$P$295,HLOOKUP(INDIRECT(ADDRESS(2,COLUMN())),OFFSET($R$2,0,0,ROW()-1,12),ROW()-1,FALSE))</f>
        <v/>
      </c>
      <c r="Q102" t="str">
        <f ca="1">IF(AND(ISNUMBER($Q$295),$B$202=1),$Q$295,HLOOKUP(INDIRECT(ADDRESS(2,COLUMN())),OFFSET($R$2,0,0,ROW()-1,12),ROW()-1,FALSE))</f>
        <v/>
      </c>
      <c r="R102" t="str">
        <f>""</f>
        <v/>
      </c>
      <c r="S102" t="str">
        <f>""</f>
        <v/>
      </c>
      <c r="T102" t="str">
        <f>""</f>
        <v/>
      </c>
      <c r="U102" t="str">
        <f>""</f>
        <v/>
      </c>
      <c r="V102" t="str">
        <f>""</f>
        <v/>
      </c>
      <c r="W102">
        <f>8.803370787</f>
        <v>8.8033707870000004</v>
      </c>
      <c r="X102">
        <f>4.665680473</f>
        <v>4.6656804730000001</v>
      </c>
      <c r="Y102">
        <f>3.265175719</f>
        <v>3.2651757190000001</v>
      </c>
      <c r="Z102">
        <f>3.633628319</f>
        <v>3.6336283190000001</v>
      </c>
      <c r="AA102">
        <f>3.389802632</f>
        <v>3.3898026319999999</v>
      </c>
      <c r="AB102" t="str">
        <f>""</f>
        <v/>
      </c>
      <c r="AC102" t="str">
        <f>""</f>
        <v/>
      </c>
    </row>
    <row r="103" spans="1:29" x14ac:dyDescent="0.25">
      <c r="A103" t="str">
        <f>"    DXC Technology Co"</f>
        <v xml:space="preserve">    DXC Technology Co</v>
      </c>
      <c r="B103" t="str">
        <f>"DXC US Equity"</f>
        <v>DXC US Equity</v>
      </c>
      <c r="C103" t="str">
        <f t="shared" si="15"/>
        <v>RR052</v>
      </c>
      <c r="D103" t="str">
        <f t="shared" si="16"/>
        <v>TOT_DEBT_TO_EBITDA</v>
      </c>
      <c r="E103" t="str">
        <f t="shared" si="17"/>
        <v>Dynamic</v>
      </c>
      <c r="F103" t="str">
        <f ca="1">IF(AND(ISNUMBER($F$296),$B$202=1),$F$296,HLOOKUP(INDIRECT(ADDRESS(2,COLUMN())),OFFSET($R$2,0,0,ROW()-1,12),ROW()-1,FALSE))</f>
        <v/>
      </c>
      <c r="G103">
        <f ca="1">IF(AND(ISNUMBER($G$296),$B$202=1),$G$296,HLOOKUP(INDIRECT(ADDRESS(2,COLUMN())),OFFSET($R$2,0,0,ROW()-1,12),ROW()-1,FALSE))</f>
        <v>9.3142941700000002</v>
      </c>
      <c r="H103">
        <f ca="1">IF(AND(ISNUMBER($H$296),$B$202=1),$H$296,HLOOKUP(INDIRECT(ADDRESS(2,COLUMN())),OFFSET($R$2,0,0,ROW()-1,12),ROW()-1,FALSE))</f>
        <v>7.3549046320000002</v>
      </c>
      <c r="I103">
        <f ca="1">IF(AND(ISNUMBER($I$296),$B$202=1),$I$296,HLOOKUP(INDIRECT(ADDRESS(2,COLUMN())),OFFSET($R$2,0,0,ROW()-1,12),ROW()-1,FALSE))</f>
        <v>2.8723843969999998</v>
      </c>
      <c r="J103">
        <f ca="1">IF(AND(ISNUMBER($J$296),$B$202=1),$J$296,HLOOKUP(INDIRECT(ADDRESS(2,COLUMN())),OFFSET($R$2,0,0,ROW()-1,12),ROW()-1,FALSE))</f>
        <v>2.1748826289999998</v>
      </c>
      <c r="K103">
        <f ca="1">IF(AND(ISNUMBER($K$296),$B$202=1),$K$296,HLOOKUP(INDIRECT(ADDRESS(2,COLUMN())),OFFSET($R$2,0,0,ROW()-1,12),ROW()-1,FALSE))</f>
        <v>1.9994710389999999</v>
      </c>
      <c r="L103">
        <f ca="1">IF(AND(ISNUMBER($L$296),$B$202=1),$L$296,HLOOKUP(INDIRECT(ADDRESS(2,COLUMN())),OFFSET($R$2,0,0,ROW()-1,12),ROW()-1,FALSE))</f>
        <v>1.9064026039999999</v>
      </c>
      <c r="M103">
        <f ca="1">IF(AND(ISNUMBER($M$296),$B$202=1),$M$296,HLOOKUP(INDIRECT(ADDRESS(2,COLUMN())),OFFSET($R$2,0,0,ROW()-1,12),ROW()-1,FALSE))</f>
        <v>1.7284979170000001</v>
      </c>
      <c r="N103">
        <f ca="1">IF(AND(ISNUMBER($N$296),$B$202=1),$N$296,HLOOKUP(INDIRECT(ADDRESS(2,COLUMN())),OFFSET($R$2,0,0,ROW()-1,12),ROW()-1,FALSE))</f>
        <v>2.2120961060000002</v>
      </c>
      <c r="O103" t="str">
        <f ca="1">IF(AND(ISNUMBER($O$296),$B$202=1),$O$296,HLOOKUP(INDIRECT(ADDRESS(2,COLUMN())),OFFSET($R$2,0,0,ROW()-1,12),ROW()-1,FALSE))</f>
        <v/>
      </c>
      <c r="P103" t="str">
        <f ca="1">IF(AND(ISNUMBER($P$296),$B$202=1),$P$296,HLOOKUP(INDIRECT(ADDRESS(2,COLUMN())),OFFSET($R$2,0,0,ROW()-1,12),ROW()-1,FALSE))</f>
        <v/>
      </c>
      <c r="Q103" t="str">
        <f ca="1">IF(AND(ISNUMBER($Q$296),$B$202=1),$Q$296,HLOOKUP(INDIRECT(ADDRESS(2,COLUMN())),OFFSET($R$2,0,0,ROW()-1,12),ROW()-1,FALSE))</f>
        <v/>
      </c>
      <c r="R103" t="str">
        <f>""</f>
        <v/>
      </c>
      <c r="S103">
        <f>9.31429417</f>
        <v>9.3142941700000002</v>
      </c>
      <c r="T103">
        <f>7.354904632</f>
        <v>7.3549046320000002</v>
      </c>
      <c r="U103">
        <f>2.872384397</f>
        <v>2.8723843969999998</v>
      </c>
      <c r="V103">
        <f>2.174882629</f>
        <v>2.1748826289999998</v>
      </c>
      <c r="W103">
        <f>1.999471039</f>
        <v>1.9994710389999999</v>
      </c>
      <c r="X103">
        <f>1.906402604</f>
        <v>1.9064026039999999</v>
      </c>
      <c r="Y103">
        <f>1.728497917</f>
        <v>1.7284979170000001</v>
      </c>
      <c r="Z103">
        <f>2.212096106</f>
        <v>2.2120961060000002</v>
      </c>
      <c r="AA103" t="str">
        <f>""</f>
        <v/>
      </c>
      <c r="AB103" t="str">
        <f>""</f>
        <v/>
      </c>
      <c r="AC103" t="str">
        <f>""</f>
        <v/>
      </c>
    </row>
    <row r="104" spans="1:29" x14ac:dyDescent="0.25">
      <c r="A104" t="str">
        <f>"    EPAM Systems Inc"</f>
        <v xml:space="preserve">    EPAM Systems Inc</v>
      </c>
      <c r="B104" t="str">
        <f>"EPAM US Equity"</f>
        <v>EPAM US Equity</v>
      </c>
      <c r="C104" t="str">
        <f t="shared" si="15"/>
        <v>RR052</v>
      </c>
      <c r="D104" t="str">
        <f t="shared" si="16"/>
        <v>TOT_DEBT_TO_EBITDA</v>
      </c>
      <c r="E104" t="str">
        <f t="shared" si="17"/>
        <v>Dynamic</v>
      </c>
      <c r="F104">
        <f ca="1">IF(AND(ISNUMBER($F$297),$B$202=1),$F$297,HLOOKUP(INDIRECT(ADDRESS(2,COLUMN())),OFFSET($R$2,0,0,ROW()-1,12),ROW()-1,FALSE))</f>
        <v>0.62026074499999995</v>
      </c>
      <c r="G104">
        <f ca="1">IF(AND(ISNUMBER($G$297),$B$202=1),$G$297,HLOOKUP(INDIRECT(ADDRESS(2,COLUMN())),OFFSET($R$2,0,0,ROW()-1,12),ROW()-1,FALSE))</f>
        <v>0.64367681300000001</v>
      </c>
      <c r="H104">
        <f ca="1">IF(AND(ISNUMBER($H$297),$B$202=1),$H$297,HLOOKUP(INDIRECT(ADDRESS(2,COLUMN())),OFFSET($R$2,0,0,ROW()-1,12),ROW()-1,FALSE))</f>
        <v>0.58043338600000005</v>
      </c>
      <c r="I104">
        <f ca="1">IF(AND(ISNUMBER($I$297),$B$202=1),$I$297,HLOOKUP(INDIRECT(ADDRESS(2,COLUMN())),OFFSET($R$2,0,0,ROW()-1,12),ROW()-1,FALSE))</f>
        <v>0.61412590899999997</v>
      </c>
      <c r="J104">
        <f ca="1">IF(AND(ISNUMBER($J$297),$B$202=1),$J$297,HLOOKUP(INDIRECT(ADDRESS(2,COLUMN())),OFFSET($R$2,0,0,ROW()-1,12),ROW()-1,FALSE))</f>
        <v>0.54546251899999998</v>
      </c>
      <c r="K104">
        <f ca="1">IF(AND(ISNUMBER($K$297),$B$202=1),$K$297,HLOOKUP(INDIRECT(ADDRESS(2,COLUMN())),OFFSET($R$2,0,0,ROW()-1,12),ROW()-1,FALSE))</f>
        <v>8.8635430000000001E-2</v>
      </c>
      <c r="L104">
        <f ca="1">IF(AND(ISNUMBER($L$297),$B$202=1),$L$297,HLOOKUP(INDIRECT(ADDRESS(2,COLUMN())),OFFSET($R$2,0,0,ROW()-1,12),ROW()-1,FALSE))</f>
        <v>9.8653117999999998E-2</v>
      </c>
      <c r="M104">
        <f ca="1">IF(AND(ISNUMBER($M$297),$B$202=1),$M$297,HLOOKUP(INDIRECT(ADDRESS(2,COLUMN())),OFFSET($R$2,0,0,ROW()-1,12),ROW()-1,FALSE))</f>
        <v>0.105909245</v>
      </c>
      <c r="N104">
        <f ca="1">IF(AND(ISNUMBER($N$297),$B$202=1),$N$297,HLOOKUP(INDIRECT(ADDRESS(2,COLUMN())),OFFSET($R$2,0,0,ROW()-1,12),ROW()-1,FALSE))</f>
        <v>0.113367128</v>
      </c>
      <c r="O104">
        <f ca="1">IF(AND(ISNUMBER($O$297),$B$202=1),$O$297,HLOOKUP(INDIRECT(ADDRESS(2,COLUMN())),OFFSET($R$2,0,0,ROW()-1,12),ROW()-1,FALSE))</f>
        <v>0.124228319</v>
      </c>
      <c r="P104">
        <f ca="1">IF(AND(ISNUMBER($P$297),$B$202=1),$P$297,HLOOKUP(INDIRECT(ADDRESS(2,COLUMN())),OFFSET($R$2,0,0,ROW()-1,12),ROW()-1,FALSE))</f>
        <v>0.13507783900000001</v>
      </c>
      <c r="Q104">
        <f ca="1">IF(AND(ISNUMBER($Q$297),$B$202=1),$Q$297,HLOOKUP(INDIRECT(ADDRESS(2,COLUMN())),OFFSET($R$2,0,0,ROW()-1,12),ROW()-1,FALSE))</f>
        <v>0.14831118500000001</v>
      </c>
      <c r="R104">
        <f>0.620260745</f>
        <v>0.62026074499999995</v>
      </c>
      <c r="S104">
        <f>0.643676813</f>
        <v>0.64367681300000001</v>
      </c>
      <c r="T104">
        <f>0.580433386</f>
        <v>0.58043338600000005</v>
      </c>
      <c r="U104">
        <f>0.614125909</f>
        <v>0.61412590899999997</v>
      </c>
      <c r="V104">
        <f>0.545462519</f>
        <v>0.54546251899999998</v>
      </c>
      <c r="W104">
        <f>0.08863543</f>
        <v>8.8635430000000001E-2</v>
      </c>
      <c r="X104">
        <f>0.098653118</f>
        <v>9.8653117999999998E-2</v>
      </c>
      <c r="Y104">
        <f>0.105909245</f>
        <v>0.105909245</v>
      </c>
      <c r="Z104">
        <f>0.113367128</f>
        <v>0.113367128</v>
      </c>
      <c r="AA104">
        <f>0.124228319</f>
        <v>0.124228319</v>
      </c>
      <c r="AB104">
        <f>0.135077839</f>
        <v>0.13507783900000001</v>
      </c>
      <c r="AC104">
        <f>0.148311185</f>
        <v>0.14831118500000001</v>
      </c>
    </row>
    <row r="105" spans="1:29" x14ac:dyDescent="0.25">
      <c r="A105" t="str">
        <f>"    Genpact Ltd"</f>
        <v xml:space="preserve">    Genpact Ltd</v>
      </c>
      <c r="B105" t="str">
        <f>"G US Equity"</f>
        <v>G US Equity</v>
      </c>
      <c r="C105" t="str">
        <f t="shared" si="15"/>
        <v>RR052</v>
      </c>
      <c r="D105" t="str">
        <f t="shared" si="16"/>
        <v>TOT_DEBT_TO_EBITDA</v>
      </c>
      <c r="E105" t="str">
        <f t="shared" si="17"/>
        <v>Dynamic</v>
      </c>
      <c r="F105">
        <f ca="1">IF(AND(ISNUMBER($F$298),$B$202=1),$F$298,HLOOKUP(INDIRECT(ADDRESS(2,COLUMN())),OFFSET($R$2,0,0,ROW()-1,12),ROW()-1,FALSE))</f>
        <v>2.9941495100000002</v>
      </c>
      <c r="G105">
        <f ca="1">IF(AND(ISNUMBER($G$298),$B$202=1),$G$298,HLOOKUP(INDIRECT(ADDRESS(2,COLUMN())),OFFSET($R$2,0,0,ROW()-1,12),ROW()-1,FALSE))</f>
        <v>2.8987534089999998</v>
      </c>
      <c r="H105">
        <f ca="1">IF(AND(ISNUMBER($H$298),$B$202=1),$H$298,HLOOKUP(INDIRECT(ADDRESS(2,COLUMN())),OFFSET($R$2,0,0,ROW()-1,12),ROW()-1,FALSE))</f>
        <v>2.6084972749999999</v>
      </c>
      <c r="I105">
        <f ca="1">IF(AND(ISNUMBER($I$298),$B$202=1),$I$298,HLOOKUP(INDIRECT(ADDRESS(2,COLUMN())),OFFSET($R$2,0,0,ROW()-1,12),ROW()-1,FALSE))</f>
        <v>2.8362987300000002</v>
      </c>
      <c r="J105">
        <f ca="1">IF(AND(ISNUMBER($J$298),$B$202=1),$J$298,HLOOKUP(INDIRECT(ADDRESS(2,COLUMN())),OFFSET($R$2,0,0,ROW()-1,12),ROW()-1,FALSE))</f>
        <v>3.05335702</v>
      </c>
      <c r="K105">
        <f ca="1">IF(AND(ISNUMBER($K$298),$B$202=1),$K$298,HLOOKUP(INDIRECT(ADDRESS(2,COLUMN())),OFFSET($R$2,0,0,ROW()-1,12),ROW()-1,FALSE))</f>
        <v>2.8860690020000002</v>
      </c>
      <c r="L105">
        <f ca="1">IF(AND(ISNUMBER($L$298),$B$202=1),$L$298,HLOOKUP(INDIRECT(ADDRESS(2,COLUMN())),OFFSET($R$2,0,0,ROW()-1,12),ROW()-1,FALSE))</f>
        <v>3.2527171159999999</v>
      </c>
      <c r="M105">
        <f ca="1">IF(AND(ISNUMBER($M$298),$B$202=1),$M$298,HLOOKUP(INDIRECT(ADDRESS(2,COLUMN())),OFFSET($R$2,0,0,ROW()-1,12),ROW()-1,FALSE))</f>
        <v>2.9712700070000002</v>
      </c>
      <c r="N105">
        <f ca="1">IF(AND(ISNUMBER($N$298),$B$202=1),$N$298,HLOOKUP(INDIRECT(ADDRESS(2,COLUMN())),OFFSET($R$2,0,0,ROW()-1,12),ROW()-1,FALSE))</f>
        <v>3.1577025889999999</v>
      </c>
      <c r="O105">
        <f ca="1">IF(AND(ISNUMBER($O$298),$B$202=1),$O$298,HLOOKUP(INDIRECT(ADDRESS(2,COLUMN())),OFFSET($R$2,0,0,ROW()-1,12),ROW()-1,FALSE))</f>
        <v>2.852956635</v>
      </c>
      <c r="P105">
        <f ca="1">IF(AND(ISNUMBER($P$298),$B$202=1),$P$298,HLOOKUP(INDIRECT(ADDRESS(2,COLUMN())),OFFSET($R$2,0,0,ROW()-1,12),ROW()-1,FALSE))</f>
        <v>2.727292104</v>
      </c>
      <c r="Q105">
        <f ca="1">IF(AND(ISNUMBER($Q$298),$B$202=1),$Q$298,HLOOKUP(INDIRECT(ADDRESS(2,COLUMN())),OFFSET($R$2,0,0,ROW()-1,12),ROW()-1,FALSE))</f>
        <v>2.951999163</v>
      </c>
      <c r="R105">
        <f>2.99414951</f>
        <v>2.9941495100000002</v>
      </c>
      <c r="S105">
        <f>2.898753409</f>
        <v>2.8987534089999998</v>
      </c>
      <c r="T105">
        <f>2.608497275</f>
        <v>2.6084972749999999</v>
      </c>
      <c r="U105">
        <f>2.83629873</f>
        <v>2.8362987300000002</v>
      </c>
      <c r="V105">
        <f>3.05335702</f>
        <v>3.05335702</v>
      </c>
      <c r="W105">
        <f>2.886069002</f>
        <v>2.8860690020000002</v>
      </c>
      <c r="X105">
        <f>3.252717116</f>
        <v>3.2527171159999999</v>
      </c>
      <c r="Y105">
        <f>2.971270007</f>
        <v>2.9712700070000002</v>
      </c>
      <c r="Z105">
        <f>3.157702589</f>
        <v>3.1577025889999999</v>
      </c>
      <c r="AA105">
        <f>2.852956635</f>
        <v>2.852956635</v>
      </c>
      <c r="AB105">
        <f>2.727292104</f>
        <v>2.727292104</v>
      </c>
      <c r="AC105">
        <f>2.951999163</f>
        <v>2.951999163</v>
      </c>
    </row>
    <row r="106" spans="1:29" x14ac:dyDescent="0.25">
      <c r="A106" t="str">
        <f>"    HCL Technologies Ltd"</f>
        <v xml:space="preserve">    HCL Technologies Ltd</v>
      </c>
      <c r="B106" t="str">
        <f>"HCLT IN Equity"</f>
        <v>HCLT IN Equity</v>
      </c>
      <c r="C106" t="str">
        <f t="shared" si="15"/>
        <v>RR052</v>
      </c>
      <c r="D106" t="str">
        <f t="shared" si="16"/>
        <v>TOT_DEBT_TO_EBITDA</v>
      </c>
      <c r="E106" t="str">
        <f t="shared" si="17"/>
        <v>Dynamic</v>
      </c>
      <c r="F106">
        <f ca="1">IF(AND(ISNUMBER($F$299),$B$202=1),$F$299,HLOOKUP(INDIRECT(ADDRESS(2,COLUMN())),OFFSET($R$2,0,0,ROW()-1,12),ROW()-1,FALSE))</f>
        <v>0.450200879</v>
      </c>
      <c r="G106">
        <f ca="1">IF(AND(ISNUMBER($G$299),$B$202=1),$G$299,HLOOKUP(INDIRECT(ADDRESS(2,COLUMN())),OFFSET($R$2,0,0,ROW()-1,12),ROW()-1,FALSE))</f>
        <v>0.40505183099999997</v>
      </c>
      <c r="H106">
        <f ca="1">IF(AND(ISNUMBER($H$299),$B$202=1),$H$299,HLOOKUP(INDIRECT(ADDRESS(2,COLUMN())),OFFSET($R$2,0,0,ROW()-1,12),ROW()-1,FALSE))</f>
        <v>0.43781379999999998</v>
      </c>
      <c r="I106">
        <f ca="1">IF(AND(ISNUMBER($I$299),$B$202=1),$I$299,HLOOKUP(INDIRECT(ADDRESS(2,COLUMN())),OFFSET($R$2,0,0,ROW()-1,12),ROW()-1,FALSE))</f>
        <v>0.28809071800000002</v>
      </c>
      <c r="J106">
        <f ca="1">IF(AND(ISNUMBER($J$299),$B$202=1),$J$299,HLOOKUP(INDIRECT(ADDRESS(2,COLUMN())),OFFSET($R$2,0,0,ROW()-1,12),ROW()-1,FALSE))</f>
        <v>0.30492914599999998</v>
      </c>
      <c r="K106">
        <f ca="1">IF(AND(ISNUMBER($K$299),$B$202=1),$K$299,HLOOKUP(INDIRECT(ADDRESS(2,COLUMN())),OFFSET($R$2,0,0,ROW()-1,12),ROW()-1,FALSE))</f>
        <v>0.285810385</v>
      </c>
      <c r="L106">
        <f ca="1">IF(AND(ISNUMBER($L$299),$B$202=1),$L$299,HLOOKUP(INDIRECT(ADDRESS(2,COLUMN())),OFFSET($R$2,0,0,ROW()-1,12),ROW()-1,FALSE))</f>
        <v>0.22327580299999999</v>
      </c>
      <c r="M106">
        <f ca="1">IF(AND(ISNUMBER($M$299),$B$202=1),$M$299,HLOOKUP(INDIRECT(ADDRESS(2,COLUMN())),OFFSET($R$2,0,0,ROW()-1,12),ROW()-1,FALSE))</f>
        <v>2.8505330999999998E-2</v>
      </c>
      <c r="N106">
        <f ca="1">IF(AND(ISNUMBER($N$299),$B$202=1),$N$299,HLOOKUP(INDIRECT(ADDRESS(2,COLUMN())),OFFSET($R$2,0,0,ROW()-1,12),ROW()-1,FALSE))</f>
        <v>4.3479642999999998E-2</v>
      </c>
      <c r="O106">
        <f ca="1">IF(AND(ISNUMBER($O$299),$B$202=1),$O$299,HLOOKUP(INDIRECT(ADDRESS(2,COLUMN())),OFFSET($R$2,0,0,ROW()-1,12),ROW()-1,FALSE))</f>
        <v>4.6616787999999999E-2</v>
      </c>
      <c r="P106">
        <f ca="1">IF(AND(ISNUMBER($P$299),$B$202=1),$P$299,HLOOKUP(INDIRECT(ADDRESS(2,COLUMN())),OFFSET($R$2,0,0,ROW()-1,12),ROW()-1,FALSE))</f>
        <v>6.7878260999999995E-2</v>
      </c>
      <c r="Q106">
        <f ca="1">IF(AND(ISNUMBER($Q$299),$B$202=1),$Q$299,HLOOKUP(INDIRECT(ADDRESS(2,COLUMN())),OFFSET($R$2,0,0,ROW()-1,12),ROW()-1,FALSE))</f>
        <v>5.5511029000000003E-2</v>
      </c>
      <c r="R106">
        <f>0.450200879</f>
        <v>0.450200879</v>
      </c>
      <c r="S106">
        <f>0.405051831</f>
        <v>0.40505183099999997</v>
      </c>
      <c r="T106">
        <f>0.4378138</f>
        <v>0.43781379999999998</v>
      </c>
      <c r="U106">
        <f>0.288090718</f>
        <v>0.28809071800000002</v>
      </c>
      <c r="V106">
        <f>0.304929146</f>
        <v>0.30492914599999998</v>
      </c>
      <c r="W106">
        <f>0.285810385</f>
        <v>0.285810385</v>
      </c>
      <c r="X106">
        <f>0.223275803</f>
        <v>0.22327580299999999</v>
      </c>
      <c r="Y106">
        <f>0.028505331</f>
        <v>2.8505330999999998E-2</v>
      </c>
      <c r="Z106">
        <f>0.043479643</f>
        <v>4.3479642999999998E-2</v>
      </c>
      <c r="AA106">
        <f>0.046616788</f>
        <v>4.6616787999999999E-2</v>
      </c>
      <c r="AB106">
        <f>0.067878261</f>
        <v>6.7878260999999995E-2</v>
      </c>
      <c r="AC106">
        <f>0.055511029</f>
        <v>5.5511029000000003E-2</v>
      </c>
    </row>
    <row r="107" spans="1:29" x14ac:dyDescent="0.25">
      <c r="A107" t="str">
        <f>"    Indra Sistemas SA"</f>
        <v xml:space="preserve">    Indra Sistemas SA</v>
      </c>
      <c r="B107" t="str">
        <f>"IDR SM Equity"</f>
        <v>IDR SM Equity</v>
      </c>
      <c r="C107" t="str">
        <f t="shared" si="15"/>
        <v>RR052</v>
      </c>
      <c r="D107" t="str">
        <f t="shared" si="16"/>
        <v>TOT_DEBT_TO_EBITDA</v>
      </c>
      <c r="E107" t="str">
        <f t="shared" si="17"/>
        <v>Dynamic</v>
      </c>
      <c r="F107">
        <f ca="1">IF(AND(ISNUMBER($F$300),$B$202=1),$F$300,HLOOKUP(INDIRECT(ADDRESS(2,COLUMN())),OFFSET($R$2,0,0,ROW()-1,12),ROW()-1,FALSE))</f>
        <v>4.6769170530000004</v>
      </c>
      <c r="G107">
        <f ca="1">IF(AND(ISNUMBER($G$300),$B$202=1),$G$300,HLOOKUP(INDIRECT(ADDRESS(2,COLUMN())),OFFSET($R$2,0,0,ROW()-1,12),ROW()-1,FALSE))</f>
        <v>4.6041347799999999</v>
      </c>
      <c r="H107">
        <f ca="1">IF(AND(ISNUMBER($H$300),$B$202=1),$H$300,HLOOKUP(INDIRECT(ADDRESS(2,COLUMN())),OFFSET($R$2,0,0,ROW()-1,12),ROW()-1,FALSE))</f>
        <v>4.6575013150000002</v>
      </c>
      <c r="I107">
        <f ca="1">IF(AND(ISNUMBER($I$300),$B$202=1),$I$300,HLOOKUP(INDIRECT(ADDRESS(2,COLUMN())),OFFSET($R$2,0,0,ROW()-1,12),ROW()-1,FALSE))</f>
        <v>5.1692380130000002</v>
      </c>
      <c r="J107">
        <f ca="1">IF(AND(ISNUMBER($J$300),$B$202=1),$J$300,HLOOKUP(INDIRECT(ADDRESS(2,COLUMN())),OFFSET($R$2,0,0,ROW()-1,12),ROW()-1,FALSE))</f>
        <v>4.540798691</v>
      </c>
      <c r="K107">
        <f ca="1">IF(AND(ISNUMBER($K$300),$B$202=1),$K$300,HLOOKUP(INDIRECT(ADDRESS(2,COLUMN())),OFFSET($R$2,0,0,ROW()-1,12),ROW()-1,FALSE))</f>
        <v>4.7808941410000001</v>
      </c>
      <c r="L107">
        <f ca="1">IF(AND(ISNUMBER($L$300),$B$202=1),$L$300,HLOOKUP(INDIRECT(ADDRESS(2,COLUMN())),OFFSET($R$2,0,0,ROW()-1,12),ROW()-1,FALSE))</f>
        <v>5.5363830729999997</v>
      </c>
      <c r="M107">
        <f ca="1">IF(AND(ISNUMBER($M$300),$B$202=1),$M$300,HLOOKUP(INDIRECT(ADDRESS(2,COLUMN())),OFFSET($R$2,0,0,ROW()-1,12),ROW()-1,FALSE))</f>
        <v>5.8263690620000004</v>
      </c>
      <c r="N107">
        <f ca="1">IF(AND(ISNUMBER($N$300),$B$202=1),$N$300,HLOOKUP(INDIRECT(ADDRESS(2,COLUMN())),OFFSET($R$2,0,0,ROW()-1,12),ROW()-1,FALSE))</f>
        <v>5.0877298360000003</v>
      </c>
      <c r="O107">
        <f ca="1">IF(AND(ISNUMBER($O$300),$B$202=1),$O$300,HLOOKUP(INDIRECT(ADDRESS(2,COLUMN())),OFFSET($R$2,0,0,ROW()-1,12),ROW()-1,FALSE))</f>
        <v>4.8362047590000001</v>
      </c>
      <c r="P107">
        <f ca="1">IF(AND(ISNUMBER($P$300),$B$202=1),$P$300,HLOOKUP(INDIRECT(ADDRESS(2,COLUMN())),OFFSET($R$2,0,0,ROW()-1,12),ROW()-1,FALSE))</f>
        <v>5.2902646139999998</v>
      </c>
      <c r="Q107">
        <f ca="1">IF(AND(ISNUMBER($Q$300),$B$202=1),$Q$300,HLOOKUP(INDIRECT(ADDRESS(2,COLUMN())),OFFSET($R$2,0,0,ROW()-1,12),ROW()-1,FALSE))</f>
        <v>5.7805899150000002</v>
      </c>
      <c r="R107">
        <f>4.676917053</f>
        <v>4.6769170530000004</v>
      </c>
      <c r="S107">
        <f>4.60413478</f>
        <v>4.6041347799999999</v>
      </c>
      <c r="T107">
        <f>4.657501315</f>
        <v>4.6575013150000002</v>
      </c>
      <c r="U107">
        <f>5.169238013</f>
        <v>5.1692380130000002</v>
      </c>
      <c r="V107">
        <f>4.540798691</f>
        <v>4.540798691</v>
      </c>
      <c r="W107">
        <f>4.780894141</f>
        <v>4.7808941410000001</v>
      </c>
      <c r="X107">
        <f>5.536383073</f>
        <v>5.5363830729999997</v>
      </c>
      <c r="Y107">
        <f>5.826369062</f>
        <v>5.8263690620000004</v>
      </c>
      <c r="Z107">
        <f>5.087729836</f>
        <v>5.0877298360000003</v>
      </c>
      <c r="AA107">
        <f>4.836204759</f>
        <v>4.8362047590000001</v>
      </c>
      <c r="AB107">
        <f>5.290264614</f>
        <v>5.2902646139999998</v>
      </c>
      <c r="AC107">
        <f>5.780589915</f>
        <v>5.7805899150000002</v>
      </c>
    </row>
    <row r="108" spans="1:29" x14ac:dyDescent="0.25">
      <c r="A108" t="str">
        <f>"    Infosys Ltd"</f>
        <v xml:space="preserve">    Infosys Ltd</v>
      </c>
      <c r="B108" t="str">
        <f>"INFY US Equity"</f>
        <v>INFY US Equity</v>
      </c>
      <c r="C108" t="str">
        <f t="shared" si="15"/>
        <v>RR052</v>
      </c>
      <c r="D108" t="str">
        <f t="shared" si="16"/>
        <v>TOT_DEBT_TO_EBITDA</v>
      </c>
      <c r="E108" t="str">
        <f t="shared" si="17"/>
        <v>Dynamic</v>
      </c>
      <c r="F108">
        <f ca="1">IF(AND(ISNUMBER($F$301),$B$202=1),$F$301,HLOOKUP(INDIRECT(ADDRESS(2,COLUMN())),OFFSET($R$2,0,0,ROW()-1,12),ROW()-1,FALSE))</f>
        <v>0.20806574799999999</v>
      </c>
      <c r="G108">
        <f ca="1">IF(AND(ISNUMBER($G$301),$B$202=1),$G$301,HLOOKUP(INDIRECT(ADDRESS(2,COLUMN())),OFFSET($R$2,0,0,ROW()-1,12),ROW()-1,FALSE))</f>
        <v>0.19057037700000001</v>
      </c>
      <c r="H108">
        <f ca="1">IF(AND(ISNUMBER($H$301),$B$202=1),$H$301,HLOOKUP(INDIRECT(ADDRESS(2,COLUMN())),OFFSET($R$2,0,0,ROW()-1,12),ROW()-1,FALSE))</f>
        <v>0.190960187</v>
      </c>
      <c r="I108">
        <f ca="1">IF(AND(ISNUMBER($I$301),$B$202=1),$I$301,HLOOKUP(INDIRECT(ADDRESS(2,COLUMN())),OFFSET($R$2,0,0,ROW()-1,12),ROW()-1,FALSE))</f>
        <v>0.18187858900000001</v>
      </c>
      <c r="J108">
        <f ca="1">IF(AND(ISNUMBER($J$301),$B$202=1),$J$301,HLOOKUP(INDIRECT(ADDRESS(2,COLUMN())),OFFSET($R$2,0,0,ROW()-1,12),ROW()-1,FALSE))</f>
        <v>0</v>
      </c>
      <c r="K108">
        <f ca="1">IF(AND(ISNUMBER($K$301),$B$202=1),$K$301,HLOOKUP(INDIRECT(ADDRESS(2,COLUMN())),OFFSET($R$2,0,0,ROW()-1,12),ROW()-1,FALSE))</f>
        <v>0</v>
      </c>
      <c r="L108">
        <f ca="1">IF(AND(ISNUMBER($L$301),$B$202=1),$L$301,HLOOKUP(INDIRECT(ADDRESS(2,COLUMN())),OFFSET($R$2,0,0,ROW()-1,12),ROW()-1,FALSE))</f>
        <v>0</v>
      </c>
      <c r="M108">
        <f ca="1">IF(AND(ISNUMBER($M$301),$B$202=1),$M$301,HLOOKUP(INDIRECT(ADDRESS(2,COLUMN())),OFFSET($R$2,0,0,ROW()-1,12),ROW()-1,FALSE))</f>
        <v>0</v>
      </c>
      <c r="N108">
        <f ca="1">IF(AND(ISNUMBER($N$301),$B$202=1),$N$301,HLOOKUP(INDIRECT(ADDRESS(2,COLUMN())),OFFSET($R$2,0,0,ROW()-1,12),ROW()-1,FALSE))</f>
        <v>0</v>
      </c>
      <c r="O108">
        <f ca="1">IF(AND(ISNUMBER($O$301),$B$202=1),$O$301,HLOOKUP(INDIRECT(ADDRESS(2,COLUMN())),OFFSET($R$2,0,0,ROW()-1,12),ROW()-1,FALSE))</f>
        <v>0</v>
      </c>
      <c r="P108">
        <f ca="1">IF(AND(ISNUMBER($P$301),$B$202=1),$P$301,HLOOKUP(INDIRECT(ADDRESS(2,COLUMN())),OFFSET($R$2,0,0,ROW()-1,12),ROW()-1,FALSE))</f>
        <v>0</v>
      </c>
      <c r="Q108">
        <f ca="1">IF(AND(ISNUMBER($Q$301),$B$202=1),$Q$301,HLOOKUP(INDIRECT(ADDRESS(2,COLUMN())),OFFSET($R$2,0,0,ROW()-1,12),ROW()-1,FALSE))</f>
        <v>0</v>
      </c>
      <c r="R108">
        <f>0.208065748</f>
        <v>0.20806574799999999</v>
      </c>
      <c r="S108">
        <f>0.190570377</f>
        <v>0.19057037700000001</v>
      </c>
      <c r="T108">
        <f>0.190960187</f>
        <v>0.190960187</v>
      </c>
      <c r="U108">
        <f>0.181878589</f>
        <v>0.18187858900000001</v>
      </c>
      <c r="V108">
        <f>0</f>
        <v>0</v>
      </c>
      <c r="W108">
        <f>0</f>
        <v>0</v>
      </c>
      <c r="X108">
        <f>0</f>
        <v>0</v>
      </c>
      <c r="Y108">
        <f>0</f>
        <v>0</v>
      </c>
      <c r="Z108">
        <f>0</f>
        <v>0</v>
      </c>
      <c r="AA108">
        <f>0</f>
        <v>0</v>
      </c>
      <c r="AB108">
        <f>0</f>
        <v>0</v>
      </c>
      <c r="AC108">
        <f>0</f>
        <v>0</v>
      </c>
    </row>
    <row r="109" spans="1:29" x14ac:dyDescent="0.25">
      <c r="A109" t="str">
        <f>"    International Business Machines Corp"</f>
        <v xml:space="preserve">    International Business Machines Corp</v>
      </c>
      <c r="B109" t="str">
        <f>"IBM US Equity"</f>
        <v>IBM US Equity</v>
      </c>
      <c r="C109" t="str">
        <f t="shared" si="15"/>
        <v>RR052</v>
      </c>
      <c r="D109" t="str">
        <f t="shared" si="16"/>
        <v>TOT_DEBT_TO_EBITDA</v>
      </c>
      <c r="E109" t="str">
        <f t="shared" si="17"/>
        <v>Dynamic</v>
      </c>
      <c r="F109">
        <f ca="1">IF(AND(ISNUMBER($F$302),$B$202=1),$F$302,HLOOKUP(INDIRECT(ADDRESS(2,COLUMN())),OFFSET($R$2,0,0,ROW()-1,12),ROW()-1,FALSE))</f>
        <v>4.3938128680000004</v>
      </c>
      <c r="G109">
        <f ca="1">IF(AND(ISNUMBER($G$302),$B$202=1),$G$302,HLOOKUP(INDIRECT(ADDRESS(2,COLUMN())),OFFSET($R$2,0,0,ROW()-1,12),ROW()-1,FALSE))</f>
        <v>3.8772398890000002</v>
      </c>
      <c r="H109">
        <f ca="1">IF(AND(ISNUMBER($H$302),$B$202=1),$H$302,HLOOKUP(INDIRECT(ADDRESS(2,COLUMN())),OFFSET($R$2,0,0,ROW()-1,12),ROW()-1,FALSE))</f>
        <v>3.7156025819999998</v>
      </c>
      <c r="I109">
        <f ca="1">IF(AND(ISNUMBER($I$302),$B$202=1),$I$302,HLOOKUP(INDIRECT(ADDRESS(2,COLUMN())),OFFSET($R$2,0,0,ROW()-1,12),ROW()-1,FALSE))</f>
        <v>3.895052717</v>
      </c>
      <c r="J109">
        <f ca="1">IF(AND(ISNUMBER($J$302),$B$202=1),$J$302,HLOOKUP(INDIRECT(ADDRESS(2,COLUMN())),OFFSET($R$2,0,0,ROW()-1,12),ROW()-1,FALSE))</f>
        <v>2.4142460589999999</v>
      </c>
      <c r="K109">
        <f ca="1">IF(AND(ISNUMBER($K$302),$B$202=1),$K$302,HLOOKUP(INDIRECT(ADDRESS(2,COLUMN())),OFFSET($R$2,0,0,ROW()-1,12),ROW()-1,FALSE))</f>
        <v>2.5760233920000002</v>
      </c>
      <c r="L109">
        <f ca="1">IF(AND(ISNUMBER($L$302),$B$202=1),$L$302,HLOOKUP(INDIRECT(ADDRESS(2,COLUMN())),OFFSET($R$2,0,0,ROW()-1,12),ROW()-1,FALSE))</f>
        <v>2.2757674209999998</v>
      </c>
      <c r="M109">
        <f ca="1">IF(AND(ISNUMBER($M$302),$B$202=1),$M$302,HLOOKUP(INDIRECT(ADDRESS(2,COLUMN())),OFFSET($R$2,0,0,ROW()-1,12),ROW()-1,FALSE))</f>
        <v>2.2352672450000002</v>
      </c>
      <c r="N109">
        <f ca="1">IF(AND(ISNUMBER($N$302),$B$202=1),$N$302,HLOOKUP(INDIRECT(ADDRESS(2,COLUMN())),OFFSET($R$2,0,0,ROW()-1,12),ROW()-1,FALSE))</f>
        <v>2.4934045230000002</v>
      </c>
      <c r="O109">
        <f ca="1">IF(AND(ISNUMBER($O$302),$B$202=1),$O$302,HLOOKUP(INDIRECT(ADDRESS(2,COLUMN())),OFFSET($R$2,0,0,ROW()-1,12),ROW()-1,FALSE))</f>
        <v>2.5313970270000001</v>
      </c>
      <c r="P109">
        <f ca="1">IF(AND(ISNUMBER($P$302),$B$202=1),$P$302,HLOOKUP(INDIRECT(ADDRESS(2,COLUMN())),OFFSET($R$2,0,0,ROW()-1,12),ROW()-1,FALSE))</f>
        <v>2.1691115769999998</v>
      </c>
      <c r="Q109">
        <f ca="1">IF(AND(ISNUMBER($Q$302),$B$202=1),$Q$302,HLOOKUP(INDIRECT(ADDRESS(2,COLUMN())),OFFSET($R$2,0,0,ROW()-1,12),ROW()-1,FALSE))</f>
        <v>2.2184884610000002</v>
      </c>
      <c r="R109">
        <f>4.393812868</f>
        <v>4.3938128680000004</v>
      </c>
      <c r="S109">
        <f>3.877239889</f>
        <v>3.8772398890000002</v>
      </c>
      <c r="T109">
        <f>3.715602582</f>
        <v>3.7156025819999998</v>
      </c>
      <c r="U109">
        <f>3.895052717</f>
        <v>3.895052717</v>
      </c>
      <c r="V109">
        <f>2.414246059</f>
        <v>2.4142460589999999</v>
      </c>
      <c r="W109">
        <f>2.576023392</f>
        <v>2.5760233920000002</v>
      </c>
      <c r="X109">
        <f>2.275767421</f>
        <v>2.2757674209999998</v>
      </c>
      <c r="Y109">
        <f>2.235267245</f>
        <v>2.2352672450000002</v>
      </c>
      <c r="Z109">
        <f>2.493404523</f>
        <v>2.4934045230000002</v>
      </c>
      <c r="AA109">
        <f>2.531397027</f>
        <v>2.5313970270000001</v>
      </c>
      <c r="AB109">
        <f>2.169111577</f>
        <v>2.1691115769999998</v>
      </c>
      <c r="AC109">
        <f>2.218488461</f>
        <v>2.2184884610000002</v>
      </c>
    </row>
    <row r="110" spans="1:29" x14ac:dyDescent="0.25">
      <c r="A110" t="str">
        <f>"    Tata Consultancy Services Ltd"</f>
        <v xml:space="preserve">    Tata Consultancy Services Ltd</v>
      </c>
      <c r="B110" t="str">
        <f>"TCS IN Equity"</f>
        <v>TCS IN Equity</v>
      </c>
      <c r="C110" t="str">
        <f t="shared" si="15"/>
        <v>RR052</v>
      </c>
      <c r="D110" t="str">
        <f t="shared" si="16"/>
        <v>TOT_DEBT_TO_EBITDA</v>
      </c>
      <c r="E110" t="str">
        <f t="shared" si="17"/>
        <v>Dynamic</v>
      </c>
      <c r="F110">
        <f ca="1">IF(AND(ISNUMBER($F$303),$B$202=1),$F$303,HLOOKUP(INDIRECT(ADDRESS(2,COLUMN())),OFFSET($R$2,0,0,ROW()-1,12),ROW()-1,FALSE))</f>
        <v>0.19411527200000001</v>
      </c>
      <c r="G110">
        <f ca="1">IF(AND(ISNUMBER($G$303),$B$202=1),$G$303,HLOOKUP(INDIRECT(ADDRESS(2,COLUMN())),OFFSET($R$2,0,0,ROW()-1,12),ROW()-1,FALSE))</f>
        <v>0.17149998799999999</v>
      </c>
      <c r="H110">
        <f ca="1">IF(AND(ISNUMBER($H$303),$B$202=1),$H$303,HLOOKUP(INDIRECT(ADDRESS(2,COLUMN())),OFFSET($R$2,0,0,ROW()-1,12),ROW()-1,FALSE))</f>
        <v>0.16784185700000001</v>
      </c>
      <c r="I110">
        <f ca="1">IF(AND(ISNUMBER($I$303),$B$202=1),$I$303,HLOOKUP(INDIRECT(ADDRESS(2,COLUMN())),OFFSET($R$2,0,0,ROW()-1,12),ROW()-1,FALSE))</f>
        <v>0.16915398300000001</v>
      </c>
      <c r="J110">
        <f ca="1">IF(AND(ISNUMBER($J$303),$B$202=1),$J$303,HLOOKUP(INDIRECT(ADDRESS(2,COLUMN())),OFFSET($R$2,0,0,ROW()-1,12),ROW()-1,FALSE))</f>
        <v>1.569382E-3</v>
      </c>
      <c r="K110">
        <f ca="1">IF(AND(ISNUMBER($K$303),$B$202=1),$K$303,HLOOKUP(INDIRECT(ADDRESS(2,COLUMN())),OFFSET($R$2,0,0,ROW()-1,12),ROW()-1,FALSE))</f>
        <v>1.6542379999999999E-3</v>
      </c>
      <c r="L110">
        <f ca="1">IF(AND(ISNUMBER($L$303),$B$202=1),$L$303,HLOOKUP(INDIRECT(ADDRESS(2,COLUMN())),OFFSET($R$2,0,0,ROW()-1,12),ROW()-1,FALSE))</f>
        <v>1.736111E-3</v>
      </c>
      <c r="M110">
        <f ca="1">IF(AND(ISNUMBER($M$303),$B$202=1),$M$303,HLOOKUP(INDIRECT(ADDRESS(2,COLUMN())),OFFSET($R$2,0,0,ROW()-1,12),ROW()-1,FALSE))</f>
        <v>1.902031E-3</v>
      </c>
      <c r="N110">
        <f ca="1">IF(AND(ISNUMBER($N$303),$B$202=1),$N$303,HLOOKUP(INDIRECT(ADDRESS(2,COLUMN())),OFFSET($R$2,0,0,ROW()-1,12),ROW()-1,FALSE))</f>
        <v>7.5962599999999996E-3</v>
      </c>
      <c r="O110">
        <f ca="1">IF(AND(ISNUMBER($O$303),$B$202=1),$O$303,HLOOKUP(INDIRECT(ADDRESS(2,COLUMN())),OFFSET($R$2,0,0,ROW()-1,12),ROW()-1,FALSE))</f>
        <v>2.3752970000000002E-3</v>
      </c>
      <c r="P110">
        <f ca="1">IF(AND(ISNUMBER($P$303),$B$202=1),$P$303,HLOOKUP(INDIRECT(ADDRESS(2,COLUMN())),OFFSET($R$2,0,0,ROW()-1,12),ROW()-1,FALSE))</f>
        <v>2.473542E-3</v>
      </c>
      <c r="Q110">
        <f ca="1">IF(AND(ISNUMBER($Q$303),$B$202=1),$Q$303,HLOOKUP(INDIRECT(ADDRESS(2,COLUMN())),OFFSET($R$2,0,0,ROW()-1,12),ROW()-1,FALSE))</f>
        <v>2.6030229999999999E-3</v>
      </c>
      <c r="R110">
        <f>0.194115272</f>
        <v>0.19411527200000001</v>
      </c>
      <c r="S110">
        <f>0.171499988</f>
        <v>0.17149998799999999</v>
      </c>
      <c r="T110">
        <f>0.167841857</f>
        <v>0.16784185700000001</v>
      </c>
      <c r="U110">
        <f>0.169153983</f>
        <v>0.16915398300000001</v>
      </c>
      <c r="V110">
        <f>0.001569382</f>
        <v>1.569382E-3</v>
      </c>
      <c r="W110">
        <f>0.001654238</f>
        <v>1.6542379999999999E-3</v>
      </c>
      <c r="X110">
        <f>0.001736111</f>
        <v>1.736111E-3</v>
      </c>
      <c r="Y110">
        <f>0.001902031</f>
        <v>1.902031E-3</v>
      </c>
      <c r="Z110">
        <f>0.00759626</f>
        <v>7.5962599999999996E-3</v>
      </c>
      <c r="AA110">
        <f>0.002375297</f>
        <v>2.3752970000000002E-3</v>
      </c>
      <c r="AB110">
        <f>0.002473542</f>
        <v>2.473542E-3</v>
      </c>
      <c r="AC110">
        <f>0.002603023</f>
        <v>2.6030229999999999E-3</v>
      </c>
    </row>
    <row r="111" spans="1:29" x14ac:dyDescent="0.25">
      <c r="A111" t="str">
        <f>"    Tech Mahindra Ltd"</f>
        <v xml:space="preserve">    Tech Mahindra Ltd</v>
      </c>
      <c r="B111" t="str">
        <f>"TECHM IN Equity"</f>
        <v>TECHM IN Equity</v>
      </c>
      <c r="C111" t="str">
        <f t="shared" si="15"/>
        <v>RR052</v>
      </c>
      <c r="D111" t="str">
        <f t="shared" si="16"/>
        <v>TOT_DEBT_TO_EBITDA</v>
      </c>
      <c r="E111" t="str">
        <f t="shared" si="17"/>
        <v>Dynamic</v>
      </c>
      <c r="F111">
        <f ca="1">IF(AND(ISNUMBER($F$304),$B$202=1),$F$304,HLOOKUP(INDIRECT(ADDRESS(2,COLUMN())),OFFSET($R$2,0,0,ROW()-1,12),ROW()-1,FALSE))</f>
        <v>0.44080564100000003</v>
      </c>
      <c r="G111">
        <f ca="1">IF(AND(ISNUMBER($G$304),$B$202=1),$G$304,HLOOKUP(INDIRECT(ADDRESS(2,COLUMN())),OFFSET($R$2,0,0,ROW()-1,12),ROW()-1,FALSE))</f>
        <v>0.53221155499999995</v>
      </c>
      <c r="H111">
        <f ca="1">IF(AND(ISNUMBER($H$304),$B$202=1),$H$304,HLOOKUP(INDIRECT(ADDRESS(2,COLUMN())),OFFSET($R$2,0,0,ROW()-1,12),ROW()-1,FALSE))</f>
        <v>0.51140765600000004</v>
      </c>
      <c r="I111">
        <f ca="1">IF(AND(ISNUMBER($I$304),$B$202=1),$I$304,HLOOKUP(INDIRECT(ADDRESS(2,COLUMN())),OFFSET($R$2,0,0,ROW()-1,12),ROW()-1,FALSE))</f>
        <v>0.385010136</v>
      </c>
      <c r="J111">
        <f ca="1">IF(AND(ISNUMBER($J$304),$B$202=1),$J$304,HLOOKUP(INDIRECT(ADDRESS(2,COLUMN())),OFFSET($R$2,0,0,ROW()-1,12),ROW()-1,FALSE))</f>
        <v>0.314899123</v>
      </c>
      <c r="K111">
        <f ca="1">IF(AND(ISNUMBER($K$304),$B$202=1),$K$304,HLOOKUP(INDIRECT(ADDRESS(2,COLUMN())),OFFSET($R$2,0,0,ROW()-1,12),ROW()-1,FALSE))</f>
        <v>0.26267552599999999</v>
      </c>
      <c r="L111">
        <f ca="1">IF(AND(ISNUMBER($L$304),$B$202=1),$L$304,HLOOKUP(INDIRECT(ADDRESS(2,COLUMN())),OFFSET($R$2,0,0,ROW()-1,12),ROW()-1,FALSE))</f>
        <v>0.26194178899999998</v>
      </c>
      <c r="M111">
        <f ca="1">IF(AND(ISNUMBER($M$304),$B$202=1),$M$304,HLOOKUP(INDIRECT(ADDRESS(2,COLUMN())),OFFSET($R$2,0,0,ROW()-1,12),ROW()-1,FALSE))</f>
        <v>0.34849714300000001</v>
      </c>
      <c r="N111">
        <f ca="1">IF(AND(ISNUMBER($N$304),$B$202=1),$N$304,HLOOKUP(INDIRECT(ADDRESS(2,COLUMN())),OFFSET($R$2,0,0,ROW()-1,12),ROW()-1,FALSE))</f>
        <v>0.50808470800000005</v>
      </c>
      <c r="O111">
        <f ca="1">IF(AND(ISNUMBER($O$304),$B$202=1),$O$304,HLOOKUP(INDIRECT(ADDRESS(2,COLUMN())),OFFSET($R$2,0,0,ROW()-1,12),ROW()-1,FALSE))</f>
        <v>0.36793864399999998</v>
      </c>
      <c r="P111">
        <f ca="1">IF(AND(ISNUMBER($P$304),$B$202=1),$P$304,HLOOKUP(INDIRECT(ADDRESS(2,COLUMN())),OFFSET($R$2,0,0,ROW()-1,12),ROW()-1,FALSE))</f>
        <v>0.34784442399999999</v>
      </c>
      <c r="Q111">
        <f ca="1">IF(AND(ISNUMBER($Q$304),$B$202=1),$Q$304,HLOOKUP(INDIRECT(ADDRESS(2,COLUMN())),OFFSET($R$2,0,0,ROW()-1,12),ROW()-1,FALSE))</f>
        <v>0.34631230200000002</v>
      </c>
      <c r="R111">
        <f>0.440805641</f>
        <v>0.44080564100000003</v>
      </c>
      <c r="S111">
        <f>0.532211555</f>
        <v>0.53221155499999995</v>
      </c>
      <c r="T111">
        <f>0.511407656</f>
        <v>0.51140765600000004</v>
      </c>
      <c r="U111">
        <f>0.385010136</f>
        <v>0.385010136</v>
      </c>
      <c r="V111">
        <f>0.314899123</f>
        <v>0.314899123</v>
      </c>
      <c r="W111">
        <f>0.262675526</f>
        <v>0.26267552599999999</v>
      </c>
      <c r="X111">
        <f>0.261941789</f>
        <v>0.26194178899999998</v>
      </c>
      <c r="Y111">
        <f>0.348497143</f>
        <v>0.34849714300000001</v>
      </c>
      <c r="Z111">
        <f>0.508084708</f>
        <v>0.50808470800000005</v>
      </c>
      <c r="AA111">
        <f>0.367938644</f>
        <v>0.36793864399999998</v>
      </c>
      <c r="AB111">
        <f>0.347844424</f>
        <v>0.34784442399999999</v>
      </c>
      <c r="AC111">
        <f>0.346312302</f>
        <v>0.34631230200000002</v>
      </c>
    </row>
    <row r="112" spans="1:29" x14ac:dyDescent="0.25">
      <c r="A112" t="str">
        <f>"    Wipro Ltd"</f>
        <v xml:space="preserve">    Wipro Ltd</v>
      </c>
      <c r="B112" t="str">
        <f>"WIT US Equity"</f>
        <v>WIT US Equity</v>
      </c>
      <c r="C112" t="str">
        <f t="shared" si="15"/>
        <v>RR052</v>
      </c>
      <c r="D112" t="str">
        <f t="shared" si="16"/>
        <v>TOT_DEBT_TO_EBITDA</v>
      </c>
      <c r="E112" t="str">
        <f t="shared" si="17"/>
        <v>Dynamic</v>
      </c>
      <c r="F112">
        <f ca="1">IF(AND(ISNUMBER($F$305),$B$202=1),$F$305,HLOOKUP(INDIRECT(ADDRESS(2,COLUMN())),OFFSET($R$2,0,0,ROW()-1,12),ROW()-1,FALSE))</f>
        <v>0.78785963699999995</v>
      </c>
      <c r="G112">
        <f ca="1">IF(AND(ISNUMBER($G$305),$B$202=1),$G$305,HLOOKUP(INDIRECT(ADDRESS(2,COLUMN())),OFFSET($R$2,0,0,ROW()-1,12),ROW()-1,FALSE))</f>
        <v>0.90009508599999999</v>
      </c>
      <c r="H112">
        <f ca="1">IF(AND(ISNUMBER($H$305),$B$202=1),$H$305,HLOOKUP(INDIRECT(ADDRESS(2,COLUMN())),OFFSET($R$2,0,0,ROW()-1,12),ROW()-1,FALSE))</f>
        <v>0.88325380899999995</v>
      </c>
      <c r="I112">
        <f ca="1">IF(AND(ISNUMBER($I$305),$B$202=1),$I$305,HLOOKUP(INDIRECT(ADDRESS(2,COLUMN())),OFFSET($R$2,0,0,ROW()-1,12),ROW()-1,FALSE))</f>
        <v>1.017454343</v>
      </c>
      <c r="J112">
        <f ca="1">IF(AND(ISNUMBER($J$305),$B$202=1),$J$305,HLOOKUP(INDIRECT(ADDRESS(2,COLUMN())),OFFSET($R$2,0,0,ROW()-1,12),ROW()-1,FALSE))</f>
        <v>0.85622670400000001</v>
      </c>
      <c r="K112">
        <f ca="1">IF(AND(ISNUMBER($K$305),$B$202=1),$K$305,HLOOKUP(INDIRECT(ADDRESS(2,COLUMN())),OFFSET($R$2,0,0,ROW()-1,12),ROW()-1,FALSE))</f>
        <v>0.95421299299999995</v>
      </c>
      <c r="L112">
        <f ca="1">IF(AND(ISNUMBER($L$305),$B$202=1),$L$305,HLOOKUP(INDIRECT(ADDRESS(2,COLUMN())),OFFSET($R$2,0,0,ROW()-1,12),ROW()-1,FALSE))</f>
        <v>1.149412082</v>
      </c>
      <c r="M112">
        <f ca="1">IF(AND(ISNUMBER($M$305),$B$202=1),$M$305,HLOOKUP(INDIRECT(ADDRESS(2,COLUMN())),OFFSET($R$2,0,0,ROW()-1,12),ROW()-1,FALSE))</f>
        <v>1.1307062109999999</v>
      </c>
      <c r="N112">
        <f ca="1">IF(AND(ISNUMBER($N$305),$B$202=1),$N$305,HLOOKUP(INDIRECT(ADDRESS(2,COLUMN())),OFFSET($R$2,0,0,ROW()-1,12),ROW()-1,FALSE))</f>
        <v>1.3303088620000001</v>
      </c>
      <c r="O112">
        <f ca="1">IF(AND(ISNUMBER($O$305),$B$202=1),$O$305,HLOOKUP(INDIRECT(ADDRESS(2,COLUMN())),OFFSET($R$2,0,0,ROW()-1,12),ROW()-1,FALSE))</f>
        <v>1.1814909010000001</v>
      </c>
      <c r="P112">
        <f ca="1">IF(AND(ISNUMBER($P$305),$B$202=1),$P$305,HLOOKUP(INDIRECT(ADDRESS(2,COLUMN())),OFFSET($R$2,0,0,ROW()-1,12),ROW()-1,FALSE))</f>
        <v>1.268274382</v>
      </c>
      <c r="Q112">
        <f ca="1">IF(AND(ISNUMBER($Q$305),$B$202=1),$Q$305,HLOOKUP(INDIRECT(ADDRESS(2,COLUMN())),OFFSET($R$2,0,0,ROW()-1,12),ROW()-1,FALSE))</f>
        <v>1.2896308379999999</v>
      </c>
      <c r="R112">
        <f>0.787859637</f>
        <v>0.78785963699999995</v>
      </c>
      <c r="S112">
        <f>0.900095086</f>
        <v>0.90009508599999999</v>
      </c>
      <c r="T112">
        <f>0.883253809</f>
        <v>0.88325380899999995</v>
      </c>
      <c r="U112">
        <f>1.017454343</f>
        <v>1.017454343</v>
      </c>
      <c r="V112">
        <f>0.856226704</f>
        <v>0.85622670400000001</v>
      </c>
      <c r="W112">
        <f>0.954212993</f>
        <v>0.95421299299999995</v>
      </c>
      <c r="X112">
        <f>1.149412082</f>
        <v>1.149412082</v>
      </c>
      <c r="Y112">
        <f>1.130706211</f>
        <v>1.1307062109999999</v>
      </c>
      <c r="Z112">
        <f>1.330308862</f>
        <v>1.3303088620000001</v>
      </c>
      <c r="AA112">
        <f>1.181490901</f>
        <v>1.1814909010000001</v>
      </c>
      <c r="AB112">
        <f>1.268274382</f>
        <v>1.268274382</v>
      </c>
      <c r="AC112">
        <f>1.289630838</f>
        <v>1.2896308379999999</v>
      </c>
    </row>
    <row r="113" spans="1:29" x14ac:dyDescent="0.25">
      <c r="A113" t="str">
        <f>"Total Debt/Capital"</f>
        <v>Total Debt/Capital</v>
      </c>
      <c r="B113" t="str">
        <f>"BRITBPOV Index"</f>
        <v>BRITBPOV Index</v>
      </c>
      <c r="E113" t="str">
        <f>"Average"</f>
        <v>Average</v>
      </c>
      <c r="F113">
        <f ca="1">IF(ISERROR(IF(AVERAGE($F$114:$F$130) = 0, "", AVERAGE($F$114:$F$130))), "", (IF(AVERAGE($F$114:$F$130) = 0, "", AVERAGE($F$114:$F$130))))</f>
        <v>32.576093182333331</v>
      </c>
      <c r="G113">
        <f ca="1">IF(ISERROR(IF(AVERAGE($G$114:$G$130) = 0, "", AVERAGE($G$114:$G$130))), "", (IF(AVERAGE($G$114:$G$130) = 0, "", AVERAGE($G$114:$G$130))))</f>
        <v>29.677301961125</v>
      </c>
      <c r="H113">
        <f ca="1">IF(ISERROR(IF(AVERAGE($H$114:$H$130) = 0, "", AVERAGE($H$114:$H$130))), "", (IF(AVERAGE($H$114:$H$130) = 0, "", AVERAGE($H$114:$H$130))))</f>
        <v>27.128031955999994</v>
      </c>
      <c r="I113">
        <f ca="1">IF(ISERROR(IF(AVERAGE($I$114:$I$130) = 0, "", AVERAGE($I$114:$I$130))), "", (IF(AVERAGE($I$114:$I$130) = 0, "", AVERAGE($I$114:$I$130))))</f>
        <v>26.858464896133334</v>
      </c>
      <c r="J113">
        <f ca="1">IF(ISERROR(IF(AVERAGE($J$114:$J$130) = 0, "", AVERAGE($J$114:$J$130))), "", (IF(AVERAGE($J$114:$J$130) = 0, "", AVERAGE($J$114:$J$130))))</f>
        <v>23.54110566473333</v>
      </c>
      <c r="K113">
        <f ca="1">IF(ISERROR(IF(AVERAGE($K$114:$K$130) = 0, "", AVERAGE($K$114:$K$130))), "", (IF(AVERAGE($K$114:$K$130) = 0, "", AVERAGE($K$114:$K$130))))</f>
        <v>21.625727965133329</v>
      </c>
      <c r="L113">
        <f ca="1">IF(ISERROR(IF(AVERAGE($L$114:$L$130) = 0, "", AVERAGE($L$114:$L$130))), "", (IF(AVERAGE($L$114:$L$130) = 0, "", AVERAGE($L$114:$L$130))))</f>
        <v>21.306559935266662</v>
      </c>
      <c r="M113">
        <f ca="1">IF(ISERROR(IF(AVERAGE($M$114:$M$130) = 0, "", AVERAGE($M$114:$M$130))), "", (IF(AVERAGE($M$114:$M$130) = 0, "", AVERAGE($M$114:$M$130))))</f>
        <v>21.407421583866665</v>
      </c>
      <c r="N113">
        <f ca="1">IF(ISERROR(IF(AVERAGE($N$114:$N$130) = 0, "", AVERAGE($N$114:$N$130))), "", (IF(AVERAGE($N$114:$N$130) = 0, "", AVERAGE($N$114:$N$130))))</f>
        <v>21.839086394133336</v>
      </c>
      <c r="O113">
        <f ca="1">IF(ISERROR(IF(AVERAGE($O$114:$O$130) = 0, "", AVERAGE($O$114:$O$130))), "", (IF(AVERAGE($O$114:$O$130) = 0, "", AVERAGE($O$114:$O$130))))</f>
        <v>21.364268956466667</v>
      </c>
      <c r="P113">
        <f ca="1">IF(ISERROR(IF(AVERAGE($P$114:$P$130) = 0, "", AVERAGE($P$114:$P$130))), "", (IF(AVERAGE($P$114:$P$130) = 0, "", AVERAGE($P$114:$P$130))))</f>
        <v>21.405039078533331</v>
      </c>
      <c r="Q113">
        <f ca="1">IF(ISERROR(IF(AVERAGE($Q$114:$Q$130) = 0, "", AVERAGE($Q$114:$Q$130))), "", (IF(AVERAGE($Q$114:$Q$130) = 0, "", AVERAGE($Q$114:$Q$130))))</f>
        <v>21.662922903066665</v>
      </c>
      <c r="R113">
        <f>32.57609318</f>
        <v>32.576093180000001</v>
      </c>
      <c r="S113">
        <f>29.67730196</f>
        <v>29.677301960000001</v>
      </c>
      <c r="T113">
        <f>27.12803196</f>
        <v>27.128031960000001</v>
      </c>
      <c r="U113">
        <f>26.8584649</f>
        <v>26.858464900000001</v>
      </c>
      <c r="V113">
        <f>23.54110566</f>
        <v>23.541105659999999</v>
      </c>
      <c r="W113">
        <f>21.62572796</f>
        <v>21.625727959999999</v>
      </c>
      <c r="X113">
        <f>21.30655993</f>
        <v>21.306559929999999</v>
      </c>
      <c r="Y113">
        <f>21.40742158</f>
        <v>21.407421580000001</v>
      </c>
      <c r="Z113">
        <f>21.83908639</f>
        <v>21.839086389999999</v>
      </c>
      <c r="AA113">
        <f>21.36426896</f>
        <v>21.36426896</v>
      </c>
      <c r="AB113">
        <f>21.40503908</f>
        <v>21.405039080000002</v>
      </c>
      <c r="AC113">
        <f>21.6629229</f>
        <v>21.662922900000002</v>
      </c>
    </row>
    <row r="114" spans="1:29" x14ac:dyDescent="0.25">
      <c r="A114" t="str">
        <f>"    Accenture PLC"</f>
        <v xml:space="preserve">    Accenture PLC</v>
      </c>
      <c r="B114" t="str">
        <f>"ACN US Equity"</f>
        <v>ACN US Equity</v>
      </c>
      <c r="C114" t="str">
        <f t="shared" ref="C114:C130" si="18">"RR045"</f>
        <v>RR045</v>
      </c>
      <c r="D114" t="str">
        <f t="shared" ref="D114:D130" si="19">"TOT_DEBT_TO_TOT_CAP"</f>
        <v>TOT_DEBT_TO_TOT_CAP</v>
      </c>
      <c r="E114" t="str">
        <f t="shared" ref="E114:E130" si="20">"Dynamic"</f>
        <v>Dynamic</v>
      </c>
      <c r="F114">
        <f ca="1">IF(AND(ISNUMBER($F$306),$B$202=1),$F$306,HLOOKUP(INDIRECT(ADDRESS(2,COLUMN())),OFFSET($R$2,0,0,ROW()-1,12),ROW()-1,FALSE))</f>
        <v>17.641127480000002</v>
      </c>
      <c r="G114">
        <f ca="1">IF(AND(ISNUMBER($G$306),$B$202=1),$G$306,HLOOKUP(INDIRECT(ADDRESS(2,COLUMN())),OFFSET($R$2,0,0,ROW()-1,12),ROW()-1,FALSE))</f>
        <v>17.816052750000001</v>
      </c>
      <c r="H114">
        <f ca="1">IF(AND(ISNUMBER($H$306),$B$202=1),$H$306,HLOOKUP(INDIRECT(ADDRESS(2,COLUMN())),OFFSET($R$2,0,0,ROW()-1,12),ROW()-1,FALSE))</f>
        <v>0.15257553900000001</v>
      </c>
      <c r="I114">
        <f ca="1">IF(AND(ISNUMBER($I$306),$B$202=1),$I$306,HLOOKUP(INDIRECT(ADDRESS(2,COLUMN())),OFFSET($R$2,0,0,ROW()-1,12),ROW()-1,FALSE))</f>
        <v>0.169351907</v>
      </c>
      <c r="J114">
        <f ca="1">IF(AND(ISNUMBER($J$306),$B$202=1),$J$306,HLOOKUP(INDIRECT(ADDRESS(2,COLUMN())),OFFSET($R$2,0,0,ROW()-1,12),ROW()-1,FALSE))</f>
        <v>0.175369672</v>
      </c>
      <c r="K114">
        <f ca="1">IF(AND(ISNUMBER($K$306),$B$202=1),$K$306,HLOOKUP(INDIRECT(ADDRESS(2,COLUMN())),OFFSET($R$2,0,0,ROW()-1,12),ROW()-1,FALSE))</f>
        <v>0.18824648699999999</v>
      </c>
      <c r="L114">
        <f ca="1">IF(AND(ISNUMBER($L$306),$B$202=1),$L$306,HLOOKUP(INDIRECT(ADDRESS(2,COLUMN())),OFFSET($R$2,0,0,ROW()-1,12),ROW()-1,FALSE))</f>
        <v>0.23268770599999999</v>
      </c>
      <c r="M114">
        <f ca="1">IF(AND(ISNUMBER($M$306),$B$202=1),$M$306,HLOOKUP(INDIRECT(ADDRESS(2,COLUMN())),OFFSET($R$2,0,0,ROW()-1,12),ROW()-1,FALSE))</f>
        <v>0.28284539400000003</v>
      </c>
      <c r="N114">
        <f ca="1">IF(AND(ISNUMBER($N$306),$B$202=1),$N$306,HLOOKUP(INDIRECT(ADDRESS(2,COLUMN())),OFFSET($R$2,0,0,ROW()-1,12),ROW()-1,FALSE))</f>
        <v>0.275497043</v>
      </c>
      <c r="O114">
        <f ca="1">IF(AND(ISNUMBER($O$306),$B$202=1),$O$306,HLOOKUP(INDIRECT(ADDRESS(2,COLUMN())),OFFSET($R$2,0,0,ROW()-1,12),ROW()-1,FALSE))</f>
        <v>0.254117449</v>
      </c>
      <c r="P114">
        <f ca="1">IF(AND(ISNUMBER($P$306),$B$202=1),$P$306,HLOOKUP(INDIRECT(ADDRESS(2,COLUMN())),OFFSET($R$2,0,0,ROW()-1,12),ROW()-1,FALSE))</f>
        <v>0.25751725399999997</v>
      </c>
      <c r="Q114">
        <f ca="1">IF(AND(ISNUMBER($Q$306),$B$202=1),$Q$306,HLOOKUP(INDIRECT(ADDRESS(2,COLUMN())),OFFSET($R$2,0,0,ROW()-1,12),ROW()-1,FALSE))</f>
        <v>0.31079247500000001</v>
      </c>
      <c r="R114">
        <f>17.64112748</f>
        <v>17.641127480000002</v>
      </c>
      <c r="S114">
        <f>17.81605275</f>
        <v>17.816052750000001</v>
      </c>
      <c r="T114">
        <f>0.152575539</f>
        <v>0.15257553900000001</v>
      </c>
      <c r="U114">
        <f>0.169351907</f>
        <v>0.169351907</v>
      </c>
      <c r="V114">
        <f>0.175369672</f>
        <v>0.175369672</v>
      </c>
      <c r="W114">
        <f>0.188246487</f>
        <v>0.18824648699999999</v>
      </c>
      <c r="X114">
        <f>0.232687706</f>
        <v>0.23268770599999999</v>
      </c>
      <c r="Y114">
        <f>0.282845394</f>
        <v>0.28284539400000003</v>
      </c>
      <c r="Z114">
        <f>0.275497043</f>
        <v>0.275497043</v>
      </c>
      <c r="AA114">
        <f>0.254117449</f>
        <v>0.254117449</v>
      </c>
      <c r="AB114">
        <f>0.257517254</f>
        <v>0.25751725399999997</v>
      </c>
      <c r="AC114">
        <f>0.310792475</f>
        <v>0.31079247500000001</v>
      </c>
    </row>
    <row r="115" spans="1:29" x14ac:dyDescent="0.25">
      <c r="A115" t="str">
        <f>"    Amdocs Ltd"</f>
        <v xml:space="preserve">    Amdocs Ltd</v>
      </c>
      <c r="B115" t="str">
        <f>"DOX US Equity"</f>
        <v>DOX US Equity</v>
      </c>
      <c r="C115" t="str">
        <f t="shared" si="18"/>
        <v>RR045</v>
      </c>
      <c r="D115" t="str">
        <f t="shared" si="19"/>
        <v>TOT_DEBT_TO_TOT_CAP</v>
      </c>
      <c r="E115" t="str">
        <f t="shared" si="20"/>
        <v>Dynamic</v>
      </c>
      <c r="F115">
        <f ca="1">IF(AND(ISNUMBER($F$307),$B$202=1),$F$307,HLOOKUP(INDIRECT(ADDRESS(2,COLUMN())),OFFSET($R$2,0,0,ROW()-1,12),ROW()-1,FALSE))</f>
        <v>14.931363899999999</v>
      </c>
      <c r="G115">
        <f ca="1">IF(AND(ISNUMBER($G$307),$B$202=1),$G$307,HLOOKUP(INDIRECT(ADDRESS(2,COLUMN())),OFFSET($R$2,0,0,ROW()-1,12),ROW()-1,FALSE))</f>
        <v>7.2844932470000003</v>
      </c>
      <c r="H115">
        <f ca="1">IF(AND(ISNUMBER($H$307),$B$202=1),$H$307,HLOOKUP(INDIRECT(ADDRESS(2,COLUMN())),OFFSET($R$2,0,0,ROW()-1,12),ROW()-1,FALSE))</f>
        <v>0</v>
      </c>
      <c r="I115">
        <f ca="1">IF(AND(ISNUMBER($I$307),$B$202=1),$I$307,HLOOKUP(INDIRECT(ADDRESS(2,COLUMN())),OFFSET($R$2,0,0,ROW()-1,12),ROW()-1,FALSE))</f>
        <v>0</v>
      </c>
      <c r="J115">
        <f ca="1">IF(AND(ISNUMBER($J$307),$B$202=1),$J$307,HLOOKUP(INDIRECT(ADDRESS(2,COLUMN())),OFFSET($R$2,0,0,ROW()-1,12),ROW()-1,FALSE))</f>
        <v>0</v>
      </c>
      <c r="K115">
        <f ca="1">IF(AND(ISNUMBER($K$307),$B$202=1),$K$307,HLOOKUP(INDIRECT(ADDRESS(2,COLUMN())),OFFSET($R$2,0,0,ROW()-1,12),ROW()-1,FALSE))</f>
        <v>0</v>
      </c>
      <c r="L115">
        <f ca="1">IF(AND(ISNUMBER($L$307),$B$202=1),$L$307,HLOOKUP(INDIRECT(ADDRESS(2,COLUMN())),OFFSET($R$2,0,0,ROW()-1,12),ROW()-1,FALSE))</f>
        <v>0</v>
      </c>
      <c r="M115">
        <f ca="1">IF(AND(ISNUMBER($M$307),$B$202=1),$M$307,HLOOKUP(INDIRECT(ADDRESS(2,COLUMN())),OFFSET($R$2,0,0,ROW()-1,12),ROW()-1,FALSE))</f>
        <v>0</v>
      </c>
      <c r="N115">
        <f ca="1">IF(AND(ISNUMBER($N$307),$B$202=1),$N$307,HLOOKUP(INDIRECT(ADDRESS(2,COLUMN())),OFFSET($R$2,0,0,ROW()-1,12),ROW()-1,FALSE))</f>
        <v>3.2204243610000001</v>
      </c>
      <c r="O115">
        <f ca="1">IF(AND(ISNUMBER($O$307),$B$202=1),$O$307,HLOOKUP(INDIRECT(ADDRESS(2,COLUMN())),OFFSET($R$2,0,0,ROW()-1,12),ROW()-1,FALSE))</f>
        <v>0</v>
      </c>
      <c r="P115">
        <f ca="1">IF(AND(ISNUMBER($P$307),$B$202=1),$P$307,HLOOKUP(INDIRECT(ADDRESS(2,COLUMN())),OFFSET($R$2,0,0,ROW()-1,12),ROW()-1,FALSE))</f>
        <v>0</v>
      </c>
      <c r="Q115">
        <f ca="1">IF(AND(ISNUMBER($Q$307),$B$202=1),$Q$307,HLOOKUP(INDIRECT(ADDRESS(2,COLUMN())),OFFSET($R$2,0,0,ROW()-1,12),ROW()-1,FALSE))</f>
        <v>0</v>
      </c>
      <c r="R115">
        <f>14.9313639</f>
        <v>14.931363899999999</v>
      </c>
      <c r="S115">
        <f>7.284493247</f>
        <v>7.2844932470000003</v>
      </c>
      <c r="T115">
        <f>0</f>
        <v>0</v>
      </c>
      <c r="U115">
        <f>0</f>
        <v>0</v>
      </c>
      <c r="V115">
        <f>0</f>
        <v>0</v>
      </c>
      <c r="W115">
        <f>0</f>
        <v>0</v>
      </c>
      <c r="X115">
        <f>0</f>
        <v>0</v>
      </c>
      <c r="Y115">
        <f>0</f>
        <v>0</v>
      </c>
      <c r="Z115">
        <f>3.220424361</f>
        <v>3.2204243610000001</v>
      </c>
      <c r="AA115">
        <f>0</f>
        <v>0</v>
      </c>
      <c r="AB115">
        <f>0</f>
        <v>0</v>
      </c>
      <c r="AC115">
        <f>0</f>
        <v>0</v>
      </c>
    </row>
    <row r="116" spans="1:29" x14ac:dyDescent="0.25">
      <c r="A116" t="str">
        <f>"    Atos SE"</f>
        <v xml:space="preserve">    Atos SE</v>
      </c>
      <c r="B116" t="str">
        <f>"ATO FP Equity"</f>
        <v>ATO FP Equity</v>
      </c>
      <c r="C116" t="str">
        <f t="shared" si="18"/>
        <v>RR045</v>
      </c>
      <c r="D116" t="str">
        <f t="shared" si="19"/>
        <v>TOT_DEBT_TO_TOT_CAP</v>
      </c>
      <c r="E116" t="str">
        <f t="shared" si="20"/>
        <v>Dynamic</v>
      </c>
      <c r="F116" t="str">
        <f ca="1">IF(AND(ISNUMBER($F$308),$B$202=1),$F$308,HLOOKUP(INDIRECT(ADDRESS(2,COLUMN())),OFFSET($R$2,0,0,ROW()-1,12),ROW()-1,FALSE))</f>
        <v/>
      </c>
      <c r="G116" t="str">
        <f ca="1">IF(AND(ISNUMBER($G$308),$B$202=1),$G$308,HLOOKUP(INDIRECT(ADDRESS(2,COLUMN())),OFFSET($R$2,0,0,ROW()-1,12),ROW()-1,FALSE))</f>
        <v/>
      </c>
      <c r="H116" t="str">
        <f ca="1">IF(AND(ISNUMBER($H$308),$B$202=1),$H$308,HLOOKUP(INDIRECT(ADDRESS(2,COLUMN())),OFFSET($R$2,0,0,ROW()-1,12),ROW()-1,FALSE))</f>
        <v/>
      </c>
      <c r="I116" t="str">
        <f ca="1">IF(AND(ISNUMBER($I$308),$B$202=1),$I$308,HLOOKUP(INDIRECT(ADDRESS(2,COLUMN())),OFFSET($R$2,0,0,ROW()-1,12),ROW()-1,FALSE))</f>
        <v/>
      </c>
      <c r="J116" t="str">
        <f ca="1">IF(AND(ISNUMBER($J$308),$B$202=1),$J$308,HLOOKUP(INDIRECT(ADDRESS(2,COLUMN())),OFFSET($R$2,0,0,ROW()-1,12),ROW()-1,FALSE))</f>
        <v/>
      </c>
      <c r="K116" t="str">
        <f ca="1">IF(AND(ISNUMBER($K$308),$B$202=1),$K$308,HLOOKUP(INDIRECT(ADDRESS(2,COLUMN())),OFFSET($R$2,0,0,ROW()-1,12),ROW()-1,FALSE))</f>
        <v/>
      </c>
      <c r="L116" t="str">
        <f ca="1">IF(AND(ISNUMBER($L$308),$B$202=1),$L$308,HLOOKUP(INDIRECT(ADDRESS(2,COLUMN())),OFFSET($R$2,0,0,ROW()-1,12),ROW()-1,FALSE))</f>
        <v/>
      </c>
      <c r="M116" t="str">
        <f ca="1">IF(AND(ISNUMBER($M$308),$B$202=1),$M$308,HLOOKUP(INDIRECT(ADDRESS(2,COLUMN())),OFFSET($R$2,0,0,ROW()-1,12),ROW()-1,FALSE))</f>
        <v/>
      </c>
      <c r="N116" t="str">
        <f ca="1">IF(AND(ISNUMBER($N$308),$B$202=1),$N$308,HLOOKUP(INDIRECT(ADDRESS(2,COLUMN())),OFFSET($R$2,0,0,ROW()-1,12),ROW()-1,FALSE))</f>
        <v/>
      </c>
      <c r="O116" t="str">
        <f ca="1">IF(AND(ISNUMBER($O$308),$B$202=1),$O$308,HLOOKUP(INDIRECT(ADDRESS(2,COLUMN())),OFFSET($R$2,0,0,ROW()-1,12),ROW()-1,FALSE))</f>
        <v/>
      </c>
      <c r="P116" t="str">
        <f ca="1">IF(AND(ISNUMBER($P$308),$B$202=1),$P$308,HLOOKUP(INDIRECT(ADDRESS(2,COLUMN())),OFFSET($R$2,0,0,ROW()-1,12),ROW()-1,FALSE))</f>
        <v/>
      </c>
      <c r="Q116" t="str">
        <f ca="1">IF(AND(ISNUMBER($Q$308),$B$202=1),$Q$308,HLOOKUP(INDIRECT(ADDRESS(2,COLUMN())),OFFSET($R$2,0,0,ROW()-1,12),ROW()-1,FALSE))</f>
        <v/>
      </c>
      <c r="R116" t="str">
        <f>""</f>
        <v/>
      </c>
      <c r="S116" t="str">
        <f>""</f>
        <v/>
      </c>
      <c r="T116" t="str">
        <f>""</f>
        <v/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  <c r="Z116" t="str">
        <f>""</f>
        <v/>
      </c>
      <c r="AA116" t="str">
        <f>""</f>
        <v/>
      </c>
      <c r="AB116" t="str">
        <f>""</f>
        <v/>
      </c>
      <c r="AC116" t="str">
        <f>""</f>
        <v/>
      </c>
    </row>
    <row r="117" spans="1:29" x14ac:dyDescent="0.25">
      <c r="A117" t="str">
        <f>"    Capgemini SE"</f>
        <v xml:space="preserve">    Capgemini SE</v>
      </c>
      <c r="B117" t="str">
        <f>"CAP FP Equity"</f>
        <v>CAP FP Equity</v>
      </c>
      <c r="C117" t="str">
        <f t="shared" si="18"/>
        <v>RR045</v>
      </c>
      <c r="D117" t="str">
        <f t="shared" si="19"/>
        <v>TOT_DEBT_TO_TOT_CAP</v>
      </c>
      <c r="E117" t="str">
        <f t="shared" si="20"/>
        <v>Dynamic</v>
      </c>
      <c r="F117" t="str">
        <f ca="1">IF(AND(ISNUMBER($F$309),$B$202=1),$F$309,HLOOKUP(INDIRECT(ADDRESS(2,COLUMN())),OFFSET($R$2,0,0,ROW()-1,12),ROW()-1,FALSE))</f>
        <v/>
      </c>
      <c r="G117">
        <f ca="1">IF(AND(ISNUMBER($G$309),$B$202=1),$G$309,HLOOKUP(INDIRECT(ADDRESS(2,COLUMN())),OFFSET($R$2,0,0,ROW()-1,12),ROW()-1,FALSE))</f>
        <v>32.717973309999998</v>
      </c>
      <c r="H117" t="str">
        <f ca="1">IF(AND(ISNUMBER($H$309),$B$202=1),$H$309,HLOOKUP(INDIRECT(ADDRESS(2,COLUMN())),OFFSET($R$2,0,0,ROW()-1,12),ROW()-1,FALSE))</f>
        <v/>
      </c>
      <c r="I117" t="str">
        <f ca="1">IF(AND(ISNUMBER($I$309),$B$202=1),$I$309,HLOOKUP(INDIRECT(ADDRESS(2,COLUMN())),OFFSET($R$2,0,0,ROW()-1,12),ROW()-1,FALSE))</f>
        <v/>
      </c>
      <c r="J117" t="str">
        <f ca="1">IF(AND(ISNUMBER($J$309),$B$202=1),$J$309,HLOOKUP(INDIRECT(ADDRESS(2,COLUMN())),OFFSET($R$2,0,0,ROW()-1,12),ROW()-1,FALSE))</f>
        <v/>
      </c>
      <c r="K117" t="str">
        <f ca="1">IF(AND(ISNUMBER($K$309),$B$202=1),$K$309,HLOOKUP(INDIRECT(ADDRESS(2,COLUMN())),OFFSET($R$2,0,0,ROW()-1,12),ROW()-1,FALSE))</f>
        <v/>
      </c>
      <c r="L117" t="str">
        <f ca="1">IF(AND(ISNUMBER($L$309),$B$202=1),$L$309,HLOOKUP(INDIRECT(ADDRESS(2,COLUMN())),OFFSET($R$2,0,0,ROW()-1,12),ROW()-1,FALSE))</f>
        <v/>
      </c>
      <c r="M117" t="str">
        <f ca="1">IF(AND(ISNUMBER($M$309),$B$202=1),$M$309,HLOOKUP(INDIRECT(ADDRESS(2,COLUMN())),OFFSET($R$2,0,0,ROW()-1,12),ROW()-1,FALSE))</f>
        <v/>
      </c>
      <c r="N117" t="str">
        <f ca="1">IF(AND(ISNUMBER($N$309),$B$202=1),$N$309,HLOOKUP(INDIRECT(ADDRESS(2,COLUMN())),OFFSET($R$2,0,0,ROW()-1,12),ROW()-1,FALSE))</f>
        <v/>
      </c>
      <c r="O117" t="str">
        <f ca="1">IF(AND(ISNUMBER($O$309),$B$202=1),$O$309,HLOOKUP(INDIRECT(ADDRESS(2,COLUMN())),OFFSET($R$2,0,0,ROW()-1,12),ROW()-1,FALSE))</f>
        <v/>
      </c>
      <c r="P117" t="str">
        <f ca="1">IF(AND(ISNUMBER($P$309),$B$202=1),$P$309,HLOOKUP(INDIRECT(ADDRESS(2,COLUMN())),OFFSET($R$2,0,0,ROW()-1,12),ROW()-1,FALSE))</f>
        <v/>
      </c>
      <c r="Q117" t="str">
        <f ca="1">IF(AND(ISNUMBER($Q$309),$B$202=1),$Q$309,HLOOKUP(INDIRECT(ADDRESS(2,COLUMN())),OFFSET($R$2,0,0,ROW()-1,12),ROW()-1,FALSE))</f>
        <v/>
      </c>
      <c r="R117" t="str">
        <f>""</f>
        <v/>
      </c>
      <c r="S117">
        <f>32.71797331</f>
        <v>32.717973309999998</v>
      </c>
      <c r="T117" t="str">
        <f>""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  <c r="Z117" t="str">
        <f>""</f>
        <v/>
      </c>
      <c r="AA117" t="str">
        <f>""</f>
        <v/>
      </c>
      <c r="AB117" t="str">
        <f>""</f>
        <v/>
      </c>
      <c r="AC117" t="str">
        <f>""</f>
        <v/>
      </c>
    </row>
    <row r="118" spans="1:29" x14ac:dyDescent="0.25">
      <c r="A118" t="str">
        <f>"    CGI Inc"</f>
        <v xml:space="preserve">    CGI Inc</v>
      </c>
      <c r="B118" t="str">
        <f>"GIB US Equity"</f>
        <v>GIB US Equity</v>
      </c>
      <c r="C118" t="str">
        <f t="shared" si="18"/>
        <v>RR045</v>
      </c>
      <c r="D118" t="str">
        <f t="shared" si="19"/>
        <v>TOT_DEBT_TO_TOT_CAP</v>
      </c>
      <c r="E118" t="str">
        <f t="shared" si="20"/>
        <v>Dynamic</v>
      </c>
      <c r="F118">
        <f ca="1">IF(AND(ISNUMBER($F$310),$B$202=1),$F$310,HLOOKUP(INDIRECT(ADDRESS(2,COLUMN())),OFFSET($R$2,0,0,ROW()-1,12),ROW()-1,FALSE))</f>
        <v>38.131801369999998</v>
      </c>
      <c r="G118">
        <f ca="1">IF(AND(ISNUMBER($G$310),$B$202=1),$G$310,HLOOKUP(INDIRECT(ADDRESS(2,COLUMN())),OFFSET($R$2,0,0,ROW()-1,12),ROW()-1,FALSE))</f>
        <v>29.78544149</v>
      </c>
      <c r="H118">
        <f ca="1">IF(AND(ISNUMBER($H$310),$B$202=1),$H$310,HLOOKUP(INDIRECT(ADDRESS(2,COLUMN())),OFFSET($R$2,0,0,ROW()-1,12),ROW()-1,FALSE))</f>
        <v>25.297108829999999</v>
      </c>
      <c r="I118">
        <f ca="1">IF(AND(ISNUMBER($I$310),$B$202=1),$I$310,HLOOKUP(INDIRECT(ADDRESS(2,COLUMN())),OFFSET($R$2,0,0,ROW()-1,12),ROW()-1,FALSE))</f>
        <v>27.515903860000002</v>
      </c>
      <c r="J118">
        <f ca="1">IF(AND(ISNUMBER($J$310),$B$202=1),$J$310,HLOOKUP(INDIRECT(ADDRESS(2,COLUMN())),OFFSET($R$2,0,0,ROW()-1,12),ROW()-1,FALSE))</f>
        <v>23.442201959999998</v>
      </c>
      <c r="K118">
        <f ca="1">IF(AND(ISNUMBER($K$310),$B$202=1),$K$310,HLOOKUP(INDIRECT(ADDRESS(2,COLUMN())),OFFSET($R$2,0,0,ROW()-1,12),ROW()-1,FALSE))</f>
        <v>23.977143519999998</v>
      </c>
      <c r="L118">
        <f ca="1">IF(AND(ISNUMBER($L$310),$B$202=1),$L$310,HLOOKUP(INDIRECT(ADDRESS(2,COLUMN())),OFFSET($R$2,0,0,ROW()-1,12),ROW()-1,FALSE))</f>
        <v>21.22268051</v>
      </c>
      <c r="M118">
        <f ca="1">IF(AND(ISNUMBER($M$310),$B$202=1),$M$310,HLOOKUP(INDIRECT(ADDRESS(2,COLUMN())),OFFSET($R$2,0,0,ROW()-1,12),ROW()-1,FALSE))</f>
        <v>21.495589420000002</v>
      </c>
      <c r="N118">
        <f ca="1">IF(AND(ISNUMBER($N$310),$B$202=1),$N$310,HLOOKUP(INDIRECT(ADDRESS(2,COLUMN())),OFFSET($R$2,0,0,ROW()-1,12),ROW()-1,FALSE))</f>
        <v>20.616473760000002</v>
      </c>
      <c r="O118">
        <f ca="1">IF(AND(ISNUMBER($O$310),$B$202=1),$O$310,HLOOKUP(INDIRECT(ADDRESS(2,COLUMN())),OFFSET($R$2,0,0,ROW()-1,12),ROW()-1,FALSE))</f>
        <v>21.763348780000001</v>
      </c>
      <c r="P118">
        <f ca="1">IF(AND(ISNUMBER($P$310),$B$202=1),$P$310,HLOOKUP(INDIRECT(ADDRESS(2,COLUMN())),OFFSET($R$2,0,0,ROW()-1,12),ROW()-1,FALSE))</f>
        <v>23.088514050000001</v>
      </c>
      <c r="Q118">
        <f ca="1">IF(AND(ISNUMBER($Q$310),$B$202=1),$Q$310,HLOOKUP(INDIRECT(ADDRESS(2,COLUMN())),OFFSET($R$2,0,0,ROW()-1,12),ROW()-1,FALSE))</f>
        <v>20.658139039999998</v>
      </c>
      <c r="R118">
        <f>38.13180137</f>
        <v>38.131801369999998</v>
      </c>
      <c r="S118">
        <f>29.78544149</f>
        <v>29.78544149</v>
      </c>
      <c r="T118">
        <f>25.29710883</f>
        <v>25.297108829999999</v>
      </c>
      <c r="U118">
        <f>27.51590386</f>
        <v>27.515903860000002</v>
      </c>
      <c r="V118">
        <f>23.44220196</f>
        <v>23.442201959999998</v>
      </c>
      <c r="W118">
        <f>23.97714352</f>
        <v>23.977143519999998</v>
      </c>
      <c r="X118">
        <f>21.22268051</f>
        <v>21.22268051</v>
      </c>
      <c r="Y118">
        <f>21.49558942</f>
        <v>21.495589420000002</v>
      </c>
      <c r="Z118">
        <f>20.61647376</f>
        <v>20.616473760000002</v>
      </c>
      <c r="AA118">
        <f>21.76334878</f>
        <v>21.763348780000001</v>
      </c>
      <c r="AB118">
        <f>23.08851405</f>
        <v>23.088514050000001</v>
      </c>
      <c r="AC118">
        <f>20.65813904</f>
        <v>20.658139039999998</v>
      </c>
    </row>
    <row r="119" spans="1:29" x14ac:dyDescent="0.25">
      <c r="A119" t="str">
        <f>"    Cognizant Technology Solutions Corp"</f>
        <v xml:space="preserve">    Cognizant Technology Solutions Corp</v>
      </c>
      <c r="B119" t="str">
        <f>"CTSH US Equity"</f>
        <v>CTSH US Equity</v>
      </c>
      <c r="C119" t="str">
        <f t="shared" si="18"/>
        <v>RR045</v>
      </c>
      <c r="D119" t="str">
        <f t="shared" si="19"/>
        <v>TOT_DEBT_TO_TOT_CAP</v>
      </c>
      <c r="E119" t="str">
        <f t="shared" si="20"/>
        <v>Dynamic</v>
      </c>
      <c r="F119">
        <f ca="1">IF(AND(ISNUMBER($F$311),$B$202=1),$F$311,HLOOKUP(INDIRECT(ADDRESS(2,COLUMN())),OFFSET($R$2,0,0,ROW()-1,12),ROW()-1,FALSE))</f>
        <v>24.25777905</v>
      </c>
      <c r="G119">
        <f ca="1">IF(AND(ISNUMBER($G$311),$B$202=1),$G$311,HLOOKUP(INDIRECT(ADDRESS(2,COLUMN())),OFFSET($R$2,0,0,ROW()-1,12),ROW()-1,FALSE))</f>
        <v>13.43752454</v>
      </c>
      <c r="H119">
        <f ca="1">IF(AND(ISNUMBER($H$311),$B$202=1),$H$311,HLOOKUP(INDIRECT(ADDRESS(2,COLUMN())),OFFSET($R$2,0,0,ROW()-1,12),ROW()-1,FALSE))</f>
        <v>13.70746654</v>
      </c>
      <c r="I119">
        <f ca="1">IF(AND(ISNUMBER($I$311),$B$202=1),$I$311,HLOOKUP(INDIRECT(ADDRESS(2,COLUMN())),OFFSET($R$2,0,0,ROW()-1,12),ROW()-1,FALSE))</f>
        <v>13.5451642</v>
      </c>
      <c r="J119">
        <f ca="1">IF(AND(ISNUMBER($J$311),$B$202=1),$J$311,HLOOKUP(INDIRECT(ADDRESS(2,COLUMN())),OFFSET($R$2,0,0,ROW()-1,12),ROW()-1,FALSE))</f>
        <v>12.63826783</v>
      </c>
      <c r="K119">
        <f ca="1">IF(AND(ISNUMBER($K$311),$B$202=1),$K$311,HLOOKUP(INDIRECT(ADDRESS(2,COLUMN())),OFFSET($R$2,0,0,ROW()-1,12),ROW()-1,FALSE))</f>
        <v>6.1221135670000004</v>
      </c>
      <c r="L119">
        <f ca="1">IF(AND(ISNUMBER($L$311),$B$202=1),$L$311,HLOOKUP(INDIRECT(ADDRESS(2,COLUMN())),OFFSET($R$2,0,0,ROW()-1,12),ROW()-1,FALSE))</f>
        <v>6.186976585</v>
      </c>
      <c r="M119">
        <f ca="1">IF(AND(ISNUMBER($M$311),$B$202=1),$M$311,HLOOKUP(INDIRECT(ADDRESS(2,COLUMN())),OFFSET($R$2,0,0,ROW()-1,12),ROW()-1,FALSE))</f>
        <v>6.5719048869999996</v>
      </c>
      <c r="N119">
        <f ca="1">IF(AND(ISNUMBER($N$311),$B$202=1),$N$311,HLOOKUP(INDIRECT(ADDRESS(2,COLUMN())),OFFSET($R$2,0,0,ROW()-1,12),ROW()-1,FALSE))</f>
        <v>6.5725703600000003</v>
      </c>
      <c r="O119">
        <f ca="1">IF(AND(ISNUMBER($O$311),$B$202=1),$O$311,HLOOKUP(INDIRECT(ADDRESS(2,COLUMN())),OFFSET($R$2,0,0,ROW()-1,12),ROW()-1,FALSE))</f>
        <v>7.5636804709999996</v>
      </c>
      <c r="P119">
        <f ca="1">IF(AND(ISNUMBER($P$311),$B$202=1),$P$311,HLOOKUP(INDIRECT(ADDRESS(2,COLUMN())),OFFSET($R$2,0,0,ROW()-1,12),ROW()-1,FALSE))</f>
        <v>6.9733943399999996</v>
      </c>
      <c r="Q119">
        <f ca="1">IF(AND(ISNUMBER($Q$311),$B$202=1),$Q$311,HLOOKUP(INDIRECT(ADDRESS(2,COLUMN())),OFFSET($R$2,0,0,ROW()-1,12),ROW()-1,FALSE))</f>
        <v>8.6369182500000008</v>
      </c>
      <c r="R119">
        <f>24.25777905</f>
        <v>24.25777905</v>
      </c>
      <c r="S119">
        <f>13.43752454</f>
        <v>13.43752454</v>
      </c>
      <c r="T119">
        <f>13.70746654</f>
        <v>13.70746654</v>
      </c>
      <c r="U119">
        <f>13.5451642</f>
        <v>13.5451642</v>
      </c>
      <c r="V119">
        <f>12.63826783</f>
        <v>12.63826783</v>
      </c>
      <c r="W119">
        <f>6.122113567</f>
        <v>6.1221135670000004</v>
      </c>
      <c r="X119">
        <f>6.186976585</f>
        <v>6.186976585</v>
      </c>
      <c r="Y119">
        <f>6.571904887</f>
        <v>6.5719048869999996</v>
      </c>
      <c r="Z119">
        <f>6.57257036</f>
        <v>6.5725703600000003</v>
      </c>
      <c r="AA119">
        <f>7.563680471</f>
        <v>7.5636804709999996</v>
      </c>
      <c r="AB119">
        <f>6.97339434</f>
        <v>6.9733943399999996</v>
      </c>
      <c r="AC119">
        <f>8.63691825</f>
        <v>8.6369182500000008</v>
      </c>
    </row>
    <row r="120" spans="1:29" x14ac:dyDescent="0.25">
      <c r="A120" t="str">
        <f>"    Conduent Inc"</f>
        <v xml:space="preserve">    Conduent Inc</v>
      </c>
      <c r="B120" t="str">
        <f>"CNDT US Equity"</f>
        <v>CNDT US Equity</v>
      </c>
      <c r="C120" t="str">
        <f t="shared" si="18"/>
        <v>RR045</v>
      </c>
      <c r="D120" t="str">
        <f t="shared" si="19"/>
        <v>TOT_DEBT_TO_TOT_CAP</v>
      </c>
      <c r="E120" t="str">
        <f t="shared" si="20"/>
        <v>Dynamic</v>
      </c>
      <c r="F120">
        <f ca="1">IF(AND(ISNUMBER($F$312),$B$202=1),$F$312,HLOOKUP(INDIRECT(ADDRESS(2,COLUMN())),OFFSET($R$2,0,0,ROW()-1,12),ROW()-1,FALSE))</f>
        <v>57.988895739999997</v>
      </c>
      <c r="G120">
        <f ca="1">IF(AND(ISNUMBER($G$312),$B$202=1),$G$312,HLOOKUP(INDIRECT(ADDRESS(2,COLUMN())),OFFSET($R$2,0,0,ROW()-1,12),ROW()-1,FALSE))</f>
        <v>56.076759060000001</v>
      </c>
      <c r="H120">
        <f ca="1">IF(AND(ISNUMBER($H$312),$B$202=1),$H$312,HLOOKUP(INDIRECT(ADDRESS(2,COLUMN())),OFFSET($R$2,0,0,ROW()-1,12),ROW()-1,FALSE))</f>
        <v>48.15579056</v>
      </c>
      <c r="I120">
        <f ca="1">IF(AND(ISNUMBER($I$312),$B$202=1),$I$312,HLOOKUP(INDIRECT(ADDRESS(2,COLUMN())),OFFSET($R$2,0,0,ROW()-1,12),ROW()-1,FALSE))</f>
        <v>48.317733369999999</v>
      </c>
      <c r="J120">
        <f ca="1">IF(AND(ISNUMBER($J$312),$B$202=1),$J$312,HLOOKUP(INDIRECT(ADDRESS(2,COLUMN())),OFFSET($R$2,0,0,ROW()-1,12),ROW()-1,FALSE))</f>
        <v>38.766959300000003</v>
      </c>
      <c r="K120">
        <f ca="1">IF(AND(ISNUMBER($K$312),$B$202=1),$K$312,HLOOKUP(INDIRECT(ADDRESS(2,COLUMN())),OFFSET($R$2,0,0,ROW()-1,12),ROW()-1,FALSE))</f>
        <v>31.77854391</v>
      </c>
      <c r="L120">
        <f ca="1">IF(AND(ISNUMBER($L$312),$B$202=1),$L$312,HLOOKUP(INDIRECT(ADDRESS(2,COLUMN())),OFFSET($R$2,0,0,ROW()-1,12),ROW()-1,FALSE))</f>
        <v>31.055533669999999</v>
      </c>
      <c r="M120">
        <f ca="1">IF(AND(ISNUMBER($M$312),$B$202=1),$M$312,HLOOKUP(INDIRECT(ADDRESS(2,COLUMN())),OFFSET($R$2,0,0,ROW()-1,12),ROW()-1,FALSE))</f>
        <v>35.95426561</v>
      </c>
      <c r="N120">
        <f ca="1">IF(AND(ISNUMBER($N$312),$B$202=1),$N$312,HLOOKUP(INDIRECT(ADDRESS(2,COLUMN())),OFFSET($R$2,0,0,ROW()-1,12),ROW()-1,FALSE))</f>
        <v>35.985977210000001</v>
      </c>
      <c r="O120">
        <f ca="1">IF(AND(ISNUMBER($O$312),$B$202=1),$O$312,HLOOKUP(INDIRECT(ADDRESS(2,COLUMN())),OFFSET($R$2,0,0,ROW()-1,12),ROW()-1,FALSE))</f>
        <v>35.95603629</v>
      </c>
      <c r="P120">
        <f ca="1">IF(AND(ISNUMBER($P$312),$B$202=1),$P$312,HLOOKUP(INDIRECT(ADDRESS(2,COLUMN())),OFFSET($R$2,0,0,ROW()-1,12),ROW()-1,FALSE))</f>
        <v>37.382160990000003</v>
      </c>
      <c r="Q120">
        <f ca="1">IF(AND(ISNUMBER($Q$312),$B$202=1),$Q$312,HLOOKUP(INDIRECT(ADDRESS(2,COLUMN())),OFFSET($R$2,0,0,ROW()-1,12),ROW()-1,FALSE))</f>
        <v>38.110574339999999</v>
      </c>
      <c r="R120">
        <f>57.98889574</f>
        <v>57.988895739999997</v>
      </c>
      <c r="S120">
        <f>56.07675906</f>
        <v>56.076759060000001</v>
      </c>
      <c r="T120">
        <f>48.15579056</f>
        <v>48.15579056</v>
      </c>
      <c r="U120">
        <f>48.31773337</f>
        <v>48.317733369999999</v>
      </c>
      <c r="V120">
        <f>38.7669593</f>
        <v>38.766959300000003</v>
      </c>
      <c r="W120">
        <f>31.77854391</f>
        <v>31.77854391</v>
      </c>
      <c r="X120">
        <f>31.05553367</f>
        <v>31.055533669999999</v>
      </c>
      <c r="Y120">
        <f>35.95426561</f>
        <v>35.95426561</v>
      </c>
      <c r="Z120">
        <f>35.98597721</f>
        <v>35.985977210000001</v>
      </c>
      <c r="AA120">
        <f>35.95603629</f>
        <v>35.95603629</v>
      </c>
      <c r="AB120">
        <f>37.38216099</f>
        <v>37.382160990000003</v>
      </c>
      <c r="AC120">
        <f>38.11057434</f>
        <v>38.110574339999999</v>
      </c>
    </row>
    <row r="121" spans="1:29" x14ac:dyDescent="0.25">
      <c r="A121" t="str">
        <f>"    DXC Technology Co"</f>
        <v xml:space="preserve">    DXC Technology Co</v>
      </c>
      <c r="B121" t="str">
        <f>"DXC US Equity"</f>
        <v>DXC US Equity</v>
      </c>
      <c r="C121" t="str">
        <f t="shared" si="18"/>
        <v>RR045</v>
      </c>
      <c r="D121" t="str">
        <f t="shared" si="19"/>
        <v>TOT_DEBT_TO_TOT_CAP</v>
      </c>
      <c r="E121" t="str">
        <f t="shared" si="20"/>
        <v>Dynamic</v>
      </c>
      <c r="F121">
        <f ca="1">IF(AND(ISNUMBER($F$313),$B$202=1),$F$313,HLOOKUP(INDIRECT(ADDRESS(2,COLUMN())),OFFSET($R$2,0,0,ROW()-1,12),ROW()-1,FALSE))</f>
        <v>69.143304049999998</v>
      </c>
      <c r="G121">
        <f ca="1">IF(AND(ISNUMBER($G$313),$B$202=1),$G$313,HLOOKUP(INDIRECT(ADDRESS(2,COLUMN())),OFFSET($R$2,0,0,ROW()-1,12),ROW()-1,FALSE))</f>
        <v>53.547366269999998</v>
      </c>
      <c r="H121">
        <f ca="1">IF(AND(ISNUMBER($H$313),$B$202=1),$H$313,HLOOKUP(INDIRECT(ADDRESS(2,COLUMN())),OFFSET($R$2,0,0,ROW()-1,12),ROW()-1,FALSE))</f>
        <v>54.899069509999997</v>
      </c>
      <c r="I121">
        <f ca="1">IF(AND(ISNUMBER($I$313),$B$202=1),$I$313,HLOOKUP(INDIRECT(ADDRESS(2,COLUMN())),OFFSET($R$2,0,0,ROW()-1,12),ROW()-1,FALSE))</f>
        <v>49.780623210000002</v>
      </c>
      <c r="J121">
        <f ca="1">IF(AND(ISNUMBER($J$313),$B$202=1),$J$313,HLOOKUP(INDIRECT(ADDRESS(2,COLUMN())),OFFSET($R$2,0,0,ROW()-1,12),ROW()-1,FALSE))</f>
        <v>38.731253590000001</v>
      </c>
      <c r="K121">
        <f ca="1">IF(AND(ISNUMBER($K$313),$B$202=1),$K$313,HLOOKUP(INDIRECT(ADDRESS(2,COLUMN())),OFFSET($R$2,0,0,ROW()-1,12),ROW()-1,FALSE))</f>
        <v>39.966166209999997</v>
      </c>
      <c r="L121">
        <f ca="1">IF(AND(ISNUMBER($L$313),$B$202=1),$L$313,HLOOKUP(INDIRECT(ADDRESS(2,COLUMN())),OFFSET($R$2,0,0,ROW()-1,12),ROW()-1,FALSE))</f>
        <v>37.250848179999998</v>
      </c>
      <c r="M121">
        <f ca="1">IF(AND(ISNUMBER($M$313),$B$202=1),$M$313,HLOOKUP(INDIRECT(ADDRESS(2,COLUMN())),OFFSET($R$2,0,0,ROW()-1,12),ROW()-1,FALSE))</f>
        <v>37.38605046</v>
      </c>
      <c r="N121">
        <f ca="1">IF(AND(ISNUMBER($N$313),$B$202=1),$N$313,HLOOKUP(INDIRECT(ADDRESS(2,COLUMN())),OFFSET($R$2,0,0,ROW()-1,12),ROW()-1,FALSE))</f>
        <v>36.664072869999998</v>
      </c>
      <c r="O121">
        <f ca="1">IF(AND(ISNUMBER($O$313),$B$202=1),$O$313,HLOOKUP(INDIRECT(ADDRESS(2,COLUMN())),OFFSET($R$2,0,0,ROW()-1,12),ROW()-1,FALSE))</f>
        <v>39.278815199999997</v>
      </c>
      <c r="P121">
        <f ca="1">IF(AND(ISNUMBER($P$313),$B$202=1),$P$313,HLOOKUP(INDIRECT(ADDRESS(2,COLUMN())),OFFSET($R$2,0,0,ROW()-1,12),ROW()-1,FALSE))</f>
        <v>40.533472799999998</v>
      </c>
      <c r="Q121">
        <f ca="1">IF(AND(ISNUMBER($Q$313),$B$202=1),$Q$313,HLOOKUP(INDIRECT(ADDRESS(2,COLUMN())),OFFSET($R$2,0,0,ROW()-1,12),ROW()-1,FALSE))</f>
        <v>37.642066980000003</v>
      </c>
      <c r="R121">
        <f>69.14330405</f>
        <v>69.143304049999998</v>
      </c>
      <c r="S121">
        <f>53.54736627</f>
        <v>53.547366269999998</v>
      </c>
      <c r="T121">
        <f>54.89906951</f>
        <v>54.899069509999997</v>
      </c>
      <c r="U121">
        <f>49.78062321</f>
        <v>49.780623210000002</v>
      </c>
      <c r="V121">
        <f>38.73125359</f>
        <v>38.731253590000001</v>
      </c>
      <c r="W121">
        <f>39.96616621</f>
        <v>39.966166209999997</v>
      </c>
      <c r="X121">
        <f>37.25084818</f>
        <v>37.250848179999998</v>
      </c>
      <c r="Y121">
        <f>37.38605046</f>
        <v>37.38605046</v>
      </c>
      <c r="Z121">
        <f>36.66407287</f>
        <v>36.664072869999998</v>
      </c>
      <c r="AA121">
        <f>39.2788152</f>
        <v>39.278815199999997</v>
      </c>
      <c r="AB121">
        <f>40.5334728</f>
        <v>40.533472799999998</v>
      </c>
      <c r="AC121">
        <f>37.64206698</f>
        <v>37.642066980000003</v>
      </c>
    </row>
    <row r="122" spans="1:29" x14ac:dyDescent="0.25">
      <c r="A122" t="str">
        <f>"    EPAM Systems Inc"</f>
        <v xml:space="preserve">    EPAM Systems Inc</v>
      </c>
      <c r="B122" t="str">
        <f>"EPAM US Equity"</f>
        <v>EPAM US Equity</v>
      </c>
      <c r="C122" t="str">
        <f t="shared" si="18"/>
        <v>RR045</v>
      </c>
      <c r="D122" t="str">
        <f t="shared" si="19"/>
        <v>TOT_DEBT_TO_TOT_CAP</v>
      </c>
      <c r="E122" t="str">
        <f t="shared" si="20"/>
        <v>Dynamic</v>
      </c>
      <c r="F122">
        <f ca="1">IF(AND(ISNUMBER($F$314),$B$202=1),$F$314,HLOOKUP(INDIRECT(ADDRESS(2,COLUMN())),OFFSET($R$2,0,0,ROW()-1,12),ROW()-1,FALSE))</f>
        <v>14.28061529</v>
      </c>
      <c r="G122">
        <f ca="1">IF(AND(ISNUMBER($G$314),$B$202=1),$G$314,HLOOKUP(INDIRECT(ADDRESS(2,COLUMN())),OFFSET($R$2,0,0,ROW()-1,12),ROW()-1,FALSE))</f>
        <v>14.16770945</v>
      </c>
      <c r="H122">
        <f ca="1">IF(AND(ISNUMBER($H$314),$B$202=1),$H$314,HLOOKUP(INDIRECT(ADDRESS(2,COLUMN())),OFFSET($R$2,0,0,ROW()-1,12),ROW()-1,FALSE))</f>
        <v>13.37597626</v>
      </c>
      <c r="I122">
        <f ca="1">IF(AND(ISNUMBER($I$314),$B$202=1),$I$314,HLOOKUP(INDIRECT(ADDRESS(2,COLUMN())),OFFSET($R$2,0,0,ROW()-1,12),ROW()-1,FALSE))</f>
        <v>14.00194581</v>
      </c>
      <c r="J122">
        <f ca="1">IF(AND(ISNUMBER($J$314),$B$202=1),$J$314,HLOOKUP(INDIRECT(ADDRESS(2,COLUMN())),OFFSET($R$2,0,0,ROW()-1,12),ROW()-1,FALSE))</f>
        <v>12.592356970000001</v>
      </c>
      <c r="K122">
        <f ca="1">IF(AND(ISNUMBER($K$314),$B$202=1),$K$314,HLOOKUP(INDIRECT(ADDRESS(2,COLUMN())),OFFSET($R$2,0,0,ROW()-1,12),ROW()-1,FALSE))</f>
        <v>1.943963586</v>
      </c>
      <c r="L122">
        <f ca="1">IF(AND(ISNUMBER($L$314),$B$202=1),$L$314,HLOOKUP(INDIRECT(ADDRESS(2,COLUMN())),OFFSET($R$2,0,0,ROW()-1,12),ROW()-1,FALSE))</f>
        <v>2.049857367</v>
      </c>
      <c r="M122">
        <f ca="1">IF(AND(ISNUMBER($M$314),$B$202=1),$M$314,HLOOKUP(INDIRECT(ADDRESS(2,COLUMN())),OFFSET($R$2,0,0,ROW()-1,12),ROW()-1,FALSE))</f>
        <v>2.1989360379999998</v>
      </c>
      <c r="N122">
        <f ca="1">IF(AND(ISNUMBER($N$314),$B$202=1),$N$314,HLOOKUP(INDIRECT(ADDRESS(2,COLUMN())),OFFSET($R$2,0,0,ROW()-1,12),ROW()-1,FALSE))</f>
        <v>2.316329638</v>
      </c>
      <c r="O122">
        <f ca="1">IF(AND(ISNUMBER($O$314),$B$202=1),$O$314,HLOOKUP(INDIRECT(ADDRESS(2,COLUMN())),OFFSET($R$2,0,0,ROW()-1,12),ROW()-1,FALSE))</f>
        <v>2.503350067</v>
      </c>
      <c r="P122">
        <f ca="1">IF(AND(ISNUMBER($P$314),$B$202=1),$P$314,HLOOKUP(INDIRECT(ADDRESS(2,COLUMN())),OFFSET($R$2,0,0,ROW()-1,12),ROW()-1,FALSE))</f>
        <v>2.47885043</v>
      </c>
      <c r="Q122">
        <f ca="1">IF(AND(ISNUMBER($Q$314),$B$202=1),$Q$314,HLOOKUP(INDIRECT(ADDRESS(2,COLUMN())),OFFSET($R$2,0,0,ROW()-1,12),ROW()-1,FALSE))</f>
        <v>2.6497265379999999</v>
      </c>
      <c r="R122">
        <f>14.28061529</f>
        <v>14.28061529</v>
      </c>
      <c r="S122">
        <f>14.16770945</f>
        <v>14.16770945</v>
      </c>
      <c r="T122">
        <f>13.37597626</f>
        <v>13.37597626</v>
      </c>
      <c r="U122">
        <f>14.00194581</f>
        <v>14.00194581</v>
      </c>
      <c r="V122">
        <f>12.59235697</f>
        <v>12.592356970000001</v>
      </c>
      <c r="W122">
        <f>1.943963586</f>
        <v>1.943963586</v>
      </c>
      <c r="X122">
        <f>2.049857367</f>
        <v>2.049857367</v>
      </c>
      <c r="Y122">
        <f>2.198936038</f>
        <v>2.1989360379999998</v>
      </c>
      <c r="Z122">
        <f>2.316329638</f>
        <v>2.316329638</v>
      </c>
      <c r="AA122">
        <f>2.503350067</f>
        <v>2.503350067</v>
      </c>
      <c r="AB122">
        <f>2.47885043</f>
        <v>2.47885043</v>
      </c>
      <c r="AC122">
        <f>2.649726538</f>
        <v>2.6497265379999999</v>
      </c>
    </row>
    <row r="123" spans="1:29" x14ac:dyDescent="0.25">
      <c r="A123" t="str">
        <f>"    Genpact Ltd"</f>
        <v xml:space="preserve">    Genpact Ltd</v>
      </c>
      <c r="B123" t="str">
        <f>"G US Equity"</f>
        <v>G US Equity</v>
      </c>
      <c r="C123" t="str">
        <f t="shared" si="18"/>
        <v>RR045</v>
      </c>
      <c r="D123" t="str">
        <f t="shared" si="19"/>
        <v>TOT_DEBT_TO_TOT_CAP</v>
      </c>
      <c r="E123" t="str">
        <f t="shared" si="20"/>
        <v>Dynamic</v>
      </c>
      <c r="F123">
        <f ca="1">IF(AND(ISNUMBER($F$315),$B$202=1),$F$315,HLOOKUP(INDIRECT(ADDRESS(2,COLUMN())),OFFSET($R$2,0,0,ROW()-1,12),ROW()-1,FALSE))</f>
        <v>55.217586619999999</v>
      </c>
      <c r="G123">
        <f ca="1">IF(AND(ISNUMBER($G$315),$B$202=1),$G$315,HLOOKUP(INDIRECT(ADDRESS(2,COLUMN())),OFFSET($R$2,0,0,ROW()-1,12),ROW()-1,FALSE))</f>
        <v>52.049036180000002</v>
      </c>
      <c r="H123">
        <f ca="1">IF(AND(ISNUMBER($H$315),$B$202=1),$H$315,HLOOKUP(INDIRECT(ADDRESS(2,COLUMN())),OFFSET($R$2,0,0,ROW()-1,12),ROW()-1,FALSE))</f>
        <v>49.726194929999998</v>
      </c>
      <c r="I123">
        <f ca="1">IF(AND(ISNUMBER($I$315),$B$202=1),$I$315,HLOOKUP(INDIRECT(ADDRESS(2,COLUMN())),OFFSET($R$2,0,0,ROW()-1,12),ROW()-1,FALSE))</f>
        <v>50.949067100000001</v>
      </c>
      <c r="J123">
        <f ca="1">IF(AND(ISNUMBER($J$315),$B$202=1),$J$315,HLOOKUP(INDIRECT(ADDRESS(2,COLUMN())),OFFSET($R$2,0,0,ROW()-1,12),ROW()-1,FALSE))</f>
        <v>52.409857909999999</v>
      </c>
      <c r="K123">
        <f ca="1">IF(AND(ISNUMBER($K$315),$B$202=1),$K$315,HLOOKUP(INDIRECT(ADDRESS(2,COLUMN())),OFFSET($R$2,0,0,ROW()-1,12),ROW()-1,FALSE))</f>
        <v>48.152833319999999</v>
      </c>
      <c r="L123">
        <f ca="1">IF(AND(ISNUMBER($L$315),$B$202=1),$L$315,HLOOKUP(INDIRECT(ADDRESS(2,COLUMN())),OFFSET($R$2,0,0,ROW()-1,12),ROW()-1,FALSE))</f>
        <v>51.184138449999999</v>
      </c>
      <c r="M123">
        <f ca="1">IF(AND(ISNUMBER($M$315),$B$202=1),$M$315,HLOOKUP(INDIRECT(ADDRESS(2,COLUMN())),OFFSET($R$2,0,0,ROW()-1,12),ROW()-1,FALSE))</f>
        <v>48.919183230000002</v>
      </c>
      <c r="N123">
        <f ca="1">IF(AND(ISNUMBER($N$315),$B$202=1),$N$315,HLOOKUP(INDIRECT(ADDRESS(2,COLUMN())),OFFSET($R$2,0,0,ROW()-1,12),ROW()-1,FALSE))</f>
        <v>48.977283640000003</v>
      </c>
      <c r="O123">
        <f ca="1">IF(AND(ISNUMBER($O$315),$B$202=1),$O$315,HLOOKUP(INDIRECT(ADDRESS(2,COLUMN())),OFFSET($R$2,0,0,ROW()-1,12),ROW()-1,FALSE))</f>
        <v>45.975338669999999</v>
      </c>
      <c r="P123">
        <f ca="1">IF(AND(ISNUMBER($P$315),$B$202=1),$P$315,HLOOKUP(INDIRECT(ADDRESS(2,COLUMN())),OFFSET($R$2,0,0,ROW()-1,12),ROW()-1,FALSE))</f>
        <v>47.975421769999997</v>
      </c>
      <c r="Q123">
        <f ca="1">IF(AND(ISNUMBER($Q$315),$B$202=1),$Q$315,HLOOKUP(INDIRECT(ADDRESS(2,COLUMN())),OFFSET($R$2,0,0,ROW()-1,12),ROW()-1,FALSE))</f>
        <v>50.141314299999998</v>
      </c>
      <c r="R123">
        <f>55.21758662</f>
        <v>55.217586619999999</v>
      </c>
      <c r="S123">
        <f>52.04903618</f>
        <v>52.049036180000002</v>
      </c>
      <c r="T123">
        <f>49.72619493</f>
        <v>49.726194929999998</v>
      </c>
      <c r="U123">
        <f>50.9490671</f>
        <v>50.949067100000001</v>
      </c>
      <c r="V123">
        <f>52.40985791</f>
        <v>52.409857909999999</v>
      </c>
      <c r="W123">
        <f>48.15283332</f>
        <v>48.152833319999999</v>
      </c>
      <c r="X123">
        <f>51.18413845</f>
        <v>51.184138449999999</v>
      </c>
      <c r="Y123">
        <f>48.91918323</f>
        <v>48.919183230000002</v>
      </c>
      <c r="Z123">
        <f>48.97728364</f>
        <v>48.977283640000003</v>
      </c>
      <c r="AA123">
        <f>45.97533867</f>
        <v>45.975338669999999</v>
      </c>
      <c r="AB123">
        <f>47.97542177</f>
        <v>47.975421769999997</v>
      </c>
      <c r="AC123">
        <f>50.1413143</f>
        <v>50.141314299999998</v>
      </c>
    </row>
    <row r="124" spans="1:29" x14ac:dyDescent="0.25">
      <c r="A124" t="str">
        <f>"    HCL Technologies Ltd"</f>
        <v xml:space="preserve">    HCL Technologies Ltd</v>
      </c>
      <c r="B124" t="str">
        <f>"HCLT IN Equity"</f>
        <v>HCLT IN Equity</v>
      </c>
      <c r="C124" t="str">
        <f t="shared" si="18"/>
        <v>RR045</v>
      </c>
      <c r="D124" t="str">
        <f t="shared" si="19"/>
        <v>TOT_DEBT_TO_TOT_CAP</v>
      </c>
      <c r="E124" t="str">
        <f t="shared" si="20"/>
        <v>Dynamic</v>
      </c>
      <c r="F124">
        <f ca="1">IF(AND(ISNUMBER($F$316),$B$202=1),$F$316,HLOOKUP(INDIRECT(ADDRESS(2,COLUMN())),OFFSET($R$2,0,0,ROW()-1,12),ROW()-1,FALSE))</f>
        <v>13.26729428</v>
      </c>
      <c r="G124">
        <f ca="1">IF(AND(ISNUMBER($G$316),$B$202=1),$G$316,HLOOKUP(INDIRECT(ADDRESS(2,COLUMN())),OFFSET($R$2,0,0,ROW()-1,12),ROW()-1,FALSE))</f>
        <v>11.4150125</v>
      </c>
      <c r="H124">
        <f ca="1">IF(AND(ISNUMBER($H$316),$B$202=1),$H$316,HLOOKUP(INDIRECT(ADDRESS(2,COLUMN())),OFFSET($R$2,0,0,ROW()-1,12),ROW()-1,FALSE))</f>
        <v>12.241787329999999</v>
      </c>
      <c r="I124">
        <f ca="1">IF(AND(ISNUMBER($I$316),$B$202=1),$I$316,HLOOKUP(INDIRECT(ADDRESS(2,COLUMN())),OFFSET($R$2,0,0,ROW()-1,12),ROW()-1,FALSE))</f>
        <v>8.6257441139999997</v>
      </c>
      <c r="J124">
        <f ca="1">IF(AND(ISNUMBER($J$316),$B$202=1),$J$316,HLOOKUP(INDIRECT(ADDRESS(2,COLUMN())),OFFSET($R$2,0,0,ROW()-1,12),ROW()-1,FALSE))</f>
        <v>9.0353708380000004</v>
      </c>
      <c r="K124">
        <f ca="1">IF(AND(ISNUMBER($K$316),$B$202=1),$K$316,HLOOKUP(INDIRECT(ADDRESS(2,COLUMN())),OFFSET($R$2,0,0,ROW()-1,12),ROW()-1,FALSE))</f>
        <v>8.8731003279999996</v>
      </c>
      <c r="L124">
        <f ca="1">IF(AND(ISNUMBER($L$316),$B$202=1),$L$316,HLOOKUP(INDIRECT(ADDRESS(2,COLUMN())),OFFSET($R$2,0,0,ROW()-1,12),ROW()-1,FALSE))</f>
        <v>6.8418675179999999</v>
      </c>
      <c r="M124">
        <f ca="1">IF(AND(ISNUMBER($M$316),$B$202=1),$M$316,HLOOKUP(INDIRECT(ADDRESS(2,COLUMN())),OFFSET($R$2,0,0,ROW()-1,12),ROW()-1,FALSE))</f>
        <v>0.91272403599999996</v>
      </c>
      <c r="N124">
        <f ca="1">IF(AND(ISNUMBER($N$316),$B$202=1),$N$316,HLOOKUP(INDIRECT(ADDRESS(2,COLUMN())),OFFSET($R$2,0,0,ROW()-1,12),ROW()-1,FALSE))</f>
        <v>1.3475042699999999</v>
      </c>
      <c r="O124">
        <f ca="1">IF(AND(ISNUMBER($O$316),$B$202=1),$O$316,HLOOKUP(INDIRECT(ADDRESS(2,COLUMN())),OFFSET($R$2,0,0,ROW()-1,12),ROW()-1,FALSE))</f>
        <v>1.448067129</v>
      </c>
      <c r="P124">
        <f ca="1">IF(AND(ISNUMBER($P$316),$B$202=1),$P$316,HLOOKUP(INDIRECT(ADDRESS(2,COLUMN())),OFFSET($R$2,0,0,ROW()-1,12),ROW()-1,FALSE))</f>
        <v>2.1558230439999999</v>
      </c>
      <c r="Q124">
        <f ca="1">IF(AND(ISNUMBER($Q$316),$B$202=1),$Q$316,HLOOKUP(INDIRECT(ADDRESS(2,COLUMN())),OFFSET($R$2,0,0,ROW()-1,12),ROW()-1,FALSE))</f>
        <v>1.614467976</v>
      </c>
      <c r="R124">
        <f>13.26729428</f>
        <v>13.26729428</v>
      </c>
      <c r="S124">
        <f>11.4150125</f>
        <v>11.4150125</v>
      </c>
      <c r="T124">
        <f>12.24178733</f>
        <v>12.241787329999999</v>
      </c>
      <c r="U124">
        <f>8.625744114</f>
        <v>8.6257441139999997</v>
      </c>
      <c r="V124">
        <f>9.035370838</f>
        <v>9.0353708380000004</v>
      </c>
      <c r="W124">
        <f>8.873100328</f>
        <v>8.8731003279999996</v>
      </c>
      <c r="X124">
        <f>6.841867518</f>
        <v>6.8418675179999999</v>
      </c>
      <c r="Y124">
        <f>0.912724036</f>
        <v>0.91272403599999996</v>
      </c>
      <c r="Z124">
        <f>1.34750427</f>
        <v>1.3475042699999999</v>
      </c>
      <c r="AA124">
        <f>1.448067129</f>
        <v>1.448067129</v>
      </c>
      <c r="AB124">
        <f>2.155823044</f>
        <v>2.1558230439999999</v>
      </c>
      <c r="AC124">
        <f>1.614467976</f>
        <v>1.614467976</v>
      </c>
    </row>
    <row r="125" spans="1:29" x14ac:dyDescent="0.25">
      <c r="A125" t="str">
        <f>"    Indra Sistemas SA"</f>
        <v xml:space="preserve">    Indra Sistemas SA</v>
      </c>
      <c r="B125" t="str">
        <f>"IDR SM Equity"</f>
        <v>IDR SM Equity</v>
      </c>
      <c r="C125" t="str">
        <f t="shared" si="18"/>
        <v>RR045</v>
      </c>
      <c r="D125" t="str">
        <f t="shared" si="19"/>
        <v>TOT_DEBT_TO_TOT_CAP</v>
      </c>
      <c r="E125" t="str">
        <f t="shared" si="20"/>
        <v>Dynamic</v>
      </c>
      <c r="F125">
        <f ca="1">IF(AND(ISNUMBER($F$317),$B$202=1),$F$317,HLOOKUP(INDIRECT(ADDRESS(2,COLUMN())),OFFSET($R$2,0,0,ROW()-1,12),ROW()-1,FALSE))</f>
        <v>66.408930979999994</v>
      </c>
      <c r="G125">
        <f ca="1">IF(AND(ISNUMBER($G$317),$B$202=1),$G$317,HLOOKUP(INDIRECT(ADDRESS(2,COLUMN())),OFFSET($R$2,0,0,ROW()-1,12),ROW()-1,FALSE))</f>
        <v>66.566781430000006</v>
      </c>
      <c r="H125">
        <f ca="1">IF(AND(ISNUMBER($H$317),$B$202=1),$H$317,HLOOKUP(INDIRECT(ADDRESS(2,COLUMN())),OFFSET($R$2,0,0,ROW()-1,12),ROW()-1,FALSE))</f>
        <v>67.663494279999995</v>
      </c>
      <c r="I125">
        <f ca="1">IF(AND(ISNUMBER($I$317),$B$202=1),$I$317,HLOOKUP(INDIRECT(ADDRESS(2,COLUMN())),OFFSET($R$2,0,0,ROW()-1,12),ROW()-1,FALSE))</f>
        <v>69.592340570000005</v>
      </c>
      <c r="J125">
        <f ca="1">IF(AND(ISNUMBER($J$317),$B$202=1),$J$317,HLOOKUP(INDIRECT(ADDRESS(2,COLUMN())),OFFSET($R$2,0,0,ROW()-1,12),ROW()-1,FALSE))</f>
        <v>67.074198989999999</v>
      </c>
      <c r="K125">
        <f ca="1">IF(AND(ISNUMBER($K$317),$B$202=1),$K$317,HLOOKUP(INDIRECT(ADDRESS(2,COLUMN())),OFFSET($R$2,0,0,ROW()-1,12),ROW()-1,FALSE))</f>
        <v>67.398283050000003</v>
      </c>
      <c r="L125">
        <f ca="1">IF(AND(ISNUMBER($L$317),$B$202=1),$L$317,HLOOKUP(INDIRECT(ADDRESS(2,COLUMN())),OFFSET($R$2,0,0,ROW()-1,12),ROW()-1,FALSE))</f>
        <v>71.419316030000005</v>
      </c>
      <c r="M125">
        <f ca="1">IF(AND(ISNUMBER($M$317),$B$202=1),$M$317,HLOOKUP(INDIRECT(ADDRESS(2,COLUMN())),OFFSET($R$2,0,0,ROW()-1,12),ROW()-1,FALSE))</f>
        <v>72.625663880000005</v>
      </c>
      <c r="N125">
        <f ca="1">IF(AND(ISNUMBER($N$317),$B$202=1),$N$317,HLOOKUP(INDIRECT(ADDRESS(2,COLUMN())),OFFSET($R$2,0,0,ROW()-1,12),ROW()-1,FALSE))</f>
        <v>69.681233930000005</v>
      </c>
      <c r="O125">
        <f ca="1">IF(AND(ISNUMBER($O$317),$B$202=1),$O$317,HLOOKUP(INDIRECT(ADDRESS(2,COLUMN())),OFFSET($R$2,0,0,ROW()-1,12),ROW()-1,FALSE))</f>
        <v>66.485561039999993</v>
      </c>
      <c r="P125">
        <f ca="1">IF(AND(ISNUMBER($P$317),$B$202=1),$P$317,HLOOKUP(INDIRECT(ADDRESS(2,COLUMN())),OFFSET($R$2,0,0,ROW()-1,12),ROW()-1,FALSE))</f>
        <v>68.785855850000004</v>
      </c>
      <c r="Q125">
        <f ca="1">IF(AND(ISNUMBER($Q$317),$B$202=1),$Q$317,HLOOKUP(INDIRECT(ADDRESS(2,COLUMN())),OFFSET($R$2,0,0,ROW()-1,12),ROW()-1,FALSE))</f>
        <v>71.135069999999999</v>
      </c>
      <c r="R125">
        <f>66.40893098</f>
        <v>66.408930979999994</v>
      </c>
      <c r="S125">
        <f>66.56678143</f>
        <v>66.566781430000006</v>
      </c>
      <c r="T125">
        <f>67.66349428</f>
        <v>67.663494279999995</v>
      </c>
      <c r="U125">
        <f>69.59234057</f>
        <v>69.592340570000005</v>
      </c>
      <c r="V125">
        <f>67.07419899</f>
        <v>67.074198989999999</v>
      </c>
      <c r="W125">
        <f>67.39828305</f>
        <v>67.398283050000003</v>
      </c>
      <c r="X125">
        <f>71.41931603</f>
        <v>71.419316030000005</v>
      </c>
      <c r="Y125">
        <f>72.62566388</f>
        <v>72.625663880000005</v>
      </c>
      <c r="Z125">
        <f>69.68123393</f>
        <v>69.681233930000005</v>
      </c>
      <c r="AA125">
        <f>66.48556104</f>
        <v>66.485561039999993</v>
      </c>
      <c r="AB125">
        <f>68.78585585</f>
        <v>68.785855850000004</v>
      </c>
      <c r="AC125">
        <f>71.13507</f>
        <v>71.135069999999999</v>
      </c>
    </row>
    <row r="126" spans="1:29" x14ac:dyDescent="0.25">
      <c r="A126" t="str">
        <f>"    Infosys Ltd"</f>
        <v xml:space="preserve">    Infosys Ltd</v>
      </c>
      <c r="B126" t="str">
        <f>"INFY US Equity"</f>
        <v>INFY US Equity</v>
      </c>
      <c r="C126" t="str">
        <f t="shared" si="18"/>
        <v>RR045</v>
      </c>
      <c r="D126" t="str">
        <f t="shared" si="19"/>
        <v>TOT_DEBT_TO_TOT_CAP</v>
      </c>
      <c r="E126" t="str">
        <f t="shared" si="20"/>
        <v>Dynamic</v>
      </c>
      <c r="F126">
        <f ca="1">IF(AND(ISNUMBER($F$318),$B$202=1),$F$318,HLOOKUP(INDIRECT(ADDRESS(2,COLUMN())),OFFSET($R$2,0,0,ROW()-1,12),ROW()-1,FALSE))</f>
        <v>6.5737758419999999</v>
      </c>
      <c r="G126">
        <f ca="1">IF(AND(ISNUMBER($G$318),$B$202=1),$G$318,HLOOKUP(INDIRECT(ADDRESS(2,COLUMN())),OFFSET($R$2,0,0,ROW()-1,12),ROW()-1,FALSE))</f>
        <v>6.3373818340000003</v>
      </c>
      <c r="H126">
        <f ca="1">IF(AND(ISNUMBER($H$318),$B$202=1),$H$318,HLOOKUP(INDIRECT(ADDRESS(2,COLUMN())),OFFSET($R$2,0,0,ROW()-1,12),ROW()-1,FALSE))</f>
        <v>6.2763631889999996</v>
      </c>
      <c r="I126">
        <f ca="1">IF(AND(ISNUMBER($I$318),$B$202=1),$I$318,HLOOKUP(INDIRECT(ADDRESS(2,COLUMN())),OFFSET($R$2,0,0,ROW()-1,12),ROW()-1,FALSE))</f>
        <v>6.3142631160000002</v>
      </c>
      <c r="J126">
        <f ca="1">IF(AND(ISNUMBER($J$318),$B$202=1),$J$318,HLOOKUP(INDIRECT(ADDRESS(2,COLUMN())),OFFSET($R$2,0,0,ROW()-1,12),ROW()-1,FALSE))</f>
        <v>0</v>
      </c>
      <c r="K126">
        <f ca="1">IF(AND(ISNUMBER($K$318),$B$202=1),$K$318,HLOOKUP(INDIRECT(ADDRESS(2,COLUMN())),OFFSET($R$2,0,0,ROW()-1,12),ROW()-1,FALSE))</f>
        <v>0</v>
      </c>
      <c r="L126">
        <f ca="1">IF(AND(ISNUMBER($L$318),$B$202=1),$L$318,HLOOKUP(INDIRECT(ADDRESS(2,COLUMN())),OFFSET($R$2,0,0,ROW()-1,12),ROW()-1,FALSE))</f>
        <v>0</v>
      </c>
      <c r="M126">
        <f ca="1">IF(AND(ISNUMBER($M$318),$B$202=1),$M$318,HLOOKUP(INDIRECT(ADDRESS(2,COLUMN())),OFFSET($R$2,0,0,ROW()-1,12),ROW()-1,FALSE))</f>
        <v>0</v>
      </c>
      <c r="N126">
        <f ca="1">IF(AND(ISNUMBER($N$318),$B$202=1),$N$318,HLOOKUP(INDIRECT(ADDRESS(2,COLUMN())),OFFSET($R$2,0,0,ROW()-1,12),ROW()-1,FALSE))</f>
        <v>0</v>
      </c>
      <c r="O126">
        <f ca="1">IF(AND(ISNUMBER($O$318),$B$202=1),$O$318,HLOOKUP(INDIRECT(ADDRESS(2,COLUMN())),OFFSET($R$2,0,0,ROW()-1,12),ROW()-1,FALSE))</f>
        <v>0</v>
      </c>
      <c r="P126">
        <f ca="1">IF(AND(ISNUMBER($P$318),$B$202=1),$P$318,HLOOKUP(INDIRECT(ADDRESS(2,COLUMN())),OFFSET($R$2,0,0,ROW()-1,12),ROW()-1,FALSE))</f>
        <v>0</v>
      </c>
      <c r="Q126">
        <f ca="1">IF(AND(ISNUMBER($Q$318),$B$202=1),$Q$318,HLOOKUP(INDIRECT(ADDRESS(2,COLUMN())),OFFSET($R$2,0,0,ROW()-1,12),ROW()-1,FALSE))</f>
        <v>0</v>
      </c>
      <c r="R126">
        <f>6.573775842</f>
        <v>6.5737758419999999</v>
      </c>
      <c r="S126">
        <f>6.337381834</f>
        <v>6.3373818340000003</v>
      </c>
      <c r="T126">
        <f>6.276363189</f>
        <v>6.2763631889999996</v>
      </c>
      <c r="U126">
        <f>6.314263116</f>
        <v>6.3142631160000002</v>
      </c>
      <c r="V126">
        <f>0</f>
        <v>0</v>
      </c>
      <c r="W126">
        <f>0</f>
        <v>0</v>
      </c>
      <c r="X126">
        <f>0</f>
        <v>0</v>
      </c>
      <c r="Y126">
        <f>0</f>
        <v>0</v>
      </c>
      <c r="Z126">
        <f>0</f>
        <v>0</v>
      </c>
      <c r="AA126">
        <f>0</f>
        <v>0</v>
      </c>
      <c r="AB126">
        <f>0</f>
        <v>0</v>
      </c>
      <c r="AC126">
        <f>0</f>
        <v>0</v>
      </c>
    </row>
    <row r="127" spans="1:29" x14ac:dyDescent="0.25">
      <c r="A127" t="str">
        <f>"    International Business Machines Corp"</f>
        <v xml:space="preserve">    International Business Machines Corp</v>
      </c>
      <c r="B127" t="str">
        <f>"IBM US Equity"</f>
        <v>IBM US Equity</v>
      </c>
      <c r="C127" t="str">
        <f t="shared" si="18"/>
        <v>RR045</v>
      </c>
      <c r="D127" t="str">
        <f t="shared" si="19"/>
        <v>TOT_DEBT_TO_TOT_CAP</v>
      </c>
      <c r="E127" t="str">
        <f t="shared" si="20"/>
        <v>Dynamic</v>
      </c>
      <c r="F127">
        <f ca="1">IF(AND(ISNUMBER($F$319),$B$202=1),$F$319,HLOOKUP(INDIRECT(ADDRESS(2,COLUMN())),OFFSET($R$2,0,0,ROW()-1,12),ROW()-1,FALSE))</f>
        <v>77.530949640000003</v>
      </c>
      <c r="G127">
        <f ca="1">IF(AND(ISNUMBER($G$319),$B$202=1),$G$319,HLOOKUP(INDIRECT(ADDRESS(2,COLUMN())),OFFSET($R$2,0,0,ROW()-1,12),ROW()-1,FALSE))</f>
        <v>76.460030059999994</v>
      </c>
      <c r="H127">
        <f ca="1">IF(AND(ISNUMBER($H$319),$B$202=1),$H$319,HLOOKUP(INDIRECT(ADDRESS(2,COLUMN())),OFFSET($R$2,0,0,ROW()-1,12),ROW()-1,FALSE))</f>
        <v>78.335667849999993</v>
      </c>
      <c r="I127">
        <f ca="1">IF(AND(ISNUMBER($I$319),$B$202=1),$I$319,HLOOKUP(INDIRECT(ADDRESS(2,COLUMN())),OFFSET($R$2,0,0,ROW()-1,12),ROW()-1,FALSE))</f>
        <v>80.208205759999998</v>
      </c>
      <c r="J127">
        <f ca="1">IF(AND(ISNUMBER($J$319),$B$202=1),$J$319,HLOOKUP(INDIRECT(ADDRESS(2,COLUMN())),OFFSET($R$2,0,0,ROW()-1,12),ROW()-1,FALSE))</f>
        <v>74.573961510000004</v>
      </c>
      <c r="K127">
        <f ca="1">IF(AND(ISNUMBER($K$319),$B$202=1),$K$319,HLOOKUP(INDIRECT(ADDRESS(2,COLUMN())),OFFSET($R$2,0,0,ROW()-1,12),ROW()-1,FALSE))</f>
        <v>73.016480189999996</v>
      </c>
      <c r="L127">
        <f ca="1">IF(AND(ISNUMBER($L$319),$B$202=1),$L$319,HLOOKUP(INDIRECT(ADDRESS(2,COLUMN())),OFFSET($R$2,0,0,ROW()-1,12),ROW()-1,FALSE))</f>
        <v>67.101047140000006</v>
      </c>
      <c r="M127">
        <f ca="1">IF(AND(ISNUMBER($M$319),$B$202=1),$M$319,HLOOKUP(INDIRECT(ADDRESS(2,COLUMN())),OFFSET($R$2,0,0,ROW()-1,12),ROW()-1,FALSE))</f>
        <v>67.732558139999995</v>
      </c>
      <c r="N127">
        <f ca="1">IF(AND(ISNUMBER($N$319),$B$202=1),$N$319,HLOOKUP(INDIRECT(ADDRESS(2,COLUMN())),OFFSET($R$2,0,0,ROW()-1,12),ROW()-1,FALSE))</f>
        <v>68.457359659999995</v>
      </c>
      <c r="O127">
        <f ca="1">IF(AND(ISNUMBER($O$319),$B$202=1),$O$319,HLOOKUP(INDIRECT(ADDRESS(2,COLUMN())),OFFSET($R$2,0,0,ROW()-1,12),ROW()-1,FALSE))</f>
        <v>69.480698369999999</v>
      </c>
      <c r="P127">
        <f ca="1">IF(AND(ISNUMBER($P$319),$B$202=1),$P$319,HLOOKUP(INDIRECT(ADDRESS(2,COLUMN())),OFFSET($R$2,0,0,ROW()-1,12),ROW()-1,FALSE))</f>
        <v>63.354601770000002</v>
      </c>
      <c r="Q127">
        <f ca="1">IF(AND(ISNUMBER($Q$319),$B$202=1),$Q$319,HLOOKUP(INDIRECT(ADDRESS(2,COLUMN())),OFFSET($R$2,0,0,ROW()-1,12),ROW()-1,FALSE))</f>
        <v>65.36033175</v>
      </c>
      <c r="R127">
        <f>77.53094964</f>
        <v>77.530949640000003</v>
      </c>
      <c r="S127">
        <f>76.46003006</f>
        <v>76.460030059999994</v>
      </c>
      <c r="T127">
        <f>78.33566785</f>
        <v>78.335667849999993</v>
      </c>
      <c r="U127">
        <f>80.20820576</f>
        <v>80.208205759999998</v>
      </c>
      <c r="V127">
        <f>74.57396151</f>
        <v>74.573961510000004</v>
      </c>
      <c r="W127">
        <f>73.01648019</f>
        <v>73.016480189999996</v>
      </c>
      <c r="X127">
        <f>67.10104714</f>
        <v>67.101047140000006</v>
      </c>
      <c r="Y127">
        <f>67.73255814</f>
        <v>67.732558139999995</v>
      </c>
      <c r="Z127">
        <f>68.45735966</f>
        <v>68.457359659999995</v>
      </c>
      <c r="AA127">
        <f>69.48069837</f>
        <v>69.480698369999999</v>
      </c>
      <c r="AB127">
        <f>63.35460177</f>
        <v>63.354601770000002</v>
      </c>
      <c r="AC127">
        <f>65.36033175</f>
        <v>65.36033175</v>
      </c>
    </row>
    <row r="128" spans="1:29" x14ac:dyDescent="0.25">
      <c r="A128" t="str">
        <f>"    Tata Consultancy Services Ltd"</f>
        <v xml:space="preserve">    Tata Consultancy Services Ltd</v>
      </c>
      <c r="B128" t="str">
        <f>"TCS IN Equity"</f>
        <v>TCS IN Equity</v>
      </c>
      <c r="C128" t="str">
        <f t="shared" si="18"/>
        <v>RR045</v>
      </c>
      <c r="D128" t="str">
        <f t="shared" si="19"/>
        <v>TOT_DEBT_TO_TOT_CAP</v>
      </c>
      <c r="E128" t="str">
        <f t="shared" si="20"/>
        <v>Dynamic</v>
      </c>
      <c r="F128">
        <f ca="1">IF(AND(ISNUMBER($F$320),$B$202=1),$F$320,HLOOKUP(INDIRECT(ADDRESS(2,COLUMN())),OFFSET($R$2,0,0,ROW()-1,12),ROW()-1,FALSE))</f>
        <v>8.6008607169999998</v>
      </c>
      <c r="G128">
        <f ca="1">IF(AND(ISNUMBER($G$320),$B$202=1),$G$320,HLOOKUP(INDIRECT(ADDRESS(2,COLUMN())),OFFSET($R$2,0,0,ROW()-1,12),ROW()-1,FALSE))</f>
        <v>7.6141530370000003</v>
      </c>
      <c r="H128">
        <f ca="1">IF(AND(ISNUMBER($H$320),$B$202=1),$H$320,HLOOKUP(INDIRECT(ADDRESS(2,COLUMN())),OFFSET($R$2,0,0,ROW()-1,12),ROW()-1,FALSE))</f>
        <v>6.4949736720000004</v>
      </c>
      <c r="I128">
        <f ca="1">IF(AND(ISNUMBER($I$320),$B$202=1),$I$320,HLOOKUP(INDIRECT(ADDRESS(2,COLUMN())),OFFSET($R$2,0,0,ROW()-1,12),ROW()-1,FALSE))</f>
        <v>6.9303422650000002</v>
      </c>
      <c r="J128">
        <f ca="1">IF(AND(ISNUMBER($J$320),$B$202=1),$J$320,HLOOKUP(INDIRECT(ADDRESS(2,COLUMN())),OFFSET($R$2,0,0,ROW()-1,12),ROW()-1,FALSE))</f>
        <v>6.7339336E-2</v>
      </c>
      <c r="K128">
        <f ca="1">IF(AND(ISNUMBER($K$320),$B$202=1),$K$320,HLOOKUP(INDIRECT(ADDRESS(2,COLUMN())),OFFSET($R$2,0,0,ROW()-1,12),ROW()-1,FALSE))</f>
        <v>7.3413739000000006E-2</v>
      </c>
      <c r="L128">
        <f ca="1">IF(AND(ISNUMBER($L$320),$B$202=1),$L$320,HLOOKUP(INDIRECT(ADDRESS(2,COLUMN())),OFFSET($R$2,0,0,ROW()-1,12),ROW()-1,FALSE))</f>
        <v>8.0002032000000001E-2</v>
      </c>
      <c r="M128">
        <f ca="1">IF(AND(ISNUMBER($M$320),$B$202=1),$M$320,HLOOKUP(INDIRECT(ADDRESS(2,COLUMN())),OFFSET($R$2,0,0,ROW()-1,12),ROW()-1,FALSE))</f>
        <v>7.3652722000000004E-2</v>
      </c>
      <c r="N128">
        <f ca="1">IF(AND(ISNUMBER($N$320),$B$202=1),$N$320,HLOOKUP(INDIRECT(ADDRESS(2,COLUMN())),OFFSET($R$2,0,0,ROW()-1,12),ROW()-1,FALSE))</f>
        <v>0.28103310999999997</v>
      </c>
      <c r="O128">
        <f ca="1">IF(AND(ISNUMBER($O$320),$B$202=1),$O$320,HLOOKUP(INDIRECT(ADDRESS(2,COLUMN())),OFFSET($R$2,0,0,ROW()-1,12),ROW()-1,FALSE))</f>
        <v>9.2652419E-2</v>
      </c>
      <c r="P128">
        <f ca="1">IF(AND(ISNUMBER($P$320),$B$202=1),$P$320,HLOOKUP(INDIRECT(ADDRESS(2,COLUMN())),OFFSET($R$2,0,0,ROW()-1,12),ROW()-1,FALSE))</f>
        <v>0.101805436</v>
      </c>
      <c r="Q128">
        <f ca="1">IF(AND(ISNUMBER($Q$320),$B$202=1),$Q$320,HLOOKUP(INDIRECT(ADDRESS(2,COLUMN())),OFFSET($R$2,0,0,ROW()-1,12),ROW()-1,FALSE))</f>
        <v>0.114081506</v>
      </c>
      <c r="R128">
        <f>8.600860717</f>
        <v>8.6008607169999998</v>
      </c>
      <c r="S128">
        <f>7.614153037</f>
        <v>7.6141530370000003</v>
      </c>
      <c r="T128">
        <f>6.494973672</f>
        <v>6.4949736720000004</v>
      </c>
      <c r="U128">
        <f>6.930342265</f>
        <v>6.9303422650000002</v>
      </c>
      <c r="V128">
        <f>0.067339336</f>
        <v>6.7339336E-2</v>
      </c>
      <c r="W128">
        <f>0.073413739</f>
        <v>7.3413739000000006E-2</v>
      </c>
      <c r="X128">
        <f>0.080002032</f>
        <v>8.0002032000000001E-2</v>
      </c>
      <c r="Y128">
        <f>0.073652722</f>
        <v>7.3652722000000004E-2</v>
      </c>
      <c r="Z128">
        <f>0.28103311</f>
        <v>0.28103310999999997</v>
      </c>
      <c r="AA128">
        <f>0.092652419</f>
        <v>9.2652419E-2</v>
      </c>
      <c r="AB128">
        <f>0.101805436</f>
        <v>0.101805436</v>
      </c>
      <c r="AC128">
        <f>0.114081506</f>
        <v>0.114081506</v>
      </c>
    </row>
    <row r="129" spans="1:29" x14ac:dyDescent="0.25">
      <c r="A129" t="str">
        <f>"    Tech Mahindra Ltd"</f>
        <v xml:space="preserve">    Tech Mahindra Ltd</v>
      </c>
      <c r="B129" t="str">
        <f>"TECHM IN Equity"</f>
        <v>TECHM IN Equity</v>
      </c>
      <c r="C129" t="str">
        <f t="shared" si="18"/>
        <v>RR045</v>
      </c>
      <c r="D129" t="str">
        <f t="shared" si="19"/>
        <v>TOT_DEBT_TO_TOT_CAP</v>
      </c>
      <c r="E129" t="str">
        <f t="shared" si="20"/>
        <v>Dynamic</v>
      </c>
      <c r="F129">
        <f ca="1">IF(AND(ISNUMBER($F$321),$B$202=1),$F$321,HLOOKUP(INDIRECT(ADDRESS(2,COLUMN())),OFFSET($R$2,0,0,ROW()-1,12),ROW()-1,FALSE))</f>
        <v>9.8568784259999997</v>
      </c>
      <c r="G129">
        <f ca="1">IF(AND(ISNUMBER($G$321),$B$202=1),$G$321,HLOOKUP(INDIRECT(ADDRESS(2,COLUMN())),OFFSET($R$2,0,0,ROW()-1,12),ROW()-1,FALSE))</f>
        <v>12.453720990000001</v>
      </c>
      <c r="H129">
        <f ca="1">IF(AND(ISNUMBER($H$321),$B$202=1),$H$321,HLOOKUP(INDIRECT(ADDRESS(2,COLUMN())),OFFSET($R$2,0,0,ROW()-1,12),ROW()-1,FALSE))</f>
        <v>12.866275290000001</v>
      </c>
      <c r="I129">
        <f ca="1">IF(AND(ISNUMBER($I$321),$B$202=1),$I$321,HLOOKUP(INDIRECT(ADDRESS(2,COLUMN())),OFFSET($R$2,0,0,ROW()-1,12),ROW()-1,FALSE))</f>
        <v>10.06132371</v>
      </c>
      <c r="J129">
        <f ca="1">IF(AND(ISNUMBER($J$321),$B$202=1),$J$321,HLOOKUP(INDIRECT(ADDRESS(2,COLUMN())),OFFSET($R$2,0,0,ROW()-1,12),ROW()-1,FALSE))</f>
        <v>8.7684993149999997</v>
      </c>
      <c r="K129">
        <f ca="1">IF(AND(ISNUMBER($K$321),$B$202=1),$K$321,HLOOKUP(INDIRECT(ADDRESS(2,COLUMN())),OFFSET($R$2,0,0,ROW()-1,12),ROW()-1,FALSE))</f>
        <v>7.0053685999999997</v>
      </c>
      <c r="L129">
        <f ca="1">IF(AND(ISNUMBER($L$321),$B$202=1),$L$321,HLOOKUP(INDIRECT(ADDRESS(2,COLUMN())),OFFSET($R$2,0,0,ROW()-1,12),ROW()-1,FALSE))</f>
        <v>6.9501689009999996</v>
      </c>
      <c r="M129">
        <f ca="1">IF(AND(ISNUMBER($M$321),$B$202=1),$M$321,HLOOKUP(INDIRECT(ADDRESS(2,COLUMN())),OFFSET($R$2,0,0,ROW()-1,12),ROW()-1,FALSE))</f>
        <v>7.9558629510000003</v>
      </c>
      <c r="N129">
        <f ca="1">IF(AND(ISNUMBER($N$321),$B$202=1),$N$321,HLOOKUP(INDIRECT(ADDRESS(2,COLUMN())),OFFSET($R$2,0,0,ROW()-1,12),ROW()-1,FALSE))</f>
        <v>11.019610549999999</v>
      </c>
      <c r="O129">
        <f ca="1">IF(AND(ISNUMBER($O$321),$B$202=1),$O$321,HLOOKUP(INDIRECT(ADDRESS(2,COLUMN())),OFFSET($R$2,0,0,ROW()-1,12),ROW()-1,FALSE))</f>
        <v>7.8476439820000001</v>
      </c>
      <c r="P129">
        <f ca="1">IF(AND(ISNUMBER($P$321),$B$202=1),$P$321,HLOOKUP(INDIRECT(ADDRESS(2,COLUMN())),OFFSET($R$2,0,0,ROW()-1,12),ROW()-1,FALSE))</f>
        <v>7.5220554740000001</v>
      </c>
      <c r="Q129">
        <f ca="1">IF(AND(ISNUMBER($Q$321),$B$202=1),$Q$321,HLOOKUP(INDIRECT(ADDRESS(2,COLUMN())),OFFSET($R$2,0,0,ROW()-1,12),ROW()-1,FALSE))</f>
        <v>7.3622438109999999</v>
      </c>
      <c r="R129">
        <f>9.856878426</f>
        <v>9.8568784259999997</v>
      </c>
      <c r="S129">
        <f>12.45372099</f>
        <v>12.453720990000001</v>
      </c>
      <c r="T129">
        <f>12.86627529</f>
        <v>12.866275290000001</v>
      </c>
      <c r="U129">
        <f>10.06132371</f>
        <v>10.06132371</v>
      </c>
      <c r="V129">
        <f>8.768499315</f>
        <v>8.7684993149999997</v>
      </c>
      <c r="W129">
        <f>7.0053686</f>
        <v>7.0053685999999997</v>
      </c>
      <c r="X129">
        <f>6.950168901</f>
        <v>6.9501689009999996</v>
      </c>
      <c r="Y129">
        <f>7.955862951</f>
        <v>7.9558629510000003</v>
      </c>
      <c r="Z129">
        <f>11.01961055</f>
        <v>11.019610549999999</v>
      </c>
      <c r="AA129">
        <f>7.847643982</f>
        <v>7.8476439820000001</v>
      </c>
      <c r="AB129">
        <f>7.522055474</f>
        <v>7.5220554740000001</v>
      </c>
      <c r="AC129">
        <f>7.362243811</f>
        <v>7.3622438109999999</v>
      </c>
    </row>
    <row r="130" spans="1:29" x14ac:dyDescent="0.25">
      <c r="A130" t="str">
        <f>"    Wipro Ltd"</f>
        <v xml:space="preserve">    Wipro Ltd</v>
      </c>
      <c r="B130" t="str">
        <f>"WIT US Equity"</f>
        <v>WIT US Equity</v>
      </c>
      <c r="C130" t="str">
        <f t="shared" si="18"/>
        <v>RR045</v>
      </c>
      <c r="D130" t="str">
        <f t="shared" si="19"/>
        <v>TOT_DEBT_TO_TOT_CAP</v>
      </c>
      <c r="E130" t="str">
        <f t="shared" si="20"/>
        <v>Dynamic</v>
      </c>
      <c r="F130">
        <f ca="1">IF(AND(ISNUMBER($F$322),$B$202=1),$F$322,HLOOKUP(INDIRECT(ADDRESS(2,COLUMN())),OFFSET($R$2,0,0,ROW()-1,12),ROW()-1,FALSE))</f>
        <v>14.81023435</v>
      </c>
      <c r="G130">
        <f ca="1">IF(AND(ISNUMBER($G$322),$B$202=1),$G$322,HLOOKUP(INDIRECT(ADDRESS(2,COLUMN())),OFFSET($R$2,0,0,ROW()-1,12),ROW()-1,FALSE))</f>
        <v>17.107395230000002</v>
      </c>
      <c r="H130">
        <f ca="1">IF(AND(ISNUMBER($H$322),$B$202=1),$H$322,HLOOKUP(INDIRECT(ADDRESS(2,COLUMN())),OFFSET($R$2,0,0,ROW()-1,12),ROW()-1,FALSE))</f>
        <v>17.727735559999999</v>
      </c>
      <c r="I130">
        <f ca="1">IF(AND(ISNUMBER($I$322),$B$202=1),$I$322,HLOOKUP(INDIRECT(ADDRESS(2,COLUMN())),OFFSET($R$2,0,0,ROW()-1,12),ROW()-1,FALSE))</f>
        <v>16.864964449999999</v>
      </c>
      <c r="J130">
        <f ca="1">IF(AND(ISNUMBER($J$322),$B$202=1),$J$322,HLOOKUP(INDIRECT(ADDRESS(2,COLUMN())),OFFSET($R$2,0,0,ROW()-1,12),ROW()-1,FALSE))</f>
        <v>14.84094775</v>
      </c>
      <c r="K130">
        <f ca="1">IF(AND(ISNUMBER($K$322),$B$202=1),$K$322,HLOOKUP(INDIRECT(ADDRESS(2,COLUMN())),OFFSET($R$2,0,0,ROW()-1,12),ROW()-1,FALSE))</f>
        <v>15.89026297</v>
      </c>
      <c r="L130">
        <f ca="1">IF(AND(ISNUMBER($L$322),$B$202=1),$L$322,HLOOKUP(INDIRECT(ADDRESS(2,COLUMN())),OFFSET($R$2,0,0,ROW()-1,12),ROW()-1,FALSE))</f>
        <v>18.02327494</v>
      </c>
      <c r="M130">
        <f ca="1">IF(AND(ISNUMBER($M$322),$B$202=1),$M$322,HLOOKUP(INDIRECT(ADDRESS(2,COLUMN())),OFFSET($R$2,0,0,ROW()-1,12),ROW()-1,FALSE))</f>
        <v>19.002086989999999</v>
      </c>
      <c r="N130">
        <f ca="1">IF(AND(ISNUMBER($N$322),$B$202=1),$N$322,HLOOKUP(INDIRECT(ADDRESS(2,COLUMN())),OFFSET($R$2,0,0,ROW()-1,12),ROW()-1,FALSE))</f>
        <v>22.17092551</v>
      </c>
      <c r="O130">
        <f ca="1">IF(AND(ISNUMBER($O$322),$B$202=1),$O$322,HLOOKUP(INDIRECT(ADDRESS(2,COLUMN())),OFFSET($R$2,0,0,ROW()-1,12),ROW()-1,FALSE))</f>
        <v>21.814724479999999</v>
      </c>
      <c r="P130">
        <f ca="1">IF(AND(ISNUMBER($P$322),$B$202=1),$P$322,HLOOKUP(INDIRECT(ADDRESS(2,COLUMN())),OFFSET($R$2,0,0,ROW()-1,12),ROW()-1,FALSE))</f>
        <v>20.466112970000001</v>
      </c>
      <c r="Q130">
        <f ca="1">IF(AND(ISNUMBER($Q$322),$B$202=1),$Q$322,HLOOKUP(INDIRECT(ADDRESS(2,COLUMN())),OFFSET($R$2,0,0,ROW()-1,12),ROW()-1,FALSE))</f>
        <v>21.208116579999999</v>
      </c>
      <c r="R130">
        <f>14.81023435</f>
        <v>14.81023435</v>
      </c>
      <c r="S130">
        <f>17.10739523</f>
        <v>17.107395230000002</v>
      </c>
      <c r="T130">
        <f>17.72773556</f>
        <v>17.727735559999999</v>
      </c>
      <c r="U130">
        <f>16.86496445</f>
        <v>16.864964449999999</v>
      </c>
      <c r="V130">
        <f>14.84094775</f>
        <v>14.84094775</v>
      </c>
      <c r="W130">
        <f>15.89026297</f>
        <v>15.89026297</v>
      </c>
      <c r="X130">
        <f>18.02327494</f>
        <v>18.02327494</v>
      </c>
      <c r="Y130">
        <f>19.00208699</f>
        <v>19.002086989999999</v>
      </c>
      <c r="Z130">
        <f>22.17092551</f>
        <v>22.17092551</v>
      </c>
      <c r="AA130">
        <f>21.81472448</f>
        <v>21.814724479999999</v>
      </c>
      <c r="AB130">
        <f>20.46611297</f>
        <v>20.466112970000001</v>
      </c>
      <c r="AC130">
        <f>21.20811658</f>
        <v>21.208116579999999</v>
      </c>
    </row>
    <row r="131" spans="1:29" x14ac:dyDescent="0.25">
      <c r="A131" t="str">
        <f>"Total Debt/Equity"</f>
        <v>Total Debt/Equity</v>
      </c>
      <c r="B131" t="str">
        <f>"BRITBPOV Index"</f>
        <v>BRITBPOV Index</v>
      </c>
      <c r="E131" t="str">
        <f>"Average"</f>
        <v>Average</v>
      </c>
      <c r="F131">
        <f ca="1">IF(ISERROR(IF(AVERAGE($F$132:$F$148) = 0, "", AVERAGE($F$132:$F$148))), "", (IF(AVERAGE($F$132:$F$148) = 0, "", AVERAGE($F$132:$F$148))))</f>
        <v>82.501547412866657</v>
      </c>
      <c r="G131">
        <f ca="1">IF(ISERROR(IF(AVERAGE($G$132:$G$148) = 0, "", AVERAGE($G$132:$G$148))), "", (IF(AVERAGE($G$132:$G$148) = 0, "", AVERAGE($G$132:$G$148))))</f>
        <v>68.173320599437488</v>
      </c>
      <c r="H131">
        <f ca="1">IF(ISERROR(IF(AVERAGE($H$132:$H$148) = 0, "", AVERAGE($H$132:$H$148))), "", (IF(AVERAGE($H$132:$H$148) = 0, "", AVERAGE($H$132:$H$148))))</f>
        <v>67.573745607399985</v>
      </c>
      <c r="I131">
        <f ca="1">IF(ISERROR(IF(AVERAGE($I$132:$I$148) = 0, "", AVERAGE($I$132:$I$148))), "", (IF(AVERAGE($I$132:$I$148) = 0, "", AVERAGE($I$132:$I$148))))</f>
        <v>70.38598300533333</v>
      </c>
      <c r="J131">
        <f ca="1">IF(ISERROR(IF(AVERAGE($J$132:$J$148) = 0, "", AVERAGE($J$132:$J$148))), "", (IF(AVERAGE($J$132:$J$148) = 0, "", AVERAGE($J$132:$J$148))))</f>
        <v>55.358136335533331</v>
      </c>
      <c r="K131">
        <f ca="1">IF(ISERROR(IF(AVERAGE($K$132:$K$148) = 0, "", AVERAGE($K$132:$K$148))), "", (IF(AVERAGE($K$132:$K$148) = 0, "", AVERAGE($K$132:$K$148))))</f>
        <v>50.65502875466666</v>
      </c>
      <c r="L131">
        <f ca="1">IF(ISERROR(IF(AVERAGE($L$132:$L$148) = 0, "", AVERAGE($L$132:$L$148))), "", (IF(AVERAGE($L$132:$L$148) = 0, "", AVERAGE($L$132:$L$148))))</f>
        <v>49.056585171533335</v>
      </c>
      <c r="M131">
        <f ca="1">IF(ISERROR(IF(AVERAGE($M$132:$M$148) = 0, "", AVERAGE($M$132:$M$148))), "", (IF(AVERAGE($M$132:$M$148) = 0, "", AVERAGE($M$132:$M$148))))</f>
        <v>50.458463454333334</v>
      </c>
      <c r="N131">
        <f ca="1">IF(ISERROR(IF(AVERAGE($N$132:$N$148) = 0, "", AVERAGE($N$132:$N$148))), "", (IF(AVERAGE($N$132:$N$148) = 0, "", AVERAGE($N$132:$N$148))))</f>
        <v>49.230304807333333</v>
      </c>
      <c r="O131">
        <f ca="1">IF(ISERROR(IF(AVERAGE($O$132:$O$148) = 0, "", AVERAGE($O$132:$O$148))), "", (IF(AVERAGE($O$132:$O$148) = 0, "", AVERAGE($O$132:$O$148))))</f>
        <v>47.25150462780001</v>
      </c>
      <c r="P131">
        <f ca="1">IF(ISERROR(IF(AVERAGE($P$132:$P$148) = 0, "", AVERAGE($P$132:$P$148))), "", (IF(AVERAGE($P$132:$P$148) = 0, "", AVERAGE($P$132:$P$148))))</f>
        <v>45.987877925333336</v>
      </c>
      <c r="Q131">
        <f ca="1">IF(ISERROR(IF(AVERAGE($Q$132:$Q$148) = 0, "", AVERAGE($Q$132:$Q$148))), "", (IF(AVERAGE($Q$132:$Q$148) = 0, "", AVERAGE($Q$132:$Q$148))))</f>
        <v>48.852028775000001</v>
      </c>
      <c r="R131">
        <f>82.50154742</f>
        <v>82.501547419999994</v>
      </c>
      <c r="S131">
        <f>68.1733206</f>
        <v>68.173320599999997</v>
      </c>
      <c r="T131">
        <f>67.57374561</f>
        <v>67.573745610000003</v>
      </c>
      <c r="U131">
        <f>70.385983</f>
        <v>70.385982999999996</v>
      </c>
      <c r="V131">
        <f>55.35813634</f>
        <v>55.358136340000001</v>
      </c>
      <c r="W131">
        <f>50.65502876</f>
        <v>50.65502876</v>
      </c>
      <c r="X131">
        <f>49.05658517</f>
        <v>49.056585169999998</v>
      </c>
      <c r="Y131">
        <f>50.45846345</f>
        <v>50.458463450000004</v>
      </c>
      <c r="Z131">
        <f>49.2303048</f>
        <v>49.230304799999999</v>
      </c>
      <c r="AA131">
        <f>47.25150463</f>
        <v>47.251504629999999</v>
      </c>
      <c r="AB131">
        <f>45.98787793</f>
        <v>45.987877930000003</v>
      </c>
      <c r="AC131">
        <f>48.85202877</f>
        <v>48.852028769999997</v>
      </c>
    </row>
    <row r="132" spans="1:29" x14ac:dyDescent="0.25">
      <c r="A132" t="str">
        <f>"    Accenture PLC"</f>
        <v xml:space="preserve">    Accenture PLC</v>
      </c>
      <c r="B132" t="str">
        <f>"ACN US Equity"</f>
        <v>ACN US Equity</v>
      </c>
      <c r="C132" t="str">
        <f t="shared" ref="C132:C148" si="21">"RR732"</f>
        <v>RR732</v>
      </c>
      <c r="D132" t="str">
        <f t="shared" ref="D132:D148" si="22">"TOT_DEBT_TO_TOT_EQY"</f>
        <v>TOT_DEBT_TO_TOT_EQY</v>
      </c>
      <c r="E132" t="str">
        <f t="shared" ref="E132:E148" si="23">"Dynamic"</f>
        <v>Dynamic</v>
      </c>
      <c r="F132">
        <f ca="1">IF(AND(ISNUMBER($F$323),$B$202=1),$F$323,HLOOKUP(INDIRECT(ADDRESS(2,COLUMN())),OFFSET($R$2,0,0,ROW()-1,12),ROW()-1,FALSE))</f>
        <v>21.419826359999998</v>
      </c>
      <c r="G132">
        <f ca="1">IF(AND(ISNUMBER($G$323),$B$202=1),$G$323,HLOOKUP(INDIRECT(ADDRESS(2,COLUMN())),OFFSET($R$2,0,0,ROW()-1,12),ROW()-1,FALSE))</f>
        <v>21.67826363</v>
      </c>
      <c r="H132">
        <f ca="1">IF(AND(ISNUMBER($H$323),$B$202=1),$H$323,HLOOKUP(INDIRECT(ADDRESS(2,COLUMN())),OFFSET($R$2,0,0,ROW()-1,12),ROW()-1,FALSE))</f>
        <v>0.152808688</v>
      </c>
      <c r="I132">
        <f ca="1">IF(AND(ISNUMBER($I$323),$B$202=1),$I$323,HLOOKUP(INDIRECT(ADDRESS(2,COLUMN())),OFFSET($R$2,0,0,ROW()-1,12),ROW()-1,FALSE))</f>
        <v>0.16963919399999999</v>
      </c>
      <c r="J132">
        <f ca="1">IF(AND(ISNUMBER($J$323),$B$202=1),$J$323,HLOOKUP(INDIRECT(ADDRESS(2,COLUMN())),OFFSET($R$2,0,0,ROW()-1,12),ROW()-1,FALSE))</f>
        <v>0.17567775799999999</v>
      </c>
      <c r="K132">
        <f ca="1">IF(AND(ISNUMBER($K$323),$B$202=1),$K$323,HLOOKUP(INDIRECT(ADDRESS(2,COLUMN())),OFFSET($R$2,0,0,ROW()-1,12),ROW()-1,FALSE))</f>
        <v>0.18860152199999999</v>
      </c>
      <c r="L132">
        <f ca="1">IF(AND(ISNUMBER($L$323),$B$202=1),$L$323,HLOOKUP(INDIRECT(ADDRESS(2,COLUMN())),OFFSET($R$2,0,0,ROW()-1,12),ROW()-1,FALSE))</f>
        <v>0.233230405</v>
      </c>
      <c r="M132">
        <f ca="1">IF(AND(ISNUMBER($M$323),$B$202=1),$M$323,HLOOKUP(INDIRECT(ADDRESS(2,COLUMN())),OFFSET($R$2,0,0,ROW()-1,12),ROW()-1,FALSE))</f>
        <v>0.28364767899999999</v>
      </c>
      <c r="N132">
        <f ca="1">IF(AND(ISNUMBER($N$323),$B$202=1),$N$323,HLOOKUP(INDIRECT(ADDRESS(2,COLUMN())),OFFSET($R$2,0,0,ROW()-1,12),ROW()-1,FALSE))</f>
        <v>0.27625812599999999</v>
      </c>
      <c r="O132">
        <f ca="1">IF(AND(ISNUMBER($O$323),$B$202=1),$O$323,HLOOKUP(INDIRECT(ADDRESS(2,COLUMN())),OFFSET($R$2,0,0,ROW()-1,12),ROW()-1,FALSE))</f>
        <v>0.25476485100000001</v>
      </c>
      <c r="P132">
        <f ca="1">IF(AND(ISNUMBER($P$323),$B$202=1),$P$323,HLOOKUP(INDIRECT(ADDRESS(2,COLUMN())),OFFSET($R$2,0,0,ROW()-1,12),ROW()-1,FALSE))</f>
        <v>0.25818211800000002</v>
      </c>
      <c r="Q132">
        <f ca="1">IF(AND(ISNUMBER($Q$323),$B$202=1),$Q$323,HLOOKUP(INDIRECT(ADDRESS(2,COLUMN())),OFFSET($R$2,0,0,ROW()-1,12),ROW()-1,FALSE))</f>
        <v>0.31176140600000002</v>
      </c>
      <c r="R132">
        <f>21.41982636</f>
        <v>21.419826359999998</v>
      </c>
      <c r="S132">
        <f>21.67826363</f>
        <v>21.67826363</v>
      </c>
      <c r="T132">
        <f>0.152808688</f>
        <v>0.152808688</v>
      </c>
      <c r="U132">
        <f>0.169639194</f>
        <v>0.16963919399999999</v>
      </c>
      <c r="V132">
        <f>0.175677758</f>
        <v>0.17567775799999999</v>
      </c>
      <c r="W132">
        <f>0.188601522</f>
        <v>0.18860152199999999</v>
      </c>
      <c r="X132">
        <f>0.233230405</f>
        <v>0.233230405</v>
      </c>
      <c r="Y132">
        <f>0.283647679</f>
        <v>0.28364767899999999</v>
      </c>
      <c r="Z132">
        <f>0.276258126</f>
        <v>0.27625812599999999</v>
      </c>
      <c r="AA132">
        <f>0.254764851</f>
        <v>0.25476485100000001</v>
      </c>
      <c r="AB132">
        <f>0.258182118</f>
        <v>0.25818211800000002</v>
      </c>
      <c r="AC132">
        <f>0.311761406</f>
        <v>0.31176140600000002</v>
      </c>
    </row>
    <row r="133" spans="1:29" x14ac:dyDescent="0.25">
      <c r="A133" t="str">
        <f>"    Amdocs Ltd"</f>
        <v xml:space="preserve">    Amdocs Ltd</v>
      </c>
      <c r="B133" t="str">
        <f>"DOX US Equity"</f>
        <v>DOX US Equity</v>
      </c>
      <c r="C133" t="str">
        <f t="shared" si="21"/>
        <v>RR732</v>
      </c>
      <c r="D133" t="str">
        <f t="shared" si="22"/>
        <v>TOT_DEBT_TO_TOT_EQY</v>
      </c>
      <c r="E133" t="str">
        <f t="shared" si="23"/>
        <v>Dynamic</v>
      </c>
      <c r="F133">
        <f ca="1">IF(AND(ISNUMBER($F$324),$B$202=1),$F$324,HLOOKUP(INDIRECT(ADDRESS(2,COLUMN())),OFFSET($R$2,0,0,ROW()-1,12),ROW()-1,FALSE))</f>
        <v>17.55213741</v>
      </c>
      <c r="G133">
        <f ca="1">IF(AND(ISNUMBER($G$324),$B$202=1),$G$324,HLOOKUP(INDIRECT(ADDRESS(2,COLUMN())),OFFSET($R$2,0,0,ROW()-1,12),ROW()-1,FALSE))</f>
        <v>7.8568229860000001</v>
      </c>
      <c r="H133">
        <f ca="1">IF(AND(ISNUMBER($H$324),$B$202=1),$H$324,HLOOKUP(INDIRECT(ADDRESS(2,COLUMN())),OFFSET($R$2,0,0,ROW()-1,12),ROW()-1,FALSE))</f>
        <v>0</v>
      </c>
      <c r="I133">
        <f ca="1">IF(AND(ISNUMBER($I$324),$B$202=1),$I$324,HLOOKUP(INDIRECT(ADDRESS(2,COLUMN())),OFFSET($R$2,0,0,ROW()-1,12),ROW()-1,FALSE))</f>
        <v>0</v>
      </c>
      <c r="J133">
        <f ca="1">IF(AND(ISNUMBER($J$324),$B$202=1),$J$324,HLOOKUP(INDIRECT(ADDRESS(2,COLUMN())),OFFSET($R$2,0,0,ROW()-1,12),ROW()-1,FALSE))</f>
        <v>0</v>
      </c>
      <c r="K133">
        <f ca="1">IF(AND(ISNUMBER($K$324),$B$202=1),$K$324,HLOOKUP(INDIRECT(ADDRESS(2,COLUMN())),OFFSET($R$2,0,0,ROW()-1,12),ROW()-1,FALSE))</f>
        <v>0</v>
      </c>
      <c r="L133">
        <f ca="1">IF(AND(ISNUMBER($L$324),$B$202=1),$L$324,HLOOKUP(INDIRECT(ADDRESS(2,COLUMN())),OFFSET($R$2,0,0,ROW()-1,12),ROW()-1,FALSE))</f>
        <v>0</v>
      </c>
      <c r="M133">
        <f ca="1">IF(AND(ISNUMBER($M$324),$B$202=1),$M$324,HLOOKUP(INDIRECT(ADDRESS(2,COLUMN())),OFFSET($R$2,0,0,ROW()-1,12),ROW()-1,FALSE))</f>
        <v>0</v>
      </c>
      <c r="N133">
        <f ca="1">IF(AND(ISNUMBER($N$324),$B$202=1),$N$324,HLOOKUP(INDIRECT(ADDRESS(2,COLUMN())),OFFSET($R$2,0,0,ROW()-1,12),ROW()-1,FALSE))</f>
        <v>3.327586776</v>
      </c>
      <c r="O133">
        <f ca="1">IF(AND(ISNUMBER($O$324),$B$202=1),$O$324,HLOOKUP(INDIRECT(ADDRESS(2,COLUMN())),OFFSET($R$2,0,0,ROW()-1,12),ROW()-1,FALSE))</f>
        <v>0</v>
      </c>
      <c r="P133">
        <f ca="1">IF(AND(ISNUMBER($P$324),$B$202=1),$P$324,HLOOKUP(INDIRECT(ADDRESS(2,COLUMN())),OFFSET($R$2,0,0,ROW()-1,12),ROW()-1,FALSE))</f>
        <v>0</v>
      </c>
      <c r="Q133">
        <f ca="1">IF(AND(ISNUMBER($Q$324),$B$202=1),$Q$324,HLOOKUP(INDIRECT(ADDRESS(2,COLUMN())),OFFSET($R$2,0,0,ROW()-1,12),ROW()-1,FALSE))</f>
        <v>0</v>
      </c>
      <c r="R133">
        <f>17.55213741</f>
        <v>17.55213741</v>
      </c>
      <c r="S133">
        <f>7.856822986</f>
        <v>7.8568229860000001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f>0</f>
        <v>0</v>
      </c>
      <c r="Y133">
        <f>0</f>
        <v>0</v>
      </c>
      <c r="Z133">
        <f>3.327586776</f>
        <v>3.327586776</v>
      </c>
      <c r="AA133">
        <f>0</f>
        <v>0</v>
      </c>
      <c r="AB133">
        <f>0</f>
        <v>0</v>
      </c>
      <c r="AC133">
        <f>0</f>
        <v>0</v>
      </c>
    </row>
    <row r="134" spans="1:29" x14ac:dyDescent="0.25">
      <c r="A134" t="str">
        <f>"    Atos SE"</f>
        <v xml:space="preserve">    Atos SE</v>
      </c>
      <c r="B134" t="str">
        <f>"ATO FP Equity"</f>
        <v>ATO FP Equity</v>
      </c>
      <c r="C134" t="str">
        <f t="shared" si="21"/>
        <v>RR732</v>
      </c>
      <c r="D134" t="str">
        <f t="shared" si="22"/>
        <v>TOT_DEBT_TO_TOT_EQY</v>
      </c>
      <c r="E134" t="str">
        <f t="shared" si="23"/>
        <v>Dynamic</v>
      </c>
      <c r="F134" t="str">
        <f ca="1">IF(AND(ISNUMBER($F$325),$B$202=1),$F$325,HLOOKUP(INDIRECT(ADDRESS(2,COLUMN())),OFFSET($R$2,0,0,ROW()-1,12),ROW()-1,FALSE))</f>
        <v/>
      </c>
      <c r="G134" t="str">
        <f ca="1">IF(AND(ISNUMBER($G$325),$B$202=1),$G$325,HLOOKUP(INDIRECT(ADDRESS(2,COLUMN())),OFFSET($R$2,0,0,ROW()-1,12),ROW()-1,FALSE))</f>
        <v/>
      </c>
      <c r="H134" t="str">
        <f ca="1">IF(AND(ISNUMBER($H$325),$B$202=1),$H$325,HLOOKUP(INDIRECT(ADDRESS(2,COLUMN())),OFFSET($R$2,0,0,ROW()-1,12),ROW()-1,FALSE))</f>
        <v/>
      </c>
      <c r="I134" t="str">
        <f ca="1">IF(AND(ISNUMBER($I$325),$B$202=1),$I$325,HLOOKUP(INDIRECT(ADDRESS(2,COLUMN())),OFFSET($R$2,0,0,ROW()-1,12),ROW()-1,FALSE))</f>
        <v/>
      </c>
      <c r="J134" t="str">
        <f ca="1">IF(AND(ISNUMBER($J$325),$B$202=1),$J$325,HLOOKUP(INDIRECT(ADDRESS(2,COLUMN())),OFFSET($R$2,0,0,ROW()-1,12),ROW()-1,FALSE))</f>
        <v/>
      </c>
      <c r="K134" t="str">
        <f ca="1">IF(AND(ISNUMBER($K$325),$B$202=1),$K$325,HLOOKUP(INDIRECT(ADDRESS(2,COLUMN())),OFFSET($R$2,0,0,ROW()-1,12),ROW()-1,FALSE))</f>
        <v/>
      </c>
      <c r="L134" t="str">
        <f ca="1">IF(AND(ISNUMBER($L$325),$B$202=1),$L$325,HLOOKUP(INDIRECT(ADDRESS(2,COLUMN())),OFFSET($R$2,0,0,ROW()-1,12),ROW()-1,FALSE))</f>
        <v/>
      </c>
      <c r="M134" t="str">
        <f ca="1">IF(AND(ISNUMBER($M$325),$B$202=1),$M$325,HLOOKUP(INDIRECT(ADDRESS(2,COLUMN())),OFFSET($R$2,0,0,ROW()-1,12),ROW()-1,FALSE))</f>
        <v/>
      </c>
      <c r="N134" t="str">
        <f ca="1">IF(AND(ISNUMBER($N$325),$B$202=1),$N$325,HLOOKUP(INDIRECT(ADDRESS(2,COLUMN())),OFFSET($R$2,0,0,ROW()-1,12),ROW()-1,FALSE))</f>
        <v/>
      </c>
      <c r="O134" t="str">
        <f ca="1">IF(AND(ISNUMBER($O$325),$B$202=1),$O$325,HLOOKUP(INDIRECT(ADDRESS(2,COLUMN())),OFFSET($R$2,0,0,ROW()-1,12),ROW()-1,FALSE))</f>
        <v/>
      </c>
      <c r="P134" t="str">
        <f ca="1">IF(AND(ISNUMBER($P$325),$B$202=1),$P$325,HLOOKUP(INDIRECT(ADDRESS(2,COLUMN())),OFFSET($R$2,0,0,ROW()-1,12),ROW()-1,FALSE))</f>
        <v/>
      </c>
      <c r="Q134" t="str">
        <f ca="1">IF(AND(ISNUMBER($Q$325),$B$202=1),$Q$325,HLOOKUP(INDIRECT(ADDRESS(2,COLUMN())),OFFSET($R$2,0,0,ROW()-1,12),ROW()-1,FALSE))</f>
        <v/>
      </c>
      <c r="R134" t="str">
        <f>""</f>
        <v/>
      </c>
      <c r="S134" t="str">
        <f>""</f>
        <v/>
      </c>
      <c r="T134" t="str">
        <f>""</f>
        <v/>
      </c>
      <c r="U134" t="str">
        <f>""</f>
        <v/>
      </c>
      <c r="V134" t="str">
        <f>""</f>
        <v/>
      </c>
      <c r="W134" t="str">
        <f>""</f>
        <v/>
      </c>
      <c r="X134" t="str">
        <f>""</f>
        <v/>
      </c>
      <c r="Y134" t="str">
        <f>""</f>
        <v/>
      </c>
      <c r="Z134" t="str">
        <f>""</f>
        <v/>
      </c>
      <c r="AA134" t="str">
        <f>""</f>
        <v/>
      </c>
      <c r="AB134" t="str">
        <f>""</f>
        <v/>
      </c>
      <c r="AC134" t="str">
        <f>""</f>
        <v/>
      </c>
    </row>
    <row r="135" spans="1:29" x14ac:dyDescent="0.25">
      <c r="A135" t="str">
        <f>"    Capgemini SE"</f>
        <v xml:space="preserve">    Capgemini SE</v>
      </c>
      <c r="B135" t="str">
        <f>"CAP FP Equity"</f>
        <v>CAP FP Equity</v>
      </c>
      <c r="C135" t="str">
        <f t="shared" si="21"/>
        <v>RR732</v>
      </c>
      <c r="D135" t="str">
        <f t="shared" si="22"/>
        <v>TOT_DEBT_TO_TOT_EQY</v>
      </c>
      <c r="E135" t="str">
        <f t="shared" si="23"/>
        <v>Dynamic</v>
      </c>
      <c r="F135" t="str">
        <f ca="1">IF(AND(ISNUMBER($F$326),$B$202=1),$F$326,HLOOKUP(INDIRECT(ADDRESS(2,COLUMN())),OFFSET($R$2,0,0,ROW()-1,12),ROW()-1,FALSE))</f>
        <v/>
      </c>
      <c r="G135">
        <f ca="1">IF(AND(ISNUMBER($G$326),$B$202=1),$G$326,HLOOKUP(INDIRECT(ADDRESS(2,COLUMN())),OFFSET($R$2,0,0,ROW()-1,12),ROW()-1,FALSE))</f>
        <v>48.628103099999997</v>
      </c>
      <c r="H135" t="str">
        <f ca="1">IF(AND(ISNUMBER($H$326),$B$202=1),$H$326,HLOOKUP(INDIRECT(ADDRESS(2,COLUMN())),OFFSET($R$2,0,0,ROW()-1,12),ROW()-1,FALSE))</f>
        <v/>
      </c>
      <c r="I135" t="str">
        <f ca="1">IF(AND(ISNUMBER($I$326),$B$202=1),$I$326,HLOOKUP(INDIRECT(ADDRESS(2,COLUMN())),OFFSET($R$2,0,0,ROW()-1,12),ROW()-1,FALSE))</f>
        <v/>
      </c>
      <c r="J135" t="str">
        <f ca="1">IF(AND(ISNUMBER($J$326),$B$202=1),$J$326,HLOOKUP(INDIRECT(ADDRESS(2,COLUMN())),OFFSET($R$2,0,0,ROW()-1,12),ROW()-1,FALSE))</f>
        <v/>
      </c>
      <c r="K135" t="str">
        <f ca="1">IF(AND(ISNUMBER($K$326),$B$202=1),$K$326,HLOOKUP(INDIRECT(ADDRESS(2,COLUMN())),OFFSET($R$2,0,0,ROW()-1,12),ROW()-1,FALSE))</f>
        <v/>
      </c>
      <c r="L135" t="str">
        <f ca="1">IF(AND(ISNUMBER($L$326),$B$202=1),$L$326,HLOOKUP(INDIRECT(ADDRESS(2,COLUMN())),OFFSET($R$2,0,0,ROW()-1,12),ROW()-1,FALSE))</f>
        <v/>
      </c>
      <c r="M135" t="str">
        <f ca="1">IF(AND(ISNUMBER($M$326),$B$202=1),$M$326,HLOOKUP(INDIRECT(ADDRESS(2,COLUMN())),OFFSET($R$2,0,0,ROW()-1,12),ROW()-1,FALSE))</f>
        <v/>
      </c>
      <c r="N135" t="str">
        <f ca="1">IF(AND(ISNUMBER($N$326),$B$202=1),$N$326,HLOOKUP(INDIRECT(ADDRESS(2,COLUMN())),OFFSET($R$2,0,0,ROW()-1,12),ROW()-1,FALSE))</f>
        <v/>
      </c>
      <c r="O135" t="str">
        <f ca="1">IF(AND(ISNUMBER($O$326),$B$202=1),$O$326,HLOOKUP(INDIRECT(ADDRESS(2,COLUMN())),OFFSET($R$2,0,0,ROW()-1,12),ROW()-1,FALSE))</f>
        <v/>
      </c>
      <c r="P135" t="str">
        <f ca="1">IF(AND(ISNUMBER($P$326),$B$202=1),$P$326,HLOOKUP(INDIRECT(ADDRESS(2,COLUMN())),OFFSET($R$2,0,0,ROW()-1,12),ROW()-1,FALSE))</f>
        <v/>
      </c>
      <c r="Q135" t="str">
        <f ca="1">IF(AND(ISNUMBER($Q$326),$B$202=1),$Q$326,HLOOKUP(INDIRECT(ADDRESS(2,COLUMN())),OFFSET($R$2,0,0,ROW()-1,12),ROW()-1,FALSE))</f>
        <v/>
      </c>
      <c r="R135" t="str">
        <f>""</f>
        <v/>
      </c>
      <c r="S135">
        <f>48.6281031</f>
        <v>48.628103099999997</v>
      </c>
      <c r="T135" t="str">
        <f>""</f>
        <v/>
      </c>
      <c r="U135" t="str">
        <f>""</f>
        <v/>
      </c>
      <c r="V135" t="str">
        <f>""</f>
        <v/>
      </c>
      <c r="W135" t="str">
        <f>""</f>
        <v/>
      </c>
      <c r="X135" t="str">
        <f>""</f>
        <v/>
      </c>
      <c r="Y135" t="str">
        <f>""</f>
        <v/>
      </c>
      <c r="Z135" t="str">
        <f>""</f>
        <v/>
      </c>
      <c r="AA135" t="str">
        <f>""</f>
        <v/>
      </c>
      <c r="AB135" t="str">
        <f>""</f>
        <v/>
      </c>
      <c r="AC135" t="str">
        <f>""</f>
        <v/>
      </c>
    </row>
    <row r="136" spans="1:29" x14ac:dyDescent="0.25">
      <c r="A136" t="str">
        <f>"    CGI Inc"</f>
        <v xml:space="preserve">    CGI Inc</v>
      </c>
      <c r="B136" t="str">
        <f>"GIB US Equity"</f>
        <v>GIB US Equity</v>
      </c>
      <c r="C136" t="str">
        <f t="shared" si="21"/>
        <v>RR732</v>
      </c>
      <c r="D136" t="str">
        <f t="shared" si="22"/>
        <v>TOT_DEBT_TO_TOT_EQY</v>
      </c>
      <c r="E136" t="str">
        <f t="shared" si="23"/>
        <v>Dynamic</v>
      </c>
      <c r="F136">
        <f ca="1">IF(AND(ISNUMBER($F$327),$B$202=1),$F$327,HLOOKUP(INDIRECT(ADDRESS(2,COLUMN())),OFFSET($R$2,0,0,ROW()-1,12),ROW()-1,FALSE))</f>
        <v>61.633928589999996</v>
      </c>
      <c r="G136">
        <f ca="1">IF(AND(ISNUMBER($G$327),$B$202=1),$G$327,HLOOKUP(INDIRECT(ADDRESS(2,COLUMN())),OFFSET($R$2,0,0,ROW()-1,12),ROW()-1,FALSE))</f>
        <v>42.420606380000002</v>
      </c>
      <c r="H136">
        <f ca="1">IF(AND(ISNUMBER($H$327),$B$202=1),$H$327,HLOOKUP(INDIRECT(ADDRESS(2,COLUMN())),OFFSET($R$2,0,0,ROW()-1,12),ROW()-1,FALSE))</f>
        <v>33.863627549999997</v>
      </c>
      <c r="I136">
        <f ca="1">IF(AND(ISNUMBER($I$327),$B$202=1),$I$327,HLOOKUP(INDIRECT(ADDRESS(2,COLUMN())),OFFSET($R$2,0,0,ROW()-1,12),ROW()-1,FALSE))</f>
        <v>37.961298159999998</v>
      </c>
      <c r="J136">
        <f ca="1">IF(AND(ISNUMBER($J$327),$B$202=1),$J$327,HLOOKUP(INDIRECT(ADDRESS(2,COLUMN())),OFFSET($R$2,0,0,ROW()-1,12),ROW()-1,FALSE))</f>
        <v>30.620266730000001</v>
      </c>
      <c r="K136">
        <f ca="1">IF(AND(ISNUMBER($K$327),$B$202=1),$K$327,HLOOKUP(INDIRECT(ADDRESS(2,COLUMN())),OFFSET($R$2,0,0,ROW()-1,12),ROW()-1,FALSE))</f>
        <v>31.539387789999999</v>
      </c>
      <c r="L136">
        <f ca="1">IF(AND(ISNUMBER($L$327),$B$202=1),$L$327,HLOOKUP(INDIRECT(ADDRESS(2,COLUMN())),OFFSET($R$2,0,0,ROW()-1,12),ROW()-1,FALSE))</f>
        <v>26.940089669999999</v>
      </c>
      <c r="M136">
        <f ca="1">IF(AND(ISNUMBER($M$327),$B$202=1),$M$327,HLOOKUP(INDIRECT(ADDRESS(2,COLUMN())),OFFSET($R$2,0,0,ROW()-1,12),ROW()-1,FALSE))</f>
        <v>27.381378009999999</v>
      </c>
      <c r="N136">
        <f ca="1">IF(AND(ISNUMBER($N$327),$B$202=1),$N$327,HLOOKUP(INDIRECT(ADDRESS(2,COLUMN())),OFFSET($R$2,0,0,ROW()-1,12),ROW()-1,FALSE))</f>
        <v>25.970720549999999</v>
      </c>
      <c r="O136">
        <f ca="1">IF(AND(ISNUMBER($O$327),$B$202=1),$O$327,HLOOKUP(INDIRECT(ADDRESS(2,COLUMN())),OFFSET($R$2,0,0,ROW()-1,12),ROW()-1,FALSE))</f>
        <v>27.8173317</v>
      </c>
      <c r="P136">
        <f ca="1">IF(AND(ISNUMBER($P$327),$B$202=1),$P$327,HLOOKUP(INDIRECT(ADDRESS(2,COLUMN())),OFFSET($R$2,0,0,ROW()-1,12),ROW()-1,FALSE))</f>
        <v>30.019591699999999</v>
      </c>
      <c r="Q136">
        <f ca="1">IF(AND(ISNUMBER($Q$327),$B$202=1),$Q$327,HLOOKUP(INDIRECT(ADDRESS(2,COLUMN())),OFFSET($R$2,0,0,ROW()-1,12),ROW()-1,FALSE))</f>
        <v>26.036872330000001</v>
      </c>
      <c r="R136">
        <f>61.63392859</f>
        <v>61.633928589999996</v>
      </c>
      <c r="S136">
        <f>42.42060638</f>
        <v>42.420606380000002</v>
      </c>
      <c r="T136">
        <f>33.86362755</f>
        <v>33.863627549999997</v>
      </c>
      <c r="U136">
        <f>37.96129816</f>
        <v>37.961298159999998</v>
      </c>
      <c r="V136">
        <f>30.62026673</f>
        <v>30.620266730000001</v>
      </c>
      <c r="W136">
        <f>31.53938779</f>
        <v>31.539387789999999</v>
      </c>
      <c r="X136">
        <f>26.94008967</f>
        <v>26.940089669999999</v>
      </c>
      <c r="Y136">
        <f>27.38137801</f>
        <v>27.381378009999999</v>
      </c>
      <c r="Z136">
        <f>25.97072055</f>
        <v>25.970720549999999</v>
      </c>
      <c r="AA136">
        <f>27.8173317</f>
        <v>27.8173317</v>
      </c>
      <c r="AB136">
        <f>30.0195917</f>
        <v>30.019591699999999</v>
      </c>
      <c r="AC136">
        <f>26.03687233</f>
        <v>26.036872330000001</v>
      </c>
    </row>
    <row r="137" spans="1:29" x14ac:dyDescent="0.25">
      <c r="A137" t="str">
        <f>"    Cognizant Technology Solutions Corp"</f>
        <v xml:space="preserve">    Cognizant Technology Solutions Corp</v>
      </c>
      <c r="B137" t="str">
        <f>"CTSH US Equity"</f>
        <v>CTSH US Equity</v>
      </c>
      <c r="C137" t="str">
        <f t="shared" si="21"/>
        <v>RR732</v>
      </c>
      <c r="D137" t="str">
        <f t="shared" si="22"/>
        <v>TOT_DEBT_TO_TOT_EQY</v>
      </c>
      <c r="E137" t="str">
        <f t="shared" si="23"/>
        <v>Dynamic</v>
      </c>
      <c r="F137">
        <f ca="1">IF(AND(ISNUMBER($F$328),$B$202=1),$F$328,HLOOKUP(INDIRECT(ADDRESS(2,COLUMN())),OFFSET($R$2,0,0,ROW()-1,12),ROW()-1,FALSE))</f>
        <v>32.026759630000001</v>
      </c>
      <c r="G137">
        <f ca="1">IF(AND(ISNUMBER($G$328),$B$202=1),$G$328,HLOOKUP(INDIRECT(ADDRESS(2,COLUMN())),OFFSET($R$2,0,0,ROW()-1,12),ROW()-1,FALSE))</f>
        <v>15.523498460000001</v>
      </c>
      <c r="H137">
        <f ca="1">IF(AND(ISNUMBER($H$328),$B$202=1),$H$328,HLOOKUP(INDIRECT(ADDRESS(2,COLUMN())),OFFSET($R$2,0,0,ROW()-1,12),ROW()-1,FALSE))</f>
        <v>15.884881330000001</v>
      </c>
      <c r="I137">
        <f ca="1">IF(AND(ISNUMBER($I$328),$B$202=1),$I$328,HLOOKUP(INDIRECT(ADDRESS(2,COLUMN())),OFFSET($R$2,0,0,ROW()-1,12),ROW()-1,FALSE))</f>
        <v>15.667329730000001</v>
      </c>
      <c r="J137">
        <f ca="1">IF(AND(ISNUMBER($J$328),$B$202=1),$J$328,HLOOKUP(INDIRECT(ADDRESS(2,COLUMN())),OFFSET($R$2,0,0,ROW()-1,12),ROW()-1,FALSE))</f>
        <v>14.46659483</v>
      </c>
      <c r="K137">
        <f ca="1">IF(AND(ISNUMBER($K$328),$B$202=1),$K$328,HLOOKUP(INDIRECT(ADDRESS(2,COLUMN())),OFFSET($R$2,0,0,ROW()-1,12),ROW()-1,FALSE))</f>
        <v>6.5213585429999998</v>
      </c>
      <c r="L137">
        <f ca="1">IF(AND(ISNUMBER($L$328),$B$202=1),$L$328,HLOOKUP(INDIRECT(ADDRESS(2,COLUMN())),OFFSET($R$2,0,0,ROW()-1,12),ROW()-1,FALSE))</f>
        <v>6.5950081980000004</v>
      </c>
      <c r="M137">
        <f ca="1">IF(AND(ISNUMBER($M$328),$B$202=1),$M$328,HLOOKUP(INDIRECT(ADDRESS(2,COLUMN())),OFFSET($R$2,0,0,ROW()-1,12),ROW()-1,FALSE))</f>
        <v>7.0341848230000004</v>
      </c>
      <c r="N137">
        <f ca="1">IF(AND(ISNUMBER($N$328),$B$202=1),$N$328,HLOOKUP(INDIRECT(ADDRESS(2,COLUMN())),OFFSET($R$2,0,0,ROW()-1,12),ROW()-1,FALSE))</f>
        <v>7.0349472149999999</v>
      </c>
      <c r="O137">
        <f ca="1">IF(AND(ISNUMBER($O$328),$B$202=1),$O$328,HLOOKUP(INDIRECT(ADDRESS(2,COLUMN())),OFFSET($R$2,0,0,ROW()-1,12),ROW()-1,FALSE))</f>
        <v>8.1825850599999992</v>
      </c>
      <c r="P137">
        <f ca="1">IF(AND(ISNUMBER($P$328),$B$202=1),$P$328,HLOOKUP(INDIRECT(ADDRESS(2,COLUMN())),OFFSET($R$2,0,0,ROW()-1,12),ROW()-1,FALSE))</f>
        <v>7.4961289730000003</v>
      </c>
      <c r="Q137">
        <f ca="1">IF(AND(ISNUMBER($Q$328),$B$202=1),$Q$328,HLOOKUP(INDIRECT(ADDRESS(2,COLUMN())),OFFSET($R$2,0,0,ROW()-1,12),ROW()-1,FALSE))</f>
        <v>9.4534007439999996</v>
      </c>
      <c r="R137">
        <f>32.02675963</f>
        <v>32.026759630000001</v>
      </c>
      <c r="S137">
        <f>15.52349846</f>
        <v>15.523498460000001</v>
      </c>
      <c r="T137">
        <f>15.88488133</f>
        <v>15.884881330000001</v>
      </c>
      <c r="U137">
        <f>15.66732973</f>
        <v>15.667329730000001</v>
      </c>
      <c r="V137">
        <f>14.46659483</f>
        <v>14.46659483</v>
      </c>
      <c r="W137">
        <f>6.521358543</f>
        <v>6.5213585429999998</v>
      </c>
      <c r="X137">
        <f>6.595008198</f>
        <v>6.5950081980000004</v>
      </c>
      <c r="Y137">
        <f>7.034184823</f>
        <v>7.0341848230000004</v>
      </c>
      <c r="Z137">
        <f>7.034947215</f>
        <v>7.0349472149999999</v>
      </c>
      <c r="AA137">
        <f>8.18258506</f>
        <v>8.1825850599999992</v>
      </c>
      <c r="AB137">
        <f>7.496128973</f>
        <v>7.4961289730000003</v>
      </c>
      <c r="AC137">
        <f>9.453400744</f>
        <v>9.4534007439999996</v>
      </c>
    </row>
    <row r="138" spans="1:29" x14ac:dyDescent="0.25">
      <c r="A138" t="str">
        <f>"    Conduent Inc"</f>
        <v xml:space="preserve">    Conduent Inc</v>
      </c>
      <c r="B138" t="str">
        <f>"CNDT US Equity"</f>
        <v>CNDT US Equity</v>
      </c>
      <c r="C138" t="str">
        <f t="shared" si="21"/>
        <v>RR732</v>
      </c>
      <c r="D138" t="str">
        <f t="shared" si="22"/>
        <v>TOT_DEBT_TO_TOT_EQY</v>
      </c>
      <c r="E138" t="str">
        <f t="shared" si="23"/>
        <v>Dynamic</v>
      </c>
      <c r="F138">
        <f ca="1">IF(AND(ISNUMBER($F$329),$B$202=1),$F$329,HLOOKUP(INDIRECT(ADDRESS(2,COLUMN())),OFFSET($R$2,0,0,ROW()-1,12),ROW()-1,FALSE))</f>
        <v>138.03230540000001</v>
      </c>
      <c r="G138">
        <f ca="1">IF(AND(ISNUMBER($G$329),$B$202=1),$G$329,HLOOKUP(INDIRECT(ADDRESS(2,COLUMN())),OFFSET($R$2,0,0,ROW()-1,12),ROW()-1,FALSE))</f>
        <v>127.6699029</v>
      </c>
      <c r="H138">
        <f ca="1">IF(AND(ISNUMBER($H$329),$B$202=1),$H$329,HLOOKUP(INDIRECT(ADDRESS(2,COLUMN())),OFFSET($R$2,0,0,ROW()-1,12),ROW()-1,FALSE))</f>
        <v>92.885572139999994</v>
      </c>
      <c r="I138">
        <f ca="1">IF(AND(ISNUMBER($I$329),$B$202=1),$I$329,HLOOKUP(INDIRECT(ADDRESS(2,COLUMN())),OFFSET($R$2,0,0,ROW()-1,12),ROW()-1,FALSE))</f>
        <v>93.489965740000002</v>
      </c>
      <c r="J138">
        <f ca="1">IF(AND(ISNUMBER($J$329),$B$202=1),$J$329,HLOOKUP(INDIRECT(ADDRESS(2,COLUMN())),OFFSET($R$2,0,0,ROW()-1,12),ROW()-1,FALSE))</f>
        <v>63.310524600000001</v>
      </c>
      <c r="K138">
        <f ca="1">IF(AND(ISNUMBER($K$329),$B$202=1),$K$329,HLOOKUP(INDIRECT(ADDRESS(2,COLUMN())),OFFSET($R$2,0,0,ROW()-1,12),ROW()-1,FALSE))</f>
        <v>46.581450650000001</v>
      </c>
      <c r="L138">
        <f ca="1">IF(AND(ISNUMBER($L$329),$B$202=1),$L$329,HLOOKUP(INDIRECT(ADDRESS(2,COLUMN())),OFFSET($R$2,0,0,ROW()-1,12),ROW()-1,FALSE))</f>
        <v>45.044273060000002</v>
      </c>
      <c r="M138">
        <f ca="1">IF(AND(ISNUMBER($M$329),$B$202=1),$M$329,HLOOKUP(INDIRECT(ADDRESS(2,COLUMN())),OFFSET($R$2,0,0,ROW()-1,12),ROW()-1,FALSE))</f>
        <v>56.138423510000003</v>
      </c>
      <c r="N138">
        <f ca="1">IF(AND(ISNUMBER($N$329),$B$202=1),$N$329,HLOOKUP(INDIRECT(ADDRESS(2,COLUMN())),OFFSET($R$2,0,0,ROW()-1,12),ROW()-1,FALSE))</f>
        <v>56.215772180000002</v>
      </c>
      <c r="O138">
        <f ca="1">IF(AND(ISNUMBER($O$329),$B$202=1),$O$329,HLOOKUP(INDIRECT(ADDRESS(2,COLUMN())),OFFSET($R$2,0,0,ROW()-1,12),ROW()-1,FALSE))</f>
        <v>56.142740400000001</v>
      </c>
      <c r="P138">
        <f ca="1">IF(AND(ISNUMBER($P$329),$B$202=1),$P$329,HLOOKUP(INDIRECT(ADDRESS(2,COLUMN())),OFFSET($R$2,0,0,ROW()-1,12),ROW()-1,FALSE))</f>
        <v>59.698899830000002</v>
      </c>
      <c r="Q138">
        <f ca="1">IF(AND(ISNUMBER($Q$329),$B$202=1),$Q$329,HLOOKUP(INDIRECT(ADDRESS(2,COLUMN())),OFFSET($R$2,0,0,ROW()-1,12),ROW()-1,FALSE))</f>
        <v>61.578490889999998</v>
      </c>
      <c r="R138">
        <f>138.0323054</f>
        <v>138.03230540000001</v>
      </c>
      <c r="S138">
        <f>127.6699029</f>
        <v>127.6699029</v>
      </c>
      <c r="T138">
        <f>92.88557214</f>
        <v>92.885572139999994</v>
      </c>
      <c r="U138">
        <f>93.48996574</f>
        <v>93.489965740000002</v>
      </c>
      <c r="V138">
        <f>63.3105246</f>
        <v>63.310524600000001</v>
      </c>
      <c r="W138">
        <f>46.58145065</f>
        <v>46.581450650000001</v>
      </c>
      <c r="X138">
        <f>45.04427306</f>
        <v>45.044273060000002</v>
      </c>
      <c r="Y138">
        <f>56.13842351</f>
        <v>56.138423510000003</v>
      </c>
      <c r="Z138">
        <f>56.21577218</f>
        <v>56.215772180000002</v>
      </c>
      <c r="AA138">
        <f>56.1427404</f>
        <v>56.142740400000001</v>
      </c>
      <c r="AB138">
        <f>59.69889983</f>
        <v>59.698899830000002</v>
      </c>
      <c r="AC138">
        <f>61.57849089</f>
        <v>61.578490889999998</v>
      </c>
    </row>
    <row r="139" spans="1:29" x14ac:dyDescent="0.25">
      <c r="A139" t="str">
        <f>"    DXC Technology Co"</f>
        <v xml:space="preserve">    DXC Technology Co</v>
      </c>
      <c r="B139" t="str">
        <f>"DXC US Equity"</f>
        <v>DXC US Equity</v>
      </c>
      <c r="C139" t="str">
        <f t="shared" si="21"/>
        <v>RR732</v>
      </c>
      <c r="D139" t="str">
        <f t="shared" si="22"/>
        <v>TOT_DEBT_TO_TOT_EQY</v>
      </c>
      <c r="E139" t="str">
        <f t="shared" si="23"/>
        <v>Dynamic</v>
      </c>
      <c r="F139">
        <f ca="1">IF(AND(ISNUMBER($F$330),$B$202=1),$F$330,HLOOKUP(INDIRECT(ADDRESS(2,COLUMN())),OFFSET($R$2,0,0,ROW()-1,12),ROW()-1,FALSE))</f>
        <v>224.07876780000001</v>
      </c>
      <c r="G139">
        <f ca="1">IF(AND(ISNUMBER($G$330),$B$202=1),$G$330,HLOOKUP(INDIRECT(ADDRESS(2,COLUMN())),OFFSET($R$2,0,0,ROW()-1,12),ROW()-1,FALSE))</f>
        <v>115.2730469</v>
      </c>
      <c r="H139">
        <f ca="1">IF(AND(ISNUMBER($H$330),$B$202=1),$H$330,HLOOKUP(INDIRECT(ADDRESS(2,COLUMN())),OFFSET($R$2,0,0,ROW()-1,12),ROW()-1,FALSE))</f>
        <v>121.7249154</v>
      </c>
      <c r="I139">
        <f ca="1">IF(AND(ISNUMBER($I$330),$B$202=1),$I$330,HLOOKUP(INDIRECT(ADDRESS(2,COLUMN())),OFFSET($R$2,0,0,ROW()-1,12),ROW()-1,FALSE))</f>
        <v>99.126326109999994</v>
      </c>
      <c r="J139">
        <f ca="1">IF(AND(ISNUMBER($J$330),$B$202=1),$J$330,HLOOKUP(INDIRECT(ADDRESS(2,COLUMN())),OFFSET($R$2,0,0,ROW()-1,12),ROW()-1,FALSE))</f>
        <v>63.215351810000001</v>
      </c>
      <c r="K139">
        <f ca="1">IF(AND(ISNUMBER($K$330),$B$202=1),$K$330,HLOOKUP(INDIRECT(ADDRESS(2,COLUMN())),OFFSET($R$2,0,0,ROW()-1,12),ROW()-1,FALSE))</f>
        <v>66.572736879999994</v>
      </c>
      <c r="L139">
        <f ca="1">IF(AND(ISNUMBER($L$330),$B$202=1),$L$330,HLOOKUP(INDIRECT(ADDRESS(2,COLUMN())),OFFSET($R$2,0,0,ROW()-1,12),ROW()-1,FALSE))</f>
        <v>59.364703890000001</v>
      </c>
      <c r="M139">
        <f ca="1">IF(AND(ISNUMBER($M$330),$B$202=1),$M$330,HLOOKUP(INDIRECT(ADDRESS(2,COLUMN())),OFFSET($R$2,0,0,ROW()-1,12),ROW()-1,FALSE))</f>
        <v>59.708820039999999</v>
      </c>
      <c r="N139">
        <f ca="1">IF(AND(ISNUMBER($N$330),$B$202=1),$N$330,HLOOKUP(INDIRECT(ADDRESS(2,COLUMN())),OFFSET($R$2,0,0,ROW()-1,12),ROW()-1,FALSE))</f>
        <v>57.888270579999997</v>
      </c>
      <c r="O139">
        <f ca="1">IF(AND(ISNUMBER($O$330),$B$202=1),$O$330,HLOOKUP(INDIRECT(ADDRESS(2,COLUMN())),OFFSET($R$2,0,0,ROW()-1,12),ROW()-1,FALSE))</f>
        <v>64.687168610000001</v>
      </c>
      <c r="P139">
        <f ca="1">IF(AND(ISNUMBER($P$330),$B$202=1),$P$330,HLOOKUP(INDIRECT(ADDRESS(2,COLUMN())),OFFSET($R$2,0,0,ROW()-1,12),ROW()-1,FALSE))</f>
        <v>68.16182938</v>
      </c>
      <c r="Q139">
        <f ca="1">IF(AND(ISNUMBER($Q$330),$B$202=1),$Q$330,HLOOKUP(INDIRECT(ADDRESS(2,COLUMN())),OFFSET($R$2,0,0,ROW()-1,12),ROW()-1,FALSE))</f>
        <v>60.364520050000003</v>
      </c>
      <c r="R139">
        <f>224.0787678</f>
        <v>224.07876780000001</v>
      </c>
      <c r="S139">
        <f>115.2730469</f>
        <v>115.2730469</v>
      </c>
      <c r="T139">
        <f>121.7249154</f>
        <v>121.7249154</v>
      </c>
      <c r="U139">
        <f>99.12632611</f>
        <v>99.126326109999994</v>
      </c>
      <c r="V139">
        <f>63.21535181</f>
        <v>63.215351810000001</v>
      </c>
      <c r="W139">
        <f>66.57273688</f>
        <v>66.572736879999994</v>
      </c>
      <c r="X139">
        <f>59.36470389</f>
        <v>59.364703890000001</v>
      </c>
      <c r="Y139">
        <f>59.70882004</f>
        <v>59.708820039999999</v>
      </c>
      <c r="Z139">
        <f>57.88827058</f>
        <v>57.888270579999997</v>
      </c>
      <c r="AA139">
        <f>64.68716861</f>
        <v>64.687168610000001</v>
      </c>
      <c r="AB139">
        <f>68.16182938</f>
        <v>68.16182938</v>
      </c>
      <c r="AC139">
        <f>60.36452005</f>
        <v>60.364520050000003</v>
      </c>
    </row>
    <row r="140" spans="1:29" x14ac:dyDescent="0.25">
      <c r="A140" t="str">
        <f>"    EPAM Systems Inc"</f>
        <v xml:space="preserve">    EPAM Systems Inc</v>
      </c>
      <c r="B140" t="str">
        <f>"EPAM US Equity"</f>
        <v>EPAM US Equity</v>
      </c>
      <c r="C140" t="str">
        <f t="shared" si="21"/>
        <v>RR732</v>
      </c>
      <c r="D140" t="str">
        <f t="shared" si="22"/>
        <v>TOT_DEBT_TO_TOT_EQY</v>
      </c>
      <c r="E140" t="str">
        <f t="shared" si="23"/>
        <v>Dynamic</v>
      </c>
      <c r="F140">
        <f ca="1">IF(AND(ISNUMBER($F$331),$B$202=1),$F$331,HLOOKUP(INDIRECT(ADDRESS(2,COLUMN())),OFFSET($R$2,0,0,ROW()-1,12),ROW()-1,FALSE))</f>
        <v>16.65972678</v>
      </c>
      <c r="G140">
        <f ca="1">IF(AND(ISNUMBER($G$331),$B$202=1),$G$331,HLOOKUP(INDIRECT(ADDRESS(2,COLUMN())),OFFSET($R$2,0,0,ROW()-1,12),ROW()-1,FALSE))</f>
        <v>16.506269790000001</v>
      </c>
      <c r="H140">
        <f ca="1">IF(AND(ISNUMBER($H$331),$B$202=1),$H$331,HLOOKUP(INDIRECT(ADDRESS(2,COLUMN())),OFFSET($R$2,0,0,ROW()-1,12),ROW()-1,FALSE))</f>
        <v>15.441416459999999</v>
      </c>
      <c r="I140">
        <f ca="1">IF(AND(ISNUMBER($I$331),$B$202=1),$I$331,HLOOKUP(INDIRECT(ADDRESS(2,COLUMN())),OFFSET($R$2,0,0,ROW()-1,12),ROW()-1,FALSE))</f>
        <v>16.28170072</v>
      </c>
      <c r="J140">
        <f ca="1">IF(AND(ISNUMBER($J$331),$B$202=1),$J$331,HLOOKUP(INDIRECT(ADDRESS(2,COLUMN())),OFFSET($R$2,0,0,ROW()-1,12),ROW()-1,FALSE))</f>
        <v>14.40647126</v>
      </c>
      <c r="K140">
        <f ca="1">IF(AND(ISNUMBER($K$331),$B$202=1),$K$331,HLOOKUP(INDIRECT(ADDRESS(2,COLUMN())),OFFSET($R$2,0,0,ROW()-1,12),ROW()-1,FALSE))</f>
        <v>1.982502717</v>
      </c>
      <c r="L140">
        <f ca="1">IF(AND(ISNUMBER($L$331),$B$202=1),$L$331,HLOOKUP(INDIRECT(ADDRESS(2,COLUMN())),OFFSET($R$2,0,0,ROW()-1,12),ROW()-1,FALSE))</f>
        <v>2.0927558770000001</v>
      </c>
      <c r="M140">
        <f ca="1">IF(AND(ISNUMBER($M$331),$B$202=1),$M$331,HLOOKUP(INDIRECT(ADDRESS(2,COLUMN())),OFFSET($R$2,0,0,ROW()-1,12),ROW()-1,FALSE))</f>
        <v>2.2483763969999999</v>
      </c>
      <c r="N140">
        <f ca="1">IF(AND(ISNUMBER($N$331),$B$202=1),$N$331,HLOOKUP(INDIRECT(ADDRESS(2,COLUMN())),OFFSET($R$2,0,0,ROW()-1,12),ROW()-1,FALSE))</f>
        <v>2.3712557369999998</v>
      </c>
      <c r="O140">
        <f ca="1">IF(AND(ISNUMBER($O$331),$B$202=1),$O$331,HLOOKUP(INDIRECT(ADDRESS(2,COLUMN())),OFFSET($R$2,0,0,ROW()-1,12),ROW()-1,FALSE))</f>
        <v>2.5676267529999999</v>
      </c>
      <c r="P140">
        <f ca="1">IF(AND(ISNUMBER($P$331),$B$202=1),$P$331,HLOOKUP(INDIRECT(ADDRESS(2,COLUMN())),OFFSET($R$2,0,0,ROW()-1,12),ROW()-1,FALSE))</f>
        <v>2.5418593199999999</v>
      </c>
      <c r="Q140">
        <f ca="1">IF(AND(ISNUMBER($Q$331),$B$202=1),$Q$331,HLOOKUP(INDIRECT(ADDRESS(2,COLUMN())),OFFSET($R$2,0,0,ROW()-1,12),ROW()-1,FALSE))</f>
        <v>2.721848069</v>
      </c>
      <c r="R140">
        <f>16.65972678</f>
        <v>16.65972678</v>
      </c>
      <c r="S140">
        <f>16.50626979</f>
        <v>16.506269790000001</v>
      </c>
      <c r="T140">
        <f>15.44141646</f>
        <v>15.441416459999999</v>
      </c>
      <c r="U140">
        <f>16.28170072</f>
        <v>16.28170072</v>
      </c>
      <c r="V140">
        <f>14.40647126</f>
        <v>14.40647126</v>
      </c>
      <c r="W140">
        <f>1.982502717</f>
        <v>1.982502717</v>
      </c>
      <c r="X140">
        <f>2.092755877</f>
        <v>2.0927558770000001</v>
      </c>
      <c r="Y140">
        <f>2.248376397</f>
        <v>2.2483763969999999</v>
      </c>
      <c r="Z140">
        <f>2.371255737</f>
        <v>2.3712557369999998</v>
      </c>
      <c r="AA140">
        <f>2.567626753</f>
        <v>2.5676267529999999</v>
      </c>
      <c r="AB140">
        <f>2.54185932</f>
        <v>2.5418593199999999</v>
      </c>
      <c r="AC140">
        <f>2.721848069</f>
        <v>2.721848069</v>
      </c>
    </row>
    <row r="141" spans="1:29" x14ac:dyDescent="0.25">
      <c r="A141" t="str">
        <f>"    Genpact Ltd"</f>
        <v xml:space="preserve">    Genpact Ltd</v>
      </c>
      <c r="B141" t="str">
        <f>"G US Equity"</f>
        <v>G US Equity</v>
      </c>
      <c r="C141" t="str">
        <f t="shared" si="21"/>
        <v>RR732</v>
      </c>
      <c r="D141" t="str">
        <f t="shared" si="22"/>
        <v>TOT_DEBT_TO_TOT_EQY</v>
      </c>
      <c r="E141" t="str">
        <f t="shared" si="23"/>
        <v>Dynamic</v>
      </c>
      <c r="F141">
        <f ca="1">IF(AND(ISNUMBER($F$332),$B$202=1),$F$332,HLOOKUP(INDIRECT(ADDRESS(2,COLUMN())),OFFSET($R$2,0,0,ROW()-1,12),ROW()-1,FALSE))</f>
        <v>123.3019448</v>
      </c>
      <c r="G141">
        <f ca="1">IF(AND(ISNUMBER($G$332),$B$202=1),$G$332,HLOOKUP(INDIRECT(ADDRESS(2,COLUMN())),OFFSET($R$2,0,0,ROW()-1,12),ROW()-1,FALSE))</f>
        <v>108.5463816</v>
      </c>
      <c r="H141">
        <f ca="1">IF(AND(ISNUMBER($H$332),$B$202=1),$H$332,HLOOKUP(INDIRECT(ADDRESS(2,COLUMN())),OFFSET($R$2,0,0,ROW()-1,12),ROW()-1,FALSE))</f>
        <v>98.910744579999999</v>
      </c>
      <c r="I141">
        <f ca="1">IF(AND(ISNUMBER($I$332),$B$202=1),$I$332,HLOOKUP(INDIRECT(ADDRESS(2,COLUMN())),OFFSET($R$2,0,0,ROW()-1,12),ROW()-1,FALSE))</f>
        <v>103.8697209</v>
      </c>
      <c r="J141">
        <f ca="1">IF(AND(ISNUMBER($J$332),$B$202=1),$J$332,HLOOKUP(INDIRECT(ADDRESS(2,COLUMN())),OFFSET($R$2,0,0,ROW()-1,12),ROW()-1,FALSE))</f>
        <v>110.12755079999999</v>
      </c>
      <c r="K141">
        <f ca="1">IF(AND(ISNUMBER($K$332),$B$202=1),$K$332,HLOOKUP(INDIRECT(ADDRESS(2,COLUMN())),OFFSET($R$2,0,0,ROW()-1,12),ROW()-1,FALSE))</f>
        <v>92.874570390000002</v>
      </c>
      <c r="L141">
        <f ca="1">IF(AND(ISNUMBER($L$332),$B$202=1),$L$332,HLOOKUP(INDIRECT(ADDRESS(2,COLUMN())),OFFSET($R$2,0,0,ROW()-1,12),ROW()-1,FALSE))</f>
        <v>104.8514496</v>
      </c>
      <c r="M141">
        <f ca="1">IF(AND(ISNUMBER($M$332),$B$202=1),$M$332,HLOOKUP(INDIRECT(ADDRESS(2,COLUMN())),OFFSET($R$2,0,0,ROW()-1,12),ROW()-1,FALSE))</f>
        <v>95.768208729999998</v>
      </c>
      <c r="N141">
        <f ca="1">IF(AND(ISNUMBER($N$332),$B$202=1),$N$332,HLOOKUP(INDIRECT(ADDRESS(2,COLUMN())),OFFSET($R$2,0,0,ROW()-1,12),ROW()-1,FALSE))</f>
        <v>95.991133219999995</v>
      </c>
      <c r="O141">
        <f ca="1">IF(AND(ISNUMBER($O$332),$B$202=1),$O$332,HLOOKUP(INDIRECT(ADDRESS(2,COLUMN())),OFFSET($R$2,0,0,ROW()-1,12),ROW()-1,FALSE))</f>
        <v>85.100651319999997</v>
      </c>
      <c r="P141">
        <f ca="1">IF(AND(ISNUMBER($P$332),$B$202=1),$P$332,HLOOKUP(INDIRECT(ADDRESS(2,COLUMN())),OFFSET($R$2,0,0,ROW()-1,12),ROW()-1,FALSE))</f>
        <v>92.216839429999993</v>
      </c>
      <c r="Q141">
        <f ca="1">IF(AND(ISNUMBER($Q$332),$B$202=1),$Q$332,HLOOKUP(INDIRECT(ADDRESS(2,COLUMN())),OFFSET($R$2,0,0,ROW()-1,12),ROW()-1,FALSE))</f>
        <v>100.5668593</v>
      </c>
      <c r="R141">
        <f>123.3019448</f>
        <v>123.3019448</v>
      </c>
      <c r="S141">
        <f>108.5463816</f>
        <v>108.5463816</v>
      </c>
      <c r="T141">
        <f>98.91074458</f>
        <v>98.910744579999999</v>
      </c>
      <c r="U141">
        <f>103.8697209</f>
        <v>103.8697209</v>
      </c>
      <c r="V141">
        <f>110.1275508</f>
        <v>110.12755079999999</v>
      </c>
      <c r="W141">
        <f>92.87457039</f>
        <v>92.874570390000002</v>
      </c>
      <c r="X141">
        <f>104.8514496</f>
        <v>104.8514496</v>
      </c>
      <c r="Y141">
        <f>95.76820873</f>
        <v>95.768208729999998</v>
      </c>
      <c r="Z141">
        <f>95.99113322</f>
        <v>95.991133219999995</v>
      </c>
      <c r="AA141">
        <f>85.10065132</f>
        <v>85.100651319999997</v>
      </c>
      <c r="AB141">
        <f>92.21683943</f>
        <v>92.216839429999993</v>
      </c>
      <c r="AC141">
        <f>100.5668593</f>
        <v>100.5668593</v>
      </c>
    </row>
    <row r="142" spans="1:29" x14ac:dyDescent="0.25">
      <c r="A142" t="str">
        <f>"    HCL Technologies Ltd"</f>
        <v xml:space="preserve">    HCL Technologies Ltd</v>
      </c>
      <c r="B142" t="str">
        <f>"HCLT IN Equity"</f>
        <v>HCLT IN Equity</v>
      </c>
      <c r="C142" t="str">
        <f t="shared" si="21"/>
        <v>RR732</v>
      </c>
      <c r="D142" t="str">
        <f t="shared" si="22"/>
        <v>TOT_DEBT_TO_TOT_EQY</v>
      </c>
      <c r="E142" t="str">
        <f t="shared" si="23"/>
        <v>Dynamic</v>
      </c>
      <c r="F142">
        <f ca="1">IF(AND(ISNUMBER($F$333),$B$202=1),$F$333,HLOOKUP(INDIRECT(ADDRESS(2,COLUMN())),OFFSET($R$2,0,0,ROW()-1,12),ROW()-1,FALSE))</f>
        <v>15.29676051</v>
      </c>
      <c r="G142">
        <f ca="1">IF(AND(ISNUMBER($G$333),$B$202=1),$G$333,HLOOKUP(INDIRECT(ADDRESS(2,COLUMN())),OFFSET($R$2,0,0,ROW()-1,12),ROW()-1,FALSE))</f>
        <v>12.8859447</v>
      </c>
      <c r="H142">
        <f ca="1">IF(AND(ISNUMBER($H$333),$B$202=1),$H$333,HLOOKUP(INDIRECT(ADDRESS(2,COLUMN())),OFFSET($R$2,0,0,ROW()-1,12),ROW()-1,FALSE))</f>
        <v>13.94944924</v>
      </c>
      <c r="I142">
        <f ca="1">IF(AND(ISNUMBER($I$333),$B$202=1),$I$333,HLOOKUP(INDIRECT(ADDRESS(2,COLUMN())),OFFSET($R$2,0,0,ROW()-1,12),ROW()-1,FALSE))</f>
        <v>9.4400157139999994</v>
      </c>
      <c r="J142">
        <f ca="1">IF(AND(ISNUMBER($J$333),$B$202=1),$J$333,HLOOKUP(INDIRECT(ADDRESS(2,COLUMN())),OFFSET($R$2,0,0,ROW()-1,12),ROW()-1,FALSE))</f>
        <v>9.9328397430000006</v>
      </c>
      <c r="K142">
        <f ca="1">IF(AND(ISNUMBER($K$333),$B$202=1),$K$333,HLOOKUP(INDIRECT(ADDRESS(2,COLUMN())),OFFSET($R$2,0,0,ROW()-1,12),ROW()-1,FALSE))</f>
        <v>9.737081323</v>
      </c>
      <c r="L142">
        <f ca="1">IF(AND(ISNUMBER($L$333),$B$202=1),$L$333,HLOOKUP(INDIRECT(ADDRESS(2,COLUMN())),OFFSET($R$2,0,0,ROW()-1,12),ROW()-1,FALSE))</f>
        <v>7.344358819</v>
      </c>
      <c r="M142">
        <f ca="1">IF(AND(ISNUMBER($M$333),$B$202=1),$M$333,HLOOKUP(INDIRECT(ADDRESS(2,COLUMN())),OFFSET($R$2,0,0,ROW()-1,12),ROW()-1,FALSE))</f>
        <v>0.92113142400000003</v>
      </c>
      <c r="N142">
        <f ca="1">IF(AND(ISNUMBER($N$333),$B$202=1),$N$333,HLOOKUP(INDIRECT(ADDRESS(2,COLUMN())),OFFSET($R$2,0,0,ROW()-1,12),ROW()-1,FALSE))</f>
        <v>1.3659099649999999</v>
      </c>
      <c r="O142">
        <f ca="1">IF(AND(ISNUMBER($O$333),$B$202=1),$O$333,HLOOKUP(INDIRECT(ADDRESS(2,COLUMN())),OFFSET($R$2,0,0,ROW()-1,12),ROW()-1,FALSE))</f>
        <v>1.46934422</v>
      </c>
      <c r="P142">
        <f ca="1">IF(AND(ISNUMBER($P$333),$B$202=1),$P$333,HLOOKUP(INDIRECT(ADDRESS(2,COLUMN())),OFFSET($R$2,0,0,ROW()-1,12),ROW()-1,FALSE))</f>
        <v>2.2033227850000001</v>
      </c>
      <c r="Q142">
        <f ca="1">IF(AND(ISNUMBER($Q$333),$B$202=1),$Q$333,HLOOKUP(INDIRECT(ADDRESS(2,COLUMN())),OFFSET($R$2,0,0,ROW()-1,12),ROW()-1,FALSE))</f>
        <v>1.640960762</v>
      </c>
      <c r="R142">
        <f>15.29676051</f>
        <v>15.29676051</v>
      </c>
      <c r="S142">
        <f>12.8859447</f>
        <v>12.8859447</v>
      </c>
      <c r="T142">
        <f>13.94944924</f>
        <v>13.94944924</v>
      </c>
      <c r="U142">
        <f>9.440015714</f>
        <v>9.4400157139999994</v>
      </c>
      <c r="V142">
        <f>9.932839743</f>
        <v>9.9328397430000006</v>
      </c>
      <c r="W142">
        <f>9.737081323</f>
        <v>9.737081323</v>
      </c>
      <c r="X142">
        <f>7.344358819</f>
        <v>7.344358819</v>
      </c>
      <c r="Y142">
        <f>0.921131424</f>
        <v>0.92113142400000003</v>
      </c>
      <c r="Z142">
        <f>1.365909965</f>
        <v>1.3659099649999999</v>
      </c>
      <c r="AA142">
        <f>1.46934422</f>
        <v>1.46934422</v>
      </c>
      <c r="AB142">
        <f>2.203322785</f>
        <v>2.2033227850000001</v>
      </c>
      <c r="AC142">
        <f>1.640960762</f>
        <v>1.640960762</v>
      </c>
    </row>
    <row r="143" spans="1:29" x14ac:dyDescent="0.25">
      <c r="A143" t="str">
        <f>"    Indra Sistemas SA"</f>
        <v xml:space="preserve">    Indra Sistemas SA</v>
      </c>
      <c r="B143" t="str">
        <f>"IDR SM Equity"</f>
        <v>IDR SM Equity</v>
      </c>
      <c r="C143" t="str">
        <f t="shared" si="21"/>
        <v>RR732</v>
      </c>
      <c r="D143" t="str">
        <f t="shared" si="22"/>
        <v>TOT_DEBT_TO_TOT_EQY</v>
      </c>
      <c r="E143" t="str">
        <f t="shared" si="23"/>
        <v>Dynamic</v>
      </c>
      <c r="F143">
        <f ca="1">IF(AND(ISNUMBER($F$334),$B$202=1),$F$334,HLOOKUP(INDIRECT(ADDRESS(2,COLUMN())),OFFSET($R$2,0,0,ROW()-1,12),ROW()-1,FALSE))</f>
        <v>197.69817660000001</v>
      </c>
      <c r="G143">
        <f ca="1">IF(AND(ISNUMBER($G$334),$B$202=1),$G$334,HLOOKUP(INDIRECT(ADDRESS(2,COLUMN())),OFFSET($R$2,0,0,ROW()-1,12),ROW()-1,FALSE))</f>
        <v>199.10371860000001</v>
      </c>
      <c r="H143">
        <f ca="1">IF(AND(ISNUMBER($H$334),$B$202=1),$H$334,HLOOKUP(INDIRECT(ADDRESS(2,COLUMN())),OFFSET($R$2,0,0,ROW()-1,12),ROW()-1,FALSE))</f>
        <v>209.24800859999999</v>
      </c>
      <c r="I143">
        <f ca="1">IF(AND(ISNUMBER($I$334),$B$202=1),$I$334,HLOOKUP(INDIRECT(ADDRESS(2,COLUMN())),OFFSET($R$2,0,0,ROW()-1,12),ROW()-1,FALSE))</f>
        <v>228.8645094</v>
      </c>
      <c r="J143">
        <f ca="1">IF(AND(ISNUMBER($J$334),$B$202=1),$J$334,HLOOKUP(INDIRECT(ADDRESS(2,COLUMN())),OFFSET($R$2,0,0,ROW()-1,12),ROW()-1,FALSE))</f>
        <v>203.71318819999999</v>
      </c>
      <c r="K143">
        <f ca="1">IF(AND(ISNUMBER($K$334),$B$202=1),$K$334,HLOOKUP(INDIRECT(ADDRESS(2,COLUMN())),OFFSET($R$2,0,0,ROW()-1,12),ROW()-1,FALSE))</f>
        <v>206.73231150000001</v>
      </c>
      <c r="L143">
        <f ca="1">IF(AND(ISNUMBER($L$334),$B$202=1),$L$334,HLOOKUP(INDIRECT(ADDRESS(2,COLUMN())),OFFSET($R$2,0,0,ROW()-1,12),ROW()-1,FALSE))</f>
        <v>249.88665800000001</v>
      </c>
      <c r="M143">
        <f ca="1">IF(AND(ISNUMBER($M$334),$B$202=1),$M$334,HLOOKUP(INDIRECT(ADDRESS(2,COLUMN())),OFFSET($R$2,0,0,ROW()-1,12),ROW()-1,FALSE))</f>
        <v>265.30566279999999</v>
      </c>
      <c r="N143">
        <f ca="1">IF(AND(ISNUMBER($N$334),$B$202=1),$N$334,HLOOKUP(INDIRECT(ADDRESS(2,COLUMN())),OFFSET($R$2,0,0,ROW()-1,12),ROW()-1,FALSE))</f>
        <v>229.82872649999999</v>
      </c>
      <c r="O143">
        <f ca="1">IF(AND(ISNUMBER($O$334),$B$202=1),$O$334,HLOOKUP(INDIRECT(ADDRESS(2,COLUMN())),OFFSET($R$2,0,0,ROW()-1,12),ROW()-1,FALSE))</f>
        <v>198.37885729999999</v>
      </c>
      <c r="P143">
        <f ca="1">IF(AND(ISNUMBER($P$334),$B$202=1),$P$334,HLOOKUP(INDIRECT(ADDRESS(2,COLUMN())),OFFSET($R$2,0,0,ROW()-1,12),ROW()-1,FALSE))</f>
        <v>220.36758560000001</v>
      </c>
      <c r="Q143">
        <f ca="1">IF(AND(ISNUMBER($Q$334),$B$202=1),$Q$334,HLOOKUP(INDIRECT(ADDRESS(2,COLUMN())),OFFSET($R$2,0,0,ROW()-1,12),ROW()-1,FALSE))</f>
        <v>246.44116579999999</v>
      </c>
      <c r="R143">
        <f>197.6981766</f>
        <v>197.69817660000001</v>
      </c>
      <c r="S143">
        <f>199.1037186</f>
        <v>199.10371860000001</v>
      </c>
      <c r="T143">
        <f>209.2480086</f>
        <v>209.24800859999999</v>
      </c>
      <c r="U143">
        <f>228.8645094</f>
        <v>228.8645094</v>
      </c>
      <c r="V143">
        <f>203.7131882</f>
        <v>203.71318819999999</v>
      </c>
      <c r="W143">
        <f>206.7323115</f>
        <v>206.73231150000001</v>
      </c>
      <c r="X143">
        <f>249.886658</f>
        <v>249.88665800000001</v>
      </c>
      <c r="Y143">
        <f>265.3056628</f>
        <v>265.30566279999999</v>
      </c>
      <c r="Z143">
        <f>229.8287265</f>
        <v>229.82872649999999</v>
      </c>
      <c r="AA143">
        <f>198.3788573</f>
        <v>198.37885729999999</v>
      </c>
      <c r="AB143">
        <f>220.3675856</f>
        <v>220.36758560000001</v>
      </c>
      <c r="AC143">
        <f>246.4411658</f>
        <v>246.44116579999999</v>
      </c>
    </row>
    <row r="144" spans="1:29" x14ac:dyDescent="0.25">
      <c r="A144" t="str">
        <f>"    Infosys Ltd"</f>
        <v xml:space="preserve">    Infosys Ltd</v>
      </c>
      <c r="B144" t="str">
        <f>"INFY US Equity"</f>
        <v>INFY US Equity</v>
      </c>
      <c r="C144" t="str">
        <f t="shared" si="21"/>
        <v>RR732</v>
      </c>
      <c r="D144" t="str">
        <f t="shared" si="22"/>
        <v>TOT_DEBT_TO_TOT_EQY</v>
      </c>
      <c r="E144" t="str">
        <f t="shared" si="23"/>
        <v>Dynamic</v>
      </c>
      <c r="F144">
        <f ca="1">IF(AND(ISNUMBER($F$335),$B$202=1),$F$335,HLOOKUP(INDIRECT(ADDRESS(2,COLUMN())),OFFSET($R$2,0,0,ROW()-1,12),ROW()-1,FALSE))</f>
        <v>7.0363282910000002</v>
      </c>
      <c r="G144">
        <f ca="1">IF(AND(ISNUMBER($G$335),$B$202=1),$G$335,HLOOKUP(INDIRECT(ADDRESS(2,COLUMN())),OFFSET($R$2,0,0,ROW()-1,12),ROW()-1,FALSE))</f>
        <v>6.7661805289999997</v>
      </c>
      <c r="H144">
        <f ca="1">IF(AND(ISNUMBER($H$335),$B$202=1),$H$335,HLOOKUP(INDIRECT(ADDRESS(2,COLUMN())),OFFSET($R$2,0,0,ROW()-1,12),ROW()-1,FALSE))</f>
        <v>6.6966705539999998</v>
      </c>
      <c r="I144">
        <f ca="1">IF(AND(ISNUMBER($I$335),$B$202=1),$I$335,HLOOKUP(INDIRECT(ADDRESS(2,COLUMN())),OFFSET($R$2,0,0,ROW()-1,12),ROW()-1,FALSE))</f>
        <v>6.739833967</v>
      </c>
      <c r="J144">
        <f ca="1">IF(AND(ISNUMBER($J$335),$B$202=1),$J$335,HLOOKUP(INDIRECT(ADDRESS(2,COLUMN())),OFFSET($R$2,0,0,ROW()-1,12),ROW()-1,FALSE))</f>
        <v>0</v>
      </c>
      <c r="K144">
        <f ca="1">IF(AND(ISNUMBER($K$335),$B$202=1),$K$335,HLOOKUP(INDIRECT(ADDRESS(2,COLUMN())),OFFSET($R$2,0,0,ROW()-1,12),ROW()-1,FALSE))</f>
        <v>0</v>
      </c>
      <c r="L144">
        <f ca="1">IF(AND(ISNUMBER($L$335),$B$202=1),$L$335,HLOOKUP(INDIRECT(ADDRESS(2,COLUMN())),OFFSET($R$2,0,0,ROW()-1,12),ROW()-1,FALSE))</f>
        <v>0</v>
      </c>
      <c r="M144">
        <f ca="1">IF(AND(ISNUMBER($M$335),$B$202=1),$M$335,HLOOKUP(INDIRECT(ADDRESS(2,COLUMN())),OFFSET($R$2,0,0,ROW()-1,12),ROW()-1,FALSE))</f>
        <v>0</v>
      </c>
      <c r="N144">
        <f ca="1">IF(AND(ISNUMBER($N$335),$B$202=1),$N$335,HLOOKUP(INDIRECT(ADDRESS(2,COLUMN())),OFFSET($R$2,0,0,ROW()-1,12),ROW()-1,FALSE))</f>
        <v>0</v>
      </c>
      <c r="O144">
        <f ca="1">IF(AND(ISNUMBER($O$335),$B$202=1),$O$335,HLOOKUP(INDIRECT(ADDRESS(2,COLUMN())),OFFSET($R$2,0,0,ROW()-1,12),ROW()-1,FALSE))</f>
        <v>0</v>
      </c>
      <c r="P144">
        <f ca="1">IF(AND(ISNUMBER($P$335),$B$202=1),$P$335,HLOOKUP(INDIRECT(ADDRESS(2,COLUMN())),OFFSET($R$2,0,0,ROW()-1,12),ROW()-1,FALSE))</f>
        <v>0</v>
      </c>
      <c r="Q144">
        <f ca="1">IF(AND(ISNUMBER($Q$335),$B$202=1),$Q$335,HLOOKUP(INDIRECT(ADDRESS(2,COLUMN())),OFFSET($R$2,0,0,ROW()-1,12),ROW()-1,FALSE))</f>
        <v>0</v>
      </c>
      <c r="R144">
        <f>7.036328291</f>
        <v>7.0363282910000002</v>
      </c>
      <c r="S144">
        <f>6.766180529</f>
        <v>6.7661805289999997</v>
      </c>
      <c r="T144">
        <f>6.696670554</f>
        <v>6.6966705539999998</v>
      </c>
      <c r="U144">
        <f>6.739833967</f>
        <v>6.739833967</v>
      </c>
      <c r="V144">
        <f>0</f>
        <v>0</v>
      </c>
      <c r="W144">
        <f>0</f>
        <v>0</v>
      </c>
      <c r="X144">
        <f>0</f>
        <v>0</v>
      </c>
      <c r="Y144">
        <f>0</f>
        <v>0</v>
      </c>
      <c r="Z144">
        <f>0</f>
        <v>0</v>
      </c>
      <c r="AA144">
        <f>0</f>
        <v>0</v>
      </c>
      <c r="AB144">
        <f>0</f>
        <v>0</v>
      </c>
      <c r="AC144">
        <f>0</f>
        <v>0</v>
      </c>
    </row>
    <row r="145" spans="1:29" x14ac:dyDescent="0.25">
      <c r="A145" t="str">
        <f>"    International Business Machines Corp"</f>
        <v xml:space="preserve">    International Business Machines Corp</v>
      </c>
      <c r="B145" t="str">
        <f>"IBM US Equity"</f>
        <v>IBM US Equity</v>
      </c>
      <c r="C145" t="str">
        <f t="shared" si="21"/>
        <v>RR732</v>
      </c>
      <c r="D145" t="str">
        <f t="shared" si="22"/>
        <v>TOT_DEBT_TO_TOT_EQY</v>
      </c>
      <c r="E145" t="str">
        <f t="shared" si="23"/>
        <v>Dynamic</v>
      </c>
      <c r="F145">
        <f ca="1">IF(AND(ISNUMBER($F$336),$B$202=1),$F$336,HLOOKUP(INDIRECT(ADDRESS(2,COLUMN())),OFFSET($R$2,0,0,ROW()-1,12),ROW()-1,FALSE))</f>
        <v>345.05663750000002</v>
      </c>
      <c r="G145">
        <f ca="1">IF(AND(ISNUMBER($G$336),$B$202=1),$G$336,HLOOKUP(INDIRECT(ADDRESS(2,COLUMN())),OFFSET($R$2,0,0,ROW()-1,12),ROW()-1,FALSE))</f>
        <v>324.8093786</v>
      </c>
      <c r="H145">
        <f ca="1">IF(AND(ISNUMBER($H$336),$B$202=1),$H$336,HLOOKUP(INDIRECT(ADDRESS(2,COLUMN())),OFFSET($R$2,0,0,ROW()-1,12),ROW()-1,FALSE))</f>
        <v>361.58819629999999</v>
      </c>
      <c r="I145">
        <f ca="1">IF(AND(ISNUMBER($I$336),$B$202=1),$I$336,HLOOKUP(INDIRECT(ADDRESS(2,COLUMN())),OFFSET($R$2,0,0,ROW()-1,12),ROW()-1,FALSE))</f>
        <v>405.25990100000001</v>
      </c>
      <c r="J145">
        <f ca="1">IF(AND(ISNUMBER($J$336),$B$202=1),$J$336,HLOOKUP(INDIRECT(ADDRESS(2,COLUMN())),OFFSET($R$2,0,0,ROW()-1,12),ROW()-1,FALSE))</f>
        <v>293.29760329999999</v>
      </c>
      <c r="K145">
        <f ca="1">IF(AND(ISNUMBER($K$336),$B$202=1),$K$336,HLOOKUP(INDIRECT(ADDRESS(2,COLUMN())),OFFSET($R$2,0,0,ROW()-1,12),ROW()-1,FALSE))</f>
        <v>270.5965741</v>
      </c>
      <c r="L145">
        <f ca="1">IF(AND(ISNUMBER($L$336),$B$202=1),$L$336,HLOOKUP(INDIRECT(ADDRESS(2,COLUMN())),OFFSET($R$2,0,0,ROW()-1,12),ROW()-1,FALSE))</f>
        <v>203.96104220000001</v>
      </c>
      <c r="M145">
        <f ca="1">IF(AND(ISNUMBER($M$336),$B$202=1),$M$336,HLOOKUP(INDIRECT(ADDRESS(2,COLUMN())),OFFSET($R$2,0,0,ROW()-1,12),ROW()-1,FALSE))</f>
        <v>209.9099099</v>
      </c>
      <c r="N145">
        <f ca="1">IF(AND(ISNUMBER($N$336),$B$202=1),$N$336,HLOOKUP(INDIRECT(ADDRESS(2,COLUMN())),OFFSET($R$2,0,0,ROW()-1,12),ROW()-1,FALSE))</f>
        <v>217.03116460000001</v>
      </c>
      <c r="O145">
        <f ca="1">IF(AND(ISNUMBER($O$336),$B$202=1),$O$336,HLOOKUP(INDIRECT(ADDRESS(2,COLUMN())),OFFSET($R$2,0,0,ROW()-1,12),ROW()-1,FALSE))</f>
        <v>227.6614951</v>
      </c>
      <c r="P145">
        <f ca="1">IF(AND(ISNUMBER($P$336),$B$202=1),$P$336,HLOOKUP(INDIRECT(ADDRESS(2,COLUMN())),OFFSET($R$2,0,0,ROW()-1,12),ROW()-1,FALSE))</f>
        <v>172.8855595</v>
      </c>
      <c r="Q145">
        <f ca="1">IF(AND(ISNUMBER($Q$336),$B$202=1),$Q$336,HLOOKUP(INDIRECT(ADDRESS(2,COLUMN())),OFFSET($R$2,0,0,ROW()-1,12),ROW()-1,FALSE))</f>
        <v>188.68636760000001</v>
      </c>
      <c r="R145">
        <f>345.0566375</f>
        <v>345.05663750000002</v>
      </c>
      <c r="S145">
        <f>324.8093786</f>
        <v>324.8093786</v>
      </c>
      <c r="T145">
        <f>361.5881963</f>
        <v>361.58819629999999</v>
      </c>
      <c r="U145">
        <f>405.259901</f>
        <v>405.25990100000001</v>
      </c>
      <c r="V145">
        <f>293.2976033</f>
        <v>293.29760329999999</v>
      </c>
      <c r="W145">
        <f>270.5965741</f>
        <v>270.5965741</v>
      </c>
      <c r="X145">
        <f>203.9610422</f>
        <v>203.96104220000001</v>
      </c>
      <c r="Y145">
        <f>209.9099099</f>
        <v>209.9099099</v>
      </c>
      <c r="Z145">
        <f>217.0311646</f>
        <v>217.03116460000001</v>
      </c>
      <c r="AA145">
        <f>227.6614951</f>
        <v>227.6614951</v>
      </c>
      <c r="AB145">
        <f>172.8855595</f>
        <v>172.8855595</v>
      </c>
      <c r="AC145">
        <f>188.6863676</f>
        <v>188.68636760000001</v>
      </c>
    </row>
    <row r="146" spans="1:29" x14ac:dyDescent="0.25">
      <c r="A146" t="str">
        <f>"    Tata Consultancy Services Ltd"</f>
        <v xml:space="preserve">    Tata Consultancy Services Ltd</v>
      </c>
      <c r="B146" t="str">
        <f>"TCS IN Equity"</f>
        <v>TCS IN Equity</v>
      </c>
      <c r="C146" t="str">
        <f t="shared" si="21"/>
        <v>RR732</v>
      </c>
      <c r="D146" t="str">
        <f t="shared" si="22"/>
        <v>TOT_DEBT_TO_TOT_EQY</v>
      </c>
      <c r="E146" t="str">
        <f t="shared" si="23"/>
        <v>Dynamic</v>
      </c>
      <c r="F146">
        <f ca="1">IF(AND(ISNUMBER($F$337),$B$202=1),$F$337,HLOOKUP(INDIRECT(ADDRESS(2,COLUMN())),OFFSET($R$2,0,0,ROW()-1,12),ROW()-1,FALSE))</f>
        <v>9.4102206919999993</v>
      </c>
      <c r="G146">
        <f ca="1">IF(AND(ISNUMBER($G$337),$B$202=1),$G$337,HLOOKUP(INDIRECT(ADDRESS(2,COLUMN())),OFFSET($R$2,0,0,ROW()-1,12),ROW()-1,FALSE))</f>
        <v>8.2416877559999993</v>
      </c>
      <c r="H146">
        <f ca="1">IF(AND(ISNUMBER($H$337),$B$202=1),$H$337,HLOOKUP(INDIRECT(ADDRESS(2,COLUMN())),OFFSET($R$2,0,0,ROW()-1,12),ROW()-1,FALSE))</f>
        <v>6.9461224990000003</v>
      </c>
      <c r="I146">
        <f ca="1">IF(AND(ISNUMBER($I$337),$B$202=1),$I$337,HLOOKUP(INDIRECT(ADDRESS(2,COLUMN())),OFFSET($R$2,0,0,ROW()-1,12),ROW()-1,FALSE))</f>
        <v>7.4464035150000001</v>
      </c>
      <c r="J146">
        <f ca="1">IF(AND(ISNUMBER($J$337),$B$202=1),$J$337,HLOOKUP(INDIRECT(ADDRESS(2,COLUMN())),OFFSET($R$2,0,0,ROW()-1,12),ROW()-1,FALSE))</f>
        <v>6.7384711999999999E-2</v>
      </c>
      <c r="K146">
        <f ca="1">IF(AND(ISNUMBER($K$337),$B$202=1),$K$337,HLOOKUP(INDIRECT(ADDRESS(2,COLUMN())),OFFSET($R$2,0,0,ROW()-1,12),ROW()-1,FALSE))</f>
        <v>7.3467673999999997E-2</v>
      </c>
      <c r="L146">
        <f ca="1">IF(AND(ISNUMBER($L$337),$B$202=1),$L$337,HLOOKUP(INDIRECT(ADDRESS(2,COLUMN())),OFFSET($R$2,0,0,ROW()-1,12),ROW()-1,FALSE))</f>
        <v>8.0066085999999995E-2</v>
      </c>
      <c r="M146">
        <f ca="1">IF(AND(ISNUMBER($M$337),$B$202=1),$M$337,HLOOKUP(INDIRECT(ADDRESS(2,COLUMN())),OFFSET($R$2,0,0,ROW()-1,12),ROW()-1,FALSE))</f>
        <v>7.3707009000000004E-2</v>
      </c>
      <c r="N146">
        <f ca="1">IF(AND(ISNUMBER($N$337),$B$202=1),$N$337,HLOOKUP(INDIRECT(ADDRESS(2,COLUMN())),OFFSET($R$2,0,0,ROW()-1,12),ROW()-1,FALSE))</f>
        <v>0.28182513100000001</v>
      </c>
      <c r="O146">
        <f ca="1">IF(AND(ISNUMBER($O$337),$B$202=1),$O$337,HLOOKUP(INDIRECT(ADDRESS(2,COLUMN())),OFFSET($R$2,0,0,ROW()-1,12),ROW()-1,FALSE))</f>
        <v>9.2738344E-2</v>
      </c>
      <c r="P146">
        <f ca="1">IF(AND(ISNUMBER($P$337),$B$202=1),$P$337,HLOOKUP(INDIRECT(ADDRESS(2,COLUMN())),OFFSET($R$2,0,0,ROW()-1,12),ROW()-1,FALSE))</f>
        <v>0.101909185</v>
      </c>
      <c r="Q146">
        <f ca="1">IF(AND(ISNUMBER($Q$337),$B$202=1),$Q$337,HLOOKUP(INDIRECT(ADDRESS(2,COLUMN())),OFFSET($R$2,0,0,ROW()-1,12),ROW()-1,FALSE))</f>
        <v>0.114211801</v>
      </c>
      <c r="R146">
        <f>9.410220692</f>
        <v>9.4102206919999993</v>
      </c>
      <c r="S146">
        <f>8.241687756</f>
        <v>8.2416877559999993</v>
      </c>
      <c r="T146">
        <f>6.946122499</f>
        <v>6.9461224990000003</v>
      </c>
      <c r="U146">
        <f>7.446403515</f>
        <v>7.4464035150000001</v>
      </c>
      <c r="V146">
        <f>0.067384712</f>
        <v>6.7384711999999999E-2</v>
      </c>
      <c r="W146">
        <f>0.073467674</f>
        <v>7.3467673999999997E-2</v>
      </c>
      <c r="X146">
        <f>0.080066086</f>
        <v>8.0066085999999995E-2</v>
      </c>
      <c r="Y146">
        <f>0.073707009</f>
        <v>7.3707009000000004E-2</v>
      </c>
      <c r="Z146">
        <f>0.281825131</f>
        <v>0.28182513100000001</v>
      </c>
      <c r="AA146">
        <f>0.092738344</f>
        <v>9.2738344E-2</v>
      </c>
      <c r="AB146">
        <f>0.101909185</f>
        <v>0.101909185</v>
      </c>
      <c r="AC146">
        <f>0.114211801</f>
        <v>0.114211801</v>
      </c>
    </row>
    <row r="147" spans="1:29" x14ac:dyDescent="0.25">
      <c r="A147" t="str">
        <f>"    Tech Mahindra Ltd"</f>
        <v xml:space="preserve">    Tech Mahindra Ltd</v>
      </c>
      <c r="B147" t="str">
        <f>"TECHM IN Equity"</f>
        <v>TECHM IN Equity</v>
      </c>
      <c r="C147" t="str">
        <f t="shared" si="21"/>
        <v>RR732</v>
      </c>
      <c r="D147" t="str">
        <f t="shared" si="22"/>
        <v>TOT_DEBT_TO_TOT_EQY</v>
      </c>
      <c r="E147" t="str">
        <f t="shared" si="23"/>
        <v>Dynamic</v>
      </c>
      <c r="F147">
        <f ca="1">IF(AND(ISNUMBER($F$338),$B$202=1),$F$338,HLOOKUP(INDIRECT(ADDRESS(2,COLUMN())),OFFSET($R$2,0,0,ROW()-1,12),ROW()-1,FALSE))</f>
        <v>10.93469835</v>
      </c>
      <c r="G147">
        <f ca="1">IF(AND(ISNUMBER($G$338),$B$202=1),$G$338,HLOOKUP(INDIRECT(ADDRESS(2,COLUMN())),OFFSET($R$2,0,0,ROW()-1,12),ROW()-1,FALSE))</f>
        <v>14.22530018</v>
      </c>
      <c r="H147">
        <f ca="1">IF(AND(ISNUMBER($H$338),$B$202=1),$H$338,HLOOKUP(INDIRECT(ADDRESS(2,COLUMN())),OFFSET($R$2,0,0,ROW()-1,12),ROW()-1,FALSE))</f>
        <v>14.766125669999999</v>
      </c>
      <c r="I147">
        <f ca="1">IF(AND(ISNUMBER($I$338),$B$202=1),$I$338,HLOOKUP(INDIRECT(ADDRESS(2,COLUMN())),OFFSET($R$2,0,0,ROW()-1,12),ROW()-1,FALSE))</f>
        <v>11.18687102</v>
      </c>
      <c r="J147">
        <f ca="1">IF(AND(ISNUMBER($J$338),$B$202=1),$J$338,HLOOKUP(INDIRECT(ADDRESS(2,COLUMN())),OFFSET($R$2,0,0,ROW()-1,12),ROW()-1,FALSE))</f>
        <v>9.6112628299999994</v>
      </c>
      <c r="K147">
        <f ca="1">IF(AND(ISNUMBER($K$338),$B$202=1),$K$338,HLOOKUP(INDIRECT(ADDRESS(2,COLUMN())),OFFSET($R$2,0,0,ROW()-1,12),ROW()-1,FALSE))</f>
        <v>7.5330892709999997</v>
      </c>
      <c r="L147">
        <f ca="1">IF(AND(ISNUMBER($L$338),$B$202=1),$L$338,HLOOKUP(INDIRECT(ADDRESS(2,COLUMN())),OFFSET($R$2,0,0,ROW()-1,12),ROW()-1,FALSE))</f>
        <v>7.469297708</v>
      </c>
      <c r="M147">
        <f ca="1">IF(AND(ISNUMBER($M$338),$B$202=1),$M$338,HLOOKUP(INDIRECT(ADDRESS(2,COLUMN())),OFFSET($R$2,0,0,ROW()-1,12),ROW()-1,FALSE))</f>
        <v>8.6435303829999999</v>
      </c>
      <c r="N147">
        <f ca="1">IF(AND(ISNUMBER($N$338),$B$202=1),$N$338,HLOOKUP(INDIRECT(ADDRESS(2,COLUMN())),OFFSET($R$2,0,0,ROW()-1,12),ROW()-1,FALSE))</f>
        <v>12.38431368</v>
      </c>
      <c r="O147">
        <f ca="1">IF(AND(ISNUMBER($O$338),$B$202=1),$O$338,HLOOKUP(INDIRECT(ADDRESS(2,COLUMN())),OFFSET($R$2,0,0,ROW()-1,12),ROW()-1,FALSE))</f>
        <v>8.5159450289999992</v>
      </c>
      <c r="P147">
        <f ca="1">IF(AND(ISNUMBER($P$338),$B$202=1),$P$338,HLOOKUP(INDIRECT(ADDRESS(2,COLUMN())),OFFSET($R$2,0,0,ROW()-1,12),ROW()-1,FALSE))</f>
        <v>8.1338912889999992</v>
      </c>
      <c r="Q147">
        <f ca="1">IF(AND(ISNUMBER($Q$338),$B$202=1),$Q$338,HLOOKUP(INDIRECT(ADDRESS(2,COLUMN())),OFFSET($R$2,0,0,ROW()-1,12),ROW()-1,FALSE))</f>
        <v>7.9473468629999999</v>
      </c>
      <c r="R147">
        <f>10.93469835</f>
        <v>10.93469835</v>
      </c>
      <c r="S147">
        <f>14.22530018</f>
        <v>14.22530018</v>
      </c>
      <c r="T147">
        <f>14.76612567</f>
        <v>14.766125669999999</v>
      </c>
      <c r="U147">
        <f>11.18687102</f>
        <v>11.18687102</v>
      </c>
      <c r="V147">
        <f>9.61126283</f>
        <v>9.6112628299999994</v>
      </c>
      <c r="W147">
        <f>7.533089271</f>
        <v>7.5330892709999997</v>
      </c>
      <c r="X147">
        <f>7.469297708</f>
        <v>7.469297708</v>
      </c>
      <c r="Y147">
        <f>8.643530383</f>
        <v>8.6435303829999999</v>
      </c>
      <c r="Z147">
        <f>12.38431368</f>
        <v>12.38431368</v>
      </c>
      <c r="AA147">
        <f>8.515945029</f>
        <v>8.5159450289999992</v>
      </c>
      <c r="AB147">
        <f>8.133891289</f>
        <v>8.1338912889999992</v>
      </c>
      <c r="AC147">
        <f>7.947346863</f>
        <v>7.9473468629999999</v>
      </c>
    </row>
    <row r="148" spans="1:29" x14ac:dyDescent="0.25">
      <c r="A148" t="str">
        <f>"    Wipro Ltd"</f>
        <v xml:space="preserve">    Wipro Ltd</v>
      </c>
      <c r="B148" t="str">
        <f>"WIT US Equity"</f>
        <v>WIT US Equity</v>
      </c>
      <c r="C148" t="str">
        <f t="shared" si="21"/>
        <v>RR732</v>
      </c>
      <c r="D148" t="str">
        <f t="shared" si="22"/>
        <v>TOT_DEBT_TO_TOT_EQY</v>
      </c>
      <c r="E148" t="str">
        <f t="shared" si="23"/>
        <v>Dynamic</v>
      </c>
      <c r="F148">
        <f ca="1">IF(AND(ISNUMBER($F$339),$B$202=1),$F$339,HLOOKUP(INDIRECT(ADDRESS(2,COLUMN())),OFFSET($R$2,0,0,ROW()-1,12),ROW()-1,FALSE))</f>
        <v>17.384992480000001</v>
      </c>
      <c r="G148">
        <f ca="1">IF(AND(ISNUMBER($G$339),$B$202=1),$G$339,HLOOKUP(INDIRECT(ADDRESS(2,COLUMN())),OFFSET($R$2,0,0,ROW()-1,12),ROW()-1,FALSE))</f>
        <v>20.638023480000001</v>
      </c>
      <c r="H148">
        <f ca="1">IF(AND(ISNUMBER($H$339),$B$202=1),$H$339,HLOOKUP(INDIRECT(ADDRESS(2,COLUMN())),OFFSET($R$2,0,0,ROW()-1,12),ROW()-1,FALSE))</f>
        <v>21.5476451</v>
      </c>
      <c r="I148">
        <f ca="1">IF(AND(ISNUMBER($I$339),$B$202=1),$I$339,HLOOKUP(INDIRECT(ADDRESS(2,COLUMN())),OFFSET($R$2,0,0,ROW()-1,12),ROW()-1,FALSE))</f>
        <v>20.286229909999999</v>
      </c>
      <c r="J148">
        <f ca="1">IF(AND(ISNUMBER($J$339),$B$202=1),$J$339,HLOOKUP(INDIRECT(ADDRESS(2,COLUMN())),OFFSET($R$2,0,0,ROW()-1,12),ROW()-1,FALSE))</f>
        <v>17.427328459999998</v>
      </c>
      <c r="K148">
        <f ca="1">IF(AND(ISNUMBER($K$339),$B$202=1),$K$339,HLOOKUP(INDIRECT(ADDRESS(2,COLUMN())),OFFSET($R$2,0,0,ROW()-1,12),ROW()-1,FALSE))</f>
        <v>18.892298960000002</v>
      </c>
      <c r="L148">
        <f ca="1">IF(AND(ISNUMBER($L$339),$B$202=1),$L$339,HLOOKUP(INDIRECT(ADDRESS(2,COLUMN())),OFFSET($R$2,0,0,ROW()-1,12),ROW()-1,FALSE))</f>
        <v>21.985844060000002</v>
      </c>
      <c r="M148">
        <f ca="1">IF(AND(ISNUMBER($M$339),$B$202=1),$M$339,HLOOKUP(INDIRECT(ADDRESS(2,COLUMN())),OFFSET($R$2,0,0,ROW()-1,12),ROW()-1,FALSE))</f>
        <v>23.459971110000001</v>
      </c>
      <c r="N148">
        <f ca="1">IF(AND(ISNUMBER($N$339),$B$202=1),$N$339,HLOOKUP(INDIRECT(ADDRESS(2,COLUMN())),OFFSET($R$2,0,0,ROW()-1,12),ROW()-1,FALSE))</f>
        <v>28.486687849999999</v>
      </c>
      <c r="O148">
        <f ca="1">IF(AND(ISNUMBER($O$339),$B$202=1),$O$339,HLOOKUP(INDIRECT(ADDRESS(2,COLUMN())),OFFSET($R$2,0,0,ROW()-1,12),ROW()-1,FALSE))</f>
        <v>27.901320729999998</v>
      </c>
      <c r="P148">
        <f ca="1">IF(AND(ISNUMBER($P$339),$B$202=1),$P$339,HLOOKUP(INDIRECT(ADDRESS(2,COLUMN())),OFFSET($R$2,0,0,ROW()-1,12),ROW()-1,FALSE))</f>
        <v>25.732569770000001</v>
      </c>
      <c r="Q148">
        <f ca="1">IF(AND(ISNUMBER($Q$339),$B$202=1),$Q$339,HLOOKUP(INDIRECT(ADDRESS(2,COLUMN())),OFFSET($R$2,0,0,ROW()-1,12),ROW()-1,FALSE))</f>
        <v>26.916626010000002</v>
      </c>
      <c r="R148">
        <f>17.38499248</f>
        <v>17.384992480000001</v>
      </c>
      <c r="S148">
        <f>20.63802348</f>
        <v>20.638023480000001</v>
      </c>
      <c r="T148">
        <f>21.5476451</f>
        <v>21.5476451</v>
      </c>
      <c r="U148">
        <f>20.28622991</f>
        <v>20.286229909999999</v>
      </c>
      <c r="V148">
        <f>17.42732846</f>
        <v>17.427328459999998</v>
      </c>
      <c r="W148">
        <f>18.89229896</f>
        <v>18.892298960000002</v>
      </c>
      <c r="X148">
        <f>21.98584406</f>
        <v>21.985844060000002</v>
      </c>
      <c r="Y148">
        <f>23.45997111</f>
        <v>23.459971110000001</v>
      </c>
      <c r="Z148">
        <f>28.48668785</f>
        <v>28.486687849999999</v>
      </c>
      <c r="AA148">
        <f>27.90132073</f>
        <v>27.901320729999998</v>
      </c>
      <c r="AB148">
        <f>25.73256977</f>
        <v>25.732569770000001</v>
      </c>
      <c r="AC148">
        <f>26.91662601</f>
        <v>26.916626010000002</v>
      </c>
    </row>
    <row r="149" spans="1:29" x14ac:dyDescent="0.25">
      <c r="A149" t="str">
        <f>"Composition:"</f>
        <v>Composition:</v>
      </c>
      <c r="B149" t="str">
        <f>""</f>
        <v/>
      </c>
      <c r="E149" t="str">
        <f>"Heading"</f>
        <v>Heading</v>
      </c>
      <c r="R149" t="str">
        <f>""</f>
        <v/>
      </c>
      <c r="S149" t="str">
        <f>""</f>
        <v/>
      </c>
      <c r="T149" t="str">
        <f>""</f>
        <v/>
      </c>
      <c r="U149" t="str">
        <f>""</f>
        <v/>
      </c>
      <c r="V149" t="str">
        <f>""</f>
        <v/>
      </c>
      <c r="W149" t="str">
        <f>""</f>
        <v/>
      </c>
      <c r="X149" t="str">
        <f>""</f>
        <v/>
      </c>
      <c r="Y149" t="str">
        <f>""</f>
        <v/>
      </c>
      <c r="Z149" t="str">
        <f>""</f>
        <v/>
      </c>
      <c r="AA149" t="str">
        <f>""</f>
        <v/>
      </c>
      <c r="AB149" t="str">
        <f>""</f>
        <v/>
      </c>
      <c r="AC149" t="str">
        <f>""</f>
        <v/>
      </c>
    </row>
    <row r="150" spans="1:29" x14ac:dyDescent="0.25">
      <c r="A150" t="str">
        <f>"Net Debt per Share"</f>
        <v>Net Debt per Share</v>
      </c>
      <c r="B150" t="str">
        <f>"BRITBPOV Index"</f>
        <v>BRITBPOV Index</v>
      </c>
      <c r="E150" t="str">
        <f>"Average"</f>
        <v>Average</v>
      </c>
      <c r="F150">
        <f ca="1">IF(ISERROR(IF(AVERAGE($F$151:$F$167) = 0, "", AVERAGE($F$151:$F$167))), "", (IF(AVERAGE($F$151:$F$167) = 0, "", AVERAGE($F$151:$F$167))))</f>
        <v>7.9496140269166666</v>
      </c>
      <c r="G150">
        <f ca="1">IF(ISERROR(IF(AVERAGE($G$151:$G$167) = 0, "", AVERAGE($G$151:$G$167))), "", (IF(AVERAGE($G$151:$G$167) = 0, "", AVERAGE($G$151:$G$167))))</f>
        <v>7.727719598666666</v>
      </c>
      <c r="H150">
        <f ca="1">IF(ISERROR(IF(AVERAGE($H$151:$H$167) = 0, "", AVERAGE($H$151:$H$167))), "", (IF(AVERAGE($H$151:$H$167) = 0, "", AVERAGE($H$151:$H$167))))</f>
        <v>6.7941866293333328</v>
      </c>
      <c r="I150">
        <f ca="1">IF(ISERROR(IF(AVERAGE($I$151:$I$167) = 0, "", AVERAGE($I$151:$I$167))), "", (IF(AVERAGE($I$151:$I$167) = 0, "", AVERAGE($I$151:$I$167))))</f>
        <v>4.8173539748333329</v>
      </c>
      <c r="J150">
        <f ca="1">IF(ISERROR(IF(AVERAGE($J$151:$J$167) = 0, "", AVERAGE($J$151:$J$167))), "", (IF(AVERAGE($J$151:$J$167) = 0, "", AVERAGE($J$151:$J$167))))</f>
        <v>3.4536503439166668</v>
      </c>
      <c r="K150">
        <f ca="1">IF(ISERROR(IF(AVERAGE($K$151:$K$167) = 0, "", AVERAGE($K$151:$K$167))), "", (IF(AVERAGE($K$151:$K$167) = 0, "", AVERAGE($K$151:$K$167))))</f>
        <v>2.9593221442500002</v>
      </c>
      <c r="L150">
        <f ca="1">IF(ISERROR(IF(AVERAGE($L$151:$L$167) = 0, "", AVERAGE($L$151:$L$167))), "", (IF(AVERAGE($L$151:$L$167) = 0, "", AVERAGE($L$151:$L$167))))</f>
        <v>2.0661834653333337</v>
      </c>
      <c r="M150">
        <f ca="1">IF(ISERROR(IF(AVERAGE($M$151:$M$167) = 0, "", AVERAGE($M$151:$M$167))), "", (IF(AVERAGE($M$151:$M$167) = 0, "", AVERAGE($M$151:$M$167))))</f>
        <v>2.5144924496666672</v>
      </c>
      <c r="N150">
        <f ca="1">IF(ISERROR(IF(AVERAGE($N$151:$N$167) = 0, "", AVERAGE($N$151:$N$167))), "", (IF(AVERAGE($N$151:$N$167) = 0, "", AVERAGE($N$151:$N$167))))</f>
        <v>2.9356023767500008</v>
      </c>
      <c r="O150">
        <f ca="1">IF(ISERROR(IF(AVERAGE($O$151:$O$167) = 0, "", AVERAGE($O$151:$O$167))), "", (IF(AVERAGE($O$151:$O$167) = 0, "", AVERAGE($O$151:$O$167))))</f>
        <v>2.5297473626666664</v>
      </c>
      <c r="P150">
        <f ca="1">IF(ISERROR(IF(AVERAGE($P$151:$P$167) = 0, "", AVERAGE($P$151:$P$167))), "", (IF(AVERAGE($P$151:$P$167) = 0, "", AVERAGE($P$151:$P$167))))</f>
        <v>2.4484528634166662</v>
      </c>
      <c r="Q150">
        <f ca="1">IF(ISERROR(IF(AVERAGE($Q$151:$Q$167) = 0, "", AVERAGE($Q$151:$Q$167))), "", (IF(AVERAGE($Q$151:$Q$167) = 0, "", AVERAGE($Q$151:$Q$167))))</f>
        <v>2.6195755395833333</v>
      </c>
      <c r="R150">
        <f>7.949614026</f>
        <v>7.9496140259999999</v>
      </c>
      <c r="S150">
        <f>7.727719598</f>
        <v>7.7277195980000002</v>
      </c>
      <c r="T150">
        <f>6.79418663</f>
        <v>6.7941866299999996</v>
      </c>
      <c r="U150">
        <f>4.817353975</f>
        <v>4.8173539749999996</v>
      </c>
      <c r="V150">
        <f>3.453650343</f>
        <v>3.4536503430000001</v>
      </c>
      <c r="W150">
        <f>2.959322144</f>
        <v>2.9593221440000002</v>
      </c>
      <c r="X150">
        <f>2.066183466</f>
        <v>2.066183466</v>
      </c>
      <c r="Y150">
        <f>2.51449245</f>
        <v>2.5144924500000001</v>
      </c>
      <c r="Z150">
        <f>2.935602376</f>
        <v>2.9356023759999998</v>
      </c>
      <c r="AA150">
        <f>2.529747363</f>
        <v>2.5297473629999998</v>
      </c>
      <c r="AB150">
        <f>2.448452864</f>
        <v>2.4484528640000001</v>
      </c>
      <c r="AC150">
        <f>2.61957554</f>
        <v>2.61957554</v>
      </c>
    </row>
    <row r="151" spans="1:29" x14ac:dyDescent="0.25">
      <c r="A151" t="str">
        <f>"    Accenture PLC"</f>
        <v xml:space="preserve">    Accenture PLC</v>
      </c>
      <c r="B151" t="str">
        <f>"ACN US Equity"</f>
        <v>ACN US Equity</v>
      </c>
      <c r="C151" t="str">
        <f t="shared" ref="C151:C167" si="24">"RX547"</f>
        <v>RX547</v>
      </c>
      <c r="D151" t="str">
        <f t="shared" ref="D151:D167" si="25">"NET_DEBT_PER_DILUTED_SHARE"</f>
        <v>NET_DEBT_PER_DILUTED_SHARE</v>
      </c>
      <c r="E151" t="str">
        <f t="shared" ref="E151:E167" si="26">"Dynamic"</f>
        <v>Dynamic</v>
      </c>
      <c r="F151">
        <f ca="1">IF(AND(ISNUMBER($F$340),$B$202=1),$F$340,HLOOKUP(INDIRECT(ADDRESS(2,COLUMN())),OFFSET($R$2,0,0,ROW()-1,12),ROW()-1,FALSE))</f>
        <v>-3.1285203539999999</v>
      </c>
      <c r="G151">
        <f ca="1">IF(AND(ISNUMBER($G$340),$B$202=1),$G$340,HLOOKUP(INDIRECT(ADDRESS(2,COLUMN())),OFFSET($R$2,0,0,ROW()-1,12),ROW()-1,FALSE))</f>
        <v>-3.744700538</v>
      </c>
      <c r="H151">
        <f ca="1">IF(AND(ISNUMBER($H$340),$B$202=1),$H$340,HLOOKUP(INDIRECT(ADDRESS(2,COLUMN())),OFFSET($R$2,0,0,ROW()-1,12),ROW()-1,FALSE))</f>
        <v>-9.3886059139999993</v>
      </c>
      <c r="I151">
        <f ca="1">IF(AND(ISNUMBER($I$340),$B$202=1),$I$340,HLOOKUP(INDIRECT(ADDRESS(2,COLUMN())),OFFSET($R$2,0,0,ROW()-1,12),ROW()-1,FALSE))</f>
        <v>-7.3132923090000004</v>
      </c>
      <c r="J151">
        <f ca="1">IF(AND(ISNUMBER($J$340),$B$202=1),$J$340,HLOOKUP(INDIRECT(ADDRESS(2,COLUMN())),OFFSET($R$2,0,0,ROW()-1,12),ROW()-1,FALSE))</f>
        <v>-6.8454753220000004</v>
      </c>
      <c r="K151">
        <f ca="1">IF(AND(ISNUMBER($K$340),$B$202=1),$K$340,HLOOKUP(INDIRECT(ADDRESS(2,COLUMN())),OFFSET($R$2,0,0,ROW()-1,12),ROW()-1,FALSE))</f>
        <v>-6.658396604</v>
      </c>
      <c r="L151">
        <f ca="1">IF(AND(ISNUMBER($L$340),$B$202=1),$L$340,HLOOKUP(INDIRECT(ADDRESS(2,COLUMN())),OFFSET($R$2,0,0,ROW()-1,12),ROW()-1,FALSE))</f>
        <v>-7.7061796019999997</v>
      </c>
      <c r="M151">
        <f ca="1">IF(AND(ISNUMBER($M$340),$B$202=1),$M$340,HLOOKUP(INDIRECT(ADDRESS(2,COLUMN())),OFFSET($R$2,0,0,ROW()-1,12),ROW()-1,FALSE))</f>
        <v>-5.962890078</v>
      </c>
      <c r="N151">
        <f ca="1">IF(AND(ISNUMBER($N$340),$B$202=1),$N$340,HLOOKUP(INDIRECT(ADDRESS(2,COLUMN())),OFFSET($R$2,0,0,ROW()-1,12),ROW()-1,FALSE))</f>
        <v>-5.4405696370000003</v>
      </c>
      <c r="O151">
        <f ca="1">IF(AND(ISNUMBER($O$340),$B$202=1),$O$340,HLOOKUP(INDIRECT(ADDRESS(2,COLUMN())),OFFSET($R$2,0,0,ROW()-1,12),ROW()-1,FALSE))</f>
        <v>-5.5692815390000003</v>
      </c>
      <c r="P151">
        <f ca="1">IF(AND(ISNUMBER($P$340),$B$202=1),$P$340,HLOOKUP(INDIRECT(ADDRESS(2,COLUMN())),OFFSET($R$2,0,0,ROW()-1,12),ROW()-1,FALSE))</f>
        <v>-6.2346590710000003</v>
      </c>
      <c r="Q151">
        <f ca="1">IF(AND(ISNUMBER($Q$340),$B$202=1),$Q$340,HLOOKUP(INDIRECT(ADDRESS(2,COLUMN())),OFFSET($R$2,0,0,ROW()-1,12),ROW()-1,FALSE))</f>
        <v>-5.0961197900000004</v>
      </c>
      <c r="R151">
        <f>-3.128520354</f>
        <v>-3.1285203539999999</v>
      </c>
      <c r="S151">
        <f>-3.744700538</f>
        <v>-3.744700538</v>
      </c>
      <c r="T151">
        <f>-9.388605914</f>
        <v>-9.3886059139999993</v>
      </c>
      <c r="U151">
        <f>-7.313292309</f>
        <v>-7.3132923090000004</v>
      </c>
      <c r="V151">
        <f>-6.845475322</f>
        <v>-6.8454753220000004</v>
      </c>
      <c r="W151">
        <f>-6.658396604</f>
        <v>-6.658396604</v>
      </c>
      <c r="X151">
        <f>-7.706179602</f>
        <v>-7.7061796019999997</v>
      </c>
      <c r="Y151">
        <f>-5.962890078</f>
        <v>-5.962890078</v>
      </c>
      <c r="Z151">
        <f>-5.440569637</f>
        <v>-5.4405696370000003</v>
      </c>
      <c r="AA151">
        <f>-5.569281539</f>
        <v>-5.5692815390000003</v>
      </c>
      <c r="AB151">
        <f>-6.234659071</f>
        <v>-6.2346590710000003</v>
      </c>
      <c r="AC151">
        <f>-5.09611979</f>
        <v>-5.0961197900000004</v>
      </c>
    </row>
    <row r="152" spans="1:29" x14ac:dyDescent="0.25">
      <c r="A152" t="str">
        <f>"    Amdocs Ltd"</f>
        <v xml:space="preserve">    Amdocs Ltd</v>
      </c>
      <c r="B152" t="str">
        <f>"DOX US Equity"</f>
        <v>DOX US Equity</v>
      </c>
      <c r="C152" t="str">
        <f t="shared" si="24"/>
        <v>RX547</v>
      </c>
      <c r="D152" t="str">
        <f t="shared" si="25"/>
        <v>NET_DEBT_PER_DILUTED_SHARE</v>
      </c>
      <c r="E152" t="str">
        <f t="shared" si="26"/>
        <v>Dynamic</v>
      </c>
      <c r="F152">
        <f ca="1">IF(AND(ISNUMBER($F$341),$B$202=1),$F$341,HLOOKUP(INDIRECT(ADDRESS(2,COLUMN())),OFFSET($R$2,0,0,ROW()-1,12),ROW()-1,FALSE))</f>
        <v>-0.99544643499999996</v>
      </c>
      <c r="G152">
        <f ca="1">IF(AND(ISNUMBER($G$341),$B$202=1),$G$341,HLOOKUP(INDIRECT(ADDRESS(2,COLUMN())),OFFSET($R$2,0,0,ROW()-1,12),ROW()-1,FALSE))</f>
        <v>-1.5076207260000001</v>
      </c>
      <c r="H152">
        <f ca="1">IF(AND(ISNUMBER($H$341),$B$202=1),$H$341,HLOOKUP(INDIRECT(ADDRESS(2,COLUMN())),OFFSET($R$2,0,0,ROW()-1,12),ROW()-1,FALSE))</f>
        <v>-3.4640362539999998</v>
      </c>
      <c r="I152">
        <f ca="1">IF(AND(ISNUMBER($I$341),$B$202=1),$I$341,HLOOKUP(INDIRECT(ADDRESS(2,COLUMN())),OFFSET($R$2,0,0,ROW()-1,12),ROW()-1,FALSE))</f>
        <v>-3.338928525</v>
      </c>
      <c r="J152">
        <f ca="1">IF(AND(ISNUMBER($J$341),$B$202=1),$J$341,HLOOKUP(INDIRECT(ADDRESS(2,COLUMN())),OFFSET($R$2,0,0,ROW()-1,12),ROW()-1,FALSE))</f>
        <v>-3.2422673720000001</v>
      </c>
      <c r="K152">
        <f ca="1">IF(AND(ISNUMBER($K$341),$B$202=1),$K$341,HLOOKUP(INDIRECT(ADDRESS(2,COLUMN())),OFFSET($R$2,0,0,ROW()-1,12),ROW()-1,FALSE))</f>
        <v>-3.2865414099999999</v>
      </c>
      <c r="L152">
        <f ca="1">IF(AND(ISNUMBER($L$341),$B$202=1),$L$341,HLOOKUP(INDIRECT(ADDRESS(2,COLUMN())),OFFSET($R$2,0,0,ROW()-1,12),ROW()-1,FALSE))</f>
        <v>-3.6597496330000001</v>
      </c>
      <c r="M152">
        <f ca="1">IF(AND(ISNUMBER($M$341),$B$202=1),$M$341,HLOOKUP(INDIRECT(ADDRESS(2,COLUMN())),OFFSET($R$2,0,0,ROW()-1,12),ROW()-1,FALSE))</f>
        <v>-3.9469070749999999</v>
      </c>
      <c r="N152">
        <f ca="1">IF(AND(ISNUMBER($N$341),$B$202=1),$N$341,HLOOKUP(INDIRECT(ADDRESS(2,COLUMN())),OFFSET($R$2,0,0,ROW()-1,12),ROW()-1,FALSE))</f>
        <v>-3.7872636609999999</v>
      </c>
      <c r="O152">
        <f ca="1">IF(AND(ISNUMBER($O$341),$B$202=1),$O$341,HLOOKUP(INDIRECT(ADDRESS(2,COLUMN())),OFFSET($R$2,0,0,ROW()-1,12),ROW()-1,FALSE))</f>
        <v>-6.6457831660000002</v>
      </c>
      <c r="P152">
        <f ca="1">IF(AND(ISNUMBER($P$341),$B$202=1),$P$341,HLOOKUP(INDIRECT(ADDRESS(2,COLUMN())),OFFSET($R$2,0,0,ROW()-1,12),ROW()-1,FALSE))</f>
        <v>-6.7031702260000001</v>
      </c>
      <c r="Q152">
        <f ca="1">IF(AND(ISNUMBER($Q$341),$B$202=1),$Q$341,HLOOKUP(INDIRECT(ADDRESS(2,COLUMN())),OFFSET($R$2,0,0,ROW()-1,12),ROW()-1,FALSE))</f>
        <v>-6.5397632740000002</v>
      </c>
      <c r="R152">
        <f>-0.995446435</f>
        <v>-0.99544643499999996</v>
      </c>
      <c r="S152">
        <f>-1.507620726</f>
        <v>-1.5076207260000001</v>
      </c>
      <c r="T152">
        <f>-3.464036254</f>
        <v>-3.4640362539999998</v>
      </c>
      <c r="U152">
        <f>-3.338928525</f>
        <v>-3.338928525</v>
      </c>
      <c r="V152">
        <f>-3.242267372</f>
        <v>-3.2422673720000001</v>
      </c>
      <c r="W152">
        <f>-3.28654141</f>
        <v>-3.2865414099999999</v>
      </c>
      <c r="X152">
        <f>-3.659749633</f>
        <v>-3.6597496330000001</v>
      </c>
      <c r="Y152">
        <f>-3.946907075</f>
        <v>-3.9469070749999999</v>
      </c>
      <c r="Z152">
        <f>-3.787263661</f>
        <v>-3.7872636609999999</v>
      </c>
      <c r="AA152">
        <f>-6.645783166</f>
        <v>-6.6457831660000002</v>
      </c>
      <c r="AB152">
        <f>-6.703170226</f>
        <v>-6.7031702260000001</v>
      </c>
      <c r="AC152">
        <f>-6.539763274</f>
        <v>-6.5397632740000002</v>
      </c>
    </row>
    <row r="153" spans="1:29" x14ac:dyDescent="0.25">
      <c r="A153" t="str">
        <f>"    Atos SE"</f>
        <v xml:space="preserve">    Atos SE</v>
      </c>
      <c r="B153" t="str">
        <f>"ATO FP Equity"</f>
        <v>ATO FP Equity</v>
      </c>
      <c r="C153" t="str">
        <f t="shared" si="24"/>
        <v>RX547</v>
      </c>
      <c r="D153" t="str">
        <f t="shared" si="25"/>
        <v>NET_DEBT_PER_DILUTED_SHARE</v>
      </c>
      <c r="E153" t="str">
        <f t="shared" si="26"/>
        <v>Dynamic</v>
      </c>
      <c r="F153" t="str">
        <f ca="1">IF(AND(ISNUMBER($F$342),$B$202=1),$F$342,HLOOKUP(INDIRECT(ADDRESS(2,COLUMN())),OFFSET($R$2,0,0,ROW()-1,12),ROW()-1,FALSE))</f>
        <v/>
      </c>
      <c r="G153" t="str">
        <f ca="1">IF(AND(ISNUMBER($G$342),$B$202=1),$G$342,HLOOKUP(INDIRECT(ADDRESS(2,COLUMN())),OFFSET($R$2,0,0,ROW()-1,12),ROW()-1,FALSE))</f>
        <v/>
      </c>
      <c r="H153" t="str">
        <f ca="1">IF(AND(ISNUMBER($H$342),$B$202=1),$H$342,HLOOKUP(INDIRECT(ADDRESS(2,COLUMN())),OFFSET($R$2,0,0,ROW()-1,12),ROW()-1,FALSE))</f>
        <v/>
      </c>
      <c r="I153" t="str">
        <f ca="1">IF(AND(ISNUMBER($I$342),$B$202=1),$I$342,HLOOKUP(INDIRECT(ADDRESS(2,COLUMN())),OFFSET($R$2,0,0,ROW()-1,12),ROW()-1,FALSE))</f>
        <v/>
      </c>
      <c r="J153" t="str">
        <f ca="1">IF(AND(ISNUMBER($J$342),$B$202=1),$J$342,HLOOKUP(INDIRECT(ADDRESS(2,COLUMN())),OFFSET($R$2,0,0,ROW()-1,12),ROW()-1,FALSE))</f>
        <v/>
      </c>
      <c r="K153" t="str">
        <f ca="1">IF(AND(ISNUMBER($K$342),$B$202=1),$K$342,HLOOKUP(INDIRECT(ADDRESS(2,COLUMN())),OFFSET($R$2,0,0,ROW()-1,12),ROW()-1,FALSE))</f>
        <v/>
      </c>
      <c r="L153" t="str">
        <f ca="1">IF(AND(ISNUMBER($L$342),$B$202=1),$L$342,HLOOKUP(INDIRECT(ADDRESS(2,COLUMN())),OFFSET($R$2,0,0,ROW()-1,12),ROW()-1,FALSE))</f>
        <v/>
      </c>
      <c r="M153" t="str">
        <f ca="1">IF(AND(ISNUMBER($M$342),$B$202=1),$M$342,HLOOKUP(INDIRECT(ADDRESS(2,COLUMN())),OFFSET($R$2,0,0,ROW()-1,12),ROW()-1,FALSE))</f>
        <v/>
      </c>
      <c r="N153" t="str">
        <f ca="1">IF(AND(ISNUMBER($N$342),$B$202=1),$N$342,HLOOKUP(INDIRECT(ADDRESS(2,COLUMN())),OFFSET($R$2,0,0,ROW()-1,12),ROW()-1,FALSE))</f>
        <v/>
      </c>
      <c r="O153" t="str">
        <f ca="1">IF(AND(ISNUMBER($O$342),$B$202=1),$O$342,HLOOKUP(INDIRECT(ADDRESS(2,COLUMN())),OFFSET($R$2,0,0,ROW()-1,12),ROW()-1,FALSE))</f>
        <v/>
      </c>
      <c r="P153" t="str">
        <f ca="1">IF(AND(ISNUMBER($P$342),$B$202=1),$P$342,HLOOKUP(INDIRECT(ADDRESS(2,COLUMN())),OFFSET($R$2,0,0,ROW()-1,12),ROW()-1,FALSE))</f>
        <v/>
      </c>
      <c r="Q153" t="str">
        <f ca="1">IF(AND(ISNUMBER($Q$342),$B$202=1),$Q$342,HLOOKUP(INDIRECT(ADDRESS(2,COLUMN())),OFFSET($R$2,0,0,ROW()-1,12),ROW()-1,FALSE))</f>
        <v/>
      </c>
      <c r="R153" t="str">
        <f>""</f>
        <v/>
      </c>
      <c r="S153" t="str">
        <f>""</f>
        <v/>
      </c>
      <c r="T153" t="str">
        <f>""</f>
        <v/>
      </c>
      <c r="U153" t="str">
        <f>""</f>
        <v/>
      </c>
      <c r="V153" t="str">
        <f>""</f>
        <v/>
      </c>
      <c r="W153" t="str">
        <f>""</f>
        <v/>
      </c>
      <c r="X153" t="str">
        <f>""</f>
        <v/>
      </c>
      <c r="Y153" t="str">
        <f>""</f>
        <v/>
      </c>
      <c r="Z153" t="str">
        <f>""</f>
        <v/>
      </c>
      <c r="AA153" t="str">
        <f>""</f>
        <v/>
      </c>
      <c r="AB153" t="str">
        <f>""</f>
        <v/>
      </c>
      <c r="AC153" t="str">
        <f>""</f>
        <v/>
      </c>
    </row>
    <row r="154" spans="1:29" x14ac:dyDescent="0.25">
      <c r="A154" t="str">
        <f>"    Capgemini SE"</f>
        <v xml:space="preserve">    Capgemini SE</v>
      </c>
      <c r="B154" t="str">
        <f>"CAP FP Equity"</f>
        <v>CAP FP Equity</v>
      </c>
      <c r="C154" t="str">
        <f t="shared" si="24"/>
        <v>RX547</v>
      </c>
      <c r="D154" t="str">
        <f t="shared" si="25"/>
        <v>NET_DEBT_PER_DILUTED_SHARE</v>
      </c>
      <c r="E154" t="str">
        <f t="shared" si="26"/>
        <v>Dynamic</v>
      </c>
      <c r="F154" t="str">
        <f ca="1">IF(AND(ISNUMBER($F$343),$B$202=1),$F$343,HLOOKUP(INDIRECT(ADDRESS(2,COLUMN())),OFFSET($R$2,0,0,ROW()-1,12),ROW()-1,FALSE))</f>
        <v/>
      </c>
      <c r="G154" t="str">
        <f ca="1">IF(AND(ISNUMBER($G$343),$B$202=1),$G$343,HLOOKUP(INDIRECT(ADDRESS(2,COLUMN())),OFFSET($R$2,0,0,ROW()-1,12),ROW()-1,FALSE))</f>
        <v/>
      </c>
      <c r="H154" t="str">
        <f ca="1">IF(AND(ISNUMBER($H$343),$B$202=1),$H$343,HLOOKUP(INDIRECT(ADDRESS(2,COLUMN())),OFFSET($R$2,0,0,ROW()-1,12),ROW()-1,FALSE))</f>
        <v/>
      </c>
      <c r="I154" t="str">
        <f ca="1">IF(AND(ISNUMBER($I$343),$B$202=1),$I$343,HLOOKUP(INDIRECT(ADDRESS(2,COLUMN())),OFFSET($R$2,0,0,ROW()-1,12),ROW()-1,FALSE))</f>
        <v/>
      </c>
      <c r="J154" t="str">
        <f ca="1">IF(AND(ISNUMBER($J$343),$B$202=1),$J$343,HLOOKUP(INDIRECT(ADDRESS(2,COLUMN())),OFFSET($R$2,0,0,ROW()-1,12),ROW()-1,FALSE))</f>
        <v/>
      </c>
      <c r="K154" t="str">
        <f ca="1">IF(AND(ISNUMBER($K$343),$B$202=1),$K$343,HLOOKUP(INDIRECT(ADDRESS(2,COLUMN())),OFFSET($R$2,0,0,ROW()-1,12),ROW()-1,FALSE))</f>
        <v/>
      </c>
      <c r="L154" t="str">
        <f ca="1">IF(AND(ISNUMBER($L$343),$B$202=1),$L$343,HLOOKUP(INDIRECT(ADDRESS(2,COLUMN())),OFFSET($R$2,0,0,ROW()-1,12),ROW()-1,FALSE))</f>
        <v/>
      </c>
      <c r="M154" t="str">
        <f ca="1">IF(AND(ISNUMBER($M$343),$B$202=1),$M$343,HLOOKUP(INDIRECT(ADDRESS(2,COLUMN())),OFFSET($R$2,0,0,ROW()-1,12),ROW()-1,FALSE))</f>
        <v/>
      </c>
      <c r="N154" t="str">
        <f ca="1">IF(AND(ISNUMBER($N$343),$B$202=1),$N$343,HLOOKUP(INDIRECT(ADDRESS(2,COLUMN())),OFFSET($R$2,0,0,ROW()-1,12),ROW()-1,FALSE))</f>
        <v/>
      </c>
      <c r="O154" t="str">
        <f ca="1">IF(AND(ISNUMBER($O$343),$B$202=1),$O$343,HLOOKUP(INDIRECT(ADDRESS(2,COLUMN())),OFFSET($R$2,0,0,ROW()-1,12),ROW()-1,FALSE))</f>
        <v/>
      </c>
      <c r="P154" t="str">
        <f ca="1">IF(AND(ISNUMBER($P$343),$B$202=1),$P$343,HLOOKUP(INDIRECT(ADDRESS(2,COLUMN())),OFFSET($R$2,0,0,ROW()-1,12),ROW()-1,FALSE))</f>
        <v/>
      </c>
      <c r="Q154" t="str">
        <f ca="1">IF(AND(ISNUMBER($Q$343),$B$202=1),$Q$343,HLOOKUP(INDIRECT(ADDRESS(2,COLUMN())),OFFSET($R$2,0,0,ROW()-1,12),ROW()-1,FALSE))</f>
        <v/>
      </c>
      <c r="R154" t="str">
        <f>""</f>
        <v/>
      </c>
      <c r="S154" t="str">
        <f>""</f>
        <v/>
      </c>
      <c r="T154" t="str">
        <f>""</f>
        <v/>
      </c>
      <c r="U154" t="str">
        <f>""</f>
        <v/>
      </c>
      <c r="V154" t="str">
        <f>""</f>
        <v/>
      </c>
      <c r="W154" t="str">
        <f>""</f>
        <v/>
      </c>
      <c r="X154" t="str">
        <f>""</f>
        <v/>
      </c>
      <c r="Y154" t="str">
        <f>""</f>
        <v/>
      </c>
      <c r="Z154" t="str">
        <f>""</f>
        <v/>
      </c>
      <c r="AA154" t="str">
        <f>""</f>
        <v/>
      </c>
      <c r="AB154" t="str">
        <f>""</f>
        <v/>
      </c>
      <c r="AC154" t="str">
        <f>""</f>
        <v/>
      </c>
    </row>
    <row r="155" spans="1:29" x14ac:dyDescent="0.25">
      <c r="A155" t="str">
        <f>"    CGI Inc"</f>
        <v xml:space="preserve">    CGI Inc</v>
      </c>
      <c r="B155" t="str">
        <f>"GIB US Equity"</f>
        <v>GIB US Equity</v>
      </c>
      <c r="C155" t="str">
        <f t="shared" si="24"/>
        <v>RX547</v>
      </c>
      <c r="D155" t="str">
        <f t="shared" si="25"/>
        <v>NET_DEBT_PER_DILUTED_SHARE</v>
      </c>
      <c r="E155" t="str">
        <f t="shared" si="26"/>
        <v>Dynamic</v>
      </c>
      <c r="F155" t="str">
        <f ca="1">IF(AND(ISNUMBER($F$344),$B$202=1),$F$344,HLOOKUP(INDIRECT(ADDRESS(2,COLUMN())),OFFSET($R$2,0,0,ROW()-1,12),ROW()-1,FALSE))</f>
        <v/>
      </c>
      <c r="G155" t="str">
        <f ca="1">IF(AND(ISNUMBER($G$344),$B$202=1),$G$344,HLOOKUP(INDIRECT(ADDRESS(2,COLUMN())),OFFSET($R$2,0,0,ROW()-1,12),ROW()-1,FALSE))</f>
        <v/>
      </c>
      <c r="H155" t="str">
        <f ca="1">IF(AND(ISNUMBER($H$344),$B$202=1),$H$344,HLOOKUP(INDIRECT(ADDRESS(2,COLUMN())),OFFSET($R$2,0,0,ROW()-1,12),ROW()-1,FALSE))</f>
        <v/>
      </c>
      <c r="I155" t="str">
        <f ca="1">IF(AND(ISNUMBER($I$344),$B$202=1),$I$344,HLOOKUP(INDIRECT(ADDRESS(2,COLUMN())),OFFSET($R$2,0,0,ROW()-1,12),ROW()-1,FALSE))</f>
        <v/>
      </c>
      <c r="J155" t="str">
        <f ca="1">IF(AND(ISNUMBER($J$344),$B$202=1),$J$344,HLOOKUP(INDIRECT(ADDRESS(2,COLUMN())),OFFSET($R$2,0,0,ROW()-1,12),ROW()-1,FALSE))</f>
        <v/>
      </c>
      <c r="K155" t="str">
        <f ca="1">IF(AND(ISNUMBER($K$344),$B$202=1),$K$344,HLOOKUP(INDIRECT(ADDRESS(2,COLUMN())),OFFSET($R$2,0,0,ROW()-1,12),ROW()-1,FALSE))</f>
        <v/>
      </c>
      <c r="L155" t="str">
        <f ca="1">IF(AND(ISNUMBER($L$344),$B$202=1),$L$344,HLOOKUP(INDIRECT(ADDRESS(2,COLUMN())),OFFSET($R$2,0,0,ROW()-1,12),ROW()-1,FALSE))</f>
        <v/>
      </c>
      <c r="M155" t="str">
        <f ca="1">IF(AND(ISNUMBER($M$344),$B$202=1),$M$344,HLOOKUP(INDIRECT(ADDRESS(2,COLUMN())),OFFSET($R$2,0,0,ROW()-1,12),ROW()-1,FALSE))</f>
        <v/>
      </c>
      <c r="N155" t="str">
        <f ca="1">IF(AND(ISNUMBER($N$344),$B$202=1),$N$344,HLOOKUP(INDIRECT(ADDRESS(2,COLUMN())),OFFSET($R$2,0,0,ROW()-1,12),ROW()-1,FALSE))</f>
        <v/>
      </c>
      <c r="O155" t="str">
        <f ca="1">IF(AND(ISNUMBER($O$344),$B$202=1),$O$344,HLOOKUP(INDIRECT(ADDRESS(2,COLUMN())),OFFSET($R$2,0,0,ROW()-1,12),ROW()-1,FALSE))</f>
        <v/>
      </c>
      <c r="P155" t="str">
        <f ca="1">IF(AND(ISNUMBER($P$344),$B$202=1),$P$344,HLOOKUP(INDIRECT(ADDRESS(2,COLUMN())),OFFSET($R$2,0,0,ROW()-1,12),ROW()-1,FALSE))</f>
        <v/>
      </c>
      <c r="Q155" t="str">
        <f ca="1">IF(AND(ISNUMBER($Q$344),$B$202=1),$Q$344,HLOOKUP(INDIRECT(ADDRESS(2,COLUMN())),OFFSET($R$2,0,0,ROW()-1,12),ROW()-1,FALSE))</f>
        <v/>
      </c>
      <c r="R155" t="str">
        <f>""</f>
        <v/>
      </c>
      <c r="S155" t="str">
        <f>""</f>
        <v/>
      </c>
      <c r="T155" t="str">
        <f>""</f>
        <v/>
      </c>
      <c r="U155" t="str">
        <f>""</f>
        <v/>
      </c>
      <c r="V155" t="str">
        <f>""</f>
        <v/>
      </c>
      <c r="W155" t="str">
        <f>""</f>
        <v/>
      </c>
      <c r="X155" t="str">
        <f>""</f>
        <v/>
      </c>
      <c r="Y155" t="str">
        <f>""</f>
        <v/>
      </c>
      <c r="Z155" t="str">
        <f>""</f>
        <v/>
      </c>
      <c r="AA155" t="str">
        <f>""</f>
        <v/>
      </c>
      <c r="AB155" t="str">
        <f>""</f>
        <v/>
      </c>
      <c r="AC155" t="str">
        <f>""</f>
        <v/>
      </c>
    </row>
    <row r="156" spans="1:29" x14ac:dyDescent="0.25">
      <c r="A156" t="str">
        <f>"    Cognizant Technology Solutions Corp"</f>
        <v xml:space="preserve">    Cognizant Technology Solutions Corp</v>
      </c>
      <c r="B156" t="str">
        <f>"CTSH US Equity"</f>
        <v>CTSH US Equity</v>
      </c>
      <c r="C156" t="str">
        <f t="shared" si="24"/>
        <v>RX547</v>
      </c>
      <c r="D156" t="str">
        <f t="shared" si="25"/>
        <v>NET_DEBT_PER_DILUTED_SHARE</v>
      </c>
      <c r="E156" t="str">
        <f t="shared" si="26"/>
        <v>Dynamic</v>
      </c>
      <c r="F156">
        <f ca="1">IF(AND(ISNUMBER($F$345),$B$202=1),$F$345,HLOOKUP(INDIRECT(ADDRESS(2,COLUMN())),OFFSET($R$2,0,0,ROW()-1,12),ROW()-1,FALSE))</f>
        <v>-1.6172161169999999</v>
      </c>
      <c r="G156">
        <f ca="1">IF(AND(ISNUMBER($G$345),$B$202=1),$G$345,HLOOKUP(INDIRECT(ADDRESS(2,COLUMN())),OFFSET($R$2,0,0,ROW()-1,12),ROW()-1,FALSE))</f>
        <v>-3.1259124090000001</v>
      </c>
      <c r="H156">
        <f ca="1">IF(AND(ISNUMBER($H$345),$B$202=1),$H$345,HLOOKUP(INDIRECT(ADDRESS(2,COLUMN())),OFFSET($R$2,0,0,ROW()-1,12),ROW()-1,FALSE))</f>
        <v>-2.4990925590000002</v>
      </c>
      <c r="I156">
        <f ca="1">IF(AND(ISNUMBER($I$345),$B$202=1),$I$345,HLOOKUP(INDIRECT(ADDRESS(2,COLUMN())),OFFSET($R$2,0,0,ROW()-1,12),ROW()-1,FALSE))</f>
        <v>-2.3918439720000002</v>
      </c>
      <c r="J156">
        <f ca="1">IF(AND(ISNUMBER($J$345),$B$202=1),$J$345,HLOOKUP(INDIRECT(ADDRESS(2,COLUMN())),OFFSET($R$2,0,0,ROW()-1,12),ROW()-1,FALSE))</f>
        <v>-3.5773913039999998</v>
      </c>
      <c r="K156">
        <f ca="1">IF(AND(ISNUMBER($K$345),$B$202=1),$K$345,HLOOKUP(INDIRECT(ADDRESS(2,COLUMN())),OFFSET($R$2,0,0,ROW()-1,12),ROW()-1,FALSE))</f>
        <v>-6.5043177889999999</v>
      </c>
      <c r="L156">
        <f ca="1">IF(AND(ISNUMBER($L$345),$B$202=1),$L$345,HLOOKUP(INDIRECT(ADDRESS(2,COLUMN())),OFFSET($R$2,0,0,ROW()-1,12),ROW()-1,FALSE))</f>
        <v>-6.9637931030000004</v>
      </c>
      <c r="M156">
        <f ca="1">IF(AND(ISNUMBER($M$345),$B$202=1),$M$345,HLOOKUP(INDIRECT(ADDRESS(2,COLUMN())),OFFSET($R$2,0,0,ROW()-1,12),ROW()-1,FALSE))</f>
        <v>-5.9692832759999996</v>
      </c>
      <c r="N156">
        <f ca="1">IF(AND(ISNUMBER($N$345),$B$202=1),$N$345,HLOOKUP(INDIRECT(ADDRESS(2,COLUMN())),OFFSET($R$2,0,0,ROW()-1,12),ROW()-1,FALSE))</f>
        <v>-6.8879456709999998</v>
      </c>
      <c r="O156">
        <f ca="1">IF(AND(ISNUMBER($O$345),$B$202=1),$O$345,HLOOKUP(INDIRECT(ADDRESS(2,COLUMN())),OFFSET($R$2,0,0,ROW()-1,12),ROW()-1,FALSE))</f>
        <v>-7.1018675719999997</v>
      </c>
      <c r="P156">
        <f ca="1">IF(AND(ISNUMBER($P$345),$B$202=1),$P$345,HLOOKUP(INDIRECT(ADDRESS(2,COLUMN())),OFFSET($R$2,0,0,ROW()-1,12),ROW()-1,FALSE))</f>
        <v>-6.5709459460000001</v>
      </c>
      <c r="Q156">
        <f ca="1">IF(AND(ISNUMBER($Q$345),$B$202=1),$Q$345,HLOOKUP(INDIRECT(ADDRESS(2,COLUMN())),OFFSET($R$2,0,0,ROW()-1,12),ROW()-1,FALSE))</f>
        <v>-5.7309644669999997</v>
      </c>
      <c r="R156">
        <f>-1.617216117</f>
        <v>-1.6172161169999999</v>
      </c>
      <c r="S156">
        <f>-3.125912409</f>
        <v>-3.1259124090000001</v>
      </c>
      <c r="T156">
        <f>-2.499092559</f>
        <v>-2.4990925590000002</v>
      </c>
      <c r="U156">
        <f>-2.391843972</f>
        <v>-2.3918439720000002</v>
      </c>
      <c r="V156">
        <f>-3.577391304</f>
        <v>-3.5773913039999998</v>
      </c>
      <c r="W156">
        <f>-6.504317789</f>
        <v>-6.5043177889999999</v>
      </c>
      <c r="X156">
        <f>-6.963793103</f>
        <v>-6.9637931030000004</v>
      </c>
      <c r="Y156">
        <f>-5.969283276</f>
        <v>-5.9692832759999996</v>
      </c>
      <c r="Z156">
        <f>-6.887945671</f>
        <v>-6.8879456709999998</v>
      </c>
      <c r="AA156">
        <f>-7.101867572</f>
        <v>-7.1018675719999997</v>
      </c>
      <c r="AB156">
        <f>-6.570945946</f>
        <v>-6.5709459460000001</v>
      </c>
      <c r="AC156">
        <f>-5.730964467</f>
        <v>-5.7309644669999997</v>
      </c>
    </row>
    <row r="157" spans="1:29" x14ac:dyDescent="0.25">
      <c r="A157" t="str">
        <f>"    Conduent Inc"</f>
        <v xml:space="preserve">    Conduent Inc</v>
      </c>
      <c r="B157" t="str">
        <f>"CNDT US Equity"</f>
        <v>CNDT US Equity</v>
      </c>
      <c r="C157" t="str">
        <f t="shared" si="24"/>
        <v>RX547</v>
      </c>
      <c r="D157" t="str">
        <f t="shared" si="25"/>
        <v>NET_DEBT_PER_DILUTED_SHARE</v>
      </c>
      <c r="E157" t="str">
        <f t="shared" si="26"/>
        <v>Dynamic</v>
      </c>
      <c r="F157">
        <f ca="1">IF(AND(ISNUMBER($F$346),$B$202=1),$F$346,HLOOKUP(INDIRECT(ADDRESS(2,COLUMN())),OFFSET($R$2,0,0,ROW()-1,12),ROW()-1,FALSE))</f>
        <v>7.4469546600000003</v>
      </c>
      <c r="G157">
        <f ca="1">IF(AND(ISNUMBER($G$346),$B$202=1),$G$346,HLOOKUP(INDIRECT(ADDRESS(2,COLUMN())),OFFSET($R$2,0,0,ROW()-1,12),ROW()-1,FALSE))</f>
        <v>6.3686727589999999</v>
      </c>
      <c r="H157">
        <f ca="1">IF(AND(ISNUMBER($H$346),$B$202=1),$H$346,HLOOKUP(INDIRECT(ADDRESS(2,COLUMN())),OFFSET($R$2,0,0,ROW()-1,12),ROW()-1,FALSE))</f>
        <v>7.8186866129999997</v>
      </c>
      <c r="I157">
        <f ca="1">IF(AND(ISNUMBER($I$346),$B$202=1),$I$346,HLOOKUP(INDIRECT(ADDRESS(2,COLUMN())),OFFSET($R$2,0,0,ROW()-1,12),ROW()-1,FALSE))</f>
        <v>7.8370808070000004</v>
      </c>
      <c r="J157">
        <f ca="1">IF(AND(ISNUMBER($J$346),$B$202=1),$J$346,HLOOKUP(INDIRECT(ADDRESS(2,COLUMN())),OFFSET($R$2,0,0,ROW()-1,12),ROW()-1,FALSE))</f>
        <v>6.8431885509999999</v>
      </c>
      <c r="K157">
        <f ca="1">IF(AND(ISNUMBER($K$346),$B$202=1),$K$346,HLOOKUP(INDIRECT(ADDRESS(2,COLUMN())),OFFSET($R$2,0,0,ROW()-1,12),ROW()-1,FALSE))</f>
        <v>3.9970724280000001</v>
      </c>
      <c r="L157">
        <f ca="1">IF(AND(ISNUMBER($L$346),$B$202=1),$L$346,HLOOKUP(INDIRECT(ADDRESS(2,COLUMN())),OFFSET($R$2,0,0,ROW()-1,12),ROW()-1,FALSE))</f>
        <v>4.796592532</v>
      </c>
      <c r="M157">
        <f ca="1">IF(AND(ISNUMBER($M$346),$B$202=1),$M$346,HLOOKUP(INDIRECT(ADDRESS(2,COLUMN())),OFFSET($R$2,0,0,ROW()-1,12),ROW()-1,FALSE))</f>
        <v>5.0313803019999996</v>
      </c>
      <c r="N157">
        <f ca="1">IF(AND(ISNUMBER($N$346),$B$202=1),$N$346,HLOOKUP(INDIRECT(ADDRESS(2,COLUMN())),OFFSET($R$2,0,0,ROW()-1,12),ROW()-1,FALSE))</f>
        <v>7.3137552230000002</v>
      </c>
      <c r="O157">
        <f ca="1">IF(AND(ISNUMBER($O$346),$B$202=1),$O$346,HLOOKUP(INDIRECT(ADDRESS(2,COLUMN())),OFFSET($R$2,0,0,ROW()-1,12),ROW()-1,FALSE))</f>
        <v>6.6102884619999998</v>
      </c>
      <c r="P157">
        <f ca="1">IF(AND(ISNUMBER($P$346),$B$202=1),$P$346,HLOOKUP(INDIRECT(ADDRESS(2,COLUMN())),OFFSET($R$2,0,0,ROW()-1,12),ROW()-1,FALSE))</f>
        <v>7.8001135269999997</v>
      </c>
      <c r="Q157">
        <f ca="1">IF(AND(ISNUMBER($Q$346),$B$202=1),$Q$346,HLOOKUP(INDIRECT(ADDRESS(2,COLUMN())),OFFSET($R$2,0,0,ROW()-1,12),ROW()-1,FALSE))</f>
        <v>8.9408021679999994</v>
      </c>
      <c r="R157">
        <f>7.44695466</f>
        <v>7.4469546600000003</v>
      </c>
      <c r="S157">
        <f>6.368672759</f>
        <v>6.3686727589999999</v>
      </c>
      <c r="T157">
        <f>7.818686613</f>
        <v>7.8186866129999997</v>
      </c>
      <c r="U157">
        <f>7.837080807</f>
        <v>7.8370808070000004</v>
      </c>
      <c r="V157">
        <f>6.843188551</f>
        <v>6.8431885509999999</v>
      </c>
      <c r="W157">
        <f>3.997072428</f>
        <v>3.9970724280000001</v>
      </c>
      <c r="X157">
        <f>4.796592532</f>
        <v>4.796592532</v>
      </c>
      <c r="Y157">
        <f>5.031380302</f>
        <v>5.0313803019999996</v>
      </c>
      <c r="Z157">
        <f>7.313755223</f>
        <v>7.3137552230000002</v>
      </c>
      <c r="AA157">
        <f>6.610288462</f>
        <v>6.6102884619999998</v>
      </c>
      <c r="AB157">
        <f>7.800113527</f>
        <v>7.8001135269999997</v>
      </c>
      <c r="AC157">
        <f>8.940802168</f>
        <v>8.9408021679999994</v>
      </c>
    </row>
    <row r="158" spans="1:29" x14ac:dyDescent="0.25">
      <c r="A158" t="str">
        <f>"    DXC Technology Co"</f>
        <v xml:space="preserve">    DXC Technology Co</v>
      </c>
      <c r="B158" t="str">
        <f>"DXC US Equity"</f>
        <v>DXC US Equity</v>
      </c>
      <c r="C158" t="str">
        <f t="shared" si="24"/>
        <v>RX547</v>
      </c>
      <c r="D158" t="str">
        <f t="shared" si="25"/>
        <v>NET_DEBT_PER_DILUTED_SHARE</v>
      </c>
      <c r="E158" t="str">
        <f t="shared" si="26"/>
        <v>Dynamic</v>
      </c>
      <c r="F158">
        <f ca="1">IF(AND(ISNUMBER($F$347),$B$202=1),$F$347,HLOOKUP(INDIRECT(ADDRESS(2,COLUMN())),OFFSET($R$2,0,0,ROW()-1,12),ROW()-1,FALSE))</f>
        <v>30.82324169</v>
      </c>
      <c r="G158">
        <f ca="1">IF(AND(ISNUMBER($G$347),$B$202=1),$G$347,HLOOKUP(INDIRECT(ADDRESS(2,COLUMN())),OFFSET($R$2,0,0,ROW()-1,12),ROW()-1,FALSE))</f>
        <v>30.974419059999999</v>
      </c>
      <c r="H158">
        <f ca="1">IF(AND(ISNUMBER($H$347),$B$202=1),$H$347,HLOOKUP(INDIRECT(ADDRESS(2,COLUMN())),OFFSET($R$2,0,0,ROW()-1,12),ROW()-1,FALSE))</f>
        <v>30.601832170000002</v>
      </c>
      <c r="I158">
        <f ca="1">IF(AND(ISNUMBER($I$347),$B$202=1),$I$347,HLOOKUP(INDIRECT(ADDRESS(2,COLUMN())),OFFSET($R$2,0,0,ROW()-1,12),ROW()-1,FALSE))</f>
        <v>34.394170350000003</v>
      </c>
      <c r="J158">
        <f ca="1">IF(AND(ISNUMBER($J$347),$B$202=1),$J$347,HLOOKUP(INDIRECT(ADDRESS(2,COLUMN())),OFFSET($R$2,0,0,ROW()-1,12),ROW()-1,FALSE))</f>
        <v>16.66420501</v>
      </c>
      <c r="K158">
        <f ca="1">IF(AND(ISNUMBER($K$347),$B$202=1),$K$347,HLOOKUP(INDIRECT(ADDRESS(2,COLUMN())),OFFSET($R$2,0,0,ROW()-1,12),ROW()-1,FALSE))</f>
        <v>18.226459729999998</v>
      </c>
      <c r="L158">
        <f ca="1">IF(AND(ISNUMBER($L$347),$B$202=1),$L$347,HLOOKUP(INDIRECT(ADDRESS(2,COLUMN())),OFFSET($R$2,0,0,ROW()-1,12),ROW()-1,FALSE))</f>
        <v>14.861081950000001</v>
      </c>
      <c r="M158">
        <f ca="1">IF(AND(ISNUMBER($M$347),$B$202=1),$M$347,HLOOKUP(INDIRECT(ADDRESS(2,COLUMN())),OFFSET($R$2,0,0,ROW()-1,12),ROW()-1,FALSE))</f>
        <v>15.46837193</v>
      </c>
      <c r="N158">
        <f ca="1">IF(AND(ISNUMBER($N$347),$B$202=1),$N$347,HLOOKUP(INDIRECT(ADDRESS(2,COLUMN())),OFFSET($R$2,0,0,ROW()-1,12),ROW()-1,FALSE))</f>
        <v>18.666436940000001</v>
      </c>
      <c r="O158">
        <f ca="1">IF(AND(ISNUMBER($O$347),$B$202=1),$O$347,HLOOKUP(INDIRECT(ADDRESS(2,COLUMN())),OFFSET($R$2,0,0,ROW()-1,12),ROW()-1,FALSE))</f>
        <v>19.373986259999999</v>
      </c>
      <c r="P158">
        <f ca="1">IF(AND(ISNUMBER($P$347),$B$202=1),$P$347,HLOOKUP(INDIRECT(ADDRESS(2,COLUMN())),OFFSET($R$2,0,0,ROW()-1,12),ROW()-1,FALSE))</f>
        <v>20.235749590000001</v>
      </c>
      <c r="Q158">
        <f ca="1">IF(AND(ISNUMBER($Q$347),$B$202=1),$Q$347,HLOOKUP(INDIRECT(ADDRESS(2,COLUMN())),OFFSET($R$2,0,0,ROW()-1,12),ROW()-1,FALSE))</f>
        <v>17.048398800000001</v>
      </c>
      <c r="R158">
        <f>30.82324169</f>
        <v>30.82324169</v>
      </c>
      <c r="S158">
        <f>30.97441906</f>
        <v>30.974419059999999</v>
      </c>
      <c r="T158">
        <f>30.60183217</f>
        <v>30.601832170000002</v>
      </c>
      <c r="U158">
        <f>34.39417035</f>
        <v>34.394170350000003</v>
      </c>
      <c r="V158">
        <f>16.66420501</f>
        <v>16.66420501</v>
      </c>
      <c r="W158">
        <f>18.22645973</f>
        <v>18.226459729999998</v>
      </c>
      <c r="X158">
        <f>14.86108195</f>
        <v>14.861081950000001</v>
      </c>
      <c r="Y158">
        <f>15.46837193</f>
        <v>15.46837193</v>
      </c>
      <c r="Z158">
        <f>18.66643694</f>
        <v>18.666436940000001</v>
      </c>
      <c r="AA158">
        <f>19.37398626</f>
        <v>19.373986259999999</v>
      </c>
      <c r="AB158">
        <f>20.23574959</f>
        <v>20.235749590000001</v>
      </c>
      <c r="AC158">
        <f>17.0483988</f>
        <v>17.048398800000001</v>
      </c>
    </row>
    <row r="159" spans="1:29" x14ac:dyDescent="0.25">
      <c r="A159" t="str">
        <f>"    EPAM Systems Inc"</f>
        <v xml:space="preserve">    EPAM Systems Inc</v>
      </c>
      <c r="B159" t="str">
        <f>"EPAM US Equity"</f>
        <v>EPAM US Equity</v>
      </c>
      <c r="C159" t="str">
        <f t="shared" si="24"/>
        <v>RX547</v>
      </c>
      <c r="D159" t="str">
        <f t="shared" si="25"/>
        <v>NET_DEBT_PER_DILUTED_SHARE</v>
      </c>
      <c r="E159" t="str">
        <f t="shared" si="26"/>
        <v>Dynamic</v>
      </c>
      <c r="F159">
        <f ca="1">IF(AND(ISNUMBER($F$348),$B$202=1),$F$348,HLOOKUP(INDIRECT(ADDRESS(2,COLUMN())),OFFSET($R$2,0,0,ROW()-1,12),ROW()-1,FALSE))</f>
        <v>-11.03816016</v>
      </c>
      <c r="G159">
        <f ca="1">IF(AND(ISNUMBER($G$348),$B$202=1),$G$348,HLOOKUP(INDIRECT(ADDRESS(2,COLUMN())),OFFSET($R$2,0,0,ROW()-1,12),ROW()-1,FALSE))</f>
        <v>-11.611972740000001</v>
      </c>
      <c r="H159">
        <f ca="1">IF(AND(ISNUMBER($H$348),$B$202=1),$H$348,HLOOKUP(INDIRECT(ADDRESS(2,COLUMN())),OFFSET($R$2,0,0,ROW()-1,12),ROW()-1,FALSE))</f>
        <v>-10.767463830000001</v>
      </c>
      <c r="I159">
        <f ca="1">IF(AND(ISNUMBER($I$348),$B$202=1),$I$348,HLOOKUP(INDIRECT(ADDRESS(2,COLUMN())),OFFSET($R$2,0,0,ROW()-1,12),ROW()-1,FALSE))</f>
        <v>-9.4733278300000006</v>
      </c>
      <c r="J159">
        <f ca="1">IF(AND(ISNUMBER($J$348),$B$202=1),$J$348,HLOOKUP(INDIRECT(ADDRESS(2,COLUMN())),OFFSET($R$2,0,0,ROW()-1,12),ROW()-1,FALSE))</f>
        <v>-9.95411541</v>
      </c>
      <c r="K159">
        <f ca="1">IF(AND(ISNUMBER($K$348),$B$202=1),$K$348,HLOOKUP(INDIRECT(ADDRESS(2,COLUMN())),OFFSET($R$2,0,0,ROW()-1,12),ROW()-1,FALSE))</f>
        <v>-13.105437090000001</v>
      </c>
      <c r="L159">
        <f ca="1">IF(AND(ISNUMBER($L$348),$B$202=1),$L$348,HLOOKUP(INDIRECT(ADDRESS(2,COLUMN())),OFFSET($R$2,0,0,ROW()-1,12),ROW()-1,FALSE))</f>
        <v>-11.587899889999999</v>
      </c>
      <c r="M159">
        <f ca="1">IF(AND(ISNUMBER($M$348),$B$202=1),$M$348,HLOOKUP(INDIRECT(ADDRESS(2,COLUMN())),OFFSET($R$2,0,0,ROW()-1,12),ROW()-1,FALSE))</f>
        <v>-9.8796704379999998</v>
      </c>
      <c r="N159">
        <f ca="1">IF(AND(ISNUMBER($N$348),$B$202=1),$N$348,HLOOKUP(INDIRECT(ADDRESS(2,COLUMN())),OFFSET($R$2,0,0,ROW()-1,12),ROW()-1,FALSE))</f>
        <v>-9.0829854959999992</v>
      </c>
      <c r="O159">
        <f ca="1">IF(AND(ISNUMBER($O$348),$B$202=1),$O$348,HLOOKUP(INDIRECT(ADDRESS(2,COLUMN())),OFFSET($R$2,0,0,ROW()-1,12),ROW()-1,FALSE))</f>
        <v>-10.54392103</v>
      </c>
      <c r="P159">
        <f ca="1">IF(AND(ISNUMBER($P$348),$B$202=1),$P$348,HLOOKUP(INDIRECT(ADDRESS(2,COLUMN())),OFFSET($R$2,0,0,ROW()-1,12),ROW()-1,FALSE))</f>
        <v>-8.8260153179999996</v>
      </c>
      <c r="Q159">
        <f ca="1">IF(AND(ISNUMBER($Q$348),$B$202=1),$Q$348,HLOOKUP(INDIRECT(ADDRESS(2,COLUMN())),OFFSET($R$2,0,0,ROW()-1,12),ROW()-1,FALSE))</f>
        <v>-7.6827413939999998</v>
      </c>
      <c r="R159">
        <f>-11.03816016</f>
        <v>-11.03816016</v>
      </c>
      <c r="S159">
        <f>-11.61197274</f>
        <v>-11.611972740000001</v>
      </c>
      <c r="T159">
        <f>-10.76746383</f>
        <v>-10.767463830000001</v>
      </c>
      <c r="U159">
        <f>-9.47332783</f>
        <v>-9.4733278300000006</v>
      </c>
      <c r="V159">
        <f>-9.95411541</f>
        <v>-9.95411541</v>
      </c>
      <c r="W159">
        <f>-13.10543709</f>
        <v>-13.105437090000001</v>
      </c>
      <c r="X159">
        <f>-11.58789989</f>
        <v>-11.587899889999999</v>
      </c>
      <c r="Y159">
        <f>-9.879670438</f>
        <v>-9.8796704379999998</v>
      </c>
      <c r="Z159">
        <f>-9.082985496</f>
        <v>-9.0829854959999992</v>
      </c>
      <c r="AA159">
        <f>-10.54392103</f>
        <v>-10.54392103</v>
      </c>
      <c r="AB159">
        <f>-8.826015318</f>
        <v>-8.8260153179999996</v>
      </c>
      <c r="AC159">
        <f>-7.682741394</f>
        <v>-7.6827413939999998</v>
      </c>
    </row>
    <row r="160" spans="1:29" x14ac:dyDescent="0.25">
      <c r="A160" t="str">
        <f>"    Genpact Ltd"</f>
        <v xml:space="preserve">    Genpact Ltd</v>
      </c>
      <c r="B160" t="str">
        <f>"G US Equity"</f>
        <v>G US Equity</v>
      </c>
      <c r="C160" t="str">
        <f t="shared" si="24"/>
        <v>RX547</v>
      </c>
      <c r="D160" t="str">
        <f t="shared" si="25"/>
        <v>NET_DEBT_PER_DILUTED_SHARE</v>
      </c>
      <c r="E160" t="str">
        <f t="shared" si="26"/>
        <v>Dynamic</v>
      </c>
      <c r="F160">
        <f ca="1">IF(AND(ISNUMBER($F$349),$B$202=1),$F$349,HLOOKUP(INDIRECT(ADDRESS(2,COLUMN())),OFFSET($R$2,0,0,ROW()-1,12),ROW()-1,FALSE))</f>
        <v>7.8257433159999996</v>
      </c>
      <c r="G160">
        <f ca="1">IF(AND(ISNUMBER($G$349),$B$202=1),$G$349,HLOOKUP(INDIRECT(ADDRESS(2,COLUMN())),OFFSET($R$2,0,0,ROW()-1,12),ROW()-1,FALSE))</f>
        <v>6.9506172230000001</v>
      </c>
      <c r="H160">
        <f ca="1">IF(AND(ISNUMBER($H$349),$B$202=1),$H$349,HLOOKUP(INDIRECT(ADDRESS(2,COLUMN())),OFFSET($R$2,0,0,ROW()-1,12),ROW()-1,FALSE))</f>
        <v>5.7752674610000003</v>
      </c>
      <c r="I160">
        <f ca="1">IF(AND(ISNUMBER($I$349),$B$202=1),$I$349,HLOOKUP(INDIRECT(ADDRESS(2,COLUMN())),OFFSET($R$2,0,0,ROW()-1,12),ROW()-1,FALSE))</f>
        <v>6.5032484850000003</v>
      </c>
      <c r="J160">
        <f ca="1">IF(AND(ISNUMBER($J$349),$B$202=1),$J$349,HLOOKUP(INDIRECT(ADDRESS(2,COLUMN())),OFFSET($R$2,0,0,ROW()-1,12),ROW()-1,FALSE))</f>
        <v>6.8317247639999996</v>
      </c>
      <c r="K160">
        <f ca="1">IF(AND(ISNUMBER($K$349),$B$202=1),$K$349,HLOOKUP(INDIRECT(ADDRESS(2,COLUMN())),OFFSET($R$2,0,0,ROW()-1,12),ROW()-1,FALSE))</f>
        <v>4.844591222</v>
      </c>
      <c r="L160">
        <f ca="1">IF(AND(ISNUMBER($L$349),$B$202=1),$L$349,HLOOKUP(INDIRECT(ADDRESS(2,COLUMN())),OFFSET($R$2,0,0,ROW()-1,12),ROW()-1,FALSE))</f>
        <v>4.8992891930000004</v>
      </c>
      <c r="M160">
        <f ca="1">IF(AND(ISNUMBER($M$349),$B$202=1),$M$349,HLOOKUP(INDIRECT(ADDRESS(2,COLUMN())),OFFSET($R$2,0,0,ROW()-1,12),ROW()-1,FALSE))</f>
        <v>4.6940006099999998</v>
      </c>
      <c r="N160">
        <f ca="1">IF(AND(ISNUMBER($N$349),$B$202=1),$N$349,HLOOKUP(INDIRECT(ADDRESS(2,COLUMN())),OFFSET($R$2,0,0,ROW()-1,12),ROW()-1,FALSE))</f>
        <v>4.5189080779999999</v>
      </c>
      <c r="O160">
        <f ca="1">IF(AND(ISNUMBER($O$349),$B$202=1),$O$349,HLOOKUP(INDIRECT(ADDRESS(2,COLUMN())),OFFSET($R$2,0,0,ROW()-1,12),ROW()-1,FALSE))</f>
        <v>3.6139244389999998</v>
      </c>
      <c r="P160">
        <f ca="1">IF(AND(ISNUMBER($P$349),$B$202=1),$P$349,HLOOKUP(INDIRECT(ADDRESS(2,COLUMN())),OFFSET($R$2,0,0,ROW()-1,12),ROW()-1,FALSE))</f>
        <v>3.9781951979999999</v>
      </c>
      <c r="Q160">
        <f ca="1">IF(AND(ISNUMBER($Q$349),$B$202=1),$Q$349,HLOOKUP(INDIRECT(ADDRESS(2,COLUMN())),OFFSET($R$2,0,0,ROW()-1,12),ROW()-1,FALSE))</f>
        <v>4.2801099569999996</v>
      </c>
      <c r="R160">
        <f>7.825743316</f>
        <v>7.8257433159999996</v>
      </c>
      <c r="S160">
        <f>6.950617223</f>
        <v>6.9506172230000001</v>
      </c>
      <c r="T160">
        <f>5.775267461</f>
        <v>5.7752674610000003</v>
      </c>
      <c r="U160">
        <f>6.503248485</f>
        <v>6.5032484850000003</v>
      </c>
      <c r="V160">
        <f>6.831724764</f>
        <v>6.8317247639999996</v>
      </c>
      <c r="W160">
        <f>4.844591222</f>
        <v>4.844591222</v>
      </c>
      <c r="X160">
        <f>4.899289193</f>
        <v>4.8992891930000004</v>
      </c>
      <c r="Y160">
        <f>4.69400061</f>
        <v>4.6940006099999998</v>
      </c>
      <c r="Z160">
        <f>4.518908078</f>
        <v>4.5189080779999999</v>
      </c>
      <c r="AA160">
        <f>3.613924439</f>
        <v>3.6139244389999998</v>
      </c>
      <c r="AB160">
        <f>3.978195198</f>
        <v>3.9781951979999999</v>
      </c>
      <c r="AC160">
        <f>4.280109957</f>
        <v>4.2801099569999996</v>
      </c>
    </row>
    <row r="161" spans="1:29" x14ac:dyDescent="0.25">
      <c r="A161" t="str">
        <f>"    HCL Technologies Ltd"</f>
        <v xml:space="preserve">    HCL Technologies Ltd</v>
      </c>
      <c r="B161" t="str">
        <f>"HCLT IN Equity"</f>
        <v>HCLT IN Equity</v>
      </c>
      <c r="C161" t="str">
        <f t="shared" si="24"/>
        <v>RX547</v>
      </c>
      <c r="D161" t="str">
        <f t="shared" si="25"/>
        <v>NET_DEBT_PER_DILUTED_SHARE</v>
      </c>
      <c r="E161" t="str">
        <f t="shared" si="26"/>
        <v>Dynamic</v>
      </c>
      <c r="F161">
        <f ca="1">IF(AND(ISNUMBER($F$350),$B$202=1),$F$350,HLOOKUP(INDIRECT(ADDRESS(2,COLUMN())),OFFSET($R$2,0,0,ROW()-1,12),ROW()-1,FALSE))</f>
        <v>-0.35977984200000002</v>
      </c>
      <c r="G161">
        <f ca="1">IF(AND(ISNUMBER($G$350),$B$202=1),$G$350,HLOOKUP(INDIRECT(ADDRESS(2,COLUMN())),OFFSET($R$2,0,0,ROW()-1,12),ROW()-1,FALSE))</f>
        <v>-0.286991936</v>
      </c>
      <c r="H161">
        <f ca="1">IF(AND(ISNUMBER($H$350),$B$202=1),$H$350,HLOOKUP(INDIRECT(ADDRESS(2,COLUMN())),OFFSET($R$2,0,0,ROW()-1,12),ROW()-1,FALSE))</f>
        <v>-6.6814787E-2</v>
      </c>
      <c r="I161">
        <f ca="1">IF(AND(ISNUMBER($I$350),$B$202=1),$I$350,HLOOKUP(INDIRECT(ADDRESS(2,COLUMN())),OFFSET($R$2,0,0,ROW()-1,12),ROW()-1,FALSE))</f>
        <v>-0.39487107700000001</v>
      </c>
      <c r="J161">
        <f ca="1">IF(AND(ISNUMBER($J$350),$B$202=1),$J$350,HLOOKUP(INDIRECT(ADDRESS(2,COLUMN())),OFFSET($R$2,0,0,ROW()-1,12),ROW()-1,FALSE))</f>
        <v>-0.38374621599999997</v>
      </c>
      <c r="K161">
        <f ca="1">IF(AND(ISNUMBER($K$350),$B$202=1),$K$350,HLOOKUP(INDIRECT(ADDRESS(2,COLUMN())),OFFSET($R$2,0,0,ROW()-1,12),ROW()-1,FALSE))</f>
        <v>-0.29540703099999999</v>
      </c>
      <c r="L161">
        <f ca="1">IF(AND(ISNUMBER($L$350),$B$202=1),$L$350,HLOOKUP(INDIRECT(ADDRESS(2,COLUMN())),OFFSET($R$2,0,0,ROW()-1,12),ROW()-1,FALSE))</f>
        <v>-0.32035125599999997</v>
      </c>
      <c r="M161">
        <f ca="1">IF(AND(ISNUMBER($M$350),$B$202=1),$M$350,HLOOKUP(INDIRECT(ADDRESS(2,COLUMN())),OFFSET($R$2,0,0,ROW()-1,12),ROW()-1,FALSE))</f>
        <v>-0.50425608600000005</v>
      </c>
      <c r="N161">
        <f ca="1">IF(AND(ISNUMBER($N$350),$B$202=1),$N$350,HLOOKUP(INDIRECT(ADDRESS(2,COLUMN())),OFFSET($R$2,0,0,ROW()-1,12),ROW()-1,FALSE))</f>
        <v>-0.32393538900000002</v>
      </c>
      <c r="O161">
        <f ca="1">IF(AND(ISNUMBER($O$350),$B$202=1),$O$350,HLOOKUP(INDIRECT(ADDRESS(2,COLUMN())),OFFSET($R$2,0,0,ROW()-1,12),ROW()-1,FALSE))</f>
        <v>-0.43744768299999998</v>
      </c>
      <c r="P161">
        <f ca="1">IF(AND(ISNUMBER($P$350),$B$202=1),$P$350,HLOOKUP(INDIRECT(ADDRESS(2,COLUMN())),OFFSET($R$2,0,0,ROW()-1,12),ROW()-1,FALSE))</f>
        <v>-0.48264051299999999</v>
      </c>
      <c r="Q161">
        <f ca="1">IF(AND(ISNUMBER($Q$350),$B$202=1),$Q$350,HLOOKUP(INDIRECT(ADDRESS(2,COLUMN())),OFFSET($R$2,0,0,ROW()-1,12),ROW()-1,FALSE))</f>
        <v>-0.59956318600000003</v>
      </c>
      <c r="R161">
        <f>-0.359779842</f>
        <v>-0.35977984200000002</v>
      </c>
      <c r="S161">
        <f>-0.286991936</f>
        <v>-0.286991936</v>
      </c>
      <c r="T161">
        <f>-0.066814787</f>
        <v>-6.6814787E-2</v>
      </c>
      <c r="U161">
        <f>-0.394871077</f>
        <v>-0.39487107700000001</v>
      </c>
      <c r="V161">
        <f>-0.383746216</f>
        <v>-0.38374621599999997</v>
      </c>
      <c r="W161">
        <f>-0.295407031</f>
        <v>-0.29540703099999999</v>
      </c>
      <c r="X161">
        <f>-0.320351256</f>
        <v>-0.32035125599999997</v>
      </c>
      <c r="Y161">
        <f>-0.504256086</f>
        <v>-0.50425608600000005</v>
      </c>
      <c r="Z161">
        <f>-0.323935389</f>
        <v>-0.32393538900000002</v>
      </c>
      <c r="AA161">
        <f>-0.437447683</f>
        <v>-0.43744768299999998</v>
      </c>
      <c r="AB161">
        <f>-0.482640513</f>
        <v>-0.48264051299999999</v>
      </c>
      <c r="AC161">
        <f>-0.599563186</f>
        <v>-0.59956318600000003</v>
      </c>
    </row>
    <row r="162" spans="1:29" x14ac:dyDescent="0.25">
      <c r="A162" t="str">
        <f>"    Indra Sistemas SA"</f>
        <v xml:space="preserve">    Indra Sistemas SA</v>
      </c>
      <c r="B162" t="str">
        <f>"IDR SM Equity"</f>
        <v>IDR SM Equity</v>
      </c>
      <c r="C162" t="str">
        <f t="shared" si="24"/>
        <v>RX547</v>
      </c>
      <c r="D162" t="str">
        <f t="shared" si="25"/>
        <v>NET_DEBT_PER_DILUTED_SHARE</v>
      </c>
      <c r="E162" t="str">
        <f t="shared" si="26"/>
        <v>Dynamic</v>
      </c>
      <c r="F162">
        <f ca="1">IF(AND(ISNUMBER($F$351),$B$202=1),$F$351,HLOOKUP(INDIRECT(ADDRESS(2,COLUMN())),OFFSET($R$2,0,0,ROW()-1,12),ROW()-1,FALSE))</f>
        <v>4.0189078189999998</v>
      </c>
      <c r="G162">
        <f ca="1">IF(AND(ISNUMBER($G$351),$B$202=1),$G$351,HLOOKUP(INDIRECT(ADDRESS(2,COLUMN())),OFFSET($R$2,0,0,ROW()-1,12),ROW()-1,FALSE))</f>
        <v>4.2945572030000001</v>
      </c>
      <c r="H162">
        <f ca="1">IF(AND(ISNUMBER($H$351),$B$202=1),$H$351,HLOOKUP(INDIRECT(ADDRESS(2,COLUMN())),OFFSET($R$2,0,0,ROW()-1,12),ROW()-1,FALSE))</f>
        <v>4.4778209709999999</v>
      </c>
      <c r="I162">
        <f ca="1">IF(AND(ISNUMBER($I$351),$B$202=1),$I$351,HLOOKUP(INDIRECT(ADDRESS(2,COLUMN())),OFFSET($R$2,0,0,ROW()-1,12),ROW()-1,FALSE))</f>
        <v>5.3196159319999996</v>
      </c>
      <c r="J162">
        <f ca="1">IF(AND(ISNUMBER($J$351),$B$202=1),$J$351,HLOOKUP(INDIRECT(ADDRESS(2,COLUMN())),OFFSET($R$2,0,0,ROW()-1,12),ROW()-1,FALSE))</f>
        <v>3.4378443079999998</v>
      </c>
      <c r="K162">
        <f ca="1">IF(AND(ISNUMBER($K$351),$B$202=1),$K$351,HLOOKUP(INDIRECT(ADDRESS(2,COLUMN())),OFFSET($R$2,0,0,ROW()-1,12),ROW()-1,FALSE))</f>
        <v>3.1322724669999999</v>
      </c>
      <c r="L162">
        <f ca="1">IF(AND(ISNUMBER($L$351),$B$202=1),$L$351,HLOOKUP(INDIRECT(ADDRESS(2,COLUMN())),OFFSET($R$2,0,0,ROW()-1,12),ROW()-1,FALSE))</f>
        <v>3.894048331</v>
      </c>
      <c r="M162">
        <f ca="1">IF(AND(ISNUMBER($M$351),$B$202=1),$M$351,HLOOKUP(INDIRECT(ADDRESS(2,COLUMN())),OFFSET($R$2,0,0,ROW()-1,12),ROW()-1,FALSE))</f>
        <v>3.7433060629999999</v>
      </c>
      <c r="N162">
        <f ca="1">IF(AND(ISNUMBER($N$351),$B$202=1),$N$351,HLOOKUP(INDIRECT(ADDRESS(2,COLUMN())),OFFSET($R$2,0,0,ROW()-1,12),ROW()-1,FALSE))</f>
        <v>3.6307157619999999</v>
      </c>
      <c r="O162">
        <f ca="1">IF(AND(ISNUMBER($O$351),$B$202=1),$O$351,HLOOKUP(INDIRECT(ADDRESS(2,COLUMN())),OFFSET($R$2,0,0,ROW()-1,12),ROW()-1,FALSE))</f>
        <v>3.4543949839999999</v>
      </c>
      <c r="P162">
        <f ca="1">IF(AND(ISNUMBER($P$351),$B$202=1),$P$351,HLOOKUP(INDIRECT(ADDRESS(2,COLUMN())),OFFSET($R$2,0,0,ROW()-1,12),ROW()-1,FALSE))</f>
        <v>4.0379957989999999</v>
      </c>
      <c r="Q162">
        <f ca="1">IF(AND(ISNUMBER($Q$351),$B$202=1),$Q$351,HLOOKUP(INDIRECT(ADDRESS(2,COLUMN())),OFFSET($R$2,0,0,ROW()-1,12),ROW()-1,FALSE))</f>
        <v>4.7198558650000004</v>
      </c>
      <c r="R162">
        <f>4.018907819</f>
        <v>4.0189078189999998</v>
      </c>
      <c r="S162">
        <f>4.294557203</f>
        <v>4.2945572030000001</v>
      </c>
      <c r="T162">
        <f>4.477820971</f>
        <v>4.4778209709999999</v>
      </c>
      <c r="U162">
        <f>5.319615932</f>
        <v>5.3196159319999996</v>
      </c>
      <c r="V162">
        <f>3.437844308</f>
        <v>3.4378443079999998</v>
      </c>
      <c r="W162">
        <f>3.132272467</f>
        <v>3.1322724669999999</v>
      </c>
      <c r="X162">
        <f>3.894048331</f>
        <v>3.894048331</v>
      </c>
      <c r="Y162">
        <f>3.743306063</f>
        <v>3.7433060629999999</v>
      </c>
      <c r="Z162">
        <f>3.630715762</f>
        <v>3.6307157619999999</v>
      </c>
      <c r="AA162">
        <f>3.454394984</f>
        <v>3.4543949839999999</v>
      </c>
      <c r="AB162">
        <f>4.037995799</f>
        <v>4.0379957989999999</v>
      </c>
      <c r="AC162">
        <f>4.719855865</f>
        <v>4.7198558650000004</v>
      </c>
    </row>
    <row r="163" spans="1:29" x14ac:dyDescent="0.25">
      <c r="A163" t="str">
        <f>"    Infosys Ltd"</f>
        <v xml:space="preserve">    Infosys Ltd</v>
      </c>
      <c r="B163" t="str">
        <f>"INFY US Equity"</f>
        <v>INFY US Equity</v>
      </c>
      <c r="C163" t="str">
        <f t="shared" si="24"/>
        <v>RX547</v>
      </c>
      <c r="D163" t="str">
        <f t="shared" si="25"/>
        <v>NET_DEBT_PER_DILUTED_SHARE</v>
      </c>
      <c r="E163" t="str">
        <f t="shared" si="26"/>
        <v>Dynamic</v>
      </c>
      <c r="F163" t="str">
        <f ca="1">IF(AND(ISNUMBER($F$352),$B$202=1),$F$352,HLOOKUP(INDIRECT(ADDRESS(2,COLUMN())),OFFSET($R$2,0,0,ROW()-1,12),ROW()-1,FALSE))</f>
        <v/>
      </c>
      <c r="G163" t="str">
        <f ca="1">IF(AND(ISNUMBER($G$352),$B$202=1),$G$352,HLOOKUP(INDIRECT(ADDRESS(2,COLUMN())),OFFSET($R$2,0,0,ROW()-1,12),ROW()-1,FALSE))</f>
        <v/>
      </c>
      <c r="H163" t="str">
        <f ca="1">IF(AND(ISNUMBER($H$352),$B$202=1),$H$352,HLOOKUP(INDIRECT(ADDRESS(2,COLUMN())),OFFSET($R$2,0,0,ROW()-1,12),ROW()-1,FALSE))</f>
        <v/>
      </c>
      <c r="I163" t="str">
        <f ca="1">IF(AND(ISNUMBER($I$352),$B$202=1),$I$352,HLOOKUP(INDIRECT(ADDRESS(2,COLUMN())),OFFSET($R$2,0,0,ROW()-1,12),ROW()-1,FALSE))</f>
        <v/>
      </c>
      <c r="J163" t="str">
        <f ca="1">IF(AND(ISNUMBER($J$352),$B$202=1),$J$352,HLOOKUP(INDIRECT(ADDRESS(2,COLUMN())),OFFSET($R$2,0,0,ROW()-1,12),ROW()-1,FALSE))</f>
        <v/>
      </c>
      <c r="K163" t="str">
        <f ca="1">IF(AND(ISNUMBER($K$352),$B$202=1),$K$352,HLOOKUP(INDIRECT(ADDRESS(2,COLUMN())),OFFSET($R$2,0,0,ROW()-1,12),ROW()-1,FALSE))</f>
        <v/>
      </c>
      <c r="L163" t="str">
        <f ca="1">IF(AND(ISNUMBER($L$352),$B$202=1),$L$352,HLOOKUP(INDIRECT(ADDRESS(2,COLUMN())),OFFSET($R$2,0,0,ROW()-1,12),ROW()-1,FALSE))</f>
        <v/>
      </c>
      <c r="M163" t="str">
        <f ca="1">IF(AND(ISNUMBER($M$352),$B$202=1),$M$352,HLOOKUP(INDIRECT(ADDRESS(2,COLUMN())),OFFSET($R$2,0,0,ROW()-1,12),ROW()-1,FALSE))</f>
        <v/>
      </c>
      <c r="N163" t="str">
        <f ca="1">IF(AND(ISNUMBER($N$352),$B$202=1),$N$352,HLOOKUP(INDIRECT(ADDRESS(2,COLUMN())),OFFSET($R$2,0,0,ROW()-1,12),ROW()-1,FALSE))</f>
        <v/>
      </c>
      <c r="O163" t="str">
        <f ca="1">IF(AND(ISNUMBER($O$352),$B$202=1),$O$352,HLOOKUP(INDIRECT(ADDRESS(2,COLUMN())),OFFSET($R$2,0,0,ROW()-1,12),ROW()-1,FALSE))</f>
        <v/>
      </c>
      <c r="P163" t="str">
        <f ca="1">IF(AND(ISNUMBER($P$352),$B$202=1),$P$352,HLOOKUP(INDIRECT(ADDRESS(2,COLUMN())),OFFSET($R$2,0,0,ROW()-1,12),ROW()-1,FALSE))</f>
        <v/>
      </c>
      <c r="Q163" t="str">
        <f ca="1">IF(AND(ISNUMBER($Q$352),$B$202=1),$Q$352,HLOOKUP(INDIRECT(ADDRESS(2,COLUMN())),OFFSET($R$2,0,0,ROW()-1,12),ROW()-1,FALSE))</f>
        <v/>
      </c>
      <c r="R163" t="str">
        <f>""</f>
        <v/>
      </c>
      <c r="S163" t="str">
        <f>""</f>
        <v/>
      </c>
      <c r="T163" t="str">
        <f>""</f>
        <v/>
      </c>
      <c r="U163" t="str">
        <f>""</f>
        <v/>
      </c>
      <c r="V163" t="str">
        <f>""</f>
        <v/>
      </c>
      <c r="W163" t="str">
        <f>""</f>
        <v/>
      </c>
      <c r="X163" t="str">
        <f>""</f>
        <v/>
      </c>
      <c r="Y163" t="str">
        <f>""</f>
        <v/>
      </c>
      <c r="Z163" t="str">
        <f>""</f>
        <v/>
      </c>
      <c r="AA163" t="str">
        <f>""</f>
        <v/>
      </c>
      <c r="AB163" t="str">
        <f>""</f>
        <v/>
      </c>
      <c r="AC163" t="str">
        <f>""</f>
        <v/>
      </c>
    </row>
    <row r="164" spans="1:29" x14ac:dyDescent="0.25">
      <c r="A164" t="str">
        <f>"    International Business Machines Corp"</f>
        <v xml:space="preserve">    International Business Machines Corp</v>
      </c>
      <c r="B164" t="str">
        <f>"IBM US Equity"</f>
        <v>IBM US Equity</v>
      </c>
      <c r="C164" t="str">
        <f t="shared" si="24"/>
        <v>RX547</v>
      </c>
      <c r="D164" t="str">
        <f t="shared" si="25"/>
        <v>NET_DEBT_PER_DILUTED_SHARE</v>
      </c>
      <c r="E164" t="str">
        <f t="shared" si="26"/>
        <v>Dynamic</v>
      </c>
      <c r="F164">
        <f ca="1">IF(AND(ISNUMBER($F$353),$B$202=1),$F$353,HLOOKUP(INDIRECT(ADDRESS(2,COLUMN())),OFFSET($R$2,0,0,ROW()-1,12),ROW()-1,FALSE))</f>
        <v>64.344134080000003</v>
      </c>
      <c r="G164">
        <f ca="1">IF(AND(ISNUMBER($G$353),$B$202=1),$G$353,HLOOKUP(INDIRECT(ADDRESS(2,COLUMN())),OFFSET($R$2,0,0,ROW()-1,12),ROW()-1,FALSE))</f>
        <v>66.342172989999995</v>
      </c>
      <c r="H164">
        <f ca="1">IF(AND(ISNUMBER($H$353),$B$202=1),$H$353,HLOOKUP(INDIRECT(ADDRESS(2,COLUMN())),OFFSET($R$2,0,0,ROW()-1,12),ROW()-1,FALSE))</f>
        <v>61.170474910000003</v>
      </c>
      <c r="I164">
        <f ca="1">IF(AND(ISNUMBER($I$353),$B$202=1),$I$353,HLOOKUP(INDIRECT(ADDRESS(2,COLUMN())),OFFSET($R$2,0,0,ROW()-1,12),ROW()-1,FALSE))</f>
        <v>28.92456219</v>
      </c>
      <c r="J164">
        <f ca="1">IF(AND(ISNUMBER($J$353),$B$202=1),$J$353,HLOOKUP(INDIRECT(ADDRESS(2,COLUMN())),OFFSET($R$2,0,0,ROW()-1,12),ROW()-1,FALSE))</f>
        <v>34.342767649999999</v>
      </c>
      <c r="K164">
        <f ca="1">IF(AND(ISNUMBER($K$353),$B$202=1),$K$353,HLOOKUP(INDIRECT(ADDRESS(2,COLUMN())),OFFSET($R$2,0,0,ROW()-1,12),ROW()-1,FALSE))</f>
        <v>37.356385330000002</v>
      </c>
      <c r="L164">
        <f ca="1">IF(AND(ISNUMBER($L$353),$B$202=1),$L$353,HLOOKUP(INDIRECT(ADDRESS(2,COLUMN())),OFFSET($R$2,0,0,ROW()-1,12),ROW()-1,FALSE))</f>
        <v>28.55332168</v>
      </c>
      <c r="M164">
        <f ca="1">IF(AND(ISNUMBER($M$353),$B$202=1),$M$353,HLOOKUP(INDIRECT(ADDRESS(2,COLUMN())),OFFSET($R$2,0,0,ROW()-1,12),ROW()-1,FALSE))</f>
        <v>29.842288450000002</v>
      </c>
      <c r="N164">
        <f ca="1">IF(AND(ISNUMBER($N$353),$B$202=1),$N$353,HLOOKUP(INDIRECT(ADDRESS(2,COLUMN())),OFFSET($R$2,0,0,ROW()-1,12),ROW()-1,FALSE))</f>
        <v>29.017722070000001</v>
      </c>
      <c r="O164">
        <f ca="1">IF(AND(ISNUMBER($O$353),$B$202=1),$O$353,HLOOKUP(INDIRECT(ADDRESS(2,COLUMN())),OFFSET($R$2,0,0,ROW()-1,12),ROW()-1,FALSE))</f>
        <v>29.898805039999999</v>
      </c>
      <c r="P164">
        <f ca="1">IF(AND(ISNUMBER($P$353),$B$202=1),$P$353,HLOOKUP(INDIRECT(ADDRESS(2,COLUMN())),OFFSET($R$2,0,0,ROW()-1,12),ROW()-1,FALSE))</f>
        <v>24.262751819999998</v>
      </c>
      <c r="Q164">
        <f ca="1">IF(AND(ISNUMBER($Q$353),$B$202=1),$Q$353,HLOOKUP(INDIRECT(ADDRESS(2,COLUMN())),OFFSET($R$2,0,0,ROW()-1,12),ROW()-1,FALSE))</f>
        <v>24.15389527</v>
      </c>
      <c r="R164">
        <f>64.34413408</f>
        <v>64.344134080000003</v>
      </c>
      <c r="S164">
        <f>66.34217299</f>
        <v>66.342172989999995</v>
      </c>
      <c r="T164">
        <f>61.17047491</f>
        <v>61.170474910000003</v>
      </c>
      <c r="U164">
        <f>28.92456219</f>
        <v>28.92456219</v>
      </c>
      <c r="V164">
        <f>34.34276765</f>
        <v>34.342767649999999</v>
      </c>
      <c r="W164">
        <f>37.35638533</f>
        <v>37.356385330000002</v>
      </c>
      <c r="X164">
        <f>28.55332168</f>
        <v>28.55332168</v>
      </c>
      <c r="Y164">
        <f>29.84228845</f>
        <v>29.842288450000002</v>
      </c>
      <c r="Z164">
        <f>29.01772207</f>
        <v>29.017722070000001</v>
      </c>
      <c r="AA164">
        <f>29.89880504</f>
        <v>29.898805039999999</v>
      </c>
      <c r="AB164">
        <f>24.26275182</f>
        <v>24.262751819999998</v>
      </c>
      <c r="AC164">
        <f>24.15389527</f>
        <v>24.15389527</v>
      </c>
    </row>
    <row r="165" spans="1:29" x14ac:dyDescent="0.25">
      <c r="A165" t="str">
        <f>"    Tata Consultancy Services Ltd"</f>
        <v xml:space="preserve">    Tata Consultancy Services Ltd</v>
      </c>
      <c r="B165" t="str">
        <f>"TCS IN Equity"</f>
        <v>TCS IN Equity</v>
      </c>
      <c r="C165" t="str">
        <f t="shared" si="24"/>
        <v>RX547</v>
      </c>
      <c r="D165" t="str">
        <f t="shared" si="25"/>
        <v>NET_DEBT_PER_DILUTED_SHARE</v>
      </c>
      <c r="E165" t="str">
        <f t="shared" si="26"/>
        <v>Dynamic</v>
      </c>
      <c r="F165">
        <f ca="1">IF(AND(ISNUMBER($F$354),$B$202=1),$F$354,HLOOKUP(INDIRECT(ADDRESS(2,COLUMN())),OFFSET($R$2,0,0,ROW()-1,12),ROW()-1,FALSE))</f>
        <v>-0.96937706499999998</v>
      </c>
      <c r="G165">
        <f ca="1">IF(AND(ISNUMBER($G$354),$B$202=1),$G$354,HLOOKUP(INDIRECT(ADDRESS(2,COLUMN())),OFFSET($R$2,0,0,ROW()-1,12),ROW()-1,FALSE))</f>
        <v>-1.118042625</v>
      </c>
      <c r="H165">
        <f ca="1">IF(AND(ISNUMBER($H$354),$B$202=1),$H$354,HLOOKUP(INDIRECT(ADDRESS(2,COLUMN())),OFFSET($R$2,0,0,ROW()-1,12),ROW()-1,FALSE))</f>
        <v>-1.4959155420000001</v>
      </c>
      <c r="I165">
        <f ca="1">IF(AND(ISNUMBER($I$354),$B$202=1),$I$354,HLOOKUP(INDIRECT(ADDRESS(2,COLUMN())),OFFSET($R$2,0,0,ROW()-1,12),ROW()-1,FALSE))</f>
        <v>-1.375655979</v>
      </c>
      <c r="J165">
        <f ca="1">IF(AND(ISNUMBER($J$354),$B$202=1),$J$354,HLOOKUP(INDIRECT(ADDRESS(2,COLUMN())),OFFSET($R$2,0,0,ROW()-1,12),ROW()-1,FALSE))</f>
        <v>-1.602161825</v>
      </c>
      <c r="K165">
        <f ca="1">IF(AND(ISNUMBER($K$354),$B$202=1),$K$354,HLOOKUP(INDIRECT(ADDRESS(2,COLUMN())),OFFSET($R$2,0,0,ROW()-1,12),ROW()-1,FALSE))</f>
        <v>-1.3772272189999999</v>
      </c>
      <c r="L165">
        <f ca="1">IF(AND(ISNUMBER($L$354),$B$202=1),$L$354,HLOOKUP(INDIRECT(ADDRESS(2,COLUMN())),OFFSET($R$2,0,0,ROW()-1,12),ROW()-1,FALSE))</f>
        <v>-1.218466853</v>
      </c>
      <c r="M165">
        <f ca="1">IF(AND(ISNUMBER($M$354),$B$202=1),$M$354,HLOOKUP(INDIRECT(ADDRESS(2,COLUMN())),OFFSET($R$2,0,0,ROW()-1,12),ROW()-1,FALSE))</f>
        <v>-1.4606253360000001</v>
      </c>
      <c r="N165">
        <f ca="1">IF(AND(ISNUMBER($N$354),$B$202=1),$N$354,HLOOKUP(INDIRECT(ADDRESS(2,COLUMN())),OFFSET($R$2,0,0,ROW()-1,12),ROW()-1,FALSE))</f>
        <v>-1.700185751</v>
      </c>
      <c r="O165">
        <f ca="1">IF(AND(ISNUMBER($O$354),$B$202=1),$O$354,HLOOKUP(INDIRECT(ADDRESS(2,COLUMN())),OFFSET($R$2,0,0,ROW()-1,12),ROW()-1,FALSE))</f>
        <v>-1.4994256640000001</v>
      </c>
      <c r="P165">
        <f ca="1">IF(AND(ISNUMBER($P$354),$B$202=1),$P$354,HLOOKUP(INDIRECT(ADDRESS(2,COLUMN())),OFFSET($R$2,0,0,ROW()-1,12),ROW()-1,FALSE))</f>
        <v>-1.337304128</v>
      </c>
      <c r="Q165">
        <f ca="1">IF(AND(ISNUMBER($Q$354),$B$202=1),$Q$354,HLOOKUP(INDIRECT(ADDRESS(2,COLUMN())),OFFSET($R$2,0,0,ROW()-1,12),ROW()-1,FALSE))</f>
        <v>-1.258545416</v>
      </c>
      <c r="R165">
        <f>-0.969377065</f>
        <v>-0.96937706499999998</v>
      </c>
      <c r="S165">
        <f>-1.118042625</f>
        <v>-1.118042625</v>
      </c>
      <c r="T165">
        <f>-1.495915542</f>
        <v>-1.4959155420000001</v>
      </c>
      <c r="U165">
        <f>-1.375655979</f>
        <v>-1.375655979</v>
      </c>
      <c r="V165">
        <f>-1.602161825</f>
        <v>-1.602161825</v>
      </c>
      <c r="W165">
        <f>-1.377227219</f>
        <v>-1.3772272189999999</v>
      </c>
      <c r="X165">
        <f>-1.218466853</f>
        <v>-1.218466853</v>
      </c>
      <c r="Y165">
        <f>-1.460625336</f>
        <v>-1.4606253360000001</v>
      </c>
      <c r="Z165">
        <f>-1.700185751</f>
        <v>-1.700185751</v>
      </c>
      <c r="AA165">
        <f>-1.499425664</f>
        <v>-1.4994256640000001</v>
      </c>
      <c r="AB165">
        <f>-1.337304128</f>
        <v>-1.337304128</v>
      </c>
      <c r="AC165">
        <f>-1.258545416</f>
        <v>-1.258545416</v>
      </c>
    </row>
    <row r="166" spans="1:29" x14ac:dyDescent="0.25">
      <c r="A166" t="str">
        <f>"    Tech Mahindra Ltd"</f>
        <v xml:space="preserve">    Tech Mahindra Ltd</v>
      </c>
      <c r="B166" t="str">
        <f>"TECHM IN Equity"</f>
        <v>TECHM IN Equity</v>
      </c>
      <c r="C166" t="str">
        <f t="shared" si="24"/>
        <v>RX547</v>
      </c>
      <c r="D166" t="str">
        <f t="shared" si="25"/>
        <v>NET_DEBT_PER_DILUTED_SHARE</v>
      </c>
      <c r="E166" t="str">
        <f t="shared" si="26"/>
        <v>Dynamic</v>
      </c>
      <c r="F166">
        <f ca="1">IF(AND(ISNUMBER($F$355),$B$202=1),$F$355,HLOOKUP(INDIRECT(ADDRESS(2,COLUMN())),OFFSET($R$2,0,0,ROW()-1,12),ROW()-1,FALSE))</f>
        <v>-0.95511326900000004</v>
      </c>
      <c r="G166">
        <f ca="1">IF(AND(ISNUMBER($G$355),$B$202=1),$G$355,HLOOKUP(INDIRECT(ADDRESS(2,COLUMN())),OFFSET($R$2,0,0,ROW()-1,12),ROW()-1,FALSE))</f>
        <v>-0.80256307699999996</v>
      </c>
      <c r="H166">
        <f ca="1">IF(AND(ISNUMBER($H$355),$B$202=1),$H$355,HLOOKUP(INDIRECT(ADDRESS(2,COLUMN())),OFFSET($R$2,0,0,ROW()-1,12),ROW()-1,FALSE))</f>
        <v>-0.63191368699999995</v>
      </c>
      <c r="I166">
        <f ca="1">IF(AND(ISNUMBER($I$355),$B$202=1),$I$355,HLOOKUP(INDIRECT(ADDRESS(2,COLUMN())),OFFSET($R$2,0,0,ROW()-1,12),ROW()-1,FALSE))</f>
        <v>-0.88251037399999999</v>
      </c>
      <c r="J166">
        <f ca="1">IF(AND(ISNUMBER($J$355),$B$202=1),$J$355,HLOOKUP(INDIRECT(ADDRESS(2,COLUMN())),OFFSET($R$2,0,0,ROW()-1,12),ROW()-1,FALSE))</f>
        <v>-1.070768707</v>
      </c>
      <c r="K166">
        <f ca="1">IF(AND(ISNUMBER($K$355),$B$202=1),$K$355,HLOOKUP(INDIRECT(ADDRESS(2,COLUMN())),OFFSET($R$2,0,0,ROW()-1,12),ROW()-1,FALSE))</f>
        <v>-0.81758830299999996</v>
      </c>
      <c r="L166">
        <f ca="1">IF(AND(ISNUMBER($L$355),$B$202=1),$L$355,HLOOKUP(INDIRECT(ADDRESS(2,COLUMN())),OFFSET($R$2,0,0,ROW()-1,12),ROW()-1,FALSE))</f>
        <v>-0.75369176500000001</v>
      </c>
      <c r="M166">
        <f ca="1">IF(AND(ISNUMBER($M$355),$B$202=1),$M$355,HLOOKUP(INDIRECT(ADDRESS(2,COLUMN())),OFFSET($R$2,0,0,ROW()-1,12),ROW()-1,FALSE))</f>
        <v>-0.88180566999999999</v>
      </c>
      <c r="N166">
        <f ca="1">IF(AND(ISNUMBER($N$355),$B$202=1),$N$355,HLOOKUP(INDIRECT(ADDRESS(2,COLUMN())),OFFSET($R$2,0,0,ROW()-1,12),ROW()-1,FALSE))</f>
        <v>-0.69742394699999999</v>
      </c>
      <c r="O166">
        <f ca="1">IF(AND(ISNUMBER($O$355),$B$202=1),$O$355,HLOOKUP(INDIRECT(ADDRESS(2,COLUMN())),OFFSET($R$2,0,0,ROW()-1,12),ROW()-1,FALSE))</f>
        <v>-0.79670417900000001</v>
      </c>
      <c r="P166">
        <f ca="1">IF(AND(ISNUMBER($P$355),$B$202=1),$P$355,HLOOKUP(INDIRECT(ADDRESS(2,COLUMN())),OFFSET($R$2,0,0,ROW()-1,12),ROW()-1,FALSE))</f>
        <v>-0.77863637100000005</v>
      </c>
      <c r="Q166">
        <f ca="1">IF(AND(ISNUMBER($Q$355),$B$202=1),$Q$355,HLOOKUP(INDIRECT(ADDRESS(2,COLUMN())),OFFSET($R$2,0,0,ROW()-1,12),ROW()-1,FALSE))</f>
        <v>-0.80045805800000003</v>
      </c>
      <c r="R166">
        <f>-0.955113269</f>
        <v>-0.95511326900000004</v>
      </c>
      <c r="S166">
        <f>-0.802563077</f>
        <v>-0.80256307699999996</v>
      </c>
      <c r="T166">
        <f>-0.631913687</f>
        <v>-0.63191368699999995</v>
      </c>
      <c r="U166">
        <f>-0.882510374</f>
        <v>-0.88251037399999999</v>
      </c>
      <c r="V166">
        <f>-1.070768707</f>
        <v>-1.070768707</v>
      </c>
      <c r="W166">
        <f>-0.817588303</f>
        <v>-0.81758830299999996</v>
      </c>
      <c r="X166">
        <f>-0.753691765</f>
        <v>-0.75369176500000001</v>
      </c>
      <c r="Y166">
        <f>-0.88180567</f>
        <v>-0.88180566999999999</v>
      </c>
      <c r="Z166">
        <f>-0.697423947</f>
        <v>-0.69742394699999999</v>
      </c>
      <c r="AA166">
        <f>-0.796704179</f>
        <v>-0.79670417900000001</v>
      </c>
      <c r="AB166">
        <f>-0.778636371</f>
        <v>-0.77863637100000005</v>
      </c>
      <c r="AC166">
        <f>-0.800458058</f>
        <v>-0.80045805800000003</v>
      </c>
    </row>
    <row r="167" spans="1:29" x14ac:dyDescent="0.25">
      <c r="A167" t="str">
        <f>"    Wipro Ltd"</f>
        <v xml:space="preserve">    Wipro Ltd</v>
      </c>
      <c r="B167" t="str">
        <f>"WIT US Equity"</f>
        <v>WIT US Equity</v>
      </c>
      <c r="C167" t="str">
        <f t="shared" si="24"/>
        <v>RX547</v>
      </c>
      <c r="D167" t="str">
        <f t="shared" si="25"/>
        <v>NET_DEBT_PER_DILUTED_SHARE</v>
      </c>
      <c r="E167" t="str">
        <f t="shared" si="26"/>
        <v>Dynamic</v>
      </c>
      <c r="F167" t="str">
        <f ca="1">IF(AND(ISNUMBER($F$356),$B$202=1),$F$356,HLOOKUP(INDIRECT(ADDRESS(2,COLUMN())),OFFSET($R$2,0,0,ROW()-1,12),ROW()-1,FALSE))</f>
        <v/>
      </c>
      <c r="G167" t="str">
        <f ca="1">IF(AND(ISNUMBER($G$356),$B$202=1),$G$356,HLOOKUP(INDIRECT(ADDRESS(2,COLUMN())),OFFSET($R$2,0,0,ROW()-1,12),ROW()-1,FALSE))</f>
        <v/>
      </c>
      <c r="H167" t="str">
        <f ca="1">IF(AND(ISNUMBER($H$356),$B$202=1),$H$356,HLOOKUP(INDIRECT(ADDRESS(2,COLUMN())),OFFSET($R$2,0,0,ROW()-1,12),ROW()-1,FALSE))</f>
        <v/>
      </c>
      <c r="I167" t="str">
        <f ca="1">IF(AND(ISNUMBER($I$356),$B$202=1),$I$356,HLOOKUP(INDIRECT(ADDRESS(2,COLUMN())),OFFSET($R$2,0,0,ROW()-1,12),ROW()-1,FALSE))</f>
        <v/>
      </c>
      <c r="J167" t="str">
        <f ca="1">IF(AND(ISNUMBER($J$356),$B$202=1),$J$356,HLOOKUP(INDIRECT(ADDRESS(2,COLUMN())),OFFSET($R$2,0,0,ROW()-1,12),ROW()-1,FALSE))</f>
        <v/>
      </c>
      <c r="K167" t="str">
        <f ca="1">IF(AND(ISNUMBER($K$356),$B$202=1),$K$356,HLOOKUP(INDIRECT(ADDRESS(2,COLUMN())),OFFSET($R$2,0,0,ROW()-1,12),ROW()-1,FALSE))</f>
        <v/>
      </c>
      <c r="L167" t="str">
        <f ca="1">IF(AND(ISNUMBER($L$356),$B$202=1),$L$356,HLOOKUP(INDIRECT(ADDRESS(2,COLUMN())),OFFSET($R$2,0,0,ROW()-1,12),ROW()-1,FALSE))</f>
        <v/>
      </c>
      <c r="M167" t="str">
        <f ca="1">IF(AND(ISNUMBER($M$356),$B$202=1),$M$356,HLOOKUP(INDIRECT(ADDRESS(2,COLUMN())),OFFSET($R$2,0,0,ROW()-1,12),ROW()-1,FALSE))</f>
        <v/>
      </c>
      <c r="N167" t="str">
        <f ca="1">IF(AND(ISNUMBER($N$356),$B$202=1),$N$356,HLOOKUP(INDIRECT(ADDRESS(2,COLUMN())),OFFSET($R$2,0,0,ROW()-1,12),ROW()-1,FALSE))</f>
        <v/>
      </c>
      <c r="O167" t="str">
        <f ca="1">IF(AND(ISNUMBER($O$356),$B$202=1),$O$356,HLOOKUP(INDIRECT(ADDRESS(2,COLUMN())),OFFSET($R$2,0,0,ROW()-1,12),ROW()-1,FALSE))</f>
        <v/>
      </c>
      <c r="P167" t="str">
        <f ca="1">IF(AND(ISNUMBER($P$356),$B$202=1),$P$356,HLOOKUP(INDIRECT(ADDRESS(2,COLUMN())),OFFSET($R$2,0,0,ROW()-1,12),ROW()-1,FALSE))</f>
        <v/>
      </c>
      <c r="Q167" t="str">
        <f ca="1">IF(AND(ISNUMBER($Q$356),$B$202=1),$Q$356,HLOOKUP(INDIRECT(ADDRESS(2,COLUMN())),OFFSET($R$2,0,0,ROW()-1,12),ROW()-1,FALSE))</f>
        <v/>
      </c>
      <c r="R167" t="str">
        <f>""</f>
        <v/>
      </c>
      <c r="S167" t="str">
        <f>""</f>
        <v/>
      </c>
      <c r="T167" t="str">
        <f>""</f>
        <v/>
      </c>
      <c r="U167" t="str">
        <f>""</f>
        <v/>
      </c>
      <c r="V167" t="str">
        <f>""</f>
        <v/>
      </c>
      <c r="W167" t="str">
        <f>""</f>
        <v/>
      </c>
      <c r="X167" t="str">
        <f>""</f>
        <v/>
      </c>
      <c r="Y167" t="str">
        <f>""</f>
        <v/>
      </c>
      <c r="Z167" t="str">
        <f>""</f>
        <v/>
      </c>
      <c r="AA167" t="str">
        <f>""</f>
        <v/>
      </c>
      <c r="AB167" t="str">
        <f>""</f>
        <v/>
      </c>
      <c r="AC167" t="str">
        <f>""</f>
        <v/>
      </c>
    </row>
    <row r="168" spans="1:29" x14ac:dyDescent="0.25">
      <c r="A168" t="str">
        <f>"Days Sales Outstanding"</f>
        <v>Days Sales Outstanding</v>
      </c>
      <c r="B168" t="str">
        <f>"BRITBPOV Index"</f>
        <v>BRITBPOV Index</v>
      </c>
      <c r="E168" t="str">
        <f>"Average"</f>
        <v>Average</v>
      </c>
      <c r="F168">
        <f ca="1">IF(ISERROR(IF(AVERAGE($F$169:$F$185) = 0, "", AVERAGE($F$169:$F$185))), "", (IF(AVERAGE($F$169:$F$185) = 0, "", AVERAGE($F$169:$F$185))))</f>
        <v>68.158053110714292</v>
      </c>
      <c r="G168">
        <f ca="1">IF(ISERROR(IF(AVERAGE($G$169:$G$185) = 0, "", AVERAGE($G$169:$G$185))), "", (IF(AVERAGE($G$169:$G$185) = 0, "", AVERAGE($G$169:$G$185))))</f>
        <v>76.388777544666667</v>
      </c>
      <c r="H168">
        <f ca="1">IF(ISERROR(IF(AVERAGE($H$169:$H$185) = 0, "", AVERAGE($H$169:$H$185))), "", (IF(AVERAGE($H$169:$H$185) = 0, "", AVERAGE($H$169:$H$185))))</f>
        <v>69.374222860714298</v>
      </c>
      <c r="I168">
        <f ca="1">IF(ISERROR(IF(AVERAGE($I$169:$I$185) = 0, "", AVERAGE($I$169:$I$185))), "", (IF(AVERAGE($I$169:$I$185) = 0, "", AVERAGE($I$169:$I$185))))</f>
        <v>76.308592542857141</v>
      </c>
      <c r="J168">
        <f ca="1">IF(ISERROR(IF(AVERAGE($J$169:$J$185) = 0, "", AVERAGE($J$169:$J$185))), "", (IF(AVERAGE($J$169:$J$185) = 0, "", AVERAGE($J$169:$J$185))))</f>
        <v>68.217110570714297</v>
      </c>
      <c r="K168">
        <f ca="1">IF(ISERROR(IF(AVERAGE($K$169:$K$185) = 0, "", AVERAGE($K$169:$K$185))), "", (IF(AVERAGE($K$169:$K$185) = 0, "", AVERAGE($K$169:$K$185))))</f>
        <v>76.967329567333323</v>
      </c>
      <c r="L168">
        <f ca="1">IF(ISERROR(IF(AVERAGE($L$169:$L$185) = 0, "", AVERAGE($L$169:$L$185))), "", (IF(AVERAGE($L$169:$L$185) = 0, "", AVERAGE($L$169:$L$185))))</f>
        <v>70.046178062142857</v>
      </c>
      <c r="M168">
        <f ca="1">IF(ISERROR(IF(AVERAGE($M$169:$M$185) = 0, "", AVERAGE($M$169:$M$185))), "", (IF(AVERAGE($M$169:$M$185) = 0, "", AVERAGE($M$169:$M$185))))</f>
        <v>77.291455777142872</v>
      </c>
      <c r="N168">
        <f ca="1">IF(ISERROR(IF(AVERAGE($N$169:$N$185) = 0, "", AVERAGE($N$169:$N$185))), "", (IF(AVERAGE($N$169:$N$185) = 0, "", AVERAGE($N$169:$N$185))))</f>
        <v>68.547704112857133</v>
      </c>
      <c r="O168">
        <f ca="1">IF(ISERROR(IF(AVERAGE($O$169:$O$185) = 0, "", AVERAGE($O$169:$O$185))), "", (IF(AVERAGE($O$169:$O$185) = 0, "", AVERAGE($O$169:$O$185))))</f>
        <v>78.24429062416668</v>
      </c>
      <c r="P168">
        <f ca="1">IF(ISERROR(IF(AVERAGE($P$169:$P$185) = 0, "", AVERAGE($P$169:$P$185))), "", (IF(AVERAGE($P$169:$P$185) = 0, "", AVERAGE($P$169:$P$185))))</f>
        <v>68.813116104615375</v>
      </c>
      <c r="Q168">
        <f ca="1">IF(ISERROR(IF(AVERAGE($Q$169:$Q$185) = 0, "", AVERAGE($Q$169:$Q$185))), "", (IF(AVERAGE($Q$169:$Q$185) = 0, "", AVERAGE($Q$169:$Q$185))))</f>
        <v>69.610422522500002</v>
      </c>
      <c r="R168">
        <f>68.15805311</f>
        <v>68.158053109999997</v>
      </c>
      <c r="S168">
        <f>76.38877755</f>
        <v>76.38877755</v>
      </c>
      <c r="T168">
        <f>69.37422286</f>
        <v>69.374222860000003</v>
      </c>
      <c r="U168">
        <f>76.30859254</f>
        <v>76.308592540000006</v>
      </c>
      <c r="V168">
        <f>68.21711057</f>
        <v>68.217110570000003</v>
      </c>
      <c r="W168">
        <f>76.96732956</f>
        <v>76.967329559999996</v>
      </c>
      <c r="X168">
        <f>70.04617806</f>
        <v>70.046178060000003</v>
      </c>
      <c r="Y168">
        <f>77.29145578</f>
        <v>77.291455780000007</v>
      </c>
      <c r="Z168">
        <f>68.54770411</f>
        <v>68.547704109999998</v>
      </c>
      <c r="AA168">
        <f>78.24429063</f>
        <v>78.244290629999995</v>
      </c>
      <c r="AB168">
        <f>68.81311611</f>
        <v>68.813116109999996</v>
      </c>
      <c r="AC168">
        <f>69.61042252</f>
        <v>69.61042252</v>
      </c>
    </row>
    <row r="169" spans="1:29" x14ac:dyDescent="0.25">
      <c r="A169" t="str">
        <f>"    Accenture PLC"</f>
        <v xml:space="preserve">    Accenture PLC</v>
      </c>
      <c r="B169" t="str">
        <f>"ACN US Equity"</f>
        <v>ACN US Equity</v>
      </c>
      <c r="C169" t="str">
        <f t="shared" ref="C169:C185" si="27">"RR159"</f>
        <v>RR159</v>
      </c>
      <c r="D169" t="str">
        <f t="shared" ref="D169:D185" si="28">"ACCT_RCV_DAYS"</f>
        <v>ACCT_RCV_DAYS</v>
      </c>
      <c r="E169" t="str">
        <f t="shared" ref="E169:E185" si="29">"Dynamic"</f>
        <v>Dynamic</v>
      </c>
      <c r="F169">
        <f ca="1">IF(AND(ISNUMBER($F$357),$B$202=1),$F$357,HLOOKUP(INDIRECT(ADDRESS(2,COLUMN())),OFFSET($R$2,0,0,ROW()-1,12),ROW()-1,FALSE))</f>
        <v>68.311234189999993</v>
      </c>
      <c r="G169">
        <f ca="1">IF(AND(ISNUMBER($G$357),$B$202=1),$G$357,HLOOKUP(INDIRECT(ADDRESS(2,COLUMN())),OFFSET($R$2,0,0,ROW()-1,12),ROW()-1,FALSE))</f>
        <v>68.903556300000005</v>
      </c>
      <c r="H169">
        <f ca="1">IF(AND(ISNUMBER($H$357),$B$202=1),$H$357,HLOOKUP(INDIRECT(ADDRESS(2,COLUMN())),OFFSET($R$2,0,0,ROW()-1,12),ROW()-1,FALSE))</f>
        <v>55.286418920000003</v>
      </c>
      <c r="I169">
        <f ca="1">IF(AND(ISNUMBER($I$357),$B$202=1),$I$357,HLOOKUP(INDIRECT(ADDRESS(2,COLUMN())),OFFSET($R$2,0,0,ROW()-1,12),ROW()-1,FALSE))</f>
        <v>56.126530559999999</v>
      </c>
      <c r="J169">
        <f ca="1">IF(AND(ISNUMBER($J$357),$B$202=1),$J$357,HLOOKUP(INDIRECT(ADDRESS(2,COLUMN())),OFFSET($R$2,0,0,ROW()-1,12),ROW()-1,FALSE))</f>
        <v>56.928804800000002</v>
      </c>
      <c r="K169">
        <f ca="1">IF(AND(ISNUMBER($K$357),$B$202=1),$K$357,HLOOKUP(INDIRECT(ADDRESS(2,COLUMN())),OFFSET($R$2,0,0,ROW()-1,12),ROW()-1,FALSE))</f>
        <v>56.893824350000003</v>
      </c>
      <c r="L169">
        <f ca="1">IF(AND(ISNUMBER($L$357),$B$202=1),$L$357,HLOOKUP(INDIRECT(ADDRESS(2,COLUMN())),OFFSET($R$2,0,0,ROW()-1,12),ROW()-1,FALSE))</f>
        <v>42.58664297</v>
      </c>
      <c r="M169">
        <f ca="1">IF(AND(ISNUMBER($M$357),$B$202=1),$M$357,HLOOKUP(INDIRECT(ADDRESS(2,COLUMN())),OFFSET($R$2,0,0,ROW()-1,12),ROW()-1,FALSE))</f>
        <v>43.026869249999997</v>
      </c>
      <c r="N169">
        <f ca="1">IF(AND(ISNUMBER($N$357),$B$202=1),$N$357,HLOOKUP(INDIRECT(ADDRESS(2,COLUMN())),OFFSET($R$2,0,0,ROW()-1,12),ROW()-1,FALSE))</f>
        <v>44.614149910000002</v>
      </c>
      <c r="O169">
        <f ca="1">IF(AND(ISNUMBER($O$357),$B$202=1),$O$357,HLOOKUP(INDIRECT(ADDRESS(2,COLUMN())),OFFSET($R$2,0,0,ROW()-1,12),ROW()-1,FALSE))</f>
        <v>44.988173009999997</v>
      </c>
      <c r="P169">
        <f ca="1">IF(AND(ISNUMBER($P$357),$B$202=1),$P$357,HLOOKUP(INDIRECT(ADDRESS(2,COLUMN())),OFFSET($R$2,0,0,ROW()-1,12),ROW()-1,FALSE))</f>
        <v>42.894978950000002</v>
      </c>
      <c r="Q169">
        <f ca="1">IF(AND(ISNUMBER($Q$357),$B$202=1),$Q$357,HLOOKUP(INDIRECT(ADDRESS(2,COLUMN())),OFFSET($R$2,0,0,ROW()-1,12),ROW()-1,FALSE))</f>
        <v>44.388713090000003</v>
      </c>
      <c r="R169">
        <f>68.31123419</f>
        <v>68.311234189999993</v>
      </c>
      <c r="S169">
        <f>68.9035563</f>
        <v>68.903556300000005</v>
      </c>
      <c r="T169">
        <f>55.28641892</f>
        <v>55.286418920000003</v>
      </c>
      <c r="U169">
        <f>56.12653056</f>
        <v>56.126530559999999</v>
      </c>
      <c r="V169">
        <f>56.9288048</f>
        <v>56.928804800000002</v>
      </c>
      <c r="W169">
        <f>56.89382435</f>
        <v>56.893824350000003</v>
      </c>
      <c r="X169">
        <f>42.58664297</f>
        <v>42.58664297</v>
      </c>
      <c r="Y169">
        <f>43.02686925</f>
        <v>43.026869249999997</v>
      </c>
      <c r="Z169">
        <f>44.61414991</f>
        <v>44.614149910000002</v>
      </c>
      <c r="AA169">
        <f>44.98817301</f>
        <v>44.988173009999997</v>
      </c>
      <c r="AB169">
        <f>42.89497895</f>
        <v>42.894978950000002</v>
      </c>
      <c r="AC169">
        <f>44.38871309</f>
        <v>44.388713090000003</v>
      </c>
    </row>
    <row r="170" spans="1:29" x14ac:dyDescent="0.25">
      <c r="A170" t="str">
        <f>"    Amdocs Ltd"</f>
        <v xml:space="preserve">    Amdocs Ltd</v>
      </c>
      <c r="B170" t="str">
        <f>"DOX US Equity"</f>
        <v>DOX US Equity</v>
      </c>
      <c r="C170" t="str">
        <f t="shared" si="27"/>
        <v>RR159</v>
      </c>
      <c r="D170" t="str">
        <f t="shared" si="28"/>
        <v>ACCT_RCV_DAYS</v>
      </c>
      <c r="E170" t="str">
        <f t="shared" si="29"/>
        <v>Dynamic</v>
      </c>
      <c r="F170">
        <f ca="1">IF(AND(ISNUMBER($F$358),$B$202=1),$F$358,HLOOKUP(INDIRECT(ADDRESS(2,COLUMN())),OFFSET($R$2,0,0,ROW()-1,12),ROW()-1,FALSE))</f>
        <v>67.124007950000006</v>
      </c>
      <c r="G170">
        <f ca="1">IF(AND(ISNUMBER($G$358),$B$202=1),$G$358,HLOOKUP(INDIRECT(ADDRESS(2,COLUMN())),OFFSET($R$2,0,0,ROW()-1,12),ROW()-1,FALSE))</f>
        <v>89.154223259999995</v>
      </c>
      <c r="H170">
        <f ca="1">IF(AND(ISNUMBER($H$358),$B$202=1),$H$358,HLOOKUP(INDIRECT(ADDRESS(2,COLUMN())),OFFSET($R$2,0,0,ROW()-1,12),ROW()-1,FALSE))</f>
        <v>75.710498569999999</v>
      </c>
      <c r="I170">
        <f ca="1">IF(AND(ISNUMBER($I$358),$B$202=1),$I$358,HLOOKUP(INDIRECT(ADDRESS(2,COLUMN())),OFFSET($R$2,0,0,ROW()-1,12),ROW()-1,FALSE))</f>
        <v>75.813006099999996</v>
      </c>
      <c r="J170">
        <f ca="1">IF(AND(ISNUMBER($J$358),$B$202=1),$J$358,HLOOKUP(INDIRECT(ADDRESS(2,COLUMN())),OFFSET($R$2,0,0,ROW()-1,12),ROW()-1,FALSE))</f>
        <v>67.268452749999994</v>
      </c>
      <c r="K170">
        <f ca="1">IF(AND(ISNUMBER($K$358),$B$202=1),$K$358,HLOOKUP(INDIRECT(ADDRESS(2,COLUMN())),OFFSET($R$2,0,0,ROW()-1,12),ROW()-1,FALSE))</f>
        <v>76.947020480000006</v>
      </c>
      <c r="L170">
        <f ca="1">IF(AND(ISNUMBER($L$358),$B$202=1),$L$358,HLOOKUP(INDIRECT(ADDRESS(2,COLUMN())),OFFSET($R$2,0,0,ROW()-1,12),ROW()-1,FALSE))</f>
        <v>61.656675479999997</v>
      </c>
      <c r="M170">
        <f ca="1">IF(AND(ISNUMBER($M$358),$B$202=1),$M$358,HLOOKUP(INDIRECT(ADDRESS(2,COLUMN())),OFFSET($R$2,0,0,ROW()-1,12),ROW()-1,FALSE))</f>
        <v>67.041639070000002</v>
      </c>
      <c r="N170">
        <f ca="1">IF(AND(ISNUMBER($N$358),$B$202=1),$N$358,HLOOKUP(INDIRECT(ADDRESS(2,COLUMN())),OFFSET($R$2,0,0,ROW()-1,12),ROW()-1,FALSE))</f>
        <v>66.010799899999995</v>
      </c>
      <c r="O170">
        <f ca="1">IF(AND(ISNUMBER($O$358),$B$202=1),$O$358,HLOOKUP(INDIRECT(ADDRESS(2,COLUMN())),OFFSET($R$2,0,0,ROW()-1,12),ROW()-1,FALSE))</f>
        <v>65.456939329999997</v>
      </c>
      <c r="P170">
        <f ca="1">IF(AND(ISNUMBER($P$358),$B$202=1),$P$358,HLOOKUP(INDIRECT(ADDRESS(2,COLUMN())),OFFSET($R$2,0,0,ROW()-1,12),ROW()-1,FALSE))</f>
        <v>62.283568930000001</v>
      </c>
      <c r="Q170">
        <f ca="1">IF(AND(ISNUMBER($Q$358),$B$202=1),$Q$358,HLOOKUP(INDIRECT(ADDRESS(2,COLUMN())),OFFSET($R$2,0,0,ROW()-1,12),ROW()-1,FALSE))</f>
        <v>64.106435540000007</v>
      </c>
      <c r="R170">
        <f>67.12400795</f>
        <v>67.124007950000006</v>
      </c>
      <c r="S170">
        <f>89.15422326</f>
        <v>89.154223259999995</v>
      </c>
      <c r="T170">
        <f>75.71049857</f>
        <v>75.710498569999999</v>
      </c>
      <c r="U170">
        <f>75.8130061</f>
        <v>75.813006099999996</v>
      </c>
      <c r="V170">
        <f>67.26845275</f>
        <v>67.268452749999994</v>
      </c>
      <c r="W170">
        <f>76.94702048</f>
        <v>76.947020480000006</v>
      </c>
      <c r="X170">
        <f>61.65667548</f>
        <v>61.656675479999997</v>
      </c>
      <c r="Y170">
        <f>67.04163907</f>
        <v>67.041639070000002</v>
      </c>
      <c r="Z170">
        <f>66.0107999</f>
        <v>66.010799899999995</v>
      </c>
      <c r="AA170">
        <f>65.45693933</f>
        <v>65.456939329999997</v>
      </c>
      <c r="AB170">
        <f>62.28356893</f>
        <v>62.283568930000001</v>
      </c>
      <c r="AC170">
        <f>64.10643554</f>
        <v>64.106435540000007</v>
      </c>
    </row>
    <row r="171" spans="1:29" x14ac:dyDescent="0.25">
      <c r="A171" t="str">
        <f>"    Atos SE"</f>
        <v xml:space="preserve">    Atos SE</v>
      </c>
      <c r="B171" t="str">
        <f>"ATO FP Equity"</f>
        <v>ATO FP Equity</v>
      </c>
      <c r="C171" t="str">
        <f t="shared" si="27"/>
        <v>RR159</v>
      </c>
      <c r="D171" t="str">
        <f t="shared" si="28"/>
        <v>ACCT_RCV_DAYS</v>
      </c>
      <c r="E171" t="str">
        <f t="shared" si="29"/>
        <v>Dynamic</v>
      </c>
      <c r="F171" t="str">
        <f ca="1">IF(AND(ISNUMBER($F$359),$B$202=1),$F$359,HLOOKUP(INDIRECT(ADDRESS(2,COLUMN())),OFFSET($R$2,0,0,ROW()-1,12),ROW()-1,FALSE))</f>
        <v/>
      </c>
      <c r="G171" t="str">
        <f ca="1">IF(AND(ISNUMBER($G$359),$B$202=1),$G$359,HLOOKUP(INDIRECT(ADDRESS(2,COLUMN())),OFFSET($R$2,0,0,ROW()-1,12),ROW()-1,FALSE))</f>
        <v/>
      </c>
      <c r="H171" t="str">
        <f ca="1">IF(AND(ISNUMBER($H$359),$B$202=1),$H$359,HLOOKUP(INDIRECT(ADDRESS(2,COLUMN())),OFFSET($R$2,0,0,ROW()-1,12),ROW()-1,FALSE))</f>
        <v/>
      </c>
      <c r="I171" t="str">
        <f ca="1">IF(AND(ISNUMBER($I$359),$B$202=1),$I$359,HLOOKUP(INDIRECT(ADDRESS(2,COLUMN())),OFFSET($R$2,0,0,ROW()-1,12),ROW()-1,FALSE))</f>
        <v/>
      </c>
      <c r="J171" t="str">
        <f ca="1">IF(AND(ISNUMBER($J$359),$B$202=1),$J$359,HLOOKUP(INDIRECT(ADDRESS(2,COLUMN())),OFFSET($R$2,0,0,ROW()-1,12),ROW()-1,FALSE))</f>
        <v/>
      </c>
      <c r="K171" t="str">
        <f ca="1">IF(AND(ISNUMBER($K$359),$B$202=1),$K$359,HLOOKUP(INDIRECT(ADDRESS(2,COLUMN())),OFFSET($R$2,0,0,ROW()-1,12),ROW()-1,FALSE))</f>
        <v/>
      </c>
      <c r="L171" t="str">
        <f ca="1">IF(AND(ISNUMBER($L$359),$B$202=1),$L$359,HLOOKUP(INDIRECT(ADDRESS(2,COLUMN())),OFFSET($R$2,0,0,ROW()-1,12),ROW()-1,FALSE))</f>
        <v/>
      </c>
      <c r="M171" t="str">
        <f ca="1">IF(AND(ISNUMBER($M$359),$B$202=1),$M$359,HLOOKUP(INDIRECT(ADDRESS(2,COLUMN())),OFFSET($R$2,0,0,ROW()-1,12),ROW()-1,FALSE))</f>
        <v/>
      </c>
      <c r="N171" t="str">
        <f ca="1">IF(AND(ISNUMBER($N$359),$B$202=1),$N$359,HLOOKUP(INDIRECT(ADDRESS(2,COLUMN())),OFFSET($R$2,0,0,ROW()-1,12),ROW()-1,FALSE))</f>
        <v/>
      </c>
      <c r="O171" t="str">
        <f ca="1">IF(AND(ISNUMBER($O$359),$B$202=1),$O$359,HLOOKUP(INDIRECT(ADDRESS(2,COLUMN())),OFFSET($R$2,0,0,ROW()-1,12),ROW()-1,FALSE))</f>
        <v/>
      </c>
      <c r="P171" t="str">
        <f ca="1">IF(AND(ISNUMBER($P$359),$B$202=1),$P$359,HLOOKUP(INDIRECT(ADDRESS(2,COLUMN())),OFFSET($R$2,0,0,ROW()-1,12),ROW()-1,FALSE))</f>
        <v/>
      </c>
      <c r="Q171" t="str">
        <f ca="1">IF(AND(ISNUMBER($Q$359),$B$202=1),$Q$359,HLOOKUP(INDIRECT(ADDRESS(2,COLUMN())),OFFSET($R$2,0,0,ROW()-1,12),ROW()-1,FALSE))</f>
        <v/>
      </c>
      <c r="R171" t="str">
        <f>""</f>
        <v/>
      </c>
      <c r="S171" t="str">
        <f>""</f>
        <v/>
      </c>
      <c r="T171" t="str">
        <f>""</f>
        <v/>
      </c>
      <c r="U171" t="str">
        <f>""</f>
        <v/>
      </c>
      <c r="V171" t="str">
        <f>""</f>
        <v/>
      </c>
      <c r="W171" t="str">
        <f>""</f>
        <v/>
      </c>
      <c r="X171" t="str">
        <f>""</f>
        <v/>
      </c>
      <c r="Y171" t="str">
        <f>""</f>
        <v/>
      </c>
      <c r="Z171" t="str">
        <f>""</f>
        <v/>
      </c>
      <c r="AA171" t="str">
        <f>""</f>
        <v/>
      </c>
      <c r="AB171" t="str">
        <f>""</f>
        <v/>
      </c>
      <c r="AC171" t="str">
        <f>""</f>
        <v/>
      </c>
    </row>
    <row r="172" spans="1:29" x14ac:dyDescent="0.25">
      <c r="A172" t="str">
        <f>"    Capgemini SE"</f>
        <v xml:space="preserve">    Capgemini SE</v>
      </c>
      <c r="B172" t="str">
        <f>"CAP FP Equity"</f>
        <v>CAP FP Equity</v>
      </c>
      <c r="C172" t="str">
        <f t="shared" si="27"/>
        <v>RR159</v>
      </c>
      <c r="D172" t="str">
        <f t="shared" si="28"/>
        <v>ACCT_RCV_DAYS</v>
      </c>
      <c r="E172" t="str">
        <f t="shared" si="29"/>
        <v>Dynamic</v>
      </c>
      <c r="F172" t="str">
        <f ca="1">IF(AND(ISNUMBER($F$360),$B$202=1),$F$360,HLOOKUP(INDIRECT(ADDRESS(2,COLUMN())),OFFSET($R$2,0,0,ROW()-1,12),ROW()-1,FALSE))</f>
        <v/>
      </c>
      <c r="G172" t="str">
        <f ca="1">IF(AND(ISNUMBER($G$360),$B$202=1),$G$360,HLOOKUP(INDIRECT(ADDRESS(2,COLUMN())),OFFSET($R$2,0,0,ROW()-1,12),ROW()-1,FALSE))</f>
        <v/>
      </c>
      <c r="H172" t="str">
        <f ca="1">IF(AND(ISNUMBER($H$360),$B$202=1),$H$360,HLOOKUP(INDIRECT(ADDRESS(2,COLUMN())),OFFSET($R$2,0,0,ROW()-1,12),ROW()-1,FALSE))</f>
        <v/>
      </c>
      <c r="I172" t="str">
        <f ca="1">IF(AND(ISNUMBER($I$360),$B$202=1),$I$360,HLOOKUP(INDIRECT(ADDRESS(2,COLUMN())),OFFSET($R$2,0,0,ROW()-1,12),ROW()-1,FALSE))</f>
        <v/>
      </c>
      <c r="J172" t="str">
        <f ca="1">IF(AND(ISNUMBER($J$360),$B$202=1),$J$360,HLOOKUP(INDIRECT(ADDRESS(2,COLUMN())),OFFSET($R$2,0,0,ROW()-1,12),ROW()-1,FALSE))</f>
        <v/>
      </c>
      <c r="K172" t="str">
        <f ca="1">IF(AND(ISNUMBER($K$360),$B$202=1),$K$360,HLOOKUP(INDIRECT(ADDRESS(2,COLUMN())),OFFSET($R$2,0,0,ROW()-1,12),ROW()-1,FALSE))</f>
        <v/>
      </c>
      <c r="L172" t="str">
        <f ca="1">IF(AND(ISNUMBER($L$360),$B$202=1),$L$360,HLOOKUP(INDIRECT(ADDRESS(2,COLUMN())),OFFSET($R$2,0,0,ROW()-1,12),ROW()-1,FALSE))</f>
        <v/>
      </c>
      <c r="M172" t="str">
        <f ca="1">IF(AND(ISNUMBER($M$360),$B$202=1),$M$360,HLOOKUP(INDIRECT(ADDRESS(2,COLUMN())),OFFSET($R$2,0,0,ROW()-1,12),ROW()-1,FALSE))</f>
        <v/>
      </c>
      <c r="N172" t="str">
        <f ca="1">IF(AND(ISNUMBER($N$360),$B$202=1),$N$360,HLOOKUP(INDIRECT(ADDRESS(2,COLUMN())),OFFSET($R$2,0,0,ROW()-1,12),ROW()-1,FALSE))</f>
        <v/>
      </c>
      <c r="O172" t="str">
        <f ca="1">IF(AND(ISNUMBER($O$360),$B$202=1),$O$360,HLOOKUP(INDIRECT(ADDRESS(2,COLUMN())),OFFSET($R$2,0,0,ROW()-1,12),ROW()-1,FALSE))</f>
        <v/>
      </c>
      <c r="P172" t="str">
        <f ca="1">IF(AND(ISNUMBER($P$360),$B$202=1),$P$360,HLOOKUP(INDIRECT(ADDRESS(2,COLUMN())),OFFSET($R$2,0,0,ROW()-1,12),ROW()-1,FALSE))</f>
        <v/>
      </c>
      <c r="Q172" t="str">
        <f ca="1">IF(AND(ISNUMBER($Q$360),$B$202=1),$Q$360,HLOOKUP(INDIRECT(ADDRESS(2,COLUMN())),OFFSET($R$2,0,0,ROW()-1,12),ROW()-1,FALSE))</f>
        <v/>
      </c>
      <c r="R172" t="str">
        <f>""</f>
        <v/>
      </c>
      <c r="S172" t="str">
        <f>""</f>
        <v/>
      </c>
      <c r="T172" t="str">
        <f>""</f>
        <v/>
      </c>
      <c r="U172" t="str">
        <f>""</f>
        <v/>
      </c>
      <c r="V172" t="str">
        <f>""</f>
        <v/>
      </c>
      <c r="W172" t="str">
        <f>""</f>
        <v/>
      </c>
      <c r="X172" t="str">
        <f>""</f>
        <v/>
      </c>
      <c r="Y172" t="str">
        <f>""</f>
        <v/>
      </c>
      <c r="Z172" t="str">
        <f>""</f>
        <v/>
      </c>
      <c r="AA172" t="str">
        <f>""</f>
        <v/>
      </c>
      <c r="AB172" t="str">
        <f>""</f>
        <v/>
      </c>
      <c r="AC172" t="str">
        <f>""</f>
        <v/>
      </c>
    </row>
    <row r="173" spans="1:29" x14ac:dyDescent="0.25">
      <c r="A173" t="str">
        <f>"    CGI Inc"</f>
        <v xml:space="preserve">    CGI Inc</v>
      </c>
      <c r="B173" t="str">
        <f>"GIB US Equity"</f>
        <v>GIB US Equity</v>
      </c>
      <c r="C173" t="str">
        <f t="shared" si="27"/>
        <v>RR159</v>
      </c>
      <c r="D173" t="str">
        <f t="shared" si="28"/>
        <v>ACCT_RCV_DAYS</v>
      </c>
      <c r="E173" t="str">
        <f t="shared" si="29"/>
        <v>Dynamic</v>
      </c>
      <c r="F173">
        <f ca="1">IF(AND(ISNUMBER($F$361),$B$202=1),$F$361,HLOOKUP(INDIRECT(ADDRESS(2,COLUMN())),OFFSET($R$2,0,0,ROW()-1,12),ROW()-1,FALSE))</f>
        <v>44.045891150000003</v>
      </c>
      <c r="G173">
        <f ca="1">IF(AND(ISNUMBER($G$361),$B$202=1),$G$361,HLOOKUP(INDIRECT(ADDRESS(2,COLUMN())),OFFSET($R$2,0,0,ROW()-1,12),ROW()-1,FALSE))</f>
        <v>46.114328700000002</v>
      </c>
      <c r="H173">
        <f ca="1">IF(AND(ISNUMBER($H$361),$B$202=1),$H$361,HLOOKUP(INDIRECT(ADDRESS(2,COLUMN())),OFFSET($R$2,0,0,ROW()-1,12),ROW()-1,FALSE))</f>
        <v>31.742115340000002</v>
      </c>
      <c r="I173" t="str">
        <f ca="1">IF(AND(ISNUMBER($I$361),$B$202=1),$I$361,HLOOKUP(INDIRECT(ADDRESS(2,COLUMN())),OFFSET($R$2,0,0,ROW()-1,12),ROW()-1,FALSE))</f>
        <v/>
      </c>
      <c r="J173">
        <f ca="1">IF(AND(ISNUMBER($J$361),$B$202=1),$J$361,HLOOKUP(INDIRECT(ADDRESS(2,COLUMN())),OFFSET($R$2,0,0,ROW()-1,12),ROW()-1,FALSE))</f>
        <v>43.460135430000001</v>
      </c>
      <c r="K173">
        <f ca="1">IF(AND(ISNUMBER($K$361),$B$202=1),$K$361,HLOOKUP(INDIRECT(ADDRESS(2,COLUMN())),OFFSET($R$2,0,0,ROW()-1,12),ROW()-1,FALSE))</f>
        <v>46.349088279999997</v>
      </c>
      <c r="L173">
        <f ca="1">IF(AND(ISNUMBER($L$361),$B$202=1),$L$361,HLOOKUP(INDIRECT(ADDRESS(2,COLUMN())),OFFSET($R$2,0,0,ROW()-1,12),ROW()-1,FALSE))</f>
        <v>32.644983740000001</v>
      </c>
      <c r="M173" t="str">
        <f ca="1">IF(AND(ISNUMBER($M$361),$B$202=1),$M$361,HLOOKUP(INDIRECT(ADDRESS(2,COLUMN())),OFFSET($R$2,0,0,ROW()-1,12),ROW()-1,FALSE))</f>
        <v/>
      </c>
      <c r="N173">
        <f ca="1">IF(AND(ISNUMBER($N$361),$B$202=1),$N$361,HLOOKUP(INDIRECT(ADDRESS(2,COLUMN())),OFFSET($R$2,0,0,ROW()-1,12),ROW()-1,FALSE))</f>
        <v>41.101784379999998</v>
      </c>
      <c r="O173">
        <f ca="1">IF(AND(ISNUMBER($O$361),$B$202=1),$O$361,HLOOKUP(INDIRECT(ADDRESS(2,COLUMN())),OFFSET($R$2,0,0,ROW()-1,12),ROW()-1,FALSE))</f>
        <v>44.192848429999998</v>
      </c>
      <c r="P173">
        <f ca="1">IF(AND(ISNUMBER($P$361),$B$202=1),$P$361,HLOOKUP(INDIRECT(ADDRESS(2,COLUMN())),OFFSET($R$2,0,0,ROW()-1,12),ROW()-1,FALSE))</f>
        <v>29.422203379999999</v>
      </c>
      <c r="Q173">
        <f ca="1">IF(AND(ISNUMBER($Q$361),$B$202=1),$Q$361,HLOOKUP(INDIRECT(ADDRESS(2,COLUMN())),OFFSET($R$2,0,0,ROW()-1,12),ROW()-1,FALSE))</f>
        <v>40.742852470000003</v>
      </c>
      <c r="R173">
        <f>44.04589115</f>
        <v>44.045891150000003</v>
      </c>
      <c r="S173">
        <f>46.1143287</f>
        <v>46.114328700000002</v>
      </c>
      <c r="T173">
        <f>31.74211534</f>
        <v>31.742115340000002</v>
      </c>
      <c r="U173" t="str">
        <f>""</f>
        <v/>
      </c>
      <c r="V173">
        <f>43.46013543</f>
        <v>43.460135430000001</v>
      </c>
      <c r="W173">
        <f>46.34908828</f>
        <v>46.349088279999997</v>
      </c>
      <c r="X173">
        <f>32.64498374</f>
        <v>32.644983740000001</v>
      </c>
      <c r="Y173" t="str">
        <f>""</f>
        <v/>
      </c>
      <c r="Z173">
        <f>41.10178438</f>
        <v>41.101784379999998</v>
      </c>
      <c r="AA173">
        <f>44.19284843</f>
        <v>44.192848429999998</v>
      </c>
      <c r="AB173">
        <f>29.42220338</f>
        <v>29.422203379999999</v>
      </c>
      <c r="AC173">
        <f>40.74285247</f>
        <v>40.742852470000003</v>
      </c>
    </row>
    <row r="174" spans="1:29" x14ac:dyDescent="0.25">
      <c r="A174" t="str">
        <f>"    Cognizant Technology Solutions Corp"</f>
        <v xml:space="preserve">    Cognizant Technology Solutions Corp</v>
      </c>
      <c r="B174" t="str">
        <f>"CTSH US Equity"</f>
        <v>CTSH US Equity</v>
      </c>
      <c r="C174" t="str">
        <f t="shared" si="27"/>
        <v>RR159</v>
      </c>
      <c r="D174" t="str">
        <f t="shared" si="28"/>
        <v>ACCT_RCV_DAYS</v>
      </c>
      <c r="E174" t="str">
        <f t="shared" si="29"/>
        <v>Dynamic</v>
      </c>
      <c r="F174">
        <f ca="1">IF(AND(ISNUMBER($F$362),$B$202=1),$F$362,HLOOKUP(INDIRECT(ADDRESS(2,COLUMN())),OFFSET($R$2,0,0,ROW()-1,12),ROW()-1,FALSE))</f>
        <v>71.443425259999998</v>
      </c>
      <c r="G174">
        <f ca="1">IF(AND(ISNUMBER($G$362),$B$202=1),$G$362,HLOOKUP(INDIRECT(ADDRESS(2,COLUMN())),OFFSET($R$2,0,0,ROW()-1,12),ROW()-1,FALSE))</f>
        <v>70.094440800000001</v>
      </c>
      <c r="H174">
        <f ca="1">IF(AND(ISNUMBER($H$362),$B$202=1),$H$362,HLOOKUP(INDIRECT(ADDRESS(2,COLUMN())),OFFSET($R$2,0,0,ROW()-1,12),ROW()-1,FALSE))</f>
        <v>72.712442870000004</v>
      </c>
      <c r="I174">
        <f ca="1">IF(AND(ISNUMBER($I$362),$B$202=1),$I$362,HLOOKUP(INDIRECT(ADDRESS(2,COLUMN())),OFFSET($R$2,0,0,ROW()-1,12),ROW()-1,FALSE))</f>
        <v>73.075404059999997</v>
      </c>
      <c r="J174">
        <f ca="1">IF(AND(ISNUMBER($J$362),$B$202=1),$J$362,HLOOKUP(INDIRECT(ADDRESS(2,COLUMN())),OFFSET($R$2,0,0,ROW()-1,12),ROW()-1,FALSE))</f>
        <v>72.91950009</v>
      </c>
      <c r="K174">
        <f ca="1">IF(AND(ISNUMBER($K$362),$B$202=1),$K$362,HLOOKUP(INDIRECT(ADDRESS(2,COLUMN())),OFFSET($R$2,0,0,ROW()-1,12),ROW()-1,FALSE))</f>
        <v>68.529457359999995</v>
      </c>
      <c r="L174">
        <f ca="1">IF(AND(ISNUMBER($L$362),$B$202=1),$L$362,HLOOKUP(INDIRECT(ADDRESS(2,COLUMN())),OFFSET($R$2,0,0,ROW()-1,12),ROW()-1,FALSE))</f>
        <v>70.075202219999994</v>
      </c>
      <c r="M174">
        <f ca="1">IF(AND(ISNUMBER($M$362),$B$202=1),$M$362,HLOOKUP(INDIRECT(ADDRESS(2,COLUMN())),OFFSET($R$2,0,0,ROW()-1,12),ROW()-1,FALSE))</f>
        <v>69.225760699999995</v>
      </c>
      <c r="N174">
        <f ca="1">IF(AND(ISNUMBER($N$362),$B$202=1),$N$362,HLOOKUP(INDIRECT(ADDRESS(2,COLUMN())),OFFSET($R$2,0,0,ROW()-1,12),ROW()-1,FALSE))</f>
        <v>69.616005540000003</v>
      </c>
      <c r="O174">
        <f ca="1">IF(AND(ISNUMBER($O$362),$B$202=1),$O$362,HLOOKUP(INDIRECT(ADDRESS(2,COLUMN())),OFFSET($R$2,0,0,ROW()-1,12),ROW()-1,FALSE))</f>
        <v>66.801654290000002</v>
      </c>
      <c r="P174">
        <f ca="1">IF(AND(ISNUMBER($P$362),$B$202=1),$P$362,HLOOKUP(INDIRECT(ADDRESS(2,COLUMN())),OFFSET($R$2,0,0,ROW()-1,12),ROW()-1,FALSE))</f>
        <v>67.99022085</v>
      </c>
      <c r="Q174">
        <f ca="1">IF(AND(ISNUMBER($Q$362),$B$202=1),$Q$362,HLOOKUP(INDIRECT(ADDRESS(2,COLUMN())),OFFSET($R$2,0,0,ROW()-1,12),ROW()-1,FALSE))</f>
        <v>65.961396930000006</v>
      </c>
      <c r="R174">
        <f>71.44342526</f>
        <v>71.443425259999998</v>
      </c>
      <c r="S174">
        <f>70.0944408</f>
        <v>70.094440800000001</v>
      </c>
      <c r="T174">
        <f>72.71244287</f>
        <v>72.712442870000004</v>
      </c>
      <c r="U174">
        <f>73.07540406</f>
        <v>73.075404059999997</v>
      </c>
      <c r="V174">
        <f>72.91950009</f>
        <v>72.91950009</v>
      </c>
      <c r="W174">
        <f>68.52945736</f>
        <v>68.529457359999995</v>
      </c>
      <c r="X174">
        <f>70.07520222</f>
        <v>70.075202219999994</v>
      </c>
      <c r="Y174">
        <f>69.2257607</f>
        <v>69.225760699999995</v>
      </c>
      <c r="Z174">
        <f>69.61600554</f>
        <v>69.616005540000003</v>
      </c>
      <c r="AA174">
        <f>66.80165429</f>
        <v>66.801654290000002</v>
      </c>
      <c r="AB174">
        <f>67.99022085</f>
        <v>67.99022085</v>
      </c>
      <c r="AC174">
        <f>65.96139693</f>
        <v>65.961396930000006</v>
      </c>
    </row>
    <row r="175" spans="1:29" x14ac:dyDescent="0.25">
      <c r="A175" t="str">
        <f>"    Conduent Inc"</f>
        <v xml:space="preserve">    Conduent Inc</v>
      </c>
      <c r="B175" t="str">
        <f>"CNDT US Equity"</f>
        <v>CNDT US Equity</v>
      </c>
      <c r="C175" t="str">
        <f t="shared" si="27"/>
        <v>RR159</v>
      </c>
      <c r="D175" t="str">
        <f t="shared" si="28"/>
        <v>ACCT_RCV_DAYS</v>
      </c>
      <c r="E175" t="str">
        <f t="shared" si="29"/>
        <v>Dynamic</v>
      </c>
      <c r="F175">
        <f ca="1">IF(AND(ISNUMBER($F$363),$B$202=1),$F$363,HLOOKUP(INDIRECT(ADDRESS(2,COLUMN())),OFFSET($R$2,0,0,ROW()-1,12),ROW()-1,FALSE))</f>
        <v>63.37844037</v>
      </c>
      <c r="G175">
        <f ca="1">IF(AND(ISNUMBER($G$363),$B$202=1),$G$363,HLOOKUP(INDIRECT(ADDRESS(2,COLUMN())),OFFSET($R$2,0,0,ROW()-1,12),ROW()-1,FALSE))</f>
        <v>58.586299529999998</v>
      </c>
      <c r="H175">
        <f ca="1">IF(AND(ISNUMBER($H$363),$B$202=1),$H$363,HLOOKUP(INDIRECT(ADDRESS(2,COLUMN())),OFFSET($R$2,0,0,ROW()-1,12),ROW()-1,FALSE))</f>
        <v>70.291935480000006</v>
      </c>
      <c r="I175">
        <f ca="1">IF(AND(ISNUMBER($I$363),$B$202=1),$I$363,HLOOKUP(INDIRECT(ADDRESS(2,COLUMN())),OFFSET($R$2,0,0,ROW()-1,12),ROW()-1,FALSE))</f>
        <v>65.919481050000002</v>
      </c>
      <c r="J175">
        <f ca="1">IF(AND(ISNUMBER($J$363),$B$202=1),$J$363,HLOOKUP(INDIRECT(ADDRESS(2,COLUMN())),OFFSET($R$2,0,0,ROW()-1,12),ROW()-1,FALSE))</f>
        <v>65.658740989999998</v>
      </c>
      <c r="K175">
        <f ca="1">IF(AND(ISNUMBER($K$363),$B$202=1),$K$363,HLOOKUP(INDIRECT(ADDRESS(2,COLUMN())),OFFSET($R$2,0,0,ROW()-1,12),ROW()-1,FALSE))</f>
        <v>64.194789540000002</v>
      </c>
      <c r="L175">
        <f ca="1">IF(AND(ISNUMBER($L$363),$B$202=1),$L$363,HLOOKUP(INDIRECT(ADDRESS(2,COLUMN())),OFFSET($R$2,0,0,ROW()-1,12),ROW()-1,FALSE))</f>
        <v>76.920949320000005</v>
      </c>
      <c r="M175">
        <f ca="1">IF(AND(ISNUMBER($M$363),$B$202=1),$M$363,HLOOKUP(INDIRECT(ADDRESS(2,COLUMN())),OFFSET($R$2,0,0,ROW()-1,12),ROW()-1,FALSE))</f>
        <v>73.978806230000004</v>
      </c>
      <c r="N175">
        <f ca="1">IF(AND(ISNUMBER($N$363),$B$202=1),$N$363,HLOOKUP(INDIRECT(ADDRESS(2,COLUMN())),OFFSET($R$2,0,0,ROW()-1,12),ROW()-1,FALSE))</f>
        <v>75.429614540000003</v>
      </c>
      <c r="O175">
        <f ca="1">IF(AND(ISNUMBER($O$363),$B$202=1),$O$363,HLOOKUP(INDIRECT(ADDRESS(2,COLUMN())),OFFSET($R$2,0,0,ROW()-1,12),ROW()-1,FALSE))</f>
        <v>72.763616740000003</v>
      </c>
      <c r="P175">
        <f ca="1">IF(AND(ISNUMBER($P$363),$B$202=1),$P$363,HLOOKUP(INDIRECT(ADDRESS(2,COLUMN())),OFFSET($R$2,0,0,ROW()-1,12),ROW()-1,FALSE))</f>
        <v>85.496855870000005</v>
      </c>
      <c r="Q175">
        <f ca="1">IF(AND(ISNUMBER($Q$363),$B$202=1),$Q$363,HLOOKUP(INDIRECT(ADDRESS(2,COLUMN())),OFFSET($R$2,0,0,ROW()-1,12),ROW()-1,FALSE))</f>
        <v>82.819857119999995</v>
      </c>
      <c r="R175">
        <f>63.37844037</f>
        <v>63.37844037</v>
      </c>
      <c r="S175">
        <f>58.58629953</f>
        <v>58.586299529999998</v>
      </c>
      <c r="T175">
        <f>70.29193548</f>
        <v>70.291935480000006</v>
      </c>
      <c r="U175">
        <f>65.91948105</f>
        <v>65.919481050000002</v>
      </c>
      <c r="V175">
        <f>65.65874099</f>
        <v>65.658740989999998</v>
      </c>
      <c r="W175">
        <f>64.19478954</f>
        <v>64.194789540000002</v>
      </c>
      <c r="X175">
        <f>76.92094932</f>
        <v>76.920949320000005</v>
      </c>
      <c r="Y175">
        <f>73.97880623</f>
        <v>73.978806230000004</v>
      </c>
      <c r="Z175">
        <f>75.42961454</f>
        <v>75.429614540000003</v>
      </c>
      <c r="AA175">
        <f>72.76361674</f>
        <v>72.763616740000003</v>
      </c>
      <c r="AB175">
        <f>85.49685587</f>
        <v>85.496855870000005</v>
      </c>
      <c r="AC175">
        <f>82.81985712</f>
        <v>82.819857119999995</v>
      </c>
    </row>
    <row r="176" spans="1:29" x14ac:dyDescent="0.25">
      <c r="A176" t="str">
        <f>"    DXC Technology Co"</f>
        <v xml:space="preserve">    DXC Technology Co</v>
      </c>
      <c r="B176" t="str">
        <f>"DXC US Equity"</f>
        <v>DXC US Equity</v>
      </c>
      <c r="C176" t="str">
        <f t="shared" si="27"/>
        <v>RR159</v>
      </c>
      <c r="D176" t="str">
        <f t="shared" si="28"/>
        <v>ACCT_RCV_DAYS</v>
      </c>
      <c r="E176" t="str">
        <f t="shared" si="29"/>
        <v>Dynamic</v>
      </c>
      <c r="F176">
        <f ca="1">IF(AND(ISNUMBER($F$364),$B$202=1),$F$364,HLOOKUP(INDIRECT(ADDRESS(2,COLUMN())),OFFSET($R$2,0,0,ROW()-1,12),ROW()-1,FALSE))</f>
        <v>43.018133519999999</v>
      </c>
      <c r="G176">
        <f ca="1">IF(AND(ISNUMBER($G$364),$B$202=1),$G$364,HLOOKUP(INDIRECT(ADDRESS(2,COLUMN())),OFFSET($R$2,0,0,ROW()-1,12),ROW()-1,FALSE))</f>
        <v>88.463601440000005</v>
      </c>
      <c r="H176">
        <f ca="1">IF(AND(ISNUMBER($H$364),$B$202=1),$H$364,HLOOKUP(INDIRECT(ADDRESS(2,COLUMN())),OFFSET($R$2,0,0,ROW()-1,12),ROW()-1,FALSE))</f>
        <v>86.185826030000001</v>
      </c>
      <c r="I176">
        <f ca="1">IF(AND(ISNUMBER($I$364),$B$202=1),$I$364,HLOOKUP(INDIRECT(ADDRESS(2,COLUMN())),OFFSET($R$2,0,0,ROW()-1,12),ROW()-1,FALSE))</f>
        <v>94.158562939999996</v>
      </c>
      <c r="J176">
        <f ca="1">IF(AND(ISNUMBER($J$364),$B$202=1),$J$364,HLOOKUP(INDIRECT(ADDRESS(2,COLUMN())),OFFSET($R$2,0,0,ROW()-1,12),ROW()-1,FALSE))</f>
        <v>49.40418253</v>
      </c>
      <c r="K176">
        <f ca="1">IF(AND(ISNUMBER($K$364),$B$202=1),$K$364,HLOOKUP(INDIRECT(ADDRESS(2,COLUMN())),OFFSET($R$2,0,0,ROW()-1,12),ROW()-1,FALSE))</f>
        <v>92.797050859999999</v>
      </c>
      <c r="L176">
        <f ca="1">IF(AND(ISNUMBER($L$364),$B$202=1),$L$364,HLOOKUP(INDIRECT(ADDRESS(2,COLUMN())),OFFSET($R$2,0,0,ROW()-1,12),ROW()-1,FALSE))</f>
        <v>90.689816769999993</v>
      </c>
      <c r="M176">
        <f ca="1">IF(AND(ISNUMBER($M$364),$B$202=1),$M$364,HLOOKUP(INDIRECT(ADDRESS(2,COLUMN())),OFFSET($R$2,0,0,ROW()-1,12),ROW()-1,FALSE))</f>
        <v>92.569792000000007</v>
      </c>
      <c r="N176">
        <f ca="1">IF(AND(ISNUMBER($N$364),$B$202=1),$N$364,HLOOKUP(INDIRECT(ADDRESS(2,COLUMN())),OFFSET($R$2,0,0,ROW()-1,12),ROW()-1,FALSE))</f>
        <v>68.992775960000003</v>
      </c>
      <c r="O176" t="str">
        <f ca="1">IF(AND(ISNUMBER($O$364),$B$202=1),$O$364,HLOOKUP(INDIRECT(ADDRESS(2,COLUMN())),OFFSET($R$2,0,0,ROW()-1,12),ROW()-1,FALSE))</f>
        <v/>
      </c>
      <c r="P176" t="str">
        <f ca="1">IF(AND(ISNUMBER($P$364),$B$202=1),$P$364,HLOOKUP(INDIRECT(ADDRESS(2,COLUMN())),OFFSET($R$2,0,0,ROW()-1,12),ROW()-1,FALSE))</f>
        <v/>
      </c>
      <c r="Q176" t="str">
        <f ca="1">IF(AND(ISNUMBER($Q$364),$B$202=1),$Q$364,HLOOKUP(INDIRECT(ADDRESS(2,COLUMN())),OFFSET($R$2,0,0,ROW()-1,12),ROW()-1,FALSE))</f>
        <v/>
      </c>
      <c r="R176">
        <f>43.01813352</f>
        <v>43.018133519999999</v>
      </c>
      <c r="S176">
        <f>88.46360144</f>
        <v>88.463601440000005</v>
      </c>
      <c r="T176">
        <f>86.18582603</f>
        <v>86.185826030000001</v>
      </c>
      <c r="U176">
        <f>94.15856294</f>
        <v>94.158562939999996</v>
      </c>
      <c r="V176">
        <f>49.40418253</f>
        <v>49.40418253</v>
      </c>
      <c r="W176">
        <f>92.79705086</f>
        <v>92.797050859999999</v>
      </c>
      <c r="X176">
        <f>90.68981677</f>
        <v>90.689816769999993</v>
      </c>
      <c r="Y176">
        <f>92.569792</f>
        <v>92.569792000000007</v>
      </c>
      <c r="Z176">
        <f>68.99277596</f>
        <v>68.992775960000003</v>
      </c>
      <c r="AA176" t="str">
        <f>""</f>
        <v/>
      </c>
      <c r="AB176" t="str">
        <f>""</f>
        <v/>
      </c>
      <c r="AC176" t="str">
        <f>""</f>
        <v/>
      </c>
    </row>
    <row r="177" spans="1:29" x14ac:dyDescent="0.25">
      <c r="A177" t="str">
        <f>"    EPAM Systems Inc"</f>
        <v xml:space="preserve">    EPAM Systems Inc</v>
      </c>
      <c r="B177" t="str">
        <f>"EPAM US Equity"</f>
        <v>EPAM US Equity</v>
      </c>
      <c r="C177" t="str">
        <f t="shared" si="27"/>
        <v>RR159</v>
      </c>
      <c r="D177" t="str">
        <f t="shared" si="28"/>
        <v>ACCT_RCV_DAYS</v>
      </c>
      <c r="E177" t="str">
        <f t="shared" si="29"/>
        <v>Dynamic</v>
      </c>
      <c r="F177">
        <f ca="1">IF(AND(ISNUMBER($F$365),$B$202=1),$F$365,HLOOKUP(INDIRECT(ADDRESS(2,COLUMN())),OFFSET($R$2,0,0,ROW()-1,12),ROW()-1,FALSE))</f>
        <v>64.167901630000003</v>
      </c>
      <c r="G177">
        <f ca="1">IF(AND(ISNUMBER($G$365),$B$202=1),$G$365,HLOOKUP(INDIRECT(ADDRESS(2,COLUMN())),OFFSET($R$2,0,0,ROW()-1,12),ROW()-1,FALSE))</f>
        <v>63.283986859999999</v>
      </c>
      <c r="H177">
        <f ca="1">IF(AND(ISNUMBER($H$365),$B$202=1),$H$365,HLOOKUP(INDIRECT(ADDRESS(2,COLUMN())),OFFSET($R$2,0,0,ROW()-1,12),ROW()-1,FALSE))</f>
        <v>52.357210729999998</v>
      </c>
      <c r="I177">
        <f ca="1">IF(AND(ISNUMBER($I$365),$B$202=1),$I$365,HLOOKUP(INDIRECT(ADDRESS(2,COLUMN())),OFFSET($R$2,0,0,ROW()-1,12),ROW()-1,FALSE))</f>
        <v>55.91436641</v>
      </c>
      <c r="J177">
        <f ca="1">IF(AND(ISNUMBER($J$365),$B$202=1),$J$365,HLOOKUP(INDIRECT(ADDRESS(2,COLUMN())),OFFSET($R$2,0,0,ROW()-1,12),ROW()-1,FALSE))</f>
        <v>53.571137159999999</v>
      </c>
      <c r="K177">
        <f ca="1">IF(AND(ISNUMBER($K$365),$B$202=1),$K$365,HLOOKUP(INDIRECT(ADDRESS(2,COLUMN())),OFFSET($R$2,0,0,ROW()-1,12),ROW()-1,FALSE))</f>
        <v>55.784882840000002</v>
      </c>
      <c r="L177">
        <f ca="1">IF(AND(ISNUMBER($L$365),$B$202=1),$L$365,HLOOKUP(INDIRECT(ADDRESS(2,COLUMN())),OFFSET($R$2,0,0,ROW()-1,12),ROW()-1,FALSE))</f>
        <v>53.826783910000003</v>
      </c>
      <c r="M177">
        <f ca="1">IF(AND(ISNUMBER($M$365),$B$202=1),$M$365,HLOOKUP(INDIRECT(ADDRESS(2,COLUMN())),OFFSET($R$2,0,0,ROW()-1,12),ROW()-1,FALSE))</f>
        <v>54.449585970000001</v>
      </c>
      <c r="N177">
        <f ca="1">IF(AND(ISNUMBER($N$365),$B$202=1),$N$365,HLOOKUP(INDIRECT(ADDRESS(2,COLUMN())),OFFSET($R$2,0,0,ROW()-1,12),ROW()-1,FALSE))</f>
        <v>51.688306679999997</v>
      </c>
      <c r="O177">
        <f ca="1">IF(AND(ISNUMBER($O$365),$B$202=1),$O$365,HLOOKUP(INDIRECT(ADDRESS(2,COLUMN())),OFFSET($R$2,0,0,ROW()-1,12),ROW()-1,FALSE))</f>
        <v>58.585921380000002</v>
      </c>
      <c r="P177">
        <f ca="1">IF(AND(ISNUMBER($P$365),$B$202=1),$P$365,HLOOKUP(INDIRECT(ADDRESS(2,COLUMN())),OFFSET($R$2,0,0,ROW()-1,12),ROW()-1,FALSE))</f>
        <v>55.893296280000001</v>
      </c>
      <c r="Q177">
        <f ca="1">IF(AND(ISNUMBER($Q$365),$B$202=1),$Q$365,HLOOKUP(INDIRECT(ADDRESS(2,COLUMN())),OFFSET($R$2,0,0,ROW()-1,12),ROW()-1,FALSE))</f>
        <v>54.953761180000001</v>
      </c>
      <c r="R177">
        <f>64.16790163</f>
        <v>64.167901630000003</v>
      </c>
      <c r="S177">
        <f>63.28398686</f>
        <v>63.283986859999999</v>
      </c>
      <c r="T177">
        <f>52.35721073</f>
        <v>52.357210729999998</v>
      </c>
      <c r="U177">
        <f>55.91436641</f>
        <v>55.91436641</v>
      </c>
      <c r="V177">
        <f>53.57113716</f>
        <v>53.571137159999999</v>
      </c>
      <c r="W177">
        <f>55.78488284</f>
        <v>55.784882840000002</v>
      </c>
      <c r="X177">
        <f>53.82678391</f>
        <v>53.826783910000003</v>
      </c>
      <c r="Y177">
        <f>54.44958597</f>
        <v>54.449585970000001</v>
      </c>
      <c r="Z177">
        <f>51.68830668</f>
        <v>51.688306679999997</v>
      </c>
      <c r="AA177">
        <f>58.58592138</f>
        <v>58.585921380000002</v>
      </c>
      <c r="AB177">
        <f>55.89329628</f>
        <v>55.893296280000001</v>
      </c>
      <c r="AC177">
        <f>54.95376118</f>
        <v>54.953761180000001</v>
      </c>
    </row>
    <row r="178" spans="1:29" x14ac:dyDescent="0.25">
      <c r="A178" t="str">
        <f>"    Genpact Ltd"</f>
        <v xml:space="preserve">    Genpact Ltd</v>
      </c>
      <c r="B178" t="str">
        <f>"G US Equity"</f>
        <v>G US Equity</v>
      </c>
      <c r="C178" t="str">
        <f t="shared" si="27"/>
        <v>RR159</v>
      </c>
      <c r="D178" t="str">
        <f t="shared" si="28"/>
        <v>ACCT_RCV_DAYS</v>
      </c>
      <c r="E178" t="str">
        <f t="shared" si="29"/>
        <v>Dynamic</v>
      </c>
      <c r="F178">
        <f ca="1">IF(AND(ISNUMBER($F$366),$B$202=1),$F$366,HLOOKUP(INDIRECT(ADDRESS(2,COLUMN())),OFFSET($R$2,0,0,ROW()-1,12),ROW()-1,FALSE))</f>
        <v>88.110536740000001</v>
      </c>
      <c r="G178">
        <f ca="1">IF(AND(ISNUMBER($G$366),$B$202=1),$G$366,HLOOKUP(INDIRECT(ADDRESS(2,COLUMN())),OFFSET($R$2,0,0,ROW()-1,12),ROW()-1,FALSE))</f>
        <v>87.526304179999997</v>
      </c>
      <c r="H178">
        <f ca="1">IF(AND(ISNUMBER($H$366),$B$202=1),$H$366,HLOOKUP(INDIRECT(ADDRESS(2,COLUMN())),OFFSET($R$2,0,0,ROW()-1,12),ROW()-1,FALSE))</f>
        <v>84.073508050000001</v>
      </c>
      <c r="I178">
        <f ca="1">IF(AND(ISNUMBER($I$366),$B$202=1),$I$366,HLOOKUP(INDIRECT(ADDRESS(2,COLUMN())),OFFSET($R$2,0,0,ROW()-1,12),ROW()-1,FALSE))</f>
        <v>86.277614880000002</v>
      </c>
      <c r="J178">
        <f ca="1">IF(AND(ISNUMBER($J$366),$B$202=1),$J$366,HLOOKUP(INDIRECT(ADDRESS(2,COLUMN())),OFFSET($R$2,0,0,ROW()-1,12),ROW()-1,FALSE))</f>
        <v>90.169179999999997</v>
      </c>
      <c r="K178">
        <f ca="1">IF(AND(ISNUMBER($K$366),$B$202=1),$K$366,HLOOKUP(INDIRECT(ADDRESS(2,COLUMN())),OFFSET($R$2,0,0,ROW()-1,12),ROW()-1,FALSE))</f>
        <v>89.235365520000002</v>
      </c>
      <c r="L178">
        <f ca="1">IF(AND(ISNUMBER($L$366),$B$202=1),$L$366,HLOOKUP(INDIRECT(ADDRESS(2,COLUMN())),OFFSET($R$2,0,0,ROW()-1,12),ROW()-1,FALSE))</f>
        <v>86.895282850000001</v>
      </c>
      <c r="M178">
        <f ca="1">IF(AND(ISNUMBER($M$366),$B$202=1),$M$366,HLOOKUP(INDIRECT(ADDRESS(2,COLUMN())),OFFSET($R$2,0,0,ROW()-1,12),ROW()-1,FALSE))</f>
        <v>84.781470330000005</v>
      </c>
      <c r="N178">
        <f ca="1">IF(AND(ISNUMBER($N$366),$B$202=1),$N$366,HLOOKUP(INDIRECT(ADDRESS(2,COLUMN())),OFFSET($R$2,0,0,ROW()-1,12),ROW()-1,FALSE))</f>
        <v>85.032678390000001</v>
      </c>
      <c r="O178">
        <f ca="1">IF(AND(ISNUMBER($O$366),$B$202=1),$O$366,HLOOKUP(INDIRECT(ADDRESS(2,COLUMN())),OFFSET($R$2,0,0,ROW()-1,12),ROW()-1,FALSE))</f>
        <v>87.241530560000001</v>
      </c>
      <c r="P178">
        <f ca="1">IF(AND(ISNUMBER($P$366),$B$202=1),$P$366,HLOOKUP(INDIRECT(ADDRESS(2,COLUMN())),OFFSET($R$2,0,0,ROW()-1,12),ROW()-1,FALSE))</f>
        <v>87.040299329999996</v>
      </c>
      <c r="Q178">
        <f ca="1">IF(AND(ISNUMBER($Q$366),$B$202=1),$Q$366,HLOOKUP(INDIRECT(ADDRESS(2,COLUMN())),OFFSET($R$2,0,0,ROW()-1,12),ROW()-1,FALSE))</f>
        <v>85.945847000000001</v>
      </c>
      <c r="R178">
        <f>88.11053674</f>
        <v>88.110536740000001</v>
      </c>
      <c r="S178">
        <f>87.52630418</f>
        <v>87.526304179999997</v>
      </c>
      <c r="T178">
        <f>84.07350805</f>
        <v>84.073508050000001</v>
      </c>
      <c r="U178">
        <f>86.27761488</f>
        <v>86.277614880000002</v>
      </c>
      <c r="V178">
        <f>90.16918</f>
        <v>90.169179999999997</v>
      </c>
      <c r="W178">
        <f>89.23536552</f>
        <v>89.235365520000002</v>
      </c>
      <c r="X178">
        <f>86.89528285</f>
        <v>86.895282850000001</v>
      </c>
      <c r="Y178">
        <f>84.78147033</f>
        <v>84.781470330000005</v>
      </c>
      <c r="Z178">
        <f>85.03267839</f>
        <v>85.032678390000001</v>
      </c>
      <c r="AA178">
        <f>87.24153056</f>
        <v>87.241530560000001</v>
      </c>
      <c r="AB178">
        <f>87.04029933</f>
        <v>87.040299329999996</v>
      </c>
      <c r="AC178">
        <f>85.945847</f>
        <v>85.945847000000001</v>
      </c>
    </row>
    <row r="179" spans="1:29" x14ac:dyDescent="0.25">
      <c r="A179" t="str">
        <f>"    HCL Technologies Ltd"</f>
        <v xml:space="preserve">    HCL Technologies Ltd</v>
      </c>
      <c r="B179" t="str">
        <f>"HCLT IN Equity"</f>
        <v>HCLT IN Equity</v>
      </c>
      <c r="C179" t="str">
        <f t="shared" si="27"/>
        <v>RR159</v>
      </c>
      <c r="D179" t="str">
        <f t="shared" si="28"/>
        <v>ACCT_RCV_DAYS</v>
      </c>
      <c r="E179" t="str">
        <f t="shared" si="29"/>
        <v>Dynamic</v>
      </c>
      <c r="F179">
        <f ca="1">IF(AND(ISNUMBER($F$367),$B$202=1),$F$367,HLOOKUP(INDIRECT(ADDRESS(2,COLUMN())),OFFSET($R$2,0,0,ROW()-1,12),ROW()-1,FALSE))</f>
        <v>65.595443840000002</v>
      </c>
      <c r="G179">
        <f ca="1">IF(AND(ISNUMBER($G$367),$B$202=1),$G$367,HLOOKUP(INDIRECT(ADDRESS(2,COLUMN())),OFFSET($R$2,0,0,ROW()-1,12),ROW()-1,FALSE))</f>
        <v>65.306631580000001</v>
      </c>
      <c r="H179">
        <f ca="1">IF(AND(ISNUMBER($H$367),$B$202=1),$H$367,HLOOKUP(INDIRECT(ADDRESS(2,COLUMN())),OFFSET($R$2,0,0,ROW()-1,12),ROW()-1,FALSE))</f>
        <v>67.281529719999995</v>
      </c>
      <c r="I179">
        <f ca="1">IF(AND(ISNUMBER($I$367),$B$202=1),$I$367,HLOOKUP(INDIRECT(ADDRESS(2,COLUMN())),OFFSET($R$2,0,0,ROW()-1,12),ROW()-1,FALSE))</f>
        <v>65.280769449999994</v>
      </c>
      <c r="J179">
        <f ca="1">IF(AND(ISNUMBER($J$367),$B$202=1),$J$367,HLOOKUP(INDIRECT(ADDRESS(2,COLUMN())),OFFSET($R$2,0,0,ROW()-1,12),ROW()-1,FALSE))</f>
        <v>67.086549969999993</v>
      </c>
      <c r="K179">
        <f ca="1">IF(AND(ISNUMBER($K$367),$B$202=1),$K$367,HLOOKUP(INDIRECT(ADDRESS(2,COLUMN())),OFFSET($R$2,0,0,ROW()-1,12),ROW()-1,FALSE))</f>
        <v>66.564257299999994</v>
      </c>
      <c r="L179">
        <f ca="1">IF(AND(ISNUMBER($L$367),$B$202=1),$L$367,HLOOKUP(INDIRECT(ADDRESS(2,COLUMN())),OFFSET($R$2,0,0,ROW()-1,12),ROW()-1,FALSE))</f>
        <v>63.676725329999996</v>
      </c>
      <c r="M179">
        <f ca="1">IF(AND(ISNUMBER($M$367),$B$202=1),$M$367,HLOOKUP(INDIRECT(ADDRESS(2,COLUMN())),OFFSET($R$2,0,0,ROW()-1,12),ROW()-1,FALSE))</f>
        <v>64.337437879999996</v>
      </c>
      <c r="N179">
        <f ca="1">IF(AND(ISNUMBER($N$367),$B$202=1),$N$367,HLOOKUP(INDIRECT(ADDRESS(2,COLUMN())),OFFSET($R$2,0,0,ROW()-1,12),ROW()-1,FALSE))</f>
        <v>64.715116550000005</v>
      </c>
      <c r="O179" t="str">
        <f ca="1">IF(AND(ISNUMBER($O$367),$B$202=1),$O$367,HLOOKUP(INDIRECT(ADDRESS(2,COLUMN())),OFFSET($R$2,0,0,ROW()-1,12),ROW()-1,FALSE))</f>
        <v/>
      </c>
      <c r="P179">
        <f ca="1">IF(AND(ISNUMBER($P$367),$B$202=1),$P$367,HLOOKUP(INDIRECT(ADDRESS(2,COLUMN())),OFFSET($R$2,0,0,ROW()-1,12),ROW()-1,FALSE))</f>
        <v>61.85449363</v>
      </c>
      <c r="Q179" t="str">
        <f ca="1">IF(AND(ISNUMBER($Q$367),$B$202=1),$Q$367,HLOOKUP(INDIRECT(ADDRESS(2,COLUMN())),OFFSET($R$2,0,0,ROW()-1,12),ROW()-1,FALSE))</f>
        <v/>
      </c>
      <c r="R179">
        <f>65.59544384</f>
        <v>65.595443840000002</v>
      </c>
      <c r="S179">
        <f>65.30663158</f>
        <v>65.306631580000001</v>
      </c>
      <c r="T179">
        <f>67.28152972</f>
        <v>67.281529719999995</v>
      </c>
      <c r="U179">
        <f>65.28076945</f>
        <v>65.280769449999994</v>
      </c>
      <c r="V179">
        <f>67.08654997</f>
        <v>67.086549969999993</v>
      </c>
      <c r="W179">
        <f>66.5642573</f>
        <v>66.564257299999994</v>
      </c>
      <c r="X179">
        <f>63.67672533</f>
        <v>63.676725329999996</v>
      </c>
      <c r="Y179">
        <f>64.33743788</f>
        <v>64.337437879999996</v>
      </c>
      <c r="Z179">
        <f>64.71511655</f>
        <v>64.715116550000005</v>
      </c>
      <c r="AA179" t="str">
        <f>""</f>
        <v/>
      </c>
      <c r="AB179">
        <f>61.85449363</f>
        <v>61.85449363</v>
      </c>
      <c r="AC179" t="str">
        <f>""</f>
        <v/>
      </c>
    </row>
    <row r="180" spans="1:29" x14ac:dyDescent="0.25">
      <c r="A180" t="str">
        <f>"    Indra Sistemas SA"</f>
        <v xml:space="preserve">    Indra Sistemas SA</v>
      </c>
      <c r="B180" t="str">
        <f>"IDR SM Equity"</f>
        <v>IDR SM Equity</v>
      </c>
      <c r="C180" t="str">
        <f t="shared" si="27"/>
        <v>RR159</v>
      </c>
      <c r="D180" t="str">
        <f t="shared" si="28"/>
        <v>ACCT_RCV_DAYS</v>
      </c>
      <c r="E180" t="str">
        <f t="shared" si="29"/>
        <v>Dynamic</v>
      </c>
      <c r="F180" t="str">
        <f ca="1">IF(AND(ISNUMBER($F$368),$B$202=1),$F$368,HLOOKUP(INDIRECT(ADDRESS(2,COLUMN())),OFFSET($R$2,0,0,ROW()-1,12),ROW()-1,FALSE))</f>
        <v/>
      </c>
      <c r="G180">
        <f ca="1">IF(AND(ISNUMBER($G$368),$B$202=1),$G$368,HLOOKUP(INDIRECT(ADDRESS(2,COLUMN())),OFFSET($R$2,0,0,ROW()-1,12),ROW()-1,FALSE))</f>
        <v>112.9156717</v>
      </c>
      <c r="H180" t="str">
        <f ca="1">IF(AND(ISNUMBER($H$368),$B$202=1),$H$368,HLOOKUP(INDIRECT(ADDRESS(2,COLUMN())),OFFSET($R$2,0,0,ROW()-1,12),ROW()-1,FALSE))</f>
        <v/>
      </c>
      <c r="I180">
        <f ca="1">IF(AND(ISNUMBER($I$368),$B$202=1),$I$368,HLOOKUP(INDIRECT(ADDRESS(2,COLUMN())),OFFSET($R$2,0,0,ROW()-1,12),ROW()-1,FALSE))</f>
        <v>119.0543134</v>
      </c>
      <c r="J180" t="str">
        <f ca="1">IF(AND(ISNUMBER($J$368),$B$202=1),$J$368,HLOOKUP(INDIRECT(ADDRESS(2,COLUMN())),OFFSET($R$2,0,0,ROW()-1,12),ROW()-1,FALSE))</f>
        <v/>
      </c>
      <c r="K180">
        <f ca="1">IF(AND(ISNUMBER($K$368),$B$202=1),$K$368,HLOOKUP(INDIRECT(ADDRESS(2,COLUMN())),OFFSET($R$2,0,0,ROW()-1,12),ROW()-1,FALSE))</f>
        <v>127.678697</v>
      </c>
      <c r="L180" t="str">
        <f ca="1">IF(AND(ISNUMBER($L$368),$B$202=1),$L$368,HLOOKUP(INDIRECT(ADDRESS(2,COLUMN())),OFFSET($R$2,0,0,ROW()-1,12),ROW()-1,FALSE))</f>
        <v/>
      </c>
      <c r="M180">
        <f ca="1">IF(AND(ISNUMBER($M$368),$B$202=1),$M$368,HLOOKUP(INDIRECT(ADDRESS(2,COLUMN())),OFFSET($R$2,0,0,ROW()-1,12),ROW()-1,FALSE))</f>
        <v>138.0613492</v>
      </c>
      <c r="N180" t="str">
        <f ca="1">IF(AND(ISNUMBER($N$368),$B$202=1),$N$368,HLOOKUP(INDIRECT(ADDRESS(2,COLUMN())),OFFSET($R$2,0,0,ROW()-1,12),ROW()-1,FALSE))</f>
        <v/>
      </c>
      <c r="O180">
        <f ca="1">IF(AND(ISNUMBER($O$368),$B$202=1),$O$368,HLOOKUP(INDIRECT(ADDRESS(2,COLUMN())),OFFSET($R$2,0,0,ROW()-1,12),ROW()-1,FALSE))</f>
        <v>145.70975240000001</v>
      </c>
      <c r="P180" t="str">
        <f ca="1">IF(AND(ISNUMBER($P$368),$B$202=1),$P$368,HLOOKUP(INDIRECT(ADDRESS(2,COLUMN())),OFFSET($R$2,0,0,ROW()-1,12),ROW()-1,FALSE))</f>
        <v/>
      </c>
      <c r="Q180" t="str">
        <f ca="1">IF(AND(ISNUMBER($Q$368),$B$202=1),$Q$368,HLOOKUP(INDIRECT(ADDRESS(2,COLUMN())),OFFSET($R$2,0,0,ROW()-1,12),ROW()-1,FALSE))</f>
        <v/>
      </c>
      <c r="R180" t="str">
        <f>""</f>
        <v/>
      </c>
      <c r="S180">
        <f>112.9156717</f>
        <v>112.9156717</v>
      </c>
      <c r="T180" t="str">
        <f>""</f>
        <v/>
      </c>
      <c r="U180">
        <f>119.0543134</f>
        <v>119.0543134</v>
      </c>
      <c r="V180" t="str">
        <f>""</f>
        <v/>
      </c>
      <c r="W180">
        <f>127.678697</f>
        <v>127.678697</v>
      </c>
      <c r="X180" t="str">
        <f>""</f>
        <v/>
      </c>
      <c r="Y180">
        <f>138.0613492</f>
        <v>138.0613492</v>
      </c>
      <c r="Z180" t="str">
        <f>""</f>
        <v/>
      </c>
      <c r="AA180">
        <f>145.7097524</f>
        <v>145.70975240000001</v>
      </c>
      <c r="AB180" t="str">
        <f>""</f>
        <v/>
      </c>
      <c r="AC180" t="str">
        <f>""</f>
        <v/>
      </c>
    </row>
    <row r="181" spans="1:29" x14ac:dyDescent="0.25">
      <c r="A181" t="str">
        <f>"    Infosys Ltd"</f>
        <v xml:space="preserve">    Infosys Ltd</v>
      </c>
      <c r="B181" t="str">
        <f>"INFY US Equity"</f>
        <v>INFY US Equity</v>
      </c>
      <c r="C181" t="str">
        <f t="shared" si="27"/>
        <v>RR159</v>
      </c>
      <c r="D181" t="str">
        <f t="shared" si="28"/>
        <v>ACCT_RCV_DAYS</v>
      </c>
      <c r="E181" t="str">
        <f t="shared" si="29"/>
        <v>Dynamic</v>
      </c>
      <c r="F181">
        <f ca="1">IF(AND(ISNUMBER($F$369),$B$202=1),$F$369,HLOOKUP(INDIRECT(ADDRESS(2,COLUMN())),OFFSET($R$2,0,0,ROW()-1,12),ROW()-1,FALSE))</f>
        <v>67.148307650000007</v>
      </c>
      <c r="G181">
        <f ca="1">IF(AND(ISNUMBER($G$369),$B$202=1),$G$369,HLOOKUP(INDIRECT(ADDRESS(2,COLUMN())),OFFSET($R$2,0,0,ROW()-1,12),ROW()-1,FALSE))</f>
        <v>67.448547660000003</v>
      </c>
      <c r="H181">
        <f ca="1">IF(AND(ISNUMBER($H$369),$B$202=1),$H$369,HLOOKUP(INDIRECT(ADDRESS(2,COLUMN())),OFFSET($R$2,0,0,ROW()-1,12),ROW()-1,FALSE))</f>
        <v>64.41004452</v>
      </c>
      <c r="I181">
        <f ca="1">IF(AND(ISNUMBER($I$369),$B$202=1),$I$369,HLOOKUP(INDIRECT(ADDRESS(2,COLUMN())),OFFSET($R$2,0,0,ROW()-1,12),ROW()-1,FALSE))</f>
        <v>63.082037700000001</v>
      </c>
      <c r="J181">
        <f ca="1">IF(AND(ISNUMBER($J$369),$B$202=1),$J$369,HLOOKUP(INDIRECT(ADDRESS(2,COLUMN())),OFFSET($R$2,0,0,ROW()-1,12),ROW()-1,FALSE))</f>
        <v>61.739108080000001</v>
      </c>
      <c r="K181">
        <f ca="1">IF(AND(ISNUMBER($K$369),$B$202=1),$K$369,HLOOKUP(INDIRECT(ADDRESS(2,COLUMN())),OFFSET($R$2,0,0,ROW()-1,12),ROW()-1,FALSE))</f>
        <v>64.513127999999995</v>
      </c>
      <c r="L181">
        <f ca="1">IF(AND(ISNUMBER($L$369),$B$202=1),$L$369,HLOOKUP(INDIRECT(ADDRESS(2,COLUMN())),OFFSET($R$2,0,0,ROW()-1,12),ROW()-1,FALSE))</f>
        <v>68.072446900000003</v>
      </c>
      <c r="M181">
        <f ca="1">IF(AND(ISNUMBER($M$369),$B$202=1),$M$369,HLOOKUP(INDIRECT(ADDRESS(2,COLUMN())),OFFSET($R$2,0,0,ROW()-1,12),ROW()-1,FALSE))</f>
        <v>65.853600560000004</v>
      </c>
      <c r="N181">
        <f ca="1">IF(AND(ISNUMBER($N$369),$B$202=1),$N$369,HLOOKUP(INDIRECT(ADDRESS(2,COLUMN())),OFFSET($R$2,0,0,ROW()-1,12),ROW()-1,FALSE))</f>
        <v>65.896883239999994</v>
      </c>
      <c r="O181">
        <f ca="1">IF(AND(ISNUMBER($O$369),$B$202=1),$O$369,HLOOKUP(INDIRECT(ADDRESS(2,COLUMN())),OFFSET($R$2,0,0,ROW()-1,12),ROW()-1,FALSE))</f>
        <v>68.438483880000007</v>
      </c>
      <c r="P181">
        <f ca="1">IF(AND(ISNUMBER($P$369),$B$202=1),$P$369,HLOOKUP(INDIRECT(ADDRESS(2,COLUMN())),OFFSET($R$2,0,0,ROW()-1,12),ROW()-1,FALSE))</f>
        <v>66.070931950000002</v>
      </c>
      <c r="Q181">
        <f ca="1">IF(AND(ISNUMBER($Q$369),$B$202=1),$Q$369,HLOOKUP(INDIRECT(ADDRESS(2,COLUMN())),OFFSET($R$2,0,0,ROW()-1,12),ROW()-1,FALSE))</f>
        <v>64.687568909999996</v>
      </c>
      <c r="R181">
        <f>67.14830765</f>
        <v>67.148307650000007</v>
      </c>
      <c r="S181">
        <f>67.44854766</f>
        <v>67.448547660000003</v>
      </c>
      <c r="T181">
        <f>64.41004452</f>
        <v>64.41004452</v>
      </c>
      <c r="U181">
        <f>63.0820377</f>
        <v>63.082037700000001</v>
      </c>
      <c r="V181">
        <f>61.73910808</f>
        <v>61.739108080000001</v>
      </c>
      <c r="W181">
        <f>64.513128</f>
        <v>64.513127999999995</v>
      </c>
      <c r="X181">
        <f>68.0724469</f>
        <v>68.072446900000003</v>
      </c>
      <c r="Y181">
        <f>65.85360056</f>
        <v>65.853600560000004</v>
      </c>
      <c r="Z181">
        <f>65.89688324</f>
        <v>65.896883239999994</v>
      </c>
      <c r="AA181">
        <f>68.43848388</f>
        <v>68.438483880000007</v>
      </c>
      <c r="AB181">
        <f>66.07093195</f>
        <v>66.070931950000002</v>
      </c>
      <c r="AC181">
        <f>64.68756891</f>
        <v>64.687568909999996</v>
      </c>
    </row>
    <row r="182" spans="1:29" x14ac:dyDescent="0.25">
      <c r="A182" t="str">
        <f>"    International Business Machines Corp"</f>
        <v xml:space="preserve">    International Business Machines Corp</v>
      </c>
      <c r="B182" t="str">
        <f>"IBM US Equity"</f>
        <v>IBM US Equity</v>
      </c>
      <c r="C182" t="str">
        <f t="shared" si="27"/>
        <v>RR159</v>
      </c>
      <c r="D182" t="str">
        <f t="shared" si="28"/>
        <v>ACCT_RCV_DAYS</v>
      </c>
      <c r="E182" t="str">
        <f t="shared" si="29"/>
        <v>Dynamic</v>
      </c>
      <c r="F182">
        <f ca="1">IF(AND(ISNUMBER($F$370),$B$202=1),$F$370,HLOOKUP(INDIRECT(ADDRESS(2,COLUMN())),OFFSET($R$2,0,0,ROW()-1,12),ROW()-1,FALSE))</f>
        <v>110.767877</v>
      </c>
      <c r="G182">
        <f ca="1">IF(AND(ISNUMBER($G$370),$B$202=1),$G$370,HLOOKUP(INDIRECT(ADDRESS(2,COLUMN())),OFFSET($R$2,0,0,ROW()-1,12),ROW()-1,FALSE))</f>
        <v>122.731179</v>
      </c>
      <c r="H182">
        <f ca="1">IF(AND(ISNUMBER($H$370),$B$202=1),$H$370,HLOOKUP(INDIRECT(ADDRESS(2,COLUMN())),OFFSET($R$2,0,0,ROW()-1,12),ROW()-1,FALSE))</f>
        <v>107.428239</v>
      </c>
      <c r="I182">
        <f ca="1">IF(AND(ISNUMBER($I$370),$B$202=1),$I$370,HLOOKUP(INDIRECT(ADDRESS(2,COLUMN())),OFFSET($R$2,0,0,ROW()-1,12),ROW()-1,FALSE))</f>
        <v>117.6865873</v>
      </c>
      <c r="J182">
        <f ca="1">IF(AND(ISNUMBER($J$370),$B$202=1),$J$370,HLOOKUP(INDIRECT(ADDRESS(2,COLUMN())),OFFSET($R$2,0,0,ROW()-1,12),ROW()-1,FALSE))</f>
        <v>128.22838970000001</v>
      </c>
      <c r="K182">
        <f ca="1">IF(AND(ISNUMBER($K$370),$B$202=1),$K$370,HLOOKUP(INDIRECT(ADDRESS(2,COLUMN())),OFFSET($R$2,0,0,ROW()-1,12),ROW()-1,FALSE))</f>
        <v>138.65377369999999</v>
      </c>
      <c r="L182">
        <f ca="1">IF(AND(ISNUMBER($L$370),$B$202=1),$L$370,HLOOKUP(INDIRECT(ADDRESS(2,COLUMN())),OFFSET($R$2,0,0,ROW()-1,12),ROW()-1,FALSE))</f>
        <v>119.25373879999999</v>
      </c>
      <c r="M182">
        <f ca="1">IF(AND(ISNUMBER($M$370),$B$202=1),$M$370,HLOOKUP(INDIRECT(ADDRESS(2,COLUMN())),OFFSET($R$2,0,0,ROW()-1,12),ROW()-1,FALSE))</f>
        <v>120.23792570000001</v>
      </c>
      <c r="N182">
        <f ca="1">IF(AND(ISNUMBER($N$370),$B$202=1),$N$370,HLOOKUP(INDIRECT(ADDRESS(2,COLUMN())),OFFSET($R$2,0,0,ROW()-1,12),ROW()-1,FALSE))</f>
        <v>120.2776147</v>
      </c>
      <c r="O182">
        <f ca="1">IF(AND(ISNUMBER($O$370),$B$202=1),$O$370,HLOOKUP(INDIRECT(ADDRESS(2,COLUMN())),OFFSET($R$2,0,0,ROW()-1,12),ROW()-1,FALSE))</f>
        <v>135.68047129999999</v>
      </c>
      <c r="P182">
        <f ca="1">IF(AND(ISNUMBER($P$370),$B$202=1),$P$370,HLOOKUP(INDIRECT(ADDRESS(2,COLUMN())),OFFSET($R$2,0,0,ROW()-1,12),ROW()-1,FALSE))</f>
        <v>117.6572728</v>
      </c>
      <c r="Q182">
        <f ca="1">IF(AND(ISNUMBER($Q$370),$B$202=1),$Q$370,HLOOKUP(INDIRECT(ADDRESS(2,COLUMN())),OFFSET($R$2,0,0,ROW()-1,12),ROW()-1,FALSE))</f>
        <v>119.5440145</v>
      </c>
      <c r="R182">
        <f>110.767877</f>
        <v>110.767877</v>
      </c>
      <c r="S182">
        <f>122.731179</f>
        <v>122.731179</v>
      </c>
      <c r="T182">
        <f>107.428239</f>
        <v>107.428239</v>
      </c>
      <c r="U182">
        <f>117.6865873</f>
        <v>117.6865873</v>
      </c>
      <c r="V182">
        <f>128.2283897</f>
        <v>128.22838970000001</v>
      </c>
      <c r="W182">
        <f>138.6537737</f>
        <v>138.65377369999999</v>
      </c>
      <c r="X182">
        <f>119.2537388</f>
        <v>119.25373879999999</v>
      </c>
      <c r="Y182">
        <f>120.2379257</f>
        <v>120.23792570000001</v>
      </c>
      <c r="Z182">
        <f>120.2776147</f>
        <v>120.2776147</v>
      </c>
      <c r="AA182">
        <f>135.6804713</f>
        <v>135.68047129999999</v>
      </c>
      <c r="AB182">
        <f>117.6572728</f>
        <v>117.6572728</v>
      </c>
      <c r="AC182">
        <f>119.5440145</f>
        <v>119.5440145</v>
      </c>
    </row>
    <row r="183" spans="1:29" x14ac:dyDescent="0.25">
      <c r="A183" t="str">
        <f>"    Tata Consultancy Services Ltd"</f>
        <v xml:space="preserve">    Tata Consultancy Services Ltd</v>
      </c>
      <c r="B183" t="str">
        <f>"TCS IN Equity"</f>
        <v>TCS IN Equity</v>
      </c>
      <c r="C183" t="str">
        <f t="shared" si="27"/>
        <v>RR159</v>
      </c>
      <c r="D183" t="str">
        <f t="shared" si="28"/>
        <v>ACCT_RCV_DAYS</v>
      </c>
      <c r="E183" t="str">
        <f t="shared" si="29"/>
        <v>Dynamic</v>
      </c>
      <c r="F183">
        <f ca="1">IF(AND(ISNUMBER($F$371),$B$202=1),$F$371,HLOOKUP(INDIRECT(ADDRESS(2,COLUMN())),OFFSET($R$2,0,0,ROW()-1,12),ROW()-1,FALSE))</f>
        <v>67.484813540000005</v>
      </c>
      <c r="G183">
        <f ca="1">IF(AND(ISNUMBER($G$371),$B$202=1),$G$371,HLOOKUP(INDIRECT(ADDRESS(2,COLUMN())),OFFSET($R$2,0,0,ROW()-1,12),ROW()-1,FALSE))</f>
        <v>66.412655709999996</v>
      </c>
      <c r="H183">
        <f ca="1">IF(AND(ISNUMBER($H$371),$B$202=1),$H$371,HLOOKUP(INDIRECT(ADDRESS(2,COLUMN())),OFFSET($R$2,0,0,ROW()-1,12),ROW()-1,FALSE))</f>
        <v>67.337242700000004</v>
      </c>
      <c r="I183">
        <f ca="1">IF(AND(ISNUMBER($I$371),$B$202=1),$I$371,HLOOKUP(INDIRECT(ADDRESS(2,COLUMN())),OFFSET($R$2,0,0,ROW()-1,12),ROW()-1,FALSE))</f>
        <v>67.103405510000002</v>
      </c>
      <c r="J183">
        <f ca="1">IF(AND(ISNUMBER($J$371),$B$202=1),$J$371,HLOOKUP(INDIRECT(ADDRESS(2,COLUMN())),OFFSET($R$2,0,0,ROW()-1,12),ROW()-1,FALSE))</f>
        <v>65.154629499999999</v>
      </c>
      <c r="K183">
        <f ca="1">IF(AND(ISNUMBER($K$371),$B$202=1),$K$371,HLOOKUP(INDIRECT(ADDRESS(2,COLUMN())),OFFSET($R$2,0,0,ROW()-1,12),ROW()-1,FALSE))</f>
        <v>66.908961199999993</v>
      </c>
      <c r="L183">
        <f ca="1">IF(AND(ISNUMBER($L$371),$B$202=1),$L$371,HLOOKUP(INDIRECT(ADDRESS(2,COLUMN())),OFFSET($R$2,0,0,ROW()-1,12),ROW()-1,FALSE))</f>
        <v>72.618107449999997</v>
      </c>
      <c r="M183">
        <f ca="1">IF(AND(ISNUMBER($M$371),$B$202=1),$M$371,HLOOKUP(INDIRECT(ADDRESS(2,COLUMN())),OFFSET($R$2,0,0,ROW()-1,12),ROW()-1,FALSE))</f>
        <v>71.312695160000004</v>
      </c>
      <c r="N183">
        <f ca="1">IF(AND(ISNUMBER($N$371),$B$202=1),$N$371,HLOOKUP(INDIRECT(ADDRESS(2,COLUMN())),OFFSET($R$2,0,0,ROW()-1,12),ROW()-1,FALSE))</f>
        <v>70.507050950000007</v>
      </c>
      <c r="O183">
        <f ca="1">IF(AND(ISNUMBER($O$371),$B$202=1),$O$371,HLOOKUP(INDIRECT(ADDRESS(2,COLUMN())),OFFSET($R$2,0,0,ROW()-1,12),ROW()-1,FALSE))</f>
        <v>73.28372186</v>
      </c>
      <c r="P183">
        <f ca="1">IF(AND(ISNUMBER($P$371),$B$202=1),$P$371,HLOOKUP(INDIRECT(ADDRESS(2,COLUMN())),OFFSET($R$2,0,0,ROW()-1,12),ROW()-1,FALSE))</f>
        <v>76.059229130000006</v>
      </c>
      <c r="Q183">
        <f ca="1">IF(AND(ISNUMBER($Q$371),$B$202=1),$Q$371,HLOOKUP(INDIRECT(ADDRESS(2,COLUMN())),OFFSET($R$2,0,0,ROW()-1,12),ROW()-1,FALSE))</f>
        <v>73.212989980000003</v>
      </c>
      <c r="R183">
        <f>67.48481354</f>
        <v>67.484813540000005</v>
      </c>
      <c r="S183">
        <f>66.41265571</f>
        <v>66.412655709999996</v>
      </c>
      <c r="T183">
        <f>67.3372427</f>
        <v>67.337242700000004</v>
      </c>
      <c r="U183">
        <f>67.10340551</f>
        <v>67.103405510000002</v>
      </c>
      <c r="V183">
        <f>65.1546295</f>
        <v>65.154629499999999</v>
      </c>
      <c r="W183">
        <f>66.9089612</f>
        <v>66.908961199999993</v>
      </c>
      <c r="X183">
        <f>72.61810745</f>
        <v>72.618107449999997</v>
      </c>
      <c r="Y183">
        <f>71.31269516</f>
        <v>71.312695160000004</v>
      </c>
      <c r="Z183">
        <f>70.50705095</f>
        <v>70.507050950000007</v>
      </c>
      <c r="AA183">
        <f>73.28372186</f>
        <v>73.28372186</v>
      </c>
      <c r="AB183">
        <f>76.05922913</f>
        <v>76.059229130000006</v>
      </c>
      <c r="AC183">
        <f>73.21298998</f>
        <v>73.212989980000003</v>
      </c>
    </row>
    <row r="184" spans="1:29" x14ac:dyDescent="0.25">
      <c r="A184" t="str">
        <f>"    Tech Mahindra Ltd"</f>
        <v xml:space="preserve">    Tech Mahindra Ltd</v>
      </c>
      <c r="B184" t="str">
        <f>"TECHM IN Equity"</f>
        <v>TECHM IN Equity</v>
      </c>
      <c r="C184" t="str">
        <f t="shared" si="27"/>
        <v>RR159</v>
      </c>
      <c r="D184" t="str">
        <f t="shared" si="28"/>
        <v>ACCT_RCV_DAYS</v>
      </c>
      <c r="E184" t="str">
        <f t="shared" si="29"/>
        <v>Dynamic</v>
      </c>
      <c r="F184">
        <f ca="1">IF(AND(ISNUMBER($F$372),$B$202=1),$F$372,HLOOKUP(INDIRECT(ADDRESS(2,COLUMN())),OFFSET($R$2,0,0,ROW()-1,12),ROW()-1,FALSE))</f>
        <v>72.151207760000005</v>
      </c>
      <c r="G184">
        <f ca="1">IF(AND(ISNUMBER($G$372),$B$202=1),$G$372,HLOOKUP(INDIRECT(ADDRESS(2,COLUMN())),OFFSET($R$2,0,0,ROW()-1,12),ROW()-1,FALSE))</f>
        <v>78.176616249999995</v>
      </c>
      <c r="H184">
        <f ca="1">IF(AND(ISNUMBER($H$372),$B$202=1),$H$372,HLOOKUP(INDIRECT(ADDRESS(2,COLUMN())),OFFSET($R$2,0,0,ROW()-1,12),ROW()-1,FALSE))</f>
        <v>74.503863330000001</v>
      </c>
      <c r="I184">
        <f ca="1">IF(AND(ISNUMBER($I$372),$B$202=1),$I$372,HLOOKUP(INDIRECT(ADDRESS(2,COLUMN())),OFFSET($R$2,0,0,ROW()-1,12),ROW()-1,FALSE))</f>
        <v>69.322650089999996</v>
      </c>
      <c r="J184">
        <f ca="1">IF(AND(ISNUMBER($J$372),$B$202=1),$J$372,HLOOKUP(INDIRECT(ADDRESS(2,COLUMN())),OFFSET($R$2,0,0,ROW()-1,12),ROW()-1,FALSE))</f>
        <v>70.686836130000003</v>
      </c>
      <c r="K184">
        <f ca="1">IF(AND(ISNUMBER($K$372),$B$202=1),$K$372,HLOOKUP(INDIRECT(ADDRESS(2,COLUMN())),OFFSET($R$2,0,0,ROW()-1,12),ROW()-1,FALSE))</f>
        <v>75.797803700000003</v>
      </c>
      <c r="L184">
        <f ca="1">IF(AND(ISNUMBER($L$372),$B$202=1),$L$372,HLOOKUP(INDIRECT(ADDRESS(2,COLUMN())),OFFSET($R$2,0,0,ROW()-1,12),ROW()-1,FALSE))</f>
        <v>74.455045560000002</v>
      </c>
      <c r="M184">
        <f ca="1">IF(AND(ISNUMBER($M$372),$B$202=1),$M$372,HLOOKUP(INDIRECT(ADDRESS(2,COLUMN())),OFFSET($R$2,0,0,ROW()-1,12),ROW()-1,FALSE))</f>
        <v>72.121554110000005</v>
      </c>
      <c r="N184">
        <f ca="1">IF(AND(ISNUMBER($N$372),$B$202=1),$N$372,HLOOKUP(INDIRECT(ADDRESS(2,COLUMN())),OFFSET($R$2,0,0,ROW()-1,12),ROW()-1,FALSE))</f>
        <v>70.191440920000005</v>
      </c>
      <c r="O184">
        <f ca="1">IF(AND(ISNUMBER($O$372),$B$202=1),$O$372,HLOOKUP(INDIRECT(ADDRESS(2,COLUMN())),OFFSET($R$2,0,0,ROW()-1,12),ROW()-1,FALSE))</f>
        <v>75.788374309999995</v>
      </c>
      <c r="P184">
        <f ca="1">IF(AND(ISNUMBER($P$372),$B$202=1),$P$372,HLOOKUP(INDIRECT(ADDRESS(2,COLUMN())),OFFSET($R$2,0,0,ROW()-1,12),ROW()-1,FALSE))</f>
        <v>74.857296950000006</v>
      </c>
      <c r="Q184">
        <f ca="1">IF(AND(ISNUMBER($Q$372),$B$202=1),$Q$372,HLOOKUP(INDIRECT(ADDRESS(2,COLUMN())),OFFSET($R$2,0,0,ROW()-1,12),ROW()-1,FALSE))</f>
        <v>72.670245410000007</v>
      </c>
      <c r="R184">
        <f>72.15120776</f>
        <v>72.151207760000005</v>
      </c>
      <c r="S184">
        <f>78.17661625</f>
        <v>78.176616249999995</v>
      </c>
      <c r="T184">
        <f>74.50386333</f>
        <v>74.503863330000001</v>
      </c>
      <c r="U184">
        <f>69.32265009</f>
        <v>69.322650089999996</v>
      </c>
      <c r="V184">
        <f>70.68683613</f>
        <v>70.686836130000003</v>
      </c>
      <c r="W184">
        <f>75.7978037</f>
        <v>75.797803700000003</v>
      </c>
      <c r="X184">
        <f>74.45504556</f>
        <v>74.455045560000002</v>
      </c>
      <c r="Y184">
        <f>72.12155411</f>
        <v>72.121554110000005</v>
      </c>
      <c r="Z184">
        <f>70.19144092</f>
        <v>70.191440920000005</v>
      </c>
      <c r="AA184">
        <f>75.78837431</f>
        <v>75.788374309999995</v>
      </c>
      <c r="AB184">
        <f>74.85729695</f>
        <v>74.857296950000006</v>
      </c>
      <c r="AC184">
        <f>72.67024541</f>
        <v>72.670245410000007</v>
      </c>
    </row>
    <row r="185" spans="1:29" x14ac:dyDescent="0.25">
      <c r="A185" t="str">
        <f>"    Wipro Ltd"</f>
        <v xml:space="preserve">    Wipro Ltd</v>
      </c>
      <c r="B185" t="str">
        <f>"WIT US Equity"</f>
        <v>WIT US Equity</v>
      </c>
      <c r="C185" t="str">
        <f t="shared" si="27"/>
        <v>RR159</v>
      </c>
      <c r="D185" t="str">
        <f t="shared" si="28"/>
        <v>ACCT_RCV_DAYS</v>
      </c>
      <c r="E185" t="str">
        <f t="shared" si="29"/>
        <v>Dynamic</v>
      </c>
      <c r="F185">
        <f ca="1">IF(AND(ISNUMBER($F$373),$B$202=1),$F$373,HLOOKUP(INDIRECT(ADDRESS(2,COLUMN())),OFFSET($R$2,0,0,ROW()-1,12),ROW()-1,FALSE))</f>
        <v>61.46552295</v>
      </c>
      <c r="G185">
        <f ca="1">IF(AND(ISNUMBER($G$373),$B$202=1),$G$373,HLOOKUP(INDIRECT(ADDRESS(2,COLUMN())),OFFSET($R$2,0,0,ROW()-1,12),ROW()-1,FALSE))</f>
        <v>60.713620200000001</v>
      </c>
      <c r="H185">
        <f ca="1">IF(AND(ISNUMBER($H$373),$B$202=1),$H$373,HLOOKUP(INDIRECT(ADDRESS(2,COLUMN())),OFFSET($R$2,0,0,ROW()-1,12),ROW()-1,FALSE))</f>
        <v>61.918244790000003</v>
      </c>
      <c r="I185">
        <f ca="1">IF(AND(ISNUMBER($I$373),$B$202=1),$I$373,HLOOKUP(INDIRECT(ADDRESS(2,COLUMN())),OFFSET($R$2,0,0,ROW()-1,12),ROW()-1,FALSE))</f>
        <v>59.50556615</v>
      </c>
      <c r="J185">
        <f ca="1">IF(AND(ISNUMBER($J$373),$B$202=1),$J$373,HLOOKUP(INDIRECT(ADDRESS(2,COLUMN())),OFFSET($R$2,0,0,ROW()-1,12),ROW()-1,FALSE))</f>
        <v>62.76390086</v>
      </c>
      <c r="K185">
        <f ca="1">IF(AND(ISNUMBER($K$373),$B$202=1),$K$373,HLOOKUP(INDIRECT(ADDRESS(2,COLUMN())),OFFSET($R$2,0,0,ROW()-1,12),ROW()-1,FALSE))</f>
        <v>63.661843380000001</v>
      </c>
      <c r="L185">
        <f ca="1">IF(AND(ISNUMBER($L$373),$B$202=1),$L$373,HLOOKUP(INDIRECT(ADDRESS(2,COLUMN())),OFFSET($R$2,0,0,ROW()-1,12),ROW()-1,FALSE))</f>
        <v>67.274091569999996</v>
      </c>
      <c r="M185">
        <f ca="1">IF(AND(ISNUMBER($M$373),$B$202=1),$M$373,HLOOKUP(INDIRECT(ADDRESS(2,COLUMN())),OFFSET($R$2,0,0,ROW()-1,12),ROW()-1,FALSE))</f>
        <v>65.081894719999994</v>
      </c>
      <c r="N185">
        <f ca="1">IF(AND(ISNUMBER($N$373),$B$202=1),$N$373,HLOOKUP(INDIRECT(ADDRESS(2,COLUMN())),OFFSET($R$2,0,0,ROW()-1,12),ROW()-1,FALSE))</f>
        <v>65.593635919999997</v>
      </c>
      <c r="O185" t="str">
        <f ca="1">IF(AND(ISNUMBER($O$373),$B$202=1),$O$373,HLOOKUP(INDIRECT(ADDRESS(2,COLUMN())),OFFSET($R$2,0,0,ROW()-1,12),ROW()-1,FALSE))</f>
        <v/>
      </c>
      <c r="P185">
        <f ca="1">IF(AND(ISNUMBER($P$373),$B$202=1),$P$373,HLOOKUP(INDIRECT(ADDRESS(2,COLUMN())),OFFSET($R$2,0,0,ROW()-1,12),ROW()-1,FALSE))</f>
        <v>67.049861309999997</v>
      </c>
      <c r="Q185">
        <f ca="1">IF(AND(ISNUMBER($Q$373),$B$202=1),$Q$373,HLOOKUP(INDIRECT(ADDRESS(2,COLUMN())),OFFSET($R$2,0,0,ROW()-1,12),ROW()-1,FALSE))</f>
        <v>66.291388139999995</v>
      </c>
      <c r="R185">
        <f>61.46552295</f>
        <v>61.46552295</v>
      </c>
      <c r="S185">
        <f>60.7136202</f>
        <v>60.713620200000001</v>
      </c>
      <c r="T185">
        <f>61.91824479</f>
        <v>61.918244790000003</v>
      </c>
      <c r="U185">
        <f>59.50556615</f>
        <v>59.50556615</v>
      </c>
      <c r="V185">
        <f>62.76390086</f>
        <v>62.76390086</v>
      </c>
      <c r="W185">
        <f>63.66184338</f>
        <v>63.661843380000001</v>
      </c>
      <c r="X185">
        <f>67.27409157</f>
        <v>67.274091569999996</v>
      </c>
      <c r="Y185">
        <f>65.08189472</f>
        <v>65.081894719999994</v>
      </c>
      <c r="Z185">
        <f>65.59363592</f>
        <v>65.593635919999997</v>
      </c>
      <c r="AA185" t="str">
        <f>""</f>
        <v/>
      </c>
      <c r="AB185">
        <f>67.04986131</f>
        <v>67.049861309999997</v>
      </c>
      <c r="AC185">
        <f>66.29138814</f>
        <v>66.291388139999995</v>
      </c>
    </row>
    <row r="186" spans="1:29" x14ac:dyDescent="0.25">
      <c r="A186" t="str">
        <f>"Source: Company Filings"</f>
        <v>Source: Company Filings</v>
      </c>
      <c r="B186" t="str">
        <f>""</f>
        <v/>
      </c>
      <c r="E186" t="str">
        <f>"Heading"</f>
        <v>Heading</v>
      </c>
      <c r="R186" t="str">
        <f>""</f>
        <v/>
      </c>
      <c r="S186" t="str">
        <f>""</f>
        <v/>
      </c>
      <c r="T186" t="str">
        <f>""</f>
        <v/>
      </c>
      <c r="U186" t="str">
        <f>""</f>
        <v/>
      </c>
      <c r="V186" t="str">
        <f>""</f>
        <v/>
      </c>
      <c r="W186" t="str">
        <f>""</f>
        <v/>
      </c>
      <c r="X186" t="str">
        <f>""</f>
        <v/>
      </c>
      <c r="Y186" t="str">
        <f>""</f>
        <v/>
      </c>
      <c r="Z186" t="str">
        <f>""</f>
        <v/>
      </c>
      <c r="AA186" t="str">
        <f>""</f>
        <v/>
      </c>
      <c r="AB186" t="str">
        <f>""</f>
        <v/>
      </c>
      <c r="AC186" t="str">
        <f>""</f>
        <v/>
      </c>
    </row>
    <row r="187" spans="1:29" x14ac:dyDescent="0.25">
      <c r="R187" t="str">
        <f>""</f>
        <v/>
      </c>
      <c r="S187" t="str">
        <f>""</f>
        <v/>
      </c>
      <c r="T187" t="str">
        <f>""</f>
        <v/>
      </c>
      <c r="U187" t="str">
        <f>""</f>
        <v/>
      </c>
      <c r="V187" t="str">
        <f>""</f>
        <v/>
      </c>
      <c r="W187" t="str">
        <f>""</f>
        <v/>
      </c>
      <c r="X187" t="str">
        <f>""</f>
        <v/>
      </c>
      <c r="Y187" t="str">
        <f>""</f>
        <v/>
      </c>
      <c r="Z187" t="str">
        <f>""</f>
        <v/>
      </c>
      <c r="AA187" t="str">
        <f>""</f>
        <v/>
      </c>
      <c r="AB187" t="str">
        <f>""</f>
        <v/>
      </c>
      <c r="AC187" t="str">
        <f>""</f>
        <v/>
      </c>
    </row>
    <row r="188" spans="1:29" x14ac:dyDescent="0.25">
      <c r="R188" t="str">
        <f>""</f>
        <v/>
      </c>
      <c r="S188" t="str">
        <f>""</f>
        <v/>
      </c>
      <c r="T188" t="str">
        <f>""</f>
        <v/>
      </c>
      <c r="U188" t="str">
        <f>""</f>
        <v/>
      </c>
      <c r="V188" t="str">
        <f>""</f>
        <v/>
      </c>
      <c r="W188" t="str">
        <f>""</f>
        <v/>
      </c>
      <c r="X188" t="str">
        <f>""</f>
        <v/>
      </c>
      <c r="Y188" t="str">
        <f>""</f>
        <v/>
      </c>
      <c r="Z188" t="str">
        <f>""</f>
        <v/>
      </c>
      <c r="AA188" t="str">
        <f>""</f>
        <v/>
      </c>
      <c r="AB188" t="str">
        <f>""</f>
        <v/>
      </c>
      <c r="AC188" t="str">
        <f>""</f>
        <v/>
      </c>
    </row>
    <row r="189" spans="1:29" x14ac:dyDescent="0.25">
      <c r="R189" t="str">
        <f>""</f>
        <v/>
      </c>
      <c r="S189" t="str">
        <f>""</f>
        <v/>
      </c>
      <c r="T189" t="str">
        <f>""</f>
        <v/>
      </c>
      <c r="U189" t="str">
        <f>""</f>
        <v/>
      </c>
      <c r="V189" t="str">
        <f>""</f>
        <v/>
      </c>
      <c r="W189" t="str">
        <f>""</f>
        <v/>
      </c>
      <c r="X189" t="str">
        <f>""</f>
        <v/>
      </c>
      <c r="Y189" t="str">
        <f>""</f>
        <v/>
      </c>
      <c r="Z189" t="str">
        <f>""</f>
        <v/>
      </c>
      <c r="AA189" t="str">
        <f>""</f>
        <v/>
      </c>
      <c r="AB189" t="str">
        <f>""</f>
        <v/>
      </c>
      <c r="AC189" t="str">
        <f>""</f>
        <v/>
      </c>
    </row>
    <row r="190" spans="1:29" x14ac:dyDescent="0.25">
      <c r="R190" t="str">
        <f>""</f>
        <v/>
      </c>
      <c r="S190" t="str">
        <f>""</f>
        <v/>
      </c>
      <c r="T190" t="str">
        <f>""</f>
        <v/>
      </c>
      <c r="U190" t="str">
        <f>""</f>
        <v/>
      </c>
      <c r="V190" t="str">
        <f>""</f>
        <v/>
      </c>
      <c r="W190" t="str">
        <f>""</f>
        <v/>
      </c>
      <c r="X190" t="str">
        <f>""</f>
        <v/>
      </c>
      <c r="Y190" t="str">
        <f>""</f>
        <v/>
      </c>
      <c r="Z190" t="str">
        <f>""</f>
        <v/>
      </c>
      <c r="AA190" t="str">
        <f>""</f>
        <v/>
      </c>
      <c r="AB190" t="str">
        <f>""</f>
        <v/>
      </c>
      <c r="AC190" t="str">
        <f>""</f>
        <v/>
      </c>
    </row>
    <row r="191" spans="1:29" x14ac:dyDescent="0.25">
      <c r="R191" t="str">
        <f>""</f>
        <v/>
      </c>
      <c r="S191" t="str">
        <f>""</f>
        <v/>
      </c>
      <c r="T191" t="str">
        <f>""</f>
        <v/>
      </c>
      <c r="U191" t="str">
        <f>""</f>
        <v/>
      </c>
      <c r="V191" t="str">
        <f>""</f>
        <v/>
      </c>
      <c r="W191" t="str">
        <f>""</f>
        <v/>
      </c>
      <c r="X191" t="str">
        <f>""</f>
        <v/>
      </c>
      <c r="Y191" t="str">
        <f>""</f>
        <v/>
      </c>
      <c r="Z191" t="str">
        <f>""</f>
        <v/>
      </c>
      <c r="AA191" t="str">
        <f>""</f>
        <v/>
      </c>
      <c r="AB191" t="str">
        <f>""</f>
        <v/>
      </c>
      <c r="AC191" t="str">
        <f>""</f>
        <v/>
      </c>
    </row>
    <row r="192" spans="1:29" x14ac:dyDescent="0.25">
      <c r="R192" t="str">
        <f>""</f>
        <v/>
      </c>
      <c r="S192" t="str">
        <f>""</f>
        <v/>
      </c>
      <c r="T192" t="str">
        <f>""</f>
        <v/>
      </c>
      <c r="U192" t="str">
        <f>""</f>
        <v/>
      </c>
      <c r="V192" t="str">
        <f>""</f>
        <v/>
      </c>
      <c r="W192" t="str">
        <f>""</f>
        <v/>
      </c>
      <c r="X192" t="str">
        <f>""</f>
        <v/>
      </c>
      <c r="Y192" t="str">
        <f>""</f>
        <v/>
      </c>
      <c r="Z192" t="str">
        <f>""</f>
        <v/>
      </c>
      <c r="AA192" t="str">
        <f>""</f>
        <v/>
      </c>
      <c r="AB192" t="str">
        <f>""</f>
        <v/>
      </c>
      <c r="AC192" t="str">
        <f>""</f>
        <v/>
      </c>
    </row>
    <row r="193" spans="1:29" x14ac:dyDescent="0.25">
      <c r="R193" t="str">
        <f>""</f>
        <v/>
      </c>
      <c r="S193" t="str">
        <f>""</f>
        <v/>
      </c>
      <c r="T193" t="str">
        <f>""</f>
        <v/>
      </c>
      <c r="U193" t="str">
        <f>""</f>
        <v/>
      </c>
      <c r="V193" t="str">
        <f>""</f>
        <v/>
      </c>
      <c r="W193" t="str">
        <f>""</f>
        <v/>
      </c>
      <c r="X193" t="str">
        <f>""</f>
        <v/>
      </c>
      <c r="Y193" t="str">
        <f>""</f>
        <v/>
      </c>
      <c r="Z193" t="str">
        <f>""</f>
        <v/>
      </c>
      <c r="AA193" t="str">
        <f>""</f>
        <v/>
      </c>
      <c r="AB193" t="str">
        <f>""</f>
        <v/>
      </c>
      <c r="AC193" t="str">
        <f>""</f>
        <v/>
      </c>
    </row>
    <row r="194" spans="1:29" x14ac:dyDescent="0.25">
      <c r="A194" t="str">
        <f t="shared" ref="A194:Q194" si="30">"~~~~~~~~~~"</f>
        <v>~~~~~~~~~~</v>
      </c>
      <c r="B194" t="str">
        <f t="shared" si="30"/>
        <v>~~~~~~~~~~</v>
      </c>
      <c r="C194" t="str">
        <f t="shared" si="30"/>
        <v>~~~~~~~~~~</v>
      </c>
      <c r="D194" t="str">
        <f t="shared" si="30"/>
        <v>~~~~~~~~~~</v>
      </c>
      <c r="E194" t="str">
        <f t="shared" si="30"/>
        <v>~~~~~~~~~~</v>
      </c>
      <c r="F194" t="str">
        <f t="shared" si="30"/>
        <v>~~~~~~~~~~</v>
      </c>
      <c r="G194" t="str">
        <f t="shared" si="30"/>
        <v>~~~~~~~~~~</v>
      </c>
      <c r="H194" t="str">
        <f t="shared" si="30"/>
        <v>~~~~~~~~~~</v>
      </c>
      <c r="I194" t="str">
        <f t="shared" si="30"/>
        <v>~~~~~~~~~~</v>
      </c>
      <c r="J194" t="str">
        <f t="shared" si="30"/>
        <v>~~~~~~~~~~</v>
      </c>
      <c r="K194" t="str">
        <f t="shared" si="30"/>
        <v>~~~~~~~~~~</v>
      </c>
      <c r="L194" t="str">
        <f t="shared" si="30"/>
        <v>~~~~~~~~~~</v>
      </c>
      <c r="M194" t="str">
        <f t="shared" si="30"/>
        <v>~~~~~~~~~~</v>
      </c>
      <c r="N194" t="str">
        <f t="shared" si="30"/>
        <v>~~~~~~~~~~</v>
      </c>
      <c r="O194" t="str">
        <f t="shared" si="30"/>
        <v>~~~~~~~~~~</v>
      </c>
      <c r="P194" t="str">
        <f t="shared" si="30"/>
        <v>~~~~~~~~~~</v>
      </c>
      <c r="Q194" t="str">
        <f t="shared" si="30"/>
        <v>~~~~~~~~~~</v>
      </c>
      <c r="R194" t="str">
        <f>""</f>
        <v/>
      </c>
      <c r="S194" t="str">
        <f>""</f>
        <v/>
      </c>
      <c r="T194" t="str">
        <f>""</f>
        <v/>
      </c>
      <c r="U194" t="str">
        <f>""</f>
        <v/>
      </c>
      <c r="V194" t="str">
        <f>""</f>
        <v/>
      </c>
      <c r="W194" t="str">
        <f>""</f>
        <v/>
      </c>
      <c r="X194" t="str">
        <f>""</f>
        <v/>
      </c>
      <c r="Y194" t="str">
        <f>""</f>
        <v/>
      </c>
      <c r="Z194" t="str">
        <f>""</f>
        <v/>
      </c>
      <c r="AA194" t="str">
        <f>""</f>
        <v/>
      </c>
      <c r="AB194" t="str">
        <f>""</f>
        <v/>
      </c>
      <c r="AC194" t="str">
        <f>""</f>
        <v/>
      </c>
    </row>
    <row r="195" spans="1:29" x14ac:dyDescent="0.25">
      <c r="A195" t="str">
        <f>"All rows below have been added for reference by formula rows above."</f>
        <v>All rows below have been added for reference by formula rows above.</v>
      </c>
      <c r="R195" t="str">
        <f>""</f>
        <v/>
      </c>
      <c r="S195" t="str">
        <f>""</f>
        <v/>
      </c>
      <c r="T195" t="str">
        <f>""</f>
        <v/>
      </c>
      <c r="U195" t="str">
        <f>""</f>
        <v/>
      </c>
      <c r="V195" t="str">
        <f>""</f>
        <v/>
      </c>
      <c r="W195" t="str">
        <f>""</f>
        <v/>
      </c>
      <c r="X195" t="str">
        <f>""</f>
        <v/>
      </c>
      <c r="Y195" t="str">
        <f>""</f>
        <v/>
      </c>
      <c r="Z195" t="str">
        <f>""</f>
        <v/>
      </c>
      <c r="AA195" t="str">
        <f>""</f>
        <v/>
      </c>
      <c r="AB195" t="str">
        <f>""</f>
        <v/>
      </c>
      <c r="AC195" t="str">
        <f>""</f>
        <v/>
      </c>
    </row>
    <row r="196" spans="1:29" x14ac:dyDescent="0.25">
      <c r="A196">
        <f>RTD("bloomberg.ccyreader", "", "#track", "DBG", "BIHITX", "1.0","RepeatHit")</f>
        <v>0</v>
      </c>
      <c r="R196" t="str">
        <f>""</f>
        <v/>
      </c>
      <c r="S196" t="str">
        <f>""</f>
        <v/>
      </c>
      <c r="T196" t="str">
        <f>""</f>
        <v/>
      </c>
      <c r="U196" t="str">
        <f>""</f>
        <v/>
      </c>
      <c r="V196" t="str">
        <f>""</f>
        <v/>
      </c>
      <c r="W196" t="str">
        <f>""</f>
        <v/>
      </c>
      <c r="X196" t="str">
        <f>""</f>
        <v/>
      </c>
      <c r="Y196" t="str">
        <f>""</f>
        <v/>
      </c>
      <c r="Z196" t="str">
        <f>""</f>
        <v/>
      </c>
      <c r="AA196" t="str">
        <f>""</f>
        <v/>
      </c>
      <c r="AB196" t="str">
        <f>""</f>
        <v/>
      </c>
      <c r="AC196" t="str">
        <f>""</f>
        <v/>
      </c>
    </row>
    <row r="197" spans="1:29" x14ac:dyDescent="0.25">
      <c r="A197" t="str">
        <f>"Currency"</f>
        <v>Currency</v>
      </c>
      <c r="B197" t="str">
        <f>"USD"</f>
        <v>USD</v>
      </c>
      <c r="R197" t="str">
        <f>""</f>
        <v/>
      </c>
      <c r="S197" t="str">
        <f>""</f>
        <v/>
      </c>
      <c r="T197" t="str">
        <f>""</f>
        <v/>
      </c>
      <c r="U197" t="str">
        <f>""</f>
        <v/>
      </c>
      <c r="V197" t="str">
        <f>""</f>
        <v/>
      </c>
      <c r="W197" t="str">
        <f>""</f>
        <v/>
      </c>
      <c r="X197" t="str">
        <f>""</f>
        <v/>
      </c>
      <c r="Y197" t="str">
        <f>""</f>
        <v/>
      </c>
      <c r="Z197" t="str">
        <f>""</f>
        <v/>
      </c>
      <c r="AA197" t="str">
        <f>""</f>
        <v/>
      </c>
      <c r="AB197" t="str">
        <f>""</f>
        <v/>
      </c>
      <c r="AC197" t="str">
        <f>""</f>
        <v/>
      </c>
    </row>
    <row r="198" spans="1:29" x14ac:dyDescent="0.25">
      <c r="A198" t="str">
        <f>"Periodicity"</f>
        <v>Periodicity</v>
      </c>
      <c r="B198" t="str">
        <f>"CQ"</f>
        <v>CQ</v>
      </c>
      <c r="C198" t="str">
        <f>"AQ"</f>
        <v>AQ</v>
      </c>
      <c r="R198" t="str">
        <f>""</f>
        <v/>
      </c>
      <c r="S198" t="str">
        <f>""</f>
        <v/>
      </c>
      <c r="T198" t="str">
        <f>""</f>
        <v/>
      </c>
      <c r="U198" t="str">
        <f>""</f>
        <v/>
      </c>
      <c r="V198" t="str">
        <f>""</f>
        <v/>
      </c>
      <c r="W198" t="str">
        <f>""</f>
        <v/>
      </c>
      <c r="X198" t="str">
        <f>""</f>
        <v/>
      </c>
      <c r="Y198" t="str">
        <f>""</f>
        <v/>
      </c>
      <c r="Z198" t="str">
        <f>""</f>
        <v/>
      </c>
      <c r="AA198" t="str">
        <f>""</f>
        <v/>
      </c>
      <c r="AB198" t="str">
        <f>""</f>
        <v/>
      </c>
      <c r="AC198" t="str">
        <f>""</f>
        <v/>
      </c>
    </row>
    <row r="199" spans="1:29" x14ac:dyDescent="0.25">
      <c r="A199" t="str">
        <f>"Number of Periods"</f>
        <v>Number of Periods</v>
      </c>
      <c r="B199">
        <f>12</f>
        <v>12</v>
      </c>
      <c r="R199" t="str">
        <f>""</f>
        <v/>
      </c>
      <c r="S199" t="str">
        <f>""</f>
        <v/>
      </c>
      <c r="T199" t="str">
        <f>""</f>
        <v/>
      </c>
      <c r="U199" t="str">
        <f>""</f>
        <v/>
      </c>
      <c r="V199" t="str">
        <f>""</f>
        <v/>
      </c>
      <c r="W199" t="str">
        <f>""</f>
        <v/>
      </c>
      <c r="X199" t="str">
        <f>""</f>
        <v/>
      </c>
      <c r="Y199" t="str">
        <f>""</f>
        <v/>
      </c>
      <c r="Z199" t="str">
        <f>""</f>
        <v/>
      </c>
      <c r="AA199" t="str">
        <f>""</f>
        <v/>
      </c>
      <c r="AB199" t="str">
        <f>""</f>
        <v/>
      </c>
      <c r="AC199" t="str">
        <f>""</f>
        <v/>
      </c>
    </row>
    <row r="200" spans="1:29" x14ac:dyDescent="0.25">
      <c r="A200" t="str">
        <f>"Start Date"</f>
        <v>Start Date</v>
      </c>
      <c r="B200" t="str">
        <f>CONCATENATE("-",$B$199,$B$198)</f>
        <v>-12CQ</v>
      </c>
      <c r="C200" t="str">
        <f>CONCATENATE("-",$B$199,$C$198)</f>
        <v>-12AQ</v>
      </c>
      <c r="R200" t="str">
        <f>""</f>
        <v/>
      </c>
      <c r="S200" t="str">
        <f>""</f>
        <v/>
      </c>
      <c r="T200" t="str">
        <f>""</f>
        <v/>
      </c>
      <c r="U200" t="str">
        <f>""</f>
        <v/>
      </c>
      <c r="V200" t="str">
        <f>""</f>
        <v/>
      </c>
      <c r="W200" t="str">
        <f>""</f>
        <v/>
      </c>
      <c r="X200" t="str">
        <f>""</f>
        <v/>
      </c>
      <c r="Y200" t="str">
        <f>""</f>
        <v/>
      </c>
      <c r="Z200" t="str">
        <f>""</f>
        <v/>
      </c>
      <c r="AA200" t="str">
        <f>""</f>
        <v/>
      </c>
      <c r="AB200" t="str">
        <f>""</f>
        <v/>
      </c>
      <c r="AC200" t="str">
        <f>""</f>
        <v/>
      </c>
    </row>
    <row r="201" spans="1:29" x14ac:dyDescent="0.25">
      <c r="A201" t="str">
        <f>"End Date"</f>
        <v>End Date</v>
      </c>
      <c r="B201">
        <f ca="1">TODAY()</f>
        <v>43999</v>
      </c>
      <c r="R201" t="str">
        <f>""</f>
        <v/>
      </c>
      <c r="S201" t="str">
        <f>""</f>
        <v/>
      </c>
      <c r="T201" t="str">
        <f>""</f>
        <v/>
      </c>
      <c r="U201" t="str">
        <f>""</f>
        <v/>
      </c>
      <c r="V201" t="str">
        <f>""</f>
        <v/>
      </c>
      <c r="W201" t="str">
        <f>""</f>
        <v/>
      </c>
      <c r="X201" t="str">
        <f>""</f>
        <v/>
      </c>
      <c r="Y201" t="str">
        <f>""</f>
        <v/>
      </c>
      <c r="Z201" t="str">
        <f>""</f>
        <v/>
      </c>
      <c r="AA201" t="str">
        <f>""</f>
        <v/>
      </c>
      <c r="AB201" t="str">
        <f>""</f>
        <v/>
      </c>
      <c r="AC201" t="str">
        <f>""</f>
        <v/>
      </c>
    </row>
    <row r="202" spans="1:29" x14ac:dyDescent="0.25">
      <c r="A202" t="str">
        <f>"HeaderStatus"</f>
        <v>HeaderStatus</v>
      </c>
      <c r="B202">
        <f ca="1">$B$393*$B$401</f>
        <v>4</v>
      </c>
      <c r="R202" t="str">
        <f>""</f>
        <v/>
      </c>
      <c r="S202" t="str">
        <f>""</f>
        <v/>
      </c>
      <c r="T202" t="str">
        <f>""</f>
        <v/>
      </c>
      <c r="U202" t="str">
        <f>""</f>
        <v/>
      </c>
      <c r="V202" t="str">
        <f>""</f>
        <v/>
      </c>
      <c r="W202" t="str">
        <f>""</f>
        <v/>
      </c>
      <c r="X202" t="str">
        <f>""</f>
        <v/>
      </c>
      <c r="Y202" t="str">
        <f>""</f>
        <v/>
      </c>
      <c r="Z202" t="str">
        <f>""</f>
        <v/>
      </c>
      <c r="AA202" t="str">
        <f>""</f>
        <v/>
      </c>
      <c r="AB202" t="str">
        <f>""</f>
        <v/>
      </c>
      <c r="AC202" t="str">
        <f>""</f>
        <v/>
      </c>
    </row>
    <row r="203" spans="1:29" x14ac:dyDescent="0.25">
      <c r="R203" t="str">
        <f>""</f>
        <v/>
      </c>
      <c r="S203" t="str">
        <f>""</f>
        <v/>
      </c>
      <c r="T203" t="str">
        <f>""</f>
        <v/>
      </c>
      <c r="U203" t="str">
        <f>""</f>
        <v/>
      </c>
      <c r="V203" t="str">
        <f>""</f>
        <v/>
      </c>
      <c r="W203" t="str">
        <f>""</f>
        <v/>
      </c>
      <c r="X203" t="str">
        <f>""</f>
        <v/>
      </c>
      <c r="Y203" t="str">
        <f>""</f>
        <v/>
      </c>
      <c r="Z203" t="str">
        <f>""</f>
        <v/>
      </c>
      <c r="AA203" t="str">
        <f>""</f>
        <v/>
      </c>
      <c r="AB203" t="str">
        <f>""</f>
        <v/>
      </c>
      <c r="AC203" t="str">
        <f>""</f>
        <v/>
      </c>
    </row>
    <row r="204" spans="1:29" x14ac:dyDescent="0.25">
      <c r="A204" t="str">
        <f>$A$5</f>
        <v xml:space="preserve">    Accenture PLC</v>
      </c>
      <c r="B204" t="str">
        <f>$B$5</f>
        <v>ACN US Equity</v>
      </c>
      <c r="C204" t="str">
        <f>$C$5</f>
        <v>RR256</v>
      </c>
      <c r="D204" t="str">
        <f>$D$5</f>
        <v>CASH_RATIO</v>
      </c>
      <c r="E204" t="str">
        <f>$E$5</f>
        <v>Dynamic</v>
      </c>
      <c r="F204">
        <f ca="1">_xll.BDH($B$5,$C$5,$B$200,$B$201,CONCATENATE("Per=",$B$198),"Dts=H","Dir=H",CONCATENATE("Points=",$B$199),"Sort=R","Days=A","Fill=B",CONCATENATE("FX=", $B$197),"cols=12;rows=1")</f>
        <v>0.48670000000000002</v>
      </c>
      <c r="G204">
        <v>0.51910000000000001</v>
      </c>
      <c r="H204">
        <v>0.55420000000000003</v>
      </c>
      <c r="I204">
        <v>0.45229999999999998</v>
      </c>
      <c r="J204">
        <v>0.43719999999999998</v>
      </c>
      <c r="K204">
        <v>0.42909999999999998</v>
      </c>
      <c r="L204">
        <v>0.49890000000000001</v>
      </c>
      <c r="M204">
        <v>0.41160000000000002</v>
      </c>
      <c r="N204">
        <v>0.3841</v>
      </c>
      <c r="O204">
        <v>0.37340000000000001</v>
      </c>
      <c r="P204">
        <v>0.4204</v>
      </c>
      <c r="Q204">
        <v>0.36980000000000002</v>
      </c>
      <c r="R204" t="str">
        <f>""</f>
        <v/>
      </c>
      <c r="S204" t="str">
        <f>""</f>
        <v/>
      </c>
      <c r="T204" t="str">
        <f>""</f>
        <v/>
      </c>
      <c r="U204" t="str">
        <f>""</f>
        <v/>
      </c>
      <c r="V204" t="str">
        <f>""</f>
        <v/>
      </c>
      <c r="W204" t="str">
        <f>""</f>
        <v/>
      </c>
      <c r="X204" t="str">
        <f>""</f>
        <v/>
      </c>
      <c r="Y204" t="str">
        <f>""</f>
        <v/>
      </c>
      <c r="Z204" t="str">
        <f>""</f>
        <v/>
      </c>
      <c r="AA204" t="str">
        <f>""</f>
        <v/>
      </c>
      <c r="AB204" t="str">
        <f>""</f>
        <v/>
      </c>
      <c r="AC204" t="str">
        <f>""</f>
        <v/>
      </c>
    </row>
    <row r="205" spans="1:29" x14ac:dyDescent="0.25">
      <c r="A205" t="str">
        <f>$A$6</f>
        <v xml:space="preserve">    Amdocs Ltd</v>
      </c>
      <c r="B205" t="str">
        <f>$B$6</f>
        <v>DOX US Equity</v>
      </c>
      <c r="C205" t="str">
        <f>$C$6</f>
        <v>RR256</v>
      </c>
      <c r="D205" t="str">
        <f>$D$6</f>
        <v>CASH_RATIO</v>
      </c>
      <c r="E205" t="str">
        <f>$E$6</f>
        <v>Dynamic</v>
      </c>
      <c r="F205">
        <f ca="1">_xll.BDH($B$6,$C$6,$B$200,$B$201,CONCATENATE("Per=",$B$198),"Dts=H","Dir=H",CONCATENATE("Points=",$B$199),"Sort=R","Days=A","Fill=B",CONCATENATE("FX=", $B$197),"cols=12;rows=1")</f>
        <v>0.48670000000000002</v>
      </c>
      <c r="G205">
        <v>0.38300000000000001</v>
      </c>
      <c r="H205">
        <v>0.39040000000000002</v>
      </c>
      <c r="I205">
        <v>0.38690000000000002</v>
      </c>
      <c r="J205">
        <v>0.3705</v>
      </c>
      <c r="K205">
        <v>0.36009999999999998</v>
      </c>
      <c r="L205">
        <v>0.40100000000000002</v>
      </c>
      <c r="M205">
        <v>0.4254</v>
      </c>
      <c r="N205">
        <v>0.47960000000000003</v>
      </c>
      <c r="O205">
        <v>0.79069999999999996</v>
      </c>
      <c r="P205">
        <v>0.83520000000000005</v>
      </c>
      <c r="Q205">
        <v>0.81810000000000005</v>
      </c>
      <c r="R205" t="str">
        <f>""</f>
        <v/>
      </c>
      <c r="S205" t="str">
        <f>""</f>
        <v/>
      </c>
      <c r="T205" t="str">
        <f>""</f>
        <v/>
      </c>
      <c r="U205" t="str">
        <f>""</f>
        <v/>
      </c>
      <c r="V205" t="str">
        <f>""</f>
        <v/>
      </c>
      <c r="W205" t="str">
        <f>""</f>
        <v/>
      </c>
      <c r="X205" t="str">
        <f>""</f>
        <v/>
      </c>
      <c r="Y205" t="str">
        <f>""</f>
        <v/>
      </c>
      <c r="Z205" t="str">
        <f>""</f>
        <v/>
      </c>
      <c r="AA205" t="str">
        <f>""</f>
        <v/>
      </c>
      <c r="AB205" t="str">
        <f>""</f>
        <v/>
      </c>
      <c r="AC205" t="str">
        <f>""</f>
        <v/>
      </c>
    </row>
    <row r="206" spans="1:29" x14ac:dyDescent="0.25">
      <c r="A206" t="str">
        <f>$A$7</f>
        <v xml:space="preserve">    Atos SE</v>
      </c>
      <c r="B206" t="str">
        <f>$B$7</f>
        <v>ATO FP Equity</v>
      </c>
      <c r="C206" t="str">
        <f>$C$7</f>
        <v>RR256</v>
      </c>
      <c r="D206" t="str">
        <f>$D$7</f>
        <v>CASH_RATIO</v>
      </c>
      <c r="E206" t="str">
        <f>$E$7</f>
        <v>Dynamic</v>
      </c>
      <c r="F206" t="str">
        <f ca="1">_xll.BDH($B$7,$C$7,$B$200,$B$201,CONCATENATE("Per=",$B$198),"Dts=H","Dir=H",CONCATENATE("Points=",$B$199),"Sort=R","Days=A","Fill=B",CONCATENATE("FX=", $B$197) )</f>
        <v/>
      </c>
      <c r="R206" t="str">
        <f>""</f>
        <v/>
      </c>
      <c r="S206" t="str">
        <f>""</f>
        <v/>
      </c>
      <c r="T206" t="str">
        <f>""</f>
        <v/>
      </c>
      <c r="U206" t="str">
        <f>""</f>
        <v/>
      </c>
      <c r="V206" t="str">
        <f>""</f>
        <v/>
      </c>
      <c r="W206" t="str">
        <f>""</f>
        <v/>
      </c>
      <c r="X206" t="str">
        <f>""</f>
        <v/>
      </c>
      <c r="Y206" t="str">
        <f>""</f>
        <v/>
      </c>
      <c r="Z206" t="str">
        <f>""</f>
        <v/>
      </c>
      <c r="AA206" t="str">
        <f>""</f>
        <v/>
      </c>
      <c r="AB206" t="str">
        <f>""</f>
        <v/>
      </c>
      <c r="AC206" t="str">
        <f>""</f>
        <v/>
      </c>
    </row>
    <row r="207" spans="1:29" x14ac:dyDescent="0.25">
      <c r="A207" t="str">
        <f>$A$8</f>
        <v xml:space="preserve">    Capgemini SE</v>
      </c>
      <c r="B207" t="str">
        <f>$B$8</f>
        <v>CAP FP Equity</v>
      </c>
      <c r="C207" t="str">
        <f>$C$8</f>
        <v>RR256</v>
      </c>
      <c r="D207" t="str">
        <f>$D$8</f>
        <v>CASH_RATIO</v>
      </c>
      <c r="E207" t="str">
        <f>$E$8</f>
        <v>Dynamic</v>
      </c>
      <c r="F207" t="str">
        <f ca="1">_xll.BDH($B$8,$C$8,$B$200,$B$201,CONCATENATE("Per=",$B$198),"Dts=H","Dir=H",CONCATENATE("Points=",$B$199),"Sort=R","Days=A","Fill=B",CONCATENATE("FX=", $B$197),"cols=12;rows=1")</f>
        <v/>
      </c>
      <c r="G207">
        <v>0.52229999999999999</v>
      </c>
      <c r="R207" t="str">
        <f>""</f>
        <v/>
      </c>
      <c r="S207" t="str">
        <f>""</f>
        <v/>
      </c>
      <c r="T207" t="str">
        <f>""</f>
        <v/>
      </c>
      <c r="U207" t="str">
        <f>""</f>
        <v/>
      </c>
      <c r="V207" t="str">
        <f>""</f>
        <v/>
      </c>
      <c r="W207" t="str">
        <f>""</f>
        <v/>
      </c>
      <c r="X207" t="str">
        <f>""</f>
        <v/>
      </c>
      <c r="Y207" t="str">
        <f>""</f>
        <v/>
      </c>
      <c r="Z207" t="str">
        <f>""</f>
        <v/>
      </c>
      <c r="AA207" t="str">
        <f>""</f>
        <v/>
      </c>
      <c r="AB207" t="str">
        <f>""</f>
        <v/>
      </c>
      <c r="AC207" t="str">
        <f>""</f>
        <v/>
      </c>
    </row>
    <row r="208" spans="1:29" x14ac:dyDescent="0.25">
      <c r="A208" t="str">
        <f>$A$9</f>
        <v xml:space="preserve">    CGI Inc</v>
      </c>
      <c r="B208" t="str">
        <f>$B$9</f>
        <v>GIB US Equity</v>
      </c>
      <c r="C208" t="str">
        <f>$C$9</f>
        <v>RR256</v>
      </c>
      <c r="D208" t="str">
        <f>$D$9</f>
        <v>CASH_RATIO</v>
      </c>
      <c r="E208" t="str">
        <f>$E$9</f>
        <v>Dynamic</v>
      </c>
      <c r="F208">
        <f ca="1">_xll.BDH($B$9,$C$9,$B$200,$B$201,CONCATENATE("Per=",$B$198),"Dts=H","Dir=H",CONCATENATE("Points=",$B$199),"Sort=R","Days=A","Fill=B",CONCATENATE("FX=", $B$197),"cols=12;rows=1")</f>
        <v>8.77E-2</v>
      </c>
      <c r="G208">
        <v>6.0699999999999997E-2</v>
      </c>
      <c r="H208">
        <v>7.4099999999999999E-2</v>
      </c>
      <c r="I208">
        <v>7.2400000000000006E-2</v>
      </c>
      <c r="J208">
        <v>0.1734</v>
      </c>
      <c r="K208">
        <v>0.12429999999999999</v>
      </c>
      <c r="L208">
        <v>5.8999999999999997E-2</v>
      </c>
      <c r="M208">
        <v>5.2699999999999997E-2</v>
      </c>
      <c r="N208">
        <v>8.5999999999999993E-2</v>
      </c>
      <c r="O208">
        <v>7.4300000000000005E-2</v>
      </c>
      <c r="P208">
        <v>6.1400000000000003E-2</v>
      </c>
      <c r="Q208">
        <v>0.1077</v>
      </c>
      <c r="R208" t="str">
        <f>""</f>
        <v/>
      </c>
      <c r="S208" t="str">
        <f>""</f>
        <v/>
      </c>
      <c r="T208" t="str">
        <f>""</f>
        <v/>
      </c>
      <c r="U208" t="str">
        <f>""</f>
        <v/>
      </c>
      <c r="V208" t="str">
        <f>""</f>
        <v/>
      </c>
      <c r="W208" t="str">
        <f>""</f>
        <v/>
      </c>
      <c r="X208" t="str">
        <f>""</f>
        <v/>
      </c>
      <c r="Y208" t="str">
        <f>""</f>
        <v/>
      </c>
      <c r="Z208" t="str">
        <f>""</f>
        <v/>
      </c>
      <c r="AA208" t="str">
        <f>""</f>
        <v/>
      </c>
      <c r="AB208" t="str">
        <f>""</f>
        <v/>
      </c>
      <c r="AC208" t="str">
        <f>""</f>
        <v/>
      </c>
    </row>
    <row r="209" spans="1:29" x14ac:dyDescent="0.25">
      <c r="A209" t="str">
        <f>$A$10</f>
        <v xml:space="preserve">    Cognizant Technology Solutions Corp</v>
      </c>
      <c r="B209" t="str">
        <f>$B$10</f>
        <v>CTSH US Equity</v>
      </c>
      <c r="C209" t="str">
        <f>$C$10</f>
        <v>RR256</v>
      </c>
      <c r="D209" t="str">
        <f>$D$10</f>
        <v>CASH_RATIO</v>
      </c>
      <c r="E209" t="str">
        <f>$E$10</f>
        <v>Dynamic</v>
      </c>
      <c r="F209">
        <f ca="1">_xll.BDH($B$10,$C$10,$B$200,$B$201,CONCATENATE("Per=",$B$198),"Dts=H","Dir=H",CONCATENATE("Points=",$B$199),"Sort=R","Days=A","Fill=B",CONCATENATE("FX=", $B$197),"cols=12;rows=1")</f>
        <v>1.4908999999999999</v>
      </c>
      <c r="G209">
        <v>1.1477999999999999</v>
      </c>
      <c r="H209">
        <v>1.0541</v>
      </c>
      <c r="I209">
        <v>1.0633999999999999</v>
      </c>
      <c r="J209">
        <v>1.3485</v>
      </c>
      <c r="K209">
        <v>1.6646000000000001</v>
      </c>
      <c r="L209">
        <v>1.7686999999999999</v>
      </c>
      <c r="M209">
        <v>1.6739999999999999</v>
      </c>
      <c r="N209">
        <v>1.9563000000000001</v>
      </c>
      <c r="O209">
        <v>1.7808999999999999</v>
      </c>
      <c r="P209">
        <v>1.8127</v>
      </c>
      <c r="Q209">
        <v>1.8128</v>
      </c>
      <c r="R209" t="str">
        <f>""</f>
        <v/>
      </c>
      <c r="S209" t="str">
        <f>""</f>
        <v/>
      </c>
      <c r="T209" t="str">
        <f>""</f>
        <v/>
      </c>
      <c r="U209" t="str">
        <f>""</f>
        <v/>
      </c>
      <c r="V209" t="str">
        <f>""</f>
        <v/>
      </c>
      <c r="W209" t="str">
        <f>""</f>
        <v/>
      </c>
      <c r="X209" t="str">
        <f>""</f>
        <v/>
      </c>
      <c r="Y209" t="str">
        <f>""</f>
        <v/>
      </c>
      <c r="Z209" t="str">
        <f>""</f>
        <v/>
      </c>
      <c r="AA209" t="str">
        <f>""</f>
        <v/>
      </c>
      <c r="AB209" t="str">
        <f>""</f>
        <v/>
      </c>
      <c r="AC209" t="str">
        <f>""</f>
        <v/>
      </c>
    </row>
    <row r="210" spans="1:29" x14ac:dyDescent="0.25">
      <c r="A210" t="str">
        <f>$A$11</f>
        <v xml:space="preserve">    Conduent Inc</v>
      </c>
      <c r="B210" t="str">
        <f>$B$11</f>
        <v>CNDT US Equity</v>
      </c>
      <c r="C210" t="str">
        <f>$C$11</f>
        <v>RR256</v>
      </c>
      <c r="D210" t="str">
        <f>$D$11</f>
        <v>CASH_RATIO</v>
      </c>
      <c r="E210" t="str">
        <f>$E$11</f>
        <v>Dynamic</v>
      </c>
      <c r="F210">
        <f ca="1">_xll.BDH($B$11,$C$11,$B$200,$B$201,CONCATENATE("Per=",$B$198),"Dts=H","Dir=H",CONCATENATE("Points=",$B$199),"Sort=R","Days=A","Fill=B",CONCATENATE("FX=", $B$197),"cols=12;rows=1")</f>
        <v>0.3861</v>
      </c>
      <c r="G210">
        <v>0.4214</v>
      </c>
      <c r="H210">
        <v>0.20300000000000001</v>
      </c>
      <c r="I210">
        <v>0.2268</v>
      </c>
      <c r="J210">
        <v>0.36259999999999998</v>
      </c>
      <c r="K210">
        <v>0.63160000000000005</v>
      </c>
      <c r="L210">
        <v>0.46839999999999998</v>
      </c>
      <c r="M210">
        <v>0.75629999999999997</v>
      </c>
      <c r="N210">
        <v>0.40250000000000002</v>
      </c>
      <c r="O210">
        <v>0.48099999999999998</v>
      </c>
      <c r="P210">
        <v>0.38550000000000001</v>
      </c>
      <c r="Q210">
        <v>0.255</v>
      </c>
      <c r="R210" t="str">
        <f>""</f>
        <v/>
      </c>
      <c r="S210" t="str">
        <f>""</f>
        <v/>
      </c>
      <c r="T210" t="str">
        <f>""</f>
        <v/>
      </c>
      <c r="U210" t="str">
        <f>""</f>
        <v/>
      </c>
      <c r="V210" t="str">
        <f>""</f>
        <v/>
      </c>
      <c r="W210" t="str">
        <f>""</f>
        <v/>
      </c>
      <c r="X210" t="str">
        <f>""</f>
        <v/>
      </c>
      <c r="Y210" t="str">
        <f>""</f>
        <v/>
      </c>
      <c r="Z210" t="str">
        <f>""</f>
        <v/>
      </c>
      <c r="AA210" t="str">
        <f>""</f>
        <v/>
      </c>
      <c r="AB210" t="str">
        <f>""</f>
        <v/>
      </c>
      <c r="AC210" t="str">
        <f>""</f>
        <v/>
      </c>
    </row>
    <row r="211" spans="1:29" x14ac:dyDescent="0.25">
      <c r="A211" t="str">
        <f>$A$12</f>
        <v xml:space="preserve">    DXC Technology Co</v>
      </c>
      <c r="B211" t="str">
        <f>$B$12</f>
        <v>DXC US Equity</v>
      </c>
      <c r="C211" t="str">
        <f>$C$12</f>
        <v>RR256</v>
      </c>
      <c r="D211" t="str">
        <f>$D$12</f>
        <v>CASH_RATIO</v>
      </c>
      <c r="E211" t="str">
        <f>$E$12</f>
        <v>Dynamic</v>
      </c>
      <c r="F211">
        <f ca="1">_xll.BDH($B$12,$C$12,$B$200,$B$201,CONCATENATE("Per=",$B$198),"Dts=H","Dir=H",CONCATENATE("Points=",$B$199),"Sort=R","Days=A","Fill=B",CONCATENATE("FX=", $B$197),"cols=12;rows=1")</f>
        <v>0.46600000000000003</v>
      </c>
      <c r="G211">
        <v>0.29139999999999999</v>
      </c>
      <c r="H211">
        <v>0.32090000000000002</v>
      </c>
      <c r="I211">
        <v>0.2</v>
      </c>
      <c r="J211">
        <v>0.30669999999999997</v>
      </c>
      <c r="K211">
        <v>0.29039999999999999</v>
      </c>
      <c r="L211">
        <v>0.32650000000000001</v>
      </c>
      <c r="M211">
        <v>0.27689999999999998</v>
      </c>
      <c r="N211">
        <v>0.26319999999999999</v>
      </c>
      <c r="O211">
        <v>0.30359999999999998</v>
      </c>
      <c r="P211">
        <v>0.28299999999999997</v>
      </c>
      <c r="Q211">
        <v>0.31109999999999999</v>
      </c>
      <c r="R211" t="str">
        <f>""</f>
        <v/>
      </c>
      <c r="S211" t="str">
        <f>""</f>
        <v/>
      </c>
      <c r="T211" t="str">
        <f>""</f>
        <v/>
      </c>
      <c r="U211" t="str">
        <f>""</f>
        <v/>
      </c>
      <c r="V211" t="str">
        <f>""</f>
        <v/>
      </c>
      <c r="W211" t="str">
        <f>""</f>
        <v/>
      </c>
      <c r="X211" t="str">
        <f>""</f>
        <v/>
      </c>
      <c r="Y211" t="str">
        <f>""</f>
        <v/>
      </c>
      <c r="Z211" t="str">
        <f>""</f>
        <v/>
      </c>
      <c r="AA211" t="str">
        <f>""</f>
        <v/>
      </c>
      <c r="AB211" t="str">
        <f>""</f>
        <v/>
      </c>
      <c r="AC211" t="str">
        <f>""</f>
        <v/>
      </c>
    </row>
    <row r="212" spans="1:29" x14ac:dyDescent="0.25">
      <c r="A212" t="str">
        <f>$A$13</f>
        <v xml:space="preserve">    EPAM Systems Inc</v>
      </c>
      <c r="B212" t="str">
        <f>$B$13</f>
        <v>EPAM US Equity</v>
      </c>
      <c r="C212" t="str">
        <f>$C$13</f>
        <v>RR256</v>
      </c>
      <c r="D212" t="str">
        <f>$D$13</f>
        <v>CASH_RATIO</v>
      </c>
      <c r="E212" t="str">
        <f>$E$13</f>
        <v>Dynamic</v>
      </c>
      <c r="F212">
        <f ca="1">_xll.BDH($B$13,$C$13,$B$200,$B$201,CONCATENATE("Per=",$B$198),"Dts=H","Dir=H",CONCATENATE("Points=",$B$199),"Sort=R","Days=A","Fill=B",CONCATENATE("FX=", $B$197),"cols=12;rows=1")</f>
        <v>2.3534999999999999</v>
      </c>
      <c r="G212">
        <v>2.4203999999999999</v>
      </c>
      <c r="H212">
        <v>2.7393999999999998</v>
      </c>
      <c r="I212">
        <v>2.8515000000000001</v>
      </c>
      <c r="J212">
        <v>2.6985999999999999</v>
      </c>
      <c r="K212">
        <v>2.9318</v>
      </c>
      <c r="L212">
        <v>3.1004</v>
      </c>
      <c r="M212">
        <v>3.2197</v>
      </c>
      <c r="N212">
        <v>2.9784999999999999</v>
      </c>
      <c r="O212">
        <v>3.2193000000000001</v>
      </c>
      <c r="P212">
        <v>3.2235999999999998</v>
      </c>
      <c r="Q212">
        <v>3.4058000000000002</v>
      </c>
      <c r="R212" t="str">
        <f>""</f>
        <v/>
      </c>
      <c r="S212" t="str">
        <f>""</f>
        <v/>
      </c>
      <c r="T212" t="str">
        <f>""</f>
        <v/>
      </c>
      <c r="U212" t="str">
        <f>""</f>
        <v/>
      </c>
      <c r="V212" t="str">
        <f>""</f>
        <v/>
      </c>
      <c r="W212" t="str">
        <f>""</f>
        <v/>
      </c>
      <c r="X212" t="str">
        <f>""</f>
        <v/>
      </c>
      <c r="Y212" t="str">
        <f>""</f>
        <v/>
      </c>
      <c r="Z212" t="str">
        <f>""</f>
        <v/>
      </c>
      <c r="AA212" t="str">
        <f>""</f>
        <v/>
      </c>
      <c r="AB212" t="str">
        <f>""</f>
        <v/>
      </c>
      <c r="AC212" t="str">
        <f>""</f>
        <v/>
      </c>
    </row>
    <row r="213" spans="1:29" x14ac:dyDescent="0.25">
      <c r="A213" t="str">
        <f>$A$14</f>
        <v xml:space="preserve">    Genpact Ltd</v>
      </c>
      <c r="B213" t="str">
        <f>$B$14</f>
        <v>G US Equity</v>
      </c>
      <c r="C213" t="str">
        <f>$C$14</f>
        <v>RR256</v>
      </c>
      <c r="D213" t="str">
        <f>$D$14</f>
        <v>CASH_RATIO</v>
      </c>
      <c r="E213" t="str">
        <f>$E$14</f>
        <v>Dynamic</v>
      </c>
      <c r="F213">
        <f ca="1">_xll.BDH($B$14,$C$14,$B$200,$B$201,CONCATENATE("Per=",$B$198),"Dts=H","Dir=H",CONCATENATE("Points=",$B$199),"Sort=R","Days=A","Fill=B",CONCATENATE("FX=", $B$197),"cols=12;rows=1")</f>
        <v>0.4254</v>
      </c>
      <c r="G213">
        <v>0.51319999999999999</v>
      </c>
      <c r="H213">
        <v>0.42930000000000001</v>
      </c>
      <c r="I213">
        <v>0.37680000000000002</v>
      </c>
      <c r="J213">
        <v>0.3216</v>
      </c>
      <c r="K213">
        <v>0.37730000000000002</v>
      </c>
      <c r="L213">
        <v>0.39879999999999999</v>
      </c>
      <c r="M213">
        <v>0.41070000000000001</v>
      </c>
      <c r="N213">
        <v>0.48699999999999999</v>
      </c>
      <c r="O213">
        <v>0.60140000000000005</v>
      </c>
      <c r="P213">
        <v>0.53459999999999996</v>
      </c>
      <c r="Q213">
        <v>0.57569999999999999</v>
      </c>
      <c r="R213" t="str">
        <f>""</f>
        <v/>
      </c>
      <c r="S213" t="str">
        <f>""</f>
        <v/>
      </c>
      <c r="T213" t="str">
        <f>""</f>
        <v/>
      </c>
      <c r="U213" t="str">
        <f>""</f>
        <v/>
      </c>
      <c r="V213" t="str">
        <f>""</f>
        <v/>
      </c>
      <c r="W213" t="str">
        <f>""</f>
        <v/>
      </c>
      <c r="X213" t="str">
        <f>""</f>
        <v/>
      </c>
      <c r="Y213" t="str">
        <f>""</f>
        <v/>
      </c>
      <c r="Z213" t="str">
        <f>""</f>
        <v/>
      </c>
      <c r="AA213" t="str">
        <f>""</f>
        <v/>
      </c>
      <c r="AB213" t="str">
        <f>""</f>
        <v/>
      </c>
      <c r="AC213" t="str">
        <f>""</f>
        <v/>
      </c>
    </row>
    <row r="214" spans="1:29" x14ac:dyDescent="0.25">
      <c r="A214" t="str">
        <f>$A$15</f>
        <v xml:space="preserve">    HCL Technologies Ltd</v>
      </c>
      <c r="B214" t="str">
        <f>$B$15</f>
        <v>HCLT IN Equity</v>
      </c>
      <c r="C214" t="str">
        <f>$C$15</f>
        <v>RR256</v>
      </c>
      <c r="D214" t="str">
        <f>$D$15</f>
        <v>CASH_RATIO</v>
      </c>
      <c r="E214" t="str">
        <f>$E$15</f>
        <v>Dynamic</v>
      </c>
      <c r="F214">
        <f ca="1">_xll.BDH($B$15,$C$15,$B$200,$B$201,CONCATENATE("Per=",$B$198),"Dts=H","Dir=H",CONCATENATE("Points=",$B$199),"Sort=R","Days=A","Fill=B",CONCATENATE("FX=", $B$197),"cols=12;rows=1")</f>
        <v>0.64939999999999998</v>
      </c>
      <c r="G214">
        <v>0.60640000000000005</v>
      </c>
      <c r="H214">
        <v>0.38679999999999998</v>
      </c>
      <c r="I214">
        <v>1.0219</v>
      </c>
      <c r="J214">
        <v>0.92920000000000003</v>
      </c>
      <c r="K214">
        <v>0.90469999999999995</v>
      </c>
      <c r="L214">
        <v>0.85140000000000005</v>
      </c>
      <c r="M214">
        <v>0.92069999999999996</v>
      </c>
      <c r="N214">
        <v>0.63029999999999997</v>
      </c>
      <c r="O214">
        <v>0.84819999999999995</v>
      </c>
      <c r="P214">
        <v>0.90800000000000003</v>
      </c>
      <c r="Q214">
        <v>1.054</v>
      </c>
      <c r="R214" t="str">
        <f>""</f>
        <v/>
      </c>
      <c r="S214" t="str">
        <f>""</f>
        <v/>
      </c>
      <c r="T214" t="str">
        <f>""</f>
        <v/>
      </c>
      <c r="U214" t="str">
        <f>""</f>
        <v/>
      </c>
      <c r="V214" t="str">
        <f>""</f>
        <v/>
      </c>
      <c r="W214" t="str">
        <f>""</f>
        <v/>
      </c>
      <c r="X214" t="str">
        <f>""</f>
        <v/>
      </c>
      <c r="Y214" t="str">
        <f>""</f>
        <v/>
      </c>
      <c r="Z214" t="str">
        <f>""</f>
        <v/>
      </c>
      <c r="AA214" t="str">
        <f>""</f>
        <v/>
      </c>
      <c r="AB214" t="str">
        <f>""</f>
        <v/>
      </c>
      <c r="AC214" t="str">
        <f>""</f>
        <v/>
      </c>
    </row>
    <row r="215" spans="1:29" x14ac:dyDescent="0.25">
      <c r="A215" t="str">
        <f>$A$16</f>
        <v xml:space="preserve">    Indra Sistemas SA</v>
      </c>
      <c r="B215" t="str">
        <f>$B$16</f>
        <v>IDR SM Equity</v>
      </c>
      <c r="C215" t="str">
        <f>$C$16</f>
        <v>RR256</v>
      </c>
      <c r="D215" t="str">
        <f>$D$16</f>
        <v>CASH_RATIO</v>
      </c>
      <c r="E215" t="str">
        <f>$E$16</f>
        <v>Dynamic</v>
      </c>
      <c r="F215">
        <f ca="1">_xll.BDH($B$16,$C$16,$B$200,$B$201,CONCATENATE("Per=",$B$198),"Dts=H","Dir=H",CONCATENATE("Points=",$B$199),"Sort=R","Days=A","Fill=B",CONCATENATE("FX=", $B$197),"cols=12;rows=1")</f>
        <v>0.44390000000000002</v>
      </c>
      <c r="G215">
        <v>0.4587</v>
      </c>
      <c r="H215">
        <v>0.43569999999999998</v>
      </c>
      <c r="I215">
        <v>0.4199</v>
      </c>
      <c r="J215">
        <v>0.48299999999999998</v>
      </c>
      <c r="K215">
        <v>0.50970000000000004</v>
      </c>
      <c r="L215">
        <v>0.47049999999999997</v>
      </c>
      <c r="M215">
        <v>0.49480000000000002</v>
      </c>
      <c r="N215">
        <v>0.38519999999999999</v>
      </c>
      <c r="O215">
        <v>0.35489999999999999</v>
      </c>
      <c r="P215">
        <v>0.36180000000000001</v>
      </c>
      <c r="Q215">
        <v>0.30480000000000002</v>
      </c>
      <c r="R215" t="str">
        <f>""</f>
        <v/>
      </c>
      <c r="S215" t="str">
        <f>""</f>
        <v/>
      </c>
      <c r="T215" t="str">
        <f>""</f>
        <v/>
      </c>
      <c r="U215" t="str">
        <f>""</f>
        <v/>
      </c>
      <c r="V215" t="str">
        <f>""</f>
        <v/>
      </c>
      <c r="W215" t="str">
        <f>""</f>
        <v/>
      </c>
      <c r="X215" t="str">
        <f>""</f>
        <v/>
      </c>
      <c r="Y215" t="str">
        <f>""</f>
        <v/>
      </c>
      <c r="Z215" t="str">
        <f>""</f>
        <v/>
      </c>
      <c r="AA215" t="str">
        <f>""</f>
        <v/>
      </c>
      <c r="AB215" t="str">
        <f>""</f>
        <v/>
      </c>
      <c r="AC215" t="str">
        <f>""</f>
        <v/>
      </c>
    </row>
    <row r="216" spans="1:29" x14ac:dyDescent="0.25">
      <c r="A216" t="str">
        <f>$A$17</f>
        <v xml:space="preserve">    Infosys Ltd</v>
      </c>
      <c r="B216" t="str">
        <f>$B$17</f>
        <v>INFY US Equity</v>
      </c>
      <c r="C216" t="str">
        <f>$C$17</f>
        <v>RR256</v>
      </c>
      <c r="D216" t="str">
        <f>$D$17</f>
        <v>CASH_RATIO</v>
      </c>
      <c r="E216" t="str">
        <f>$E$17</f>
        <v>Dynamic</v>
      </c>
      <c r="F216">
        <f ca="1">_xll.BDH($B$17,$C$17,$B$200,$B$201,CONCATENATE("Per=",$B$198),"Dts=H","Dir=H",CONCATENATE("Points=",$B$199),"Sort=R","Days=A","Fill=B",CONCATENATE("FX=", $B$197),"cols=12;rows=1")</f>
        <v>1.1173999999999999</v>
      </c>
      <c r="G216">
        <v>1.0181</v>
      </c>
      <c r="H216">
        <v>1.0406</v>
      </c>
      <c r="I216">
        <v>0.87949999999999995</v>
      </c>
      <c r="J216">
        <v>1.4055</v>
      </c>
      <c r="K216">
        <v>1.5640000000000001</v>
      </c>
      <c r="L216">
        <v>1.6101000000000001</v>
      </c>
      <c r="M216">
        <v>1.4142000000000001</v>
      </c>
      <c r="N216">
        <v>1.8593</v>
      </c>
      <c r="O216">
        <v>1.6423999999999999</v>
      </c>
      <c r="P216">
        <v>2.2464</v>
      </c>
      <c r="Q216">
        <v>2.0558999999999998</v>
      </c>
      <c r="R216" t="str">
        <f>""</f>
        <v/>
      </c>
      <c r="S216" t="str">
        <f>""</f>
        <v/>
      </c>
      <c r="T216" t="str">
        <f>""</f>
        <v/>
      </c>
      <c r="U216" t="str">
        <f>""</f>
        <v/>
      </c>
      <c r="V216" t="str">
        <f>""</f>
        <v/>
      </c>
      <c r="W216" t="str">
        <f>""</f>
        <v/>
      </c>
      <c r="X216" t="str">
        <f>""</f>
        <v/>
      </c>
      <c r="Y216" t="str">
        <f>""</f>
        <v/>
      </c>
      <c r="Z216" t="str">
        <f>""</f>
        <v/>
      </c>
      <c r="AA216" t="str">
        <f>""</f>
        <v/>
      </c>
      <c r="AB216" t="str">
        <f>""</f>
        <v/>
      </c>
      <c r="AC216" t="str">
        <f>""</f>
        <v/>
      </c>
    </row>
    <row r="217" spans="1:29" x14ac:dyDescent="0.25">
      <c r="A217" t="str">
        <f>$A$18</f>
        <v xml:space="preserve">    International Business Machines Corp</v>
      </c>
      <c r="B217" t="str">
        <f>$B$18</f>
        <v>IBM US Equity</v>
      </c>
      <c r="C217" t="str">
        <f>$C$18</f>
        <v>RR256</v>
      </c>
      <c r="D217" t="str">
        <f>$D$18</f>
        <v>CASH_RATIO</v>
      </c>
      <c r="E217" t="str">
        <f>$E$18</f>
        <v>Dynamic</v>
      </c>
      <c r="F217">
        <f ca="1">_xll.BDH($B$18,$C$18,$B$200,$B$201,CONCATENATE("Per=",$B$198),"Dts=H","Dir=H",CONCATENATE("Points=",$B$199),"Sort=R","Days=A","Fill=B",CONCATENATE("FX=", $B$197),"cols=12;rows=1")</f>
        <v>0.29170000000000001</v>
      </c>
      <c r="G217">
        <v>0.23519999999999999</v>
      </c>
      <c r="H217">
        <v>0.30859999999999999</v>
      </c>
      <c r="I217">
        <v>1.0926</v>
      </c>
      <c r="J217">
        <v>0.4632</v>
      </c>
      <c r="K217">
        <v>0.31380000000000002</v>
      </c>
      <c r="L217">
        <v>0.39369999999999999</v>
      </c>
      <c r="M217">
        <v>0.33029999999999998</v>
      </c>
      <c r="N217">
        <v>0.3594</v>
      </c>
      <c r="O217">
        <v>0.3367</v>
      </c>
      <c r="P217">
        <v>0.36330000000000001</v>
      </c>
      <c r="Q217">
        <v>0.34189999999999998</v>
      </c>
      <c r="R217" t="str">
        <f>""</f>
        <v/>
      </c>
      <c r="S217" t="str">
        <f>""</f>
        <v/>
      </c>
      <c r="T217" t="str">
        <f>""</f>
        <v/>
      </c>
      <c r="U217" t="str">
        <f>""</f>
        <v/>
      </c>
      <c r="V217" t="str">
        <f>""</f>
        <v/>
      </c>
      <c r="W217" t="str">
        <f>""</f>
        <v/>
      </c>
      <c r="X217" t="str">
        <f>""</f>
        <v/>
      </c>
      <c r="Y217" t="str">
        <f>""</f>
        <v/>
      </c>
      <c r="Z217" t="str">
        <f>""</f>
        <v/>
      </c>
      <c r="AA217" t="str">
        <f>""</f>
        <v/>
      </c>
      <c r="AB217" t="str">
        <f>""</f>
        <v/>
      </c>
      <c r="AC217" t="str">
        <f>""</f>
        <v/>
      </c>
    </row>
    <row r="218" spans="1:29" x14ac:dyDescent="0.25">
      <c r="A218" t="str">
        <f>$A$19</f>
        <v xml:space="preserve">    Tata Consultancy Services Ltd</v>
      </c>
      <c r="B218" t="str">
        <f>$B$19</f>
        <v>TCS IN Equity</v>
      </c>
      <c r="C218" t="str">
        <f>$C$19</f>
        <v>RR256</v>
      </c>
      <c r="D218" t="str">
        <f>$D$19</f>
        <v>CASH_RATIO</v>
      </c>
      <c r="E218" t="str">
        <f>$E$19</f>
        <v>Dynamic</v>
      </c>
      <c r="F218">
        <f ca="1">_xll.BDH($B$19,$C$19,$B$200,$B$201,CONCATENATE("Per=",$B$198),"Dts=H","Dir=H",CONCATENATE("Points=",$B$199),"Sort=R","Days=A","Fill=B",CONCATENATE("FX=", $B$197),"cols=12;rows=1")</f>
        <v>1.3153000000000001</v>
      </c>
      <c r="G218">
        <v>1.4817</v>
      </c>
      <c r="H218">
        <v>1.9485000000000001</v>
      </c>
      <c r="I218">
        <v>1.7385999999999999</v>
      </c>
      <c r="J218">
        <v>1.8902000000000001</v>
      </c>
      <c r="K218">
        <v>1.7057</v>
      </c>
      <c r="L218">
        <v>1.5026000000000002</v>
      </c>
      <c r="M218">
        <v>1.849</v>
      </c>
      <c r="N218">
        <v>2.3921000000000001</v>
      </c>
      <c r="O218">
        <v>2.2721</v>
      </c>
      <c r="P218">
        <v>2.0546000000000002</v>
      </c>
      <c r="Q218">
        <v>2.1074000000000002</v>
      </c>
      <c r="R218" t="str">
        <f>""</f>
        <v/>
      </c>
      <c r="S218" t="str">
        <f>""</f>
        <v/>
      </c>
      <c r="T218" t="str">
        <f>""</f>
        <v/>
      </c>
      <c r="U218" t="str">
        <f>""</f>
        <v/>
      </c>
      <c r="V218" t="str">
        <f>""</f>
        <v/>
      </c>
      <c r="W218" t="str">
        <f>""</f>
        <v/>
      </c>
      <c r="X218" t="str">
        <f>""</f>
        <v/>
      </c>
      <c r="Y218" t="str">
        <f>""</f>
        <v/>
      </c>
      <c r="Z218" t="str">
        <f>""</f>
        <v/>
      </c>
      <c r="AA218" t="str">
        <f>""</f>
        <v/>
      </c>
      <c r="AB218" t="str">
        <f>""</f>
        <v/>
      </c>
      <c r="AC218" t="str">
        <f>""</f>
        <v/>
      </c>
    </row>
    <row r="219" spans="1:29" x14ac:dyDescent="0.25">
      <c r="A219" t="str">
        <f>$A$20</f>
        <v xml:space="preserve">    Tech Mahindra Ltd</v>
      </c>
      <c r="B219" t="str">
        <f>$B$20</f>
        <v>TECHM IN Equity</v>
      </c>
      <c r="C219" t="str">
        <f>$C$20</f>
        <v>RR256</v>
      </c>
      <c r="D219" t="str">
        <f>$D$20</f>
        <v>CASH_RATIO</v>
      </c>
      <c r="E219" t="str">
        <f>$E$20</f>
        <v>Dynamic</v>
      </c>
      <c r="F219">
        <f ca="1">_xll.BDH($B$20,$C$20,$B$200,$B$201,CONCATENATE("Per=",$B$198),"Dts=H","Dir=H",CONCATENATE("Points=",$B$199),"Sort=R","Days=A","Fill=B",CONCATENATE("FX=", $B$197),"cols=12;rows=1")</f>
        <v>0.80179999999999996</v>
      </c>
      <c r="G219">
        <v>0.7369</v>
      </c>
      <c r="H219">
        <v>0.71060000000000001</v>
      </c>
      <c r="I219">
        <v>0.75729999999999997</v>
      </c>
      <c r="J219">
        <v>0.75060000000000004</v>
      </c>
      <c r="K219">
        <v>0.66759999999999997</v>
      </c>
      <c r="L219">
        <v>0.5978</v>
      </c>
      <c r="M219">
        <v>0.76990000000000003</v>
      </c>
      <c r="N219">
        <v>0.70440000000000003</v>
      </c>
      <c r="O219">
        <v>0.68359999999999999</v>
      </c>
      <c r="P219">
        <v>0.69850000000000001</v>
      </c>
      <c r="Q219">
        <v>0.6986</v>
      </c>
      <c r="R219" t="str">
        <f>""</f>
        <v/>
      </c>
      <c r="S219" t="str">
        <f>""</f>
        <v/>
      </c>
      <c r="T219" t="str">
        <f>""</f>
        <v/>
      </c>
      <c r="U219" t="str">
        <f>""</f>
        <v/>
      </c>
      <c r="V219" t="str">
        <f>""</f>
        <v/>
      </c>
      <c r="W219" t="str">
        <f>""</f>
        <v/>
      </c>
      <c r="X219" t="str">
        <f>""</f>
        <v/>
      </c>
      <c r="Y219" t="str">
        <f>""</f>
        <v/>
      </c>
      <c r="Z219" t="str">
        <f>""</f>
        <v/>
      </c>
      <c r="AA219" t="str">
        <f>""</f>
        <v/>
      </c>
      <c r="AB219" t="str">
        <f>""</f>
        <v/>
      </c>
      <c r="AC219" t="str">
        <f>""</f>
        <v/>
      </c>
    </row>
    <row r="220" spans="1:29" x14ac:dyDescent="0.25">
      <c r="A220" t="str">
        <f>$A$21</f>
        <v xml:space="preserve">    Wipro Ltd</v>
      </c>
      <c r="B220" t="str">
        <f>$B$21</f>
        <v>WIT US Equity</v>
      </c>
      <c r="C220" t="str">
        <f>$C$21</f>
        <v>RR256</v>
      </c>
      <c r="D220" t="str">
        <f>$D$21</f>
        <v>CASH_RATIO</v>
      </c>
      <c r="E220" t="str">
        <f>$E$21</f>
        <v>Dynamic</v>
      </c>
      <c r="F220">
        <f ca="1">_xll.BDH($B$21,$C$21,$B$200,$B$201,CONCATENATE("Per=",$B$198),"Dts=H","Dir=H",CONCATENATE("Points=",$B$199),"Sort=R","Days=A","Fill=B",CONCATENATE("FX=", $B$197),"cols=12;rows=1")</f>
        <v>1.5441</v>
      </c>
      <c r="G220">
        <v>1.6257000000000001</v>
      </c>
      <c r="H220">
        <v>1.5356000000000001</v>
      </c>
      <c r="I220">
        <v>1.8808</v>
      </c>
      <c r="J220">
        <v>1.7692999999999999</v>
      </c>
      <c r="K220">
        <v>1.8376999999999999</v>
      </c>
      <c r="L220">
        <v>1.5682</v>
      </c>
      <c r="M220">
        <v>1.6156999999999999</v>
      </c>
      <c r="N220">
        <v>1.3771</v>
      </c>
      <c r="O220">
        <v>1.3089999999999999</v>
      </c>
      <c r="P220">
        <v>1.6974</v>
      </c>
      <c r="Q220">
        <v>1.5874999999999999</v>
      </c>
      <c r="R220" t="str">
        <f>""</f>
        <v/>
      </c>
      <c r="S220" t="str">
        <f>""</f>
        <v/>
      </c>
      <c r="T220" t="str">
        <f>""</f>
        <v/>
      </c>
      <c r="U220" t="str">
        <f>""</f>
        <v/>
      </c>
      <c r="V220" t="str">
        <f>""</f>
        <v/>
      </c>
      <c r="W220" t="str">
        <f>""</f>
        <v/>
      </c>
      <c r="X220" t="str">
        <f>""</f>
        <v/>
      </c>
      <c r="Y220" t="str">
        <f>""</f>
        <v/>
      </c>
      <c r="Z220" t="str">
        <f>""</f>
        <v/>
      </c>
      <c r="AA220" t="str">
        <f>""</f>
        <v/>
      </c>
      <c r="AB220" t="str">
        <f>""</f>
        <v/>
      </c>
      <c r="AC220" t="str">
        <f>""</f>
        <v/>
      </c>
    </row>
    <row r="221" spans="1:29" x14ac:dyDescent="0.25">
      <c r="A221" t="str">
        <f>$A$23</f>
        <v xml:space="preserve">    Accenture PLC</v>
      </c>
      <c r="B221" t="str">
        <f>$B$23</f>
        <v>ACN US Equity</v>
      </c>
      <c r="C221" t="str">
        <f>$C$23</f>
        <v>RR054</v>
      </c>
      <c r="D221" t="str">
        <f>$D$23</f>
        <v>QUICK_RATIO</v>
      </c>
      <c r="E221" t="str">
        <f>$E$23</f>
        <v>Dynamic</v>
      </c>
      <c r="F221">
        <f ca="1">_xll.BDH($B$23,$C$23,$B$200,$B$201,CONCATENATE("Per=",$B$198),"Dts=H","Dir=H",CONCATENATE("Points=",$B$199),"Sort=R","Days=A","Fill=B",CONCATENATE("FX=", $B$197),"cols=12;rows=1")</f>
        <v>1.2487999999999999</v>
      </c>
      <c r="G221">
        <v>1.2849999999999999</v>
      </c>
      <c r="H221">
        <v>1.286</v>
      </c>
      <c r="I221">
        <v>1.2231000000000001</v>
      </c>
      <c r="J221">
        <v>1.2349000000000001</v>
      </c>
      <c r="K221">
        <v>1.2175</v>
      </c>
      <c r="L221">
        <v>0.99109999999999998</v>
      </c>
      <c r="M221">
        <v>0.9335</v>
      </c>
      <c r="N221">
        <v>0.92110000000000003</v>
      </c>
      <c r="O221">
        <v>0.87839999999999996</v>
      </c>
      <c r="P221">
        <v>0.88549999999999995</v>
      </c>
      <c r="Q221">
        <v>0.85850000000000004</v>
      </c>
      <c r="R221" t="str">
        <f>""</f>
        <v/>
      </c>
      <c r="S221" t="str">
        <f>""</f>
        <v/>
      </c>
      <c r="T221" t="str">
        <f>""</f>
        <v/>
      </c>
      <c r="U221" t="str">
        <f>""</f>
        <v/>
      </c>
      <c r="V221" t="str">
        <f>""</f>
        <v/>
      </c>
      <c r="W221" t="str">
        <f>""</f>
        <v/>
      </c>
      <c r="X221" t="str">
        <f>""</f>
        <v/>
      </c>
      <c r="Y221" t="str">
        <f>""</f>
        <v/>
      </c>
      <c r="Z221" t="str">
        <f>""</f>
        <v/>
      </c>
      <c r="AA221" t="str">
        <f>""</f>
        <v/>
      </c>
      <c r="AB221" t="str">
        <f>""</f>
        <v/>
      </c>
      <c r="AC221" t="str">
        <f>""</f>
        <v/>
      </c>
    </row>
    <row r="222" spans="1:29" x14ac:dyDescent="0.25">
      <c r="A222" t="str">
        <f>$A$24</f>
        <v xml:space="preserve">    Amdocs Ltd</v>
      </c>
      <c r="B222" t="str">
        <f>$B$24</f>
        <v>DOX US Equity</v>
      </c>
      <c r="C222" t="str">
        <f>$C$24</f>
        <v>RR054</v>
      </c>
      <c r="D222" t="str">
        <f>$D$24</f>
        <v>QUICK_RATIO</v>
      </c>
      <c r="E222" t="str">
        <f>$E$24</f>
        <v>Dynamic</v>
      </c>
      <c r="F222">
        <f ca="1">_xll.BDH($B$24,$C$24,$B$200,$B$201,CONCATENATE("Per=",$B$198),"Dts=H","Dir=H",CONCATENATE("Points=",$B$199),"Sort=R","Days=A","Fill=B",CONCATENATE("FX=", $B$197),"cols=12;rows=1")</f>
        <v>0.96889999999999998</v>
      </c>
      <c r="G222">
        <v>1.1732</v>
      </c>
      <c r="H222">
        <v>1.2082999999999999</v>
      </c>
      <c r="I222">
        <v>1.1923999999999999</v>
      </c>
      <c r="J222">
        <v>1.0007999999999999</v>
      </c>
      <c r="K222">
        <v>1.1520999999999999</v>
      </c>
      <c r="L222">
        <v>0.94730000000000003</v>
      </c>
      <c r="M222">
        <v>0.98150000000000004</v>
      </c>
      <c r="N222">
        <v>0.99960000000000004</v>
      </c>
      <c r="O222">
        <v>1.3486</v>
      </c>
      <c r="P222">
        <v>1.3769</v>
      </c>
      <c r="Q222">
        <v>1.4283999999999999</v>
      </c>
      <c r="R222" t="str">
        <f>""</f>
        <v/>
      </c>
      <c r="S222" t="str">
        <f>""</f>
        <v/>
      </c>
      <c r="T222" t="str">
        <f>""</f>
        <v/>
      </c>
      <c r="U222" t="str">
        <f>""</f>
        <v/>
      </c>
      <c r="V222" t="str">
        <f>""</f>
        <v/>
      </c>
      <c r="W222" t="str">
        <f>""</f>
        <v/>
      </c>
      <c r="X222" t="str">
        <f>""</f>
        <v/>
      </c>
      <c r="Y222" t="str">
        <f>""</f>
        <v/>
      </c>
      <c r="Z222" t="str">
        <f>""</f>
        <v/>
      </c>
      <c r="AA222" t="str">
        <f>""</f>
        <v/>
      </c>
      <c r="AB222" t="str">
        <f>""</f>
        <v/>
      </c>
      <c r="AC222" t="str">
        <f>""</f>
        <v/>
      </c>
    </row>
    <row r="223" spans="1:29" x14ac:dyDescent="0.25">
      <c r="A223" t="str">
        <f>$A$25</f>
        <v xml:space="preserve">    Atos SE</v>
      </c>
      <c r="B223" t="str">
        <f>$B$25</f>
        <v>ATO FP Equity</v>
      </c>
      <c r="C223" t="str">
        <f>$C$25</f>
        <v>RR054</v>
      </c>
      <c r="D223" t="str">
        <f>$D$25</f>
        <v>QUICK_RATIO</v>
      </c>
      <c r="E223" t="str">
        <f>$E$25</f>
        <v>Dynamic</v>
      </c>
      <c r="F223" t="str">
        <f ca="1">_xll.BDH($B$25,$C$25,$B$200,$B$201,CONCATENATE("Per=",$B$198),"Dts=H","Dir=H",CONCATENATE("Points=",$B$199),"Sort=R","Days=A","Fill=B",CONCATENATE("FX=", $B$197) )</f>
        <v/>
      </c>
      <c r="R223" t="str">
        <f>""</f>
        <v/>
      </c>
      <c r="S223" t="str">
        <f>""</f>
        <v/>
      </c>
      <c r="T223" t="str">
        <f>""</f>
        <v/>
      </c>
      <c r="U223" t="str">
        <f>""</f>
        <v/>
      </c>
      <c r="V223" t="str">
        <f>""</f>
        <v/>
      </c>
      <c r="W223" t="str">
        <f>""</f>
        <v/>
      </c>
      <c r="X223" t="str">
        <f>""</f>
        <v/>
      </c>
      <c r="Y223" t="str">
        <f>""</f>
        <v/>
      </c>
      <c r="Z223" t="str">
        <f>""</f>
        <v/>
      </c>
      <c r="AA223" t="str">
        <f>""</f>
        <v/>
      </c>
      <c r="AB223" t="str">
        <f>""</f>
        <v/>
      </c>
      <c r="AC223" t="str">
        <f>""</f>
        <v/>
      </c>
    </row>
    <row r="224" spans="1:29" x14ac:dyDescent="0.25">
      <c r="A224" t="str">
        <f>$A$26</f>
        <v xml:space="preserve">    Capgemini SE</v>
      </c>
      <c r="B224" t="str">
        <f>$B$26</f>
        <v>CAP FP Equity</v>
      </c>
      <c r="C224" t="str">
        <f>$C$26</f>
        <v>RR054</v>
      </c>
      <c r="D224" t="str">
        <f>$D$26</f>
        <v>QUICK_RATIO</v>
      </c>
      <c r="E224" t="str">
        <f>$E$26</f>
        <v>Dynamic</v>
      </c>
      <c r="F224" t="str">
        <f ca="1">_xll.BDH($B$26,$C$26,$B$200,$B$201,CONCATENATE("Per=",$B$198),"Dts=H","Dir=H",CONCATENATE("Points=",$B$199),"Sort=R","Days=A","Fill=B",CONCATENATE("FX=", $B$197),"cols=12;rows=1")</f>
        <v/>
      </c>
      <c r="G224">
        <v>0.9365</v>
      </c>
      <c r="R224" t="str">
        <f>""</f>
        <v/>
      </c>
      <c r="S224" t="str">
        <f>""</f>
        <v/>
      </c>
      <c r="T224" t="str">
        <f>""</f>
        <v/>
      </c>
      <c r="U224" t="str">
        <f>""</f>
        <v/>
      </c>
      <c r="V224" t="str">
        <f>""</f>
        <v/>
      </c>
      <c r="W224" t="str">
        <f>""</f>
        <v/>
      </c>
      <c r="X224" t="str">
        <f>""</f>
        <v/>
      </c>
      <c r="Y224" t="str">
        <f>""</f>
        <v/>
      </c>
      <c r="Z224" t="str">
        <f>""</f>
        <v/>
      </c>
      <c r="AA224" t="str">
        <f>""</f>
        <v/>
      </c>
      <c r="AB224" t="str">
        <f>""</f>
        <v/>
      </c>
      <c r="AC224" t="str">
        <f>""</f>
        <v/>
      </c>
    </row>
    <row r="225" spans="1:29" x14ac:dyDescent="0.25">
      <c r="A225" t="str">
        <f>$A$27</f>
        <v xml:space="preserve">    CGI Inc</v>
      </c>
      <c r="B225" t="str">
        <f>$B$27</f>
        <v>GIB US Equity</v>
      </c>
      <c r="C225" t="str">
        <f>$C$27</f>
        <v>RR054</v>
      </c>
      <c r="D225" t="str">
        <f>$D$27</f>
        <v>QUICK_RATIO</v>
      </c>
      <c r="E225" t="str">
        <f>$E$27</f>
        <v>Dynamic</v>
      </c>
      <c r="F225">
        <f ca="1">_xll.BDH($B$27,$C$27,$B$200,$B$201,CONCATENATE("Per=",$B$198),"Dts=H","Dir=H",CONCATENATE("Points=",$B$199),"Sort=R","Days=A","Fill=B",CONCATENATE("FX=", $B$197),"cols=12;rows=1")</f>
        <v>0.51990000000000003</v>
      </c>
      <c r="G225">
        <v>0.50519999999999998</v>
      </c>
      <c r="H225">
        <v>0.4138</v>
      </c>
      <c r="I225">
        <v>0.54790000000000005</v>
      </c>
      <c r="J225">
        <v>0.63959999999999995</v>
      </c>
      <c r="K225">
        <v>0.59089999999999998</v>
      </c>
      <c r="L225">
        <v>0.42020000000000002</v>
      </c>
      <c r="M225">
        <v>5.2699999999999997E-2</v>
      </c>
      <c r="N225">
        <v>0.48720000000000002</v>
      </c>
      <c r="O225">
        <v>0.52090000000000003</v>
      </c>
      <c r="P225">
        <v>0.40620000000000001</v>
      </c>
      <c r="Q225">
        <v>0.55620000000000003</v>
      </c>
      <c r="R225" t="str">
        <f>""</f>
        <v/>
      </c>
      <c r="S225" t="str">
        <f>""</f>
        <v/>
      </c>
      <c r="T225" t="str">
        <f>""</f>
        <v/>
      </c>
      <c r="U225" t="str">
        <f>""</f>
        <v/>
      </c>
      <c r="V225" t="str">
        <f>""</f>
        <v/>
      </c>
      <c r="W225" t="str">
        <f>""</f>
        <v/>
      </c>
      <c r="X225" t="str">
        <f>""</f>
        <v/>
      </c>
      <c r="Y225" t="str">
        <f>""</f>
        <v/>
      </c>
      <c r="Z225" t="str">
        <f>""</f>
        <v/>
      </c>
      <c r="AA225" t="str">
        <f>""</f>
        <v/>
      </c>
      <c r="AB225" t="str">
        <f>""</f>
        <v/>
      </c>
      <c r="AC225" t="str">
        <f>""</f>
        <v/>
      </c>
    </row>
    <row r="226" spans="1:29" x14ac:dyDescent="0.25">
      <c r="A226" t="str">
        <f>$A$28</f>
        <v xml:space="preserve">    Cognizant Technology Solutions Corp</v>
      </c>
      <c r="B226" t="str">
        <f>$B$28</f>
        <v>CTSH US Equity</v>
      </c>
      <c r="C226" t="str">
        <f>$C$28</f>
        <v>RR054</v>
      </c>
      <c r="D226" t="str">
        <f>$D$28</f>
        <v>QUICK_RATIO</v>
      </c>
      <c r="E226" t="str">
        <f>$E$28</f>
        <v>Dynamic</v>
      </c>
      <c r="F226">
        <f ca="1">_xll.BDH($B$28,$C$28,$B$200,$B$201,CONCATENATE("Per=",$B$198),"Dts=H","Dir=H",CONCATENATE("Points=",$B$199),"Sort=R","Days=A","Fill=B",CONCATENATE("FX=", $B$197),"cols=12;rows=1")</f>
        <v>2.6120999999999999</v>
      </c>
      <c r="G226">
        <v>2.2393999999999998</v>
      </c>
      <c r="H226">
        <v>2.2319</v>
      </c>
      <c r="I226">
        <v>2.2624</v>
      </c>
      <c r="J226">
        <v>2.5901000000000001</v>
      </c>
      <c r="K226">
        <v>2.8416999999999999</v>
      </c>
      <c r="L226">
        <v>2.9520999999999997</v>
      </c>
      <c r="M226">
        <v>2.9369000000000001</v>
      </c>
      <c r="N226">
        <v>3.2301000000000002</v>
      </c>
      <c r="O226">
        <v>2.7900999999999998</v>
      </c>
      <c r="P226">
        <v>2.9238</v>
      </c>
      <c r="Q226">
        <v>2.9226000000000001</v>
      </c>
      <c r="R226" t="str">
        <f>""</f>
        <v/>
      </c>
      <c r="S226" t="str">
        <f>""</f>
        <v/>
      </c>
      <c r="T226" t="str">
        <f>""</f>
        <v/>
      </c>
      <c r="U226" t="str">
        <f>""</f>
        <v/>
      </c>
      <c r="V226" t="str">
        <f>""</f>
        <v/>
      </c>
      <c r="W226" t="str">
        <f>""</f>
        <v/>
      </c>
      <c r="X226" t="str">
        <f>""</f>
        <v/>
      </c>
      <c r="Y226" t="str">
        <f>""</f>
        <v/>
      </c>
      <c r="Z226" t="str">
        <f>""</f>
        <v/>
      </c>
      <c r="AA226" t="str">
        <f>""</f>
        <v/>
      </c>
      <c r="AB226" t="str">
        <f>""</f>
        <v/>
      </c>
      <c r="AC226" t="str">
        <f>""</f>
        <v/>
      </c>
    </row>
    <row r="227" spans="1:29" x14ac:dyDescent="0.25">
      <c r="A227" t="str">
        <f>$A$29</f>
        <v xml:space="preserve">    Conduent Inc</v>
      </c>
      <c r="B227" t="str">
        <f>$B$29</f>
        <v>CNDT US Equity</v>
      </c>
      <c r="C227" t="str">
        <f>$C$29</f>
        <v>RR054</v>
      </c>
      <c r="D227" t="str">
        <f>$D$29</f>
        <v>QUICK_RATIO</v>
      </c>
      <c r="E227" t="str">
        <f>$E$29</f>
        <v>Dynamic</v>
      </c>
      <c r="F227">
        <f ca="1">_xll.BDH($B$29,$C$29,$B$200,$B$201,CONCATENATE("Per=",$B$198),"Dts=H","Dir=H",CONCATENATE("Points=",$B$199),"Sort=R","Days=A","Fill=B",CONCATENATE("FX=", $B$197),"cols=12;rows=1")</f>
        <v>1.0606</v>
      </c>
      <c r="G227">
        <v>0.97540000000000004</v>
      </c>
      <c r="H227">
        <v>0.95099999999999996</v>
      </c>
      <c r="I227">
        <v>0.90390000000000004</v>
      </c>
      <c r="J227">
        <v>0.93440000000000001</v>
      </c>
      <c r="K227">
        <v>1.2848999999999999</v>
      </c>
      <c r="L227">
        <v>1.2285999999999999</v>
      </c>
      <c r="M227">
        <v>1.4645999999999999</v>
      </c>
      <c r="N227">
        <v>1.1492</v>
      </c>
      <c r="O227">
        <v>1.2961</v>
      </c>
      <c r="P227">
        <v>1.5478000000000001</v>
      </c>
      <c r="Q227">
        <v>1.4208000000000001</v>
      </c>
      <c r="R227" t="str">
        <f>""</f>
        <v/>
      </c>
      <c r="S227" t="str">
        <f>""</f>
        <v/>
      </c>
      <c r="T227" t="str">
        <f>""</f>
        <v/>
      </c>
      <c r="U227" t="str">
        <f>""</f>
        <v/>
      </c>
      <c r="V227" t="str">
        <f>""</f>
        <v/>
      </c>
      <c r="W227" t="str">
        <f>""</f>
        <v/>
      </c>
      <c r="X227" t="str">
        <f>""</f>
        <v/>
      </c>
      <c r="Y227" t="str">
        <f>""</f>
        <v/>
      </c>
      <c r="Z227" t="str">
        <f>""</f>
        <v/>
      </c>
      <c r="AA227" t="str">
        <f>""</f>
        <v/>
      </c>
      <c r="AB227" t="str">
        <f>""</f>
        <v/>
      </c>
      <c r="AC227" t="str">
        <f>""</f>
        <v/>
      </c>
    </row>
    <row r="228" spans="1:29" x14ac:dyDescent="0.25">
      <c r="A228" t="str">
        <f>$A$30</f>
        <v xml:space="preserve">    DXC Technology Co</v>
      </c>
      <c r="B228" t="str">
        <f>$B$30</f>
        <v>DXC US Equity</v>
      </c>
      <c r="C228" t="str">
        <f>$C$30</f>
        <v>RR054</v>
      </c>
      <c r="D228" t="str">
        <f>$D$30</f>
        <v>QUICK_RATIO</v>
      </c>
      <c r="E228" t="str">
        <f>$E$30</f>
        <v>Dynamic</v>
      </c>
      <c r="F228">
        <f ca="1">_xll.BDH($B$30,$C$30,$B$200,$B$201,CONCATENATE("Per=",$B$198),"Dts=H","Dir=H",CONCATENATE("Points=",$B$199),"Sort=R","Days=A","Fill=B",CONCATENATE("FX=", $B$197),"cols=12;rows=1")</f>
        <v>0.73119999999999996</v>
      </c>
      <c r="G228">
        <v>0.81730000000000003</v>
      </c>
      <c r="H228">
        <v>0.8347</v>
      </c>
      <c r="I228">
        <v>0.76049999999999995</v>
      </c>
      <c r="J228">
        <v>0.57199999999999995</v>
      </c>
      <c r="K228">
        <v>0.88839999999999997</v>
      </c>
      <c r="L228">
        <v>0.90529999999999999</v>
      </c>
      <c r="M228">
        <v>0.84279999999999999</v>
      </c>
      <c r="N228">
        <v>0.57889999999999997</v>
      </c>
      <c r="O228">
        <v>0.88580000000000003</v>
      </c>
      <c r="P228">
        <v>0.88449999999999995</v>
      </c>
      <c r="Q228">
        <v>1.0249999999999999</v>
      </c>
      <c r="R228" t="str">
        <f>""</f>
        <v/>
      </c>
      <c r="S228" t="str">
        <f>""</f>
        <v/>
      </c>
      <c r="T228" t="str">
        <f>""</f>
        <v/>
      </c>
      <c r="U228" t="str">
        <f>""</f>
        <v/>
      </c>
      <c r="V228" t="str">
        <f>""</f>
        <v/>
      </c>
      <c r="W228" t="str">
        <f>""</f>
        <v/>
      </c>
      <c r="X228" t="str">
        <f>""</f>
        <v/>
      </c>
      <c r="Y228" t="str">
        <f>""</f>
        <v/>
      </c>
      <c r="Z228" t="str">
        <f>""</f>
        <v/>
      </c>
      <c r="AA228" t="str">
        <f>""</f>
        <v/>
      </c>
      <c r="AB228" t="str">
        <f>""</f>
        <v/>
      </c>
      <c r="AC228" t="str">
        <f>""</f>
        <v/>
      </c>
    </row>
    <row r="229" spans="1:29" x14ac:dyDescent="0.25">
      <c r="A229" t="str">
        <f>$A$31</f>
        <v xml:space="preserve">    EPAM Systems Inc</v>
      </c>
      <c r="B229" t="str">
        <f>$B$31</f>
        <v>EPAM US Equity</v>
      </c>
      <c r="C229" t="str">
        <f>$C$31</f>
        <v>RR054</v>
      </c>
      <c r="D229" t="str">
        <f>$D$31</f>
        <v>QUICK_RATIO</v>
      </c>
      <c r="E229" t="str">
        <f>$E$31</f>
        <v>Dynamic</v>
      </c>
      <c r="F229">
        <f ca="1">_xll.BDH($B$31,$C$31,$B$200,$B$201,CONCATENATE("Per=",$B$198),"Dts=H","Dir=H",CONCATENATE("Points=",$B$199),"Sort=R","Days=A","Fill=B",CONCATENATE("FX=", $B$197),"cols=12;rows=1")</f>
        <v>3.7473999999999998</v>
      </c>
      <c r="G229">
        <v>3.7065999999999999</v>
      </c>
      <c r="H229">
        <v>3.8281000000000001</v>
      </c>
      <c r="I229">
        <v>4.1128999999999998</v>
      </c>
      <c r="J229">
        <v>3.7858000000000001</v>
      </c>
      <c r="K229">
        <v>4.0644</v>
      </c>
      <c r="L229">
        <v>4.3777999999999997</v>
      </c>
      <c r="M229">
        <v>4.7797000000000001</v>
      </c>
      <c r="N229">
        <v>4.4363999999999999</v>
      </c>
      <c r="O229">
        <v>4.6871999999999998</v>
      </c>
      <c r="P229">
        <v>4.6710000000000003</v>
      </c>
      <c r="Q229">
        <v>5.0052000000000003</v>
      </c>
      <c r="R229" t="str">
        <f>""</f>
        <v/>
      </c>
      <c r="S229" t="str">
        <f>""</f>
        <v/>
      </c>
      <c r="T229" t="str">
        <f>""</f>
        <v/>
      </c>
      <c r="U229" t="str">
        <f>""</f>
        <v/>
      </c>
      <c r="V229" t="str">
        <f>""</f>
        <v/>
      </c>
      <c r="W229" t="str">
        <f>""</f>
        <v/>
      </c>
      <c r="X229" t="str">
        <f>""</f>
        <v/>
      </c>
      <c r="Y229" t="str">
        <f>""</f>
        <v/>
      </c>
      <c r="Z229" t="str">
        <f>""</f>
        <v/>
      </c>
      <c r="AA229" t="str">
        <f>""</f>
        <v/>
      </c>
      <c r="AB229" t="str">
        <f>""</f>
        <v/>
      </c>
      <c r="AC229" t="str">
        <f>""</f>
        <v/>
      </c>
    </row>
    <row r="230" spans="1:29" x14ac:dyDescent="0.25">
      <c r="A230" t="str">
        <f>$A$32</f>
        <v xml:space="preserve">    Genpact Ltd</v>
      </c>
      <c r="B230" t="str">
        <f>$B$32</f>
        <v>G US Equity</v>
      </c>
      <c r="C230" t="str">
        <f>$C$32</f>
        <v>RR054</v>
      </c>
      <c r="D230" t="str">
        <f>$D$32</f>
        <v>QUICK_RATIO</v>
      </c>
      <c r="E230" t="str">
        <f>$E$32</f>
        <v>Dynamic</v>
      </c>
      <c r="F230">
        <f ca="1">_xll.BDH($B$32,$C$32,$B$200,$B$201,CONCATENATE("Per=",$B$198),"Dts=H","Dir=H",CONCATENATE("Points=",$B$199),"Sort=R","Days=A","Fill=B",CONCATENATE("FX=", $B$197),"cols=12;rows=1")</f>
        <v>1.3904000000000001</v>
      </c>
      <c r="G230">
        <v>1.5175999999999998</v>
      </c>
      <c r="H230">
        <v>1.2404999999999999</v>
      </c>
      <c r="I230">
        <v>1.2307999999999999</v>
      </c>
      <c r="J230">
        <v>1.1508</v>
      </c>
      <c r="K230">
        <v>1.1703000000000001</v>
      </c>
      <c r="L230">
        <v>1.1044</v>
      </c>
      <c r="M230">
        <v>1.2612000000000001</v>
      </c>
      <c r="N230">
        <v>1.294</v>
      </c>
      <c r="O230">
        <v>1.4277</v>
      </c>
      <c r="P230">
        <v>1.3493999999999999</v>
      </c>
      <c r="Q230">
        <v>1.4079999999999999</v>
      </c>
      <c r="R230" t="str">
        <f>""</f>
        <v/>
      </c>
      <c r="S230" t="str">
        <f>""</f>
        <v/>
      </c>
      <c r="T230" t="str">
        <f>""</f>
        <v/>
      </c>
      <c r="U230" t="str">
        <f>""</f>
        <v/>
      </c>
      <c r="V230" t="str">
        <f>""</f>
        <v/>
      </c>
      <c r="W230" t="str">
        <f>""</f>
        <v/>
      </c>
      <c r="X230" t="str">
        <f>""</f>
        <v/>
      </c>
      <c r="Y230" t="str">
        <f>""</f>
        <v/>
      </c>
      <c r="Z230" t="str">
        <f>""</f>
        <v/>
      </c>
      <c r="AA230" t="str">
        <f>""</f>
        <v/>
      </c>
      <c r="AB230" t="str">
        <f>""</f>
        <v/>
      </c>
      <c r="AC230" t="str">
        <f>""</f>
        <v/>
      </c>
    </row>
    <row r="231" spans="1:29" x14ac:dyDescent="0.25">
      <c r="A231" t="str">
        <f>$A$33</f>
        <v xml:space="preserve">    HCL Technologies Ltd</v>
      </c>
      <c r="B231" t="str">
        <f>$B$33</f>
        <v>HCLT IN Equity</v>
      </c>
      <c r="C231" t="str">
        <f>$C$33</f>
        <v>RR054</v>
      </c>
      <c r="D231" t="str">
        <f>$D$33</f>
        <v>QUICK_RATIO</v>
      </c>
      <c r="E231" t="str">
        <f>$E$33</f>
        <v>Dynamic</v>
      </c>
      <c r="F231">
        <f ca="1">_xll.BDH($B$33,$C$33,$B$200,$B$201,CONCATENATE("Per=",$B$198),"Dts=H","Dir=H",CONCATENATE("Points=",$B$199),"Sort=R","Days=A","Fill=B",CONCATENATE("FX=", $B$197),"cols=12;rows=1")</f>
        <v>1.2464</v>
      </c>
      <c r="G231">
        <v>1.28</v>
      </c>
      <c r="H231">
        <v>1.0727</v>
      </c>
      <c r="I231">
        <v>2.0720000000000001</v>
      </c>
      <c r="J231">
        <v>1.8839999999999999</v>
      </c>
      <c r="K231">
        <v>1.9691999999999998</v>
      </c>
      <c r="L231">
        <v>1.8162</v>
      </c>
      <c r="M231">
        <v>1.8715000000000002</v>
      </c>
      <c r="N231">
        <v>1.5840000000000001</v>
      </c>
      <c r="O231">
        <v>1.8023</v>
      </c>
      <c r="P231">
        <v>1.7389000000000001</v>
      </c>
      <c r="Q231">
        <v>1.8243</v>
      </c>
      <c r="R231" t="str">
        <f>""</f>
        <v/>
      </c>
      <c r="S231" t="str">
        <f>""</f>
        <v/>
      </c>
      <c r="T231" t="str">
        <f>""</f>
        <v/>
      </c>
      <c r="U231" t="str">
        <f>""</f>
        <v/>
      </c>
      <c r="V231" t="str">
        <f>""</f>
        <v/>
      </c>
      <c r="W231" t="str">
        <f>""</f>
        <v/>
      </c>
      <c r="X231" t="str">
        <f>""</f>
        <v/>
      </c>
      <c r="Y231" t="str">
        <f>""</f>
        <v/>
      </c>
      <c r="Z231" t="str">
        <f>""</f>
        <v/>
      </c>
      <c r="AA231" t="str">
        <f>""</f>
        <v/>
      </c>
      <c r="AB231" t="str">
        <f>""</f>
        <v/>
      </c>
      <c r="AC231" t="str">
        <f>""</f>
        <v/>
      </c>
    </row>
    <row r="232" spans="1:29" x14ac:dyDescent="0.25">
      <c r="A232" t="str">
        <f>$A$34</f>
        <v xml:space="preserve">    Indra Sistemas SA</v>
      </c>
      <c r="B232" t="str">
        <f>$B$34</f>
        <v>IDR SM Equity</v>
      </c>
      <c r="C232" t="str">
        <f>$C$34</f>
        <v>RR054</v>
      </c>
      <c r="D232" t="str">
        <f>$D$34</f>
        <v>QUICK_RATIO</v>
      </c>
      <c r="E232" t="str">
        <f>$E$34</f>
        <v>Dynamic</v>
      </c>
      <c r="F232">
        <f ca="1">_xll.BDH($B$34,$C$34,$B$200,$B$201,CONCATENATE("Per=",$B$198),"Dts=H","Dir=H",CONCATENATE("Points=",$B$199),"Sort=R","Days=A","Fill=B",CONCATENATE("FX=", $B$197),"cols=12;rows=1")</f>
        <v>0.44390000000000002</v>
      </c>
      <c r="G232">
        <v>1.0091000000000001</v>
      </c>
      <c r="H232">
        <v>0.43569999999999998</v>
      </c>
      <c r="I232">
        <v>1.0482</v>
      </c>
      <c r="J232">
        <v>0.48299999999999998</v>
      </c>
      <c r="K232">
        <v>1.0409999999999999</v>
      </c>
      <c r="L232">
        <v>0.47049999999999997</v>
      </c>
      <c r="M232">
        <v>1.0024</v>
      </c>
      <c r="N232">
        <v>0.38519999999999999</v>
      </c>
      <c r="O232">
        <v>0.97019999999999995</v>
      </c>
      <c r="P232">
        <v>1.1595</v>
      </c>
      <c r="Q232">
        <v>1.0804</v>
      </c>
      <c r="R232" t="str">
        <f>""</f>
        <v/>
      </c>
      <c r="S232" t="str">
        <f>""</f>
        <v/>
      </c>
      <c r="T232" t="str">
        <f>""</f>
        <v/>
      </c>
      <c r="U232" t="str">
        <f>""</f>
        <v/>
      </c>
      <c r="V232" t="str">
        <f>""</f>
        <v/>
      </c>
      <c r="W232" t="str">
        <f>""</f>
        <v/>
      </c>
      <c r="X232" t="str">
        <f>""</f>
        <v/>
      </c>
      <c r="Y232" t="str">
        <f>""</f>
        <v/>
      </c>
      <c r="Z232" t="str">
        <f>""</f>
        <v/>
      </c>
      <c r="AA232" t="str">
        <f>""</f>
        <v/>
      </c>
      <c r="AB232" t="str">
        <f>""</f>
        <v/>
      </c>
      <c r="AC232" t="str">
        <f>""</f>
        <v/>
      </c>
    </row>
    <row r="233" spans="1:29" x14ac:dyDescent="0.25">
      <c r="A233" t="str">
        <f>$A$35</f>
        <v xml:space="preserve">    Infosys Ltd</v>
      </c>
      <c r="B233" t="str">
        <f>$B$35</f>
        <v>INFY US Equity</v>
      </c>
      <c r="C233" t="str">
        <f>$C$35</f>
        <v>RR054</v>
      </c>
      <c r="D233" t="str">
        <f>$D$35</f>
        <v>QUICK_RATIO</v>
      </c>
      <c r="E233" t="str">
        <f>$E$35</f>
        <v>Dynamic</v>
      </c>
      <c r="F233">
        <f ca="1">_xll.BDH($B$35,$C$35,$B$200,$B$201,CONCATENATE("Per=",$B$198),"Dts=H","Dir=H",CONCATENATE("Points=",$B$199),"Sort=R","Days=A","Fill=B",CONCATENATE("FX=", $B$197),"cols=12;rows=1")</f>
        <v>2.0038</v>
      </c>
      <c r="G233">
        <v>1.9207999999999998</v>
      </c>
      <c r="H233">
        <v>1.8763000000000001</v>
      </c>
      <c r="I233">
        <v>1.5409000000000002</v>
      </c>
      <c r="J233">
        <v>2.2010000000000001</v>
      </c>
      <c r="K233">
        <v>2.4487999999999999</v>
      </c>
      <c r="L233">
        <v>2.5459000000000001</v>
      </c>
      <c r="M233">
        <v>2.2427000000000001</v>
      </c>
      <c r="N233">
        <v>2.7909999999999999</v>
      </c>
      <c r="O233">
        <v>2.5771999999999999</v>
      </c>
      <c r="P233">
        <v>3.0966999999999998</v>
      </c>
      <c r="Q233">
        <v>2.8222</v>
      </c>
      <c r="R233" t="str">
        <f>""</f>
        <v/>
      </c>
      <c r="S233" t="str">
        <f>""</f>
        <v/>
      </c>
      <c r="T233" t="str">
        <f>""</f>
        <v/>
      </c>
      <c r="U233" t="str">
        <f>""</f>
        <v/>
      </c>
      <c r="V233" t="str">
        <f>""</f>
        <v/>
      </c>
      <c r="W233" t="str">
        <f>""</f>
        <v/>
      </c>
      <c r="X233" t="str">
        <f>""</f>
        <v/>
      </c>
      <c r="Y233" t="str">
        <f>""</f>
        <v/>
      </c>
      <c r="Z233" t="str">
        <f>""</f>
        <v/>
      </c>
      <c r="AA233" t="str">
        <f>""</f>
        <v/>
      </c>
      <c r="AB233" t="str">
        <f>""</f>
        <v/>
      </c>
      <c r="AC233" t="str">
        <f>""</f>
        <v/>
      </c>
    </row>
    <row r="234" spans="1:29" x14ac:dyDescent="0.25">
      <c r="A234" t="str">
        <f>$A$36</f>
        <v xml:space="preserve">    International Business Machines Corp</v>
      </c>
      <c r="B234" t="str">
        <f>$B$36</f>
        <v>IBM US Equity</v>
      </c>
      <c r="C234" t="str">
        <f>$C$36</f>
        <v>RR054</v>
      </c>
      <c r="D234" t="str">
        <f>$D$36</f>
        <v>QUICK_RATIO</v>
      </c>
      <c r="E234" t="str">
        <f>$E$36</f>
        <v>Dynamic</v>
      </c>
      <c r="F234">
        <f ca="1">_xll.BDH($B$36,$C$36,$B$200,$B$201,CONCATENATE("Per=",$B$198),"Dts=H","Dir=H",CONCATENATE("Points=",$B$199),"Sort=R","Days=A","Fill=B",CONCATENATE("FX=", $B$197),"cols=12;rows=1")</f>
        <v>0.76019999999999999</v>
      </c>
      <c r="G234">
        <v>0.82040000000000002</v>
      </c>
      <c r="H234">
        <v>0.8528</v>
      </c>
      <c r="I234">
        <v>1.6347</v>
      </c>
      <c r="J234">
        <v>1.1649</v>
      </c>
      <c r="K234">
        <v>1.0939000000000001</v>
      </c>
      <c r="L234">
        <v>1.1084000000000001</v>
      </c>
      <c r="M234">
        <v>1.0992</v>
      </c>
      <c r="N234">
        <v>1.1435999999999999</v>
      </c>
      <c r="O234">
        <v>1.157</v>
      </c>
      <c r="P234">
        <v>1.1899</v>
      </c>
      <c r="Q234">
        <v>1.0638000000000001</v>
      </c>
      <c r="R234" t="str">
        <f>""</f>
        <v/>
      </c>
      <c r="S234" t="str">
        <f>""</f>
        <v/>
      </c>
      <c r="T234" t="str">
        <f>""</f>
        <v/>
      </c>
      <c r="U234" t="str">
        <f>""</f>
        <v/>
      </c>
      <c r="V234" t="str">
        <f>""</f>
        <v/>
      </c>
      <c r="W234" t="str">
        <f>""</f>
        <v/>
      </c>
      <c r="X234" t="str">
        <f>""</f>
        <v/>
      </c>
      <c r="Y234" t="str">
        <f>""</f>
        <v/>
      </c>
      <c r="Z234" t="str">
        <f>""</f>
        <v/>
      </c>
      <c r="AA234" t="str">
        <f>""</f>
        <v/>
      </c>
      <c r="AB234" t="str">
        <f>""</f>
        <v/>
      </c>
      <c r="AC234" t="str">
        <f>""</f>
        <v/>
      </c>
    </row>
    <row r="235" spans="1:29" x14ac:dyDescent="0.25">
      <c r="A235" t="str">
        <f>$A$37</f>
        <v xml:space="preserve">    Tata Consultancy Services Ltd</v>
      </c>
      <c r="B235" t="str">
        <f>$B$37</f>
        <v>TCS IN Equity</v>
      </c>
      <c r="C235" t="str">
        <f>$C$37</f>
        <v>RR054</v>
      </c>
      <c r="D235" t="str">
        <f>$D$37</f>
        <v>QUICK_RATIO</v>
      </c>
      <c r="E235" t="str">
        <f>$E$37</f>
        <v>Dynamic</v>
      </c>
      <c r="F235">
        <f ca="1">_xll.BDH($B$37,$C$37,$B$200,$B$201,CONCATENATE("Per=",$B$198),"Dts=H","Dir=H",CONCATENATE("Points=",$B$199),"Sort=R","Days=A","Fill=B",CONCATENATE("FX=", $B$197),"cols=12;rows=1")</f>
        <v>2.4436</v>
      </c>
      <c r="G235">
        <v>2.65</v>
      </c>
      <c r="H235">
        <v>3.1084000000000001</v>
      </c>
      <c r="I235">
        <v>2.8881999999999999</v>
      </c>
      <c r="J235">
        <v>3.1284999999999998</v>
      </c>
      <c r="K235">
        <v>2.9952000000000001</v>
      </c>
      <c r="L235">
        <v>2.7715999999999998</v>
      </c>
      <c r="M235">
        <v>3.1619000000000002</v>
      </c>
      <c r="N235">
        <v>3.7911999999999999</v>
      </c>
      <c r="O235">
        <v>3.7717999999999998</v>
      </c>
      <c r="P235">
        <v>3.5705</v>
      </c>
      <c r="Q235">
        <v>3.6071</v>
      </c>
      <c r="R235" t="str">
        <f>""</f>
        <v/>
      </c>
      <c r="S235" t="str">
        <f>""</f>
        <v/>
      </c>
      <c r="T235" t="str">
        <f>""</f>
        <v/>
      </c>
      <c r="U235" t="str">
        <f>""</f>
        <v/>
      </c>
      <c r="V235" t="str">
        <f>""</f>
        <v/>
      </c>
      <c r="W235" t="str">
        <f>""</f>
        <v/>
      </c>
      <c r="X235" t="str">
        <f>""</f>
        <v/>
      </c>
      <c r="Y235" t="str">
        <f>""</f>
        <v/>
      </c>
      <c r="Z235" t="str">
        <f>""</f>
        <v/>
      </c>
      <c r="AA235" t="str">
        <f>""</f>
        <v/>
      </c>
      <c r="AB235" t="str">
        <f>""</f>
        <v/>
      </c>
      <c r="AC235" t="str">
        <f>""</f>
        <v/>
      </c>
    </row>
    <row r="236" spans="1:29" x14ac:dyDescent="0.25">
      <c r="A236" t="str">
        <f>$A$38</f>
        <v xml:space="preserve">    Tech Mahindra Ltd</v>
      </c>
      <c r="B236" t="str">
        <f>$B$38</f>
        <v>TECHM IN Equity</v>
      </c>
      <c r="C236" t="str">
        <f>$C$38</f>
        <v>RR054</v>
      </c>
      <c r="D236" t="str">
        <f>$D$38</f>
        <v>QUICK_RATIO</v>
      </c>
      <c r="E236" t="str">
        <f>$E$38</f>
        <v>Dynamic</v>
      </c>
      <c r="F236">
        <f ca="1">_xll.BDH($B$38,$C$38,$B$200,$B$201,CONCATENATE("Per=",$B$198),"Dts=H","Dir=H",CONCATENATE("Points=",$B$199),"Sort=R","Days=A","Fill=B",CONCATENATE("FX=", $B$197),"cols=12;rows=1")</f>
        <v>1.4953000000000001</v>
      </c>
      <c r="G236">
        <v>1.4482999999999999</v>
      </c>
      <c r="H236">
        <v>1.4045000000000001</v>
      </c>
      <c r="I236">
        <v>1.4083999999999999</v>
      </c>
      <c r="J236">
        <v>1.3525</v>
      </c>
      <c r="K236">
        <v>1.4285000000000001</v>
      </c>
      <c r="L236">
        <v>1.2738</v>
      </c>
      <c r="M236">
        <v>1.4834000000000001</v>
      </c>
      <c r="N236">
        <v>1.4148000000000001</v>
      </c>
      <c r="O236">
        <v>1.4097</v>
      </c>
      <c r="P236">
        <v>1.4209000000000001</v>
      </c>
      <c r="Q236">
        <v>1.3816999999999999</v>
      </c>
      <c r="R236" t="str">
        <f>""</f>
        <v/>
      </c>
      <c r="S236" t="str">
        <f>""</f>
        <v/>
      </c>
      <c r="T236" t="str">
        <f>""</f>
        <v/>
      </c>
      <c r="U236" t="str">
        <f>""</f>
        <v/>
      </c>
      <c r="V236" t="str">
        <f>""</f>
        <v/>
      </c>
      <c r="W236" t="str">
        <f>""</f>
        <v/>
      </c>
      <c r="X236" t="str">
        <f>""</f>
        <v/>
      </c>
      <c r="Y236" t="str">
        <f>""</f>
        <v/>
      </c>
      <c r="Z236" t="str">
        <f>""</f>
        <v/>
      </c>
      <c r="AA236" t="str">
        <f>""</f>
        <v/>
      </c>
      <c r="AB236" t="str">
        <f>""</f>
        <v/>
      </c>
      <c r="AC236" t="str">
        <f>""</f>
        <v/>
      </c>
    </row>
    <row r="237" spans="1:29" x14ac:dyDescent="0.25">
      <c r="A237" t="str">
        <f>$A$39</f>
        <v xml:space="preserve">    Wipro Ltd</v>
      </c>
      <c r="B237" t="str">
        <f>$B$39</f>
        <v>WIT US Equity</v>
      </c>
      <c r="C237" t="str">
        <f>$C$39</f>
        <v>RR054</v>
      </c>
      <c r="D237" t="str">
        <f>$D$39</f>
        <v>QUICK_RATIO</v>
      </c>
      <c r="E237" t="str">
        <f>$E$39</f>
        <v>Dynamic</v>
      </c>
      <c r="F237">
        <f ca="1">_xll.BDH($B$39,$C$39,$B$200,$B$201,CONCATENATE("Per=",$B$198),"Dts=H","Dir=H",CONCATENATE("Points=",$B$199),"Sort=R","Days=A","Fill=B",CONCATENATE("FX=", $B$197),"cols=12;rows=1")</f>
        <v>2.0268999999999999</v>
      </c>
      <c r="G237">
        <v>2.0918000000000001</v>
      </c>
      <c r="H237">
        <v>1.9917</v>
      </c>
      <c r="I237">
        <v>2.3060999999999998</v>
      </c>
      <c r="J237">
        <v>2.2381000000000002</v>
      </c>
      <c r="K237">
        <v>2.3557000000000001</v>
      </c>
      <c r="L237">
        <v>2.0758000000000001</v>
      </c>
      <c r="M237">
        <v>2.1063000000000001</v>
      </c>
      <c r="N237">
        <v>1.8500999999999999</v>
      </c>
      <c r="O237">
        <v>1.7614000000000001</v>
      </c>
      <c r="P237">
        <v>2.1383999999999999</v>
      </c>
      <c r="Q237">
        <v>2.0055000000000001</v>
      </c>
      <c r="R237" t="str">
        <f>""</f>
        <v/>
      </c>
      <c r="S237" t="str">
        <f>""</f>
        <v/>
      </c>
      <c r="T237" t="str">
        <f>""</f>
        <v/>
      </c>
      <c r="U237" t="str">
        <f>""</f>
        <v/>
      </c>
      <c r="V237" t="str">
        <f>""</f>
        <v/>
      </c>
      <c r="W237" t="str">
        <f>""</f>
        <v/>
      </c>
      <c r="X237" t="str">
        <f>""</f>
        <v/>
      </c>
      <c r="Y237" t="str">
        <f>""</f>
        <v/>
      </c>
      <c r="Z237" t="str">
        <f>""</f>
        <v/>
      </c>
      <c r="AA237" t="str">
        <f>""</f>
        <v/>
      </c>
      <c r="AB237" t="str">
        <f>""</f>
        <v/>
      </c>
      <c r="AC237" t="str">
        <f>""</f>
        <v/>
      </c>
    </row>
    <row r="238" spans="1:29" x14ac:dyDescent="0.25">
      <c r="A238" t="str">
        <f>$A$41</f>
        <v xml:space="preserve">    Accenture PLC</v>
      </c>
      <c r="B238" t="str">
        <f>$B$41</f>
        <v>ACN US Equity</v>
      </c>
      <c r="C238" t="str">
        <f>$C$41</f>
        <v>RR053</v>
      </c>
      <c r="D238" t="str">
        <f>$D$41</f>
        <v>CUR_RATIO</v>
      </c>
      <c r="E238" t="str">
        <f>$E$41</f>
        <v>Dynamic</v>
      </c>
      <c r="F238">
        <f ca="1">_xll.BDH($B$41,$C$41,$B$200,$B$201,CONCATENATE("Per=",$B$198),"Dts=H","Dir=H",CONCATENATE("Points=",$B$199),"Sort=R","Days=A","Fill=B",CONCATENATE("FX=", $B$197),"cols=12;rows=1")</f>
        <v>1.3782000000000001</v>
      </c>
      <c r="G238">
        <v>1.3935</v>
      </c>
      <c r="H238">
        <v>1.3967000000000001</v>
      </c>
      <c r="I238">
        <v>1.3402000000000001</v>
      </c>
      <c r="J238">
        <v>1.3536999999999999</v>
      </c>
      <c r="K238">
        <v>1.3306</v>
      </c>
      <c r="L238">
        <v>1.3382000000000001</v>
      </c>
      <c r="M238">
        <v>1.2913000000000001</v>
      </c>
      <c r="N238">
        <v>1.3113999999999999</v>
      </c>
      <c r="O238">
        <v>1.2475000000000001</v>
      </c>
      <c r="P238">
        <v>1.2314000000000001</v>
      </c>
      <c r="Q238">
        <v>1.2241</v>
      </c>
      <c r="R238" t="str">
        <f>""</f>
        <v/>
      </c>
      <c r="S238" t="str">
        <f>""</f>
        <v/>
      </c>
      <c r="T238" t="str">
        <f>""</f>
        <v/>
      </c>
      <c r="U238" t="str">
        <f>""</f>
        <v/>
      </c>
      <c r="V238" t="str">
        <f>""</f>
        <v/>
      </c>
      <c r="W238" t="str">
        <f>""</f>
        <v/>
      </c>
      <c r="X238" t="str">
        <f>""</f>
        <v/>
      </c>
      <c r="Y238" t="str">
        <f>""</f>
        <v/>
      </c>
      <c r="Z238" t="str">
        <f>""</f>
        <v/>
      </c>
      <c r="AA238" t="str">
        <f>""</f>
        <v/>
      </c>
      <c r="AB238" t="str">
        <f>""</f>
        <v/>
      </c>
      <c r="AC238" t="str">
        <f>""</f>
        <v/>
      </c>
    </row>
    <row r="239" spans="1:29" x14ac:dyDescent="0.25">
      <c r="A239" t="str">
        <f>$A$42</f>
        <v xml:space="preserve">    Amdocs Ltd</v>
      </c>
      <c r="B239" t="str">
        <f>$B$42</f>
        <v>DOX US Equity</v>
      </c>
      <c r="C239" t="str">
        <f>$C$42</f>
        <v>RR053</v>
      </c>
      <c r="D239" t="str">
        <f>$D$42</f>
        <v>CUR_RATIO</v>
      </c>
      <c r="E239" t="str">
        <f>$E$42</f>
        <v>Dynamic</v>
      </c>
      <c r="F239">
        <f ca="1">_xll.BDH($B$42,$C$42,$B$200,$B$201,CONCATENATE("Per=",$B$198),"Dts=H","Dir=H",CONCATENATE("Points=",$B$199),"Sort=R","Days=A","Fill=B",CONCATENATE("FX=", $B$197),"cols=12;rows=1")</f>
        <v>1.2454000000000001</v>
      </c>
      <c r="G239">
        <v>1.3492999999999999</v>
      </c>
      <c r="H239">
        <v>1.3871</v>
      </c>
      <c r="I239">
        <v>1.3915</v>
      </c>
      <c r="J239">
        <v>1.3502000000000001</v>
      </c>
      <c r="K239">
        <v>1.3201000000000001</v>
      </c>
      <c r="L239">
        <v>1.3288</v>
      </c>
      <c r="M239">
        <v>1.3498999999999999</v>
      </c>
      <c r="N239">
        <v>1.3385</v>
      </c>
      <c r="O239">
        <v>1.7133</v>
      </c>
      <c r="P239">
        <v>1.7464</v>
      </c>
      <c r="Q239">
        <v>1.7711999999999999</v>
      </c>
      <c r="R239" t="str">
        <f>""</f>
        <v/>
      </c>
      <c r="S239" t="str">
        <f>""</f>
        <v/>
      </c>
      <c r="T239" t="str">
        <f>""</f>
        <v/>
      </c>
      <c r="U239" t="str">
        <f>""</f>
        <v/>
      </c>
      <c r="V239" t="str">
        <f>""</f>
        <v/>
      </c>
      <c r="W239" t="str">
        <f>""</f>
        <v/>
      </c>
      <c r="X239" t="str">
        <f>""</f>
        <v/>
      </c>
      <c r="Y239" t="str">
        <f>""</f>
        <v/>
      </c>
      <c r="Z239" t="str">
        <f>""</f>
        <v/>
      </c>
      <c r="AA239" t="str">
        <f>""</f>
        <v/>
      </c>
      <c r="AB239" t="str">
        <f>""</f>
        <v/>
      </c>
      <c r="AC239" t="str">
        <f>""</f>
        <v/>
      </c>
    </row>
    <row r="240" spans="1:29" x14ac:dyDescent="0.25">
      <c r="A240" t="str">
        <f>$A$43</f>
        <v xml:space="preserve">    Atos SE</v>
      </c>
      <c r="B240" t="str">
        <f>$B$43</f>
        <v>ATO FP Equity</v>
      </c>
      <c r="C240" t="str">
        <f>$C$43</f>
        <v>RR053</v>
      </c>
      <c r="D240" t="str">
        <f>$D$43</f>
        <v>CUR_RATIO</v>
      </c>
      <c r="E240" t="str">
        <f>$E$43</f>
        <v>Dynamic</v>
      </c>
      <c r="F240" t="str">
        <f ca="1">_xll.BDH($B$43,$C$43,$B$200,$B$201,CONCATENATE("Per=",$B$198),"Dts=H","Dir=H",CONCATENATE("Points=",$B$199),"Sort=R","Days=A","Fill=B",CONCATENATE("FX=", $B$197) )</f>
        <v/>
      </c>
      <c r="R240" t="str">
        <f>""</f>
        <v/>
      </c>
      <c r="S240" t="str">
        <f>""</f>
        <v/>
      </c>
      <c r="T240" t="str">
        <f>""</f>
        <v/>
      </c>
      <c r="U240" t="str">
        <f>""</f>
        <v/>
      </c>
      <c r="V240" t="str">
        <f>""</f>
        <v/>
      </c>
      <c r="W240" t="str">
        <f>""</f>
        <v/>
      </c>
      <c r="X240" t="str">
        <f>""</f>
        <v/>
      </c>
      <c r="Y240" t="str">
        <f>""</f>
        <v/>
      </c>
      <c r="Z240" t="str">
        <f>""</f>
        <v/>
      </c>
      <c r="AA240" t="str">
        <f>""</f>
        <v/>
      </c>
      <c r="AB240" t="str">
        <f>""</f>
        <v/>
      </c>
      <c r="AC240" t="str">
        <f>""</f>
        <v/>
      </c>
    </row>
    <row r="241" spans="1:29" x14ac:dyDescent="0.25">
      <c r="A241" t="str">
        <f>$A$44</f>
        <v xml:space="preserve">    Capgemini SE</v>
      </c>
      <c r="B241" t="str">
        <f>$B$44</f>
        <v>CAP FP Equity</v>
      </c>
      <c r="C241" t="str">
        <f>$C$44</f>
        <v>RR053</v>
      </c>
      <c r="D241" t="str">
        <f>$D$44</f>
        <v>CUR_RATIO</v>
      </c>
      <c r="E241" t="str">
        <f>$E$44</f>
        <v>Dynamic</v>
      </c>
      <c r="F241" t="str">
        <f ca="1">_xll.BDH($B$44,$C$44,$B$200,$B$201,CONCATENATE("Per=",$B$198),"Dts=H","Dir=H",CONCATENATE("Points=",$B$199),"Sort=R","Days=A","Fill=B",CONCATENATE("FX=", $B$197),"cols=12;rows=1")</f>
        <v/>
      </c>
      <c r="G241">
        <v>1.2818000000000001</v>
      </c>
      <c r="R241" t="str">
        <f>""</f>
        <v/>
      </c>
      <c r="S241" t="str">
        <f>""</f>
        <v/>
      </c>
      <c r="T241" t="str">
        <f>""</f>
        <v/>
      </c>
      <c r="U241" t="str">
        <f>""</f>
        <v/>
      </c>
      <c r="V241" t="str">
        <f>""</f>
        <v/>
      </c>
      <c r="W241" t="str">
        <f>""</f>
        <v/>
      </c>
      <c r="X241" t="str">
        <f>""</f>
        <v/>
      </c>
      <c r="Y241" t="str">
        <f>""</f>
        <v/>
      </c>
      <c r="Z241" t="str">
        <f>""</f>
        <v/>
      </c>
      <c r="AA241" t="str">
        <f>""</f>
        <v/>
      </c>
      <c r="AB241" t="str">
        <f>""</f>
        <v/>
      </c>
      <c r="AC241" t="str">
        <f>""</f>
        <v/>
      </c>
    </row>
    <row r="242" spans="1:29" x14ac:dyDescent="0.25">
      <c r="A242" t="str">
        <f>$A$45</f>
        <v xml:space="preserve">    CGI Inc</v>
      </c>
      <c r="B242" t="str">
        <f>$B$45</f>
        <v>GIB US Equity</v>
      </c>
      <c r="C242" t="str">
        <f>$C$45</f>
        <v>RR053</v>
      </c>
      <c r="D242" t="str">
        <f>$D$45</f>
        <v>CUR_RATIO</v>
      </c>
      <c r="E242" t="str">
        <f>$E$45</f>
        <v>Dynamic</v>
      </c>
      <c r="F242">
        <f ca="1">_xll.BDH($B$45,$C$45,$B$200,$B$201,CONCATENATE("Per=",$B$198),"Dts=H","Dir=H",CONCATENATE("Points=",$B$199),"Sort=R","Days=A","Fill=B",CONCATENATE("FX=", $B$197),"cols=12;rows=1")</f>
        <v>1.0820000000000001</v>
      </c>
      <c r="G242">
        <v>1.0430999999999999</v>
      </c>
      <c r="H242">
        <v>1.1294</v>
      </c>
      <c r="I242">
        <v>1.0902000000000001</v>
      </c>
      <c r="J242">
        <v>1.1642000000000001</v>
      </c>
      <c r="K242">
        <v>1.1431</v>
      </c>
      <c r="L242">
        <v>0.99509999999999998</v>
      </c>
      <c r="M242">
        <v>0.98509999999999998</v>
      </c>
      <c r="N242">
        <v>0.98650000000000004</v>
      </c>
      <c r="O242">
        <v>0.99309999999999998</v>
      </c>
      <c r="P242">
        <v>1.0598000000000001</v>
      </c>
      <c r="Q242">
        <v>1.1385000000000001</v>
      </c>
      <c r="R242" t="str">
        <f>""</f>
        <v/>
      </c>
      <c r="S242" t="str">
        <f>""</f>
        <v/>
      </c>
      <c r="T242" t="str">
        <f>""</f>
        <v/>
      </c>
      <c r="U242" t="str">
        <f>""</f>
        <v/>
      </c>
      <c r="V242" t="str">
        <f>""</f>
        <v/>
      </c>
      <c r="W242" t="str">
        <f>""</f>
        <v/>
      </c>
      <c r="X242" t="str">
        <f>""</f>
        <v/>
      </c>
      <c r="Y242" t="str">
        <f>""</f>
        <v/>
      </c>
      <c r="Z242" t="str">
        <f>""</f>
        <v/>
      </c>
      <c r="AA242" t="str">
        <f>""</f>
        <v/>
      </c>
      <c r="AB242" t="str">
        <f>""</f>
        <v/>
      </c>
      <c r="AC242" t="str">
        <f>""</f>
        <v/>
      </c>
    </row>
    <row r="243" spans="1:29" x14ac:dyDescent="0.25">
      <c r="A243" t="str">
        <f>$A$46</f>
        <v xml:space="preserve">    Cognizant Technology Solutions Corp</v>
      </c>
      <c r="B243" t="str">
        <f>$B$46</f>
        <v>CTSH US Equity</v>
      </c>
      <c r="C243" t="str">
        <f>$C$46</f>
        <v>RR053</v>
      </c>
      <c r="D243" t="str">
        <f>$D$46</f>
        <v>CUR_RATIO</v>
      </c>
      <c r="E243" t="str">
        <f>$E$46</f>
        <v>Dynamic</v>
      </c>
      <c r="F243">
        <f ca="1">_xll.BDH($B$46,$C$46,$B$200,$B$201,CONCATENATE("Per=",$B$198),"Dts=H","Dir=H",CONCATENATE("Points=",$B$199),"Sort=R","Days=A","Fill=B",CONCATENATE("FX=", $B$197),"cols=12;rows=1")</f>
        <v>2.8986999999999998</v>
      </c>
      <c r="G243">
        <v>2.5514999999999999</v>
      </c>
      <c r="H243">
        <v>2.532</v>
      </c>
      <c r="I243">
        <v>2.5516999999999999</v>
      </c>
      <c r="J243">
        <v>2.8982000000000001</v>
      </c>
      <c r="K243">
        <v>3.1770999999999998</v>
      </c>
      <c r="L243">
        <v>3.2406000000000001</v>
      </c>
      <c r="M243">
        <v>3.2728000000000002</v>
      </c>
      <c r="N243">
        <v>3.6412</v>
      </c>
      <c r="O243">
        <v>3.2092000000000001</v>
      </c>
      <c r="P243">
        <v>3.2911999999999999</v>
      </c>
      <c r="Q243">
        <v>3.3536000000000001</v>
      </c>
      <c r="R243" t="str">
        <f>""</f>
        <v/>
      </c>
      <c r="S243" t="str">
        <f>""</f>
        <v/>
      </c>
      <c r="T243" t="str">
        <f>""</f>
        <v/>
      </c>
      <c r="U243" t="str">
        <f>""</f>
        <v/>
      </c>
      <c r="V243" t="str">
        <f>""</f>
        <v/>
      </c>
      <c r="W243" t="str">
        <f>""</f>
        <v/>
      </c>
      <c r="X243" t="str">
        <f>""</f>
        <v/>
      </c>
      <c r="Y243" t="str">
        <f>""</f>
        <v/>
      </c>
      <c r="Z243" t="str">
        <f>""</f>
        <v/>
      </c>
      <c r="AA243" t="str">
        <f>""</f>
        <v/>
      </c>
      <c r="AB243" t="str">
        <f>""</f>
        <v/>
      </c>
      <c r="AC243" t="str">
        <f>""</f>
        <v/>
      </c>
    </row>
    <row r="244" spans="1:29" x14ac:dyDescent="0.25">
      <c r="A244" t="str">
        <f>$A$47</f>
        <v xml:space="preserve">    Conduent Inc</v>
      </c>
      <c r="B244" t="str">
        <f>$B$47</f>
        <v>CNDT US Equity</v>
      </c>
      <c r="C244" t="str">
        <f>$C$47</f>
        <v>RR053</v>
      </c>
      <c r="D244" t="str">
        <f>$D$47</f>
        <v>CUR_RATIO</v>
      </c>
      <c r="E244" t="str">
        <f>$E$47</f>
        <v>Dynamic</v>
      </c>
      <c r="F244">
        <f ca="1">_xll.BDH($B$47,$C$47,$B$200,$B$201,CONCATENATE("Per=",$B$198),"Dts=H","Dir=H",CONCATENATE("Points=",$B$199),"Sort=R","Days=A","Fill=B",CONCATENATE("FX=", $B$197),"cols=12;rows=1")</f>
        <v>1.5367</v>
      </c>
      <c r="G244">
        <v>1.3474999999999999</v>
      </c>
      <c r="H244">
        <v>1.3767</v>
      </c>
      <c r="I244">
        <v>1.3205</v>
      </c>
      <c r="J244">
        <v>1.2767999999999999</v>
      </c>
      <c r="K244">
        <v>1.6408</v>
      </c>
      <c r="L244">
        <v>1.5931</v>
      </c>
      <c r="M244">
        <v>2.0266999999999999</v>
      </c>
      <c r="N244">
        <v>1.9068000000000001</v>
      </c>
      <c r="O244">
        <v>1.9809999999999999</v>
      </c>
      <c r="P244">
        <v>1.7397</v>
      </c>
      <c r="Q244">
        <v>1.6385999999999998</v>
      </c>
      <c r="R244" t="str">
        <f>""</f>
        <v/>
      </c>
      <c r="S244" t="str">
        <f>""</f>
        <v/>
      </c>
      <c r="T244" t="str">
        <f>""</f>
        <v/>
      </c>
      <c r="U244" t="str">
        <f>""</f>
        <v/>
      </c>
      <c r="V244" t="str">
        <f>""</f>
        <v/>
      </c>
      <c r="W244" t="str">
        <f>""</f>
        <v/>
      </c>
      <c r="X244" t="str">
        <f>""</f>
        <v/>
      </c>
      <c r="Y244" t="str">
        <f>""</f>
        <v/>
      </c>
      <c r="Z244" t="str">
        <f>""</f>
        <v/>
      </c>
      <c r="AA244" t="str">
        <f>""</f>
        <v/>
      </c>
      <c r="AB244" t="str">
        <f>""</f>
        <v/>
      </c>
      <c r="AC244" t="str">
        <f>""</f>
        <v/>
      </c>
    </row>
    <row r="245" spans="1:29" x14ac:dyDescent="0.25">
      <c r="A245" t="str">
        <f>$A$48</f>
        <v xml:space="preserve">    DXC Technology Co</v>
      </c>
      <c r="B245" t="str">
        <f>$B$48</f>
        <v>DXC US Equity</v>
      </c>
      <c r="C245" t="str">
        <f>$C$48</f>
        <v>RR053</v>
      </c>
      <c r="D245" t="str">
        <f>$D$48</f>
        <v>CUR_RATIO</v>
      </c>
      <c r="E245" t="str">
        <f>$E$48</f>
        <v>Dynamic</v>
      </c>
      <c r="F245">
        <f ca="1">_xll.BDH($B$48,$C$48,$B$200,$B$201,CONCATENATE("Per=",$B$198),"Dts=H","Dir=H",CONCATENATE("Points=",$B$199),"Sort=R","Days=A","Fill=B",CONCATENATE("FX=", $B$197),"cols=12;rows=1")</f>
        <v>1.1383000000000001</v>
      </c>
      <c r="G245">
        <v>0.93159999999999998</v>
      </c>
      <c r="H245">
        <v>0.94610000000000005</v>
      </c>
      <c r="I245">
        <v>0.87709999999999999</v>
      </c>
      <c r="J245">
        <v>0.95909999999999995</v>
      </c>
      <c r="K245">
        <v>1</v>
      </c>
      <c r="L245">
        <v>1.0354000000000001</v>
      </c>
      <c r="M245">
        <v>0.94650000000000001</v>
      </c>
      <c r="N245">
        <v>0.97650000000000003</v>
      </c>
      <c r="O245">
        <v>0.9879</v>
      </c>
      <c r="P245">
        <v>1.0003</v>
      </c>
      <c r="Q245">
        <v>1.1834</v>
      </c>
      <c r="R245" t="str">
        <f>""</f>
        <v/>
      </c>
      <c r="S245" t="str">
        <f>""</f>
        <v/>
      </c>
      <c r="T245" t="str">
        <f>""</f>
        <v/>
      </c>
      <c r="U245" t="str">
        <f>""</f>
        <v/>
      </c>
      <c r="V245" t="str">
        <f>""</f>
        <v/>
      </c>
      <c r="W245" t="str">
        <f>""</f>
        <v/>
      </c>
      <c r="X245" t="str">
        <f>""</f>
        <v/>
      </c>
      <c r="Y245" t="str">
        <f>""</f>
        <v/>
      </c>
      <c r="Z245" t="str">
        <f>""</f>
        <v/>
      </c>
      <c r="AA245" t="str">
        <f>""</f>
        <v/>
      </c>
      <c r="AB245" t="str">
        <f>""</f>
        <v/>
      </c>
      <c r="AC245" t="str">
        <f>""</f>
        <v/>
      </c>
    </row>
    <row r="246" spans="1:29" x14ac:dyDescent="0.25">
      <c r="A246" t="str">
        <f>$A$49</f>
        <v xml:space="preserve">    EPAM Systems Inc</v>
      </c>
      <c r="B246" t="str">
        <f>$B$49</f>
        <v>EPAM US Equity</v>
      </c>
      <c r="C246" t="str">
        <f>$C$49</f>
        <v>RR053</v>
      </c>
      <c r="D246" t="str">
        <f>$D$49</f>
        <v>CUR_RATIO</v>
      </c>
      <c r="E246" t="str">
        <f>$E$49</f>
        <v>Dynamic</v>
      </c>
      <c r="F246">
        <f ca="1">_xll.BDH($B$49,$C$49,$B$200,$B$201,CONCATENATE("Per=",$B$198),"Dts=H","Dir=H",CONCATENATE("Points=",$B$199),"Sort=R","Days=A","Fill=B",CONCATENATE("FX=", $B$197),"cols=12;rows=1")</f>
        <v>3.8727</v>
      </c>
      <c r="G246">
        <v>3.8098000000000001</v>
      </c>
      <c r="H246">
        <v>4.3815</v>
      </c>
      <c r="I246">
        <v>4.7165999999999997</v>
      </c>
      <c r="J246">
        <v>4.4051999999999998</v>
      </c>
      <c r="K246">
        <v>4.5621999999999998</v>
      </c>
      <c r="L246">
        <v>5.1092000000000004</v>
      </c>
      <c r="M246">
        <v>5.6475</v>
      </c>
      <c r="N246">
        <v>5.3925999999999998</v>
      </c>
      <c r="O246">
        <v>5.3049999999999997</v>
      </c>
      <c r="P246">
        <v>5.5587</v>
      </c>
      <c r="Q246">
        <v>6.0549999999999997</v>
      </c>
      <c r="R246" t="str">
        <f>""</f>
        <v/>
      </c>
      <c r="S246" t="str">
        <f>""</f>
        <v/>
      </c>
      <c r="T246" t="str">
        <f>""</f>
        <v/>
      </c>
      <c r="U246" t="str">
        <f>""</f>
        <v/>
      </c>
      <c r="V246" t="str">
        <f>""</f>
        <v/>
      </c>
      <c r="W246" t="str">
        <f>""</f>
        <v/>
      </c>
      <c r="X246" t="str">
        <f>""</f>
        <v/>
      </c>
      <c r="Y246" t="str">
        <f>""</f>
        <v/>
      </c>
      <c r="Z246" t="str">
        <f>""</f>
        <v/>
      </c>
      <c r="AA246" t="str">
        <f>""</f>
        <v/>
      </c>
      <c r="AB246" t="str">
        <f>""</f>
        <v/>
      </c>
      <c r="AC246" t="str">
        <f>""</f>
        <v/>
      </c>
    </row>
    <row r="247" spans="1:29" x14ac:dyDescent="0.25">
      <c r="A247" t="str">
        <f>$A$50</f>
        <v xml:space="preserve">    Genpact Ltd</v>
      </c>
      <c r="B247" t="str">
        <f>$B$50</f>
        <v>G US Equity</v>
      </c>
      <c r="C247" t="str">
        <f>$C$50</f>
        <v>RR053</v>
      </c>
      <c r="D247" t="str">
        <f>$D$50</f>
        <v>CUR_RATIO</v>
      </c>
      <c r="E247" t="str">
        <f>$E$50</f>
        <v>Dynamic</v>
      </c>
      <c r="F247">
        <f ca="1">_xll.BDH($B$50,$C$50,$B$200,$B$201,CONCATENATE("Per=",$B$198),"Dts=H","Dir=H",CONCATENATE("Points=",$B$199),"Sort=R","Days=A","Fill=B",CONCATENATE("FX=", $B$197),"cols=12;rows=1")</f>
        <v>1.5666</v>
      </c>
      <c r="G247">
        <v>1.7046999999999999</v>
      </c>
      <c r="H247">
        <v>1.4630000000000001</v>
      </c>
      <c r="I247">
        <v>1.4552</v>
      </c>
      <c r="J247">
        <v>1.3783000000000001</v>
      </c>
      <c r="K247">
        <v>1.3879000000000001</v>
      </c>
      <c r="L247">
        <v>1.3131999999999999</v>
      </c>
      <c r="M247">
        <v>1.5162</v>
      </c>
      <c r="N247">
        <v>1.5226</v>
      </c>
      <c r="O247">
        <v>1.7095</v>
      </c>
      <c r="P247">
        <v>1.6456</v>
      </c>
      <c r="Q247">
        <v>1.7294</v>
      </c>
      <c r="R247" t="str">
        <f>""</f>
        <v/>
      </c>
      <c r="S247" t="str">
        <f>""</f>
        <v/>
      </c>
      <c r="T247" t="str">
        <f>""</f>
        <v/>
      </c>
      <c r="U247" t="str">
        <f>""</f>
        <v/>
      </c>
      <c r="V247" t="str">
        <f>""</f>
        <v/>
      </c>
      <c r="W247" t="str">
        <f>""</f>
        <v/>
      </c>
      <c r="X247" t="str">
        <f>""</f>
        <v/>
      </c>
      <c r="Y247" t="str">
        <f>""</f>
        <v/>
      </c>
      <c r="Z247" t="str">
        <f>""</f>
        <v/>
      </c>
      <c r="AA247" t="str">
        <f>""</f>
        <v/>
      </c>
      <c r="AB247" t="str">
        <f>""</f>
        <v/>
      </c>
      <c r="AC247" t="str">
        <f>""</f>
        <v/>
      </c>
    </row>
    <row r="248" spans="1:29" x14ac:dyDescent="0.25">
      <c r="A248" t="str">
        <f>$A$51</f>
        <v xml:space="preserve">    HCL Technologies Ltd</v>
      </c>
      <c r="B248" t="str">
        <f>$B$51</f>
        <v>HCLT IN Equity</v>
      </c>
      <c r="C248" t="str">
        <f>$C$51</f>
        <v>RR053</v>
      </c>
      <c r="D248" t="str">
        <f>$D$51</f>
        <v>CUR_RATIO</v>
      </c>
      <c r="E248" t="str">
        <f>$E$51</f>
        <v>Dynamic</v>
      </c>
      <c r="F248">
        <f ca="1">_xll.BDH($B$51,$C$51,$B$200,$B$201,CONCATENATE("Per=",$B$198),"Dts=H","Dir=H",CONCATENATE("Points=",$B$199),"Sort=R","Days=A","Fill=B",CONCATENATE("FX=", $B$197),"cols=12;rows=1")</f>
        <v>1.623</v>
      </c>
      <c r="G248">
        <v>1.7269999999999999</v>
      </c>
      <c r="H248">
        <v>1.5844</v>
      </c>
      <c r="I248">
        <v>2.6657999999999999</v>
      </c>
      <c r="J248">
        <v>2.4239000000000002</v>
      </c>
      <c r="K248">
        <v>2.5670999999999999</v>
      </c>
      <c r="L248">
        <v>2.4615999999999998</v>
      </c>
      <c r="M248">
        <v>2.3744000000000001</v>
      </c>
      <c r="N248">
        <v>2.4298000000000002</v>
      </c>
      <c r="O248">
        <v>2.3361000000000001</v>
      </c>
      <c r="P248">
        <v>2.2656999999999998</v>
      </c>
      <c r="Q248">
        <v>2.3064999999999998</v>
      </c>
      <c r="R248" t="str">
        <f>""</f>
        <v/>
      </c>
      <c r="S248" t="str">
        <f>""</f>
        <v/>
      </c>
      <c r="T248" t="str">
        <f>""</f>
        <v/>
      </c>
      <c r="U248" t="str">
        <f>""</f>
        <v/>
      </c>
      <c r="V248" t="str">
        <f>""</f>
        <v/>
      </c>
      <c r="W248" t="str">
        <f>""</f>
        <v/>
      </c>
      <c r="X248" t="str">
        <f>""</f>
        <v/>
      </c>
      <c r="Y248" t="str">
        <f>""</f>
        <v/>
      </c>
      <c r="Z248" t="str">
        <f>""</f>
        <v/>
      </c>
      <c r="AA248" t="str">
        <f>""</f>
        <v/>
      </c>
      <c r="AB248" t="str">
        <f>""</f>
        <v/>
      </c>
      <c r="AC248" t="str">
        <f>""</f>
        <v/>
      </c>
    </row>
    <row r="249" spans="1:29" x14ac:dyDescent="0.25">
      <c r="A249" t="str">
        <f>$A$52</f>
        <v xml:space="preserve">    Indra Sistemas SA</v>
      </c>
      <c r="B249" t="str">
        <f>$B$52</f>
        <v>IDR SM Equity</v>
      </c>
      <c r="C249" t="str">
        <f>$C$52</f>
        <v>RR053</v>
      </c>
      <c r="D249" t="str">
        <f>$D$52</f>
        <v>CUR_RATIO</v>
      </c>
      <c r="E249" t="str">
        <f>$E$52</f>
        <v>Dynamic</v>
      </c>
      <c r="F249">
        <f ca="1">_xll.BDH($B$52,$C$52,$B$200,$B$201,CONCATENATE("Per=",$B$198),"Dts=H","Dir=H",CONCATENATE("Points=",$B$199),"Sort=R","Days=A","Fill=B",CONCATENATE("FX=", $B$197),"cols=12;rows=1")</f>
        <v>1.2941</v>
      </c>
      <c r="G249">
        <v>1.3106</v>
      </c>
      <c r="H249">
        <v>1.3747</v>
      </c>
      <c r="I249">
        <v>1.3493999999999999</v>
      </c>
      <c r="J249">
        <v>1.3285</v>
      </c>
      <c r="K249">
        <v>1.2974000000000001</v>
      </c>
      <c r="L249">
        <v>1.2765</v>
      </c>
      <c r="M249">
        <v>1.2604</v>
      </c>
      <c r="N249">
        <v>1.0901000000000001</v>
      </c>
      <c r="O249">
        <v>1.1188</v>
      </c>
      <c r="P249">
        <v>1.2699</v>
      </c>
      <c r="Q249">
        <v>1.2254</v>
      </c>
      <c r="R249" t="str">
        <f>""</f>
        <v/>
      </c>
      <c r="S249" t="str">
        <f>""</f>
        <v/>
      </c>
      <c r="T249" t="str">
        <f>""</f>
        <v/>
      </c>
      <c r="U249" t="str">
        <f>""</f>
        <v/>
      </c>
      <c r="V249" t="str">
        <f>""</f>
        <v/>
      </c>
      <c r="W249" t="str">
        <f>""</f>
        <v/>
      </c>
      <c r="X249" t="str">
        <f>""</f>
        <v/>
      </c>
      <c r="Y249" t="str">
        <f>""</f>
        <v/>
      </c>
      <c r="Z249" t="str">
        <f>""</f>
        <v/>
      </c>
      <c r="AA249" t="str">
        <f>""</f>
        <v/>
      </c>
      <c r="AB249" t="str">
        <f>""</f>
        <v/>
      </c>
      <c r="AC249" t="str">
        <f>""</f>
        <v/>
      </c>
    </row>
    <row r="250" spans="1:29" x14ac:dyDescent="0.25">
      <c r="A250" t="str">
        <f>$A$53</f>
        <v xml:space="preserve">    Infosys Ltd</v>
      </c>
      <c r="B250" t="str">
        <f>$B$53</f>
        <v>INFY US Equity</v>
      </c>
      <c r="C250" t="str">
        <f>$C$53</f>
        <v>RR053</v>
      </c>
      <c r="D250" t="str">
        <f>$D$53</f>
        <v>CUR_RATIO</v>
      </c>
      <c r="E250" t="str">
        <f>$E$53</f>
        <v>Dynamic</v>
      </c>
      <c r="F250">
        <f ca="1">_xll.BDH($B$53,$C$53,$B$200,$B$201,CONCATENATE("Per=",$B$198),"Dts=H","Dir=H",CONCATENATE("Points=",$B$199),"Sort=R","Days=A","Fill=B",CONCATENATE("FX=", $B$197),"cols=12;rows=1")</f>
        <v>2.6168</v>
      </c>
      <c r="G250">
        <v>2.5415999999999999</v>
      </c>
      <c r="H250">
        <v>2.5427999999999997</v>
      </c>
      <c r="I250">
        <v>2.0834999999999999</v>
      </c>
      <c r="J250">
        <v>2.8371</v>
      </c>
      <c r="K250">
        <v>3.0819999999999999</v>
      </c>
      <c r="L250">
        <v>3.3031000000000001</v>
      </c>
      <c r="M250">
        <v>2.9321000000000002</v>
      </c>
      <c r="N250">
        <v>3.5460000000000003</v>
      </c>
      <c r="O250">
        <v>3.2867999999999999</v>
      </c>
      <c r="P250">
        <v>3.6890000000000001</v>
      </c>
      <c r="Q250">
        <v>3.3917000000000002</v>
      </c>
      <c r="R250" t="str">
        <f>""</f>
        <v/>
      </c>
      <c r="S250" t="str">
        <f>""</f>
        <v/>
      </c>
      <c r="T250" t="str">
        <f>""</f>
        <v/>
      </c>
      <c r="U250" t="str">
        <f>""</f>
        <v/>
      </c>
      <c r="V250" t="str">
        <f>""</f>
        <v/>
      </c>
      <c r="W250" t="str">
        <f>""</f>
        <v/>
      </c>
      <c r="X250" t="str">
        <f>""</f>
        <v/>
      </c>
      <c r="Y250" t="str">
        <f>""</f>
        <v/>
      </c>
      <c r="Z250" t="str">
        <f>""</f>
        <v/>
      </c>
      <c r="AA250" t="str">
        <f>""</f>
        <v/>
      </c>
      <c r="AB250" t="str">
        <f>""</f>
        <v/>
      </c>
      <c r="AC250" t="str">
        <f>""</f>
        <v/>
      </c>
    </row>
    <row r="251" spans="1:29" x14ac:dyDescent="0.25">
      <c r="A251" t="str">
        <f>$A$54</f>
        <v xml:space="preserve">    International Business Machines Corp</v>
      </c>
      <c r="B251" t="str">
        <f>$B$54</f>
        <v>IBM US Equity</v>
      </c>
      <c r="C251" t="str">
        <f>$C$54</f>
        <v>RR053</v>
      </c>
      <c r="D251" t="str">
        <f>$D$54</f>
        <v>CUR_RATIO</v>
      </c>
      <c r="E251" t="str">
        <f>$E$54</f>
        <v>Dynamic</v>
      </c>
      <c r="F251">
        <f ca="1">_xll.BDH($B$54,$C$54,$B$200,$B$201,CONCATENATE("Per=",$B$198),"Dts=H","Dir=H",CONCATENATE("Points=",$B$199),"Sort=R","Days=A","Fill=B",CONCATENATE("FX=", $B$197),"cols=12;rows=1")</f>
        <v>0.95720000000000005</v>
      </c>
      <c r="G251">
        <v>1.0190999999999999</v>
      </c>
      <c r="H251">
        <v>1.0871</v>
      </c>
      <c r="I251">
        <v>1.8303</v>
      </c>
      <c r="J251">
        <v>1.3559000000000001</v>
      </c>
      <c r="K251">
        <v>1.2856000000000001</v>
      </c>
      <c r="L251">
        <v>1.3105</v>
      </c>
      <c r="M251">
        <v>1.3203</v>
      </c>
      <c r="N251">
        <v>1.3747</v>
      </c>
      <c r="O251">
        <v>1.3310999999999999</v>
      </c>
      <c r="P251">
        <v>1.4116</v>
      </c>
      <c r="Q251">
        <v>1.2515000000000001</v>
      </c>
      <c r="R251" t="str">
        <f>""</f>
        <v/>
      </c>
      <c r="S251" t="str">
        <f>""</f>
        <v/>
      </c>
      <c r="T251" t="str">
        <f>""</f>
        <v/>
      </c>
      <c r="U251" t="str">
        <f>""</f>
        <v/>
      </c>
      <c r="V251" t="str">
        <f>""</f>
        <v/>
      </c>
      <c r="W251" t="str">
        <f>""</f>
        <v/>
      </c>
      <c r="X251" t="str">
        <f>""</f>
        <v/>
      </c>
      <c r="Y251" t="str">
        <f>""</f>
        <v/>
      </c>
      <c r="Z251" t="str">
        <f>""</f>
        <v/>
      </c>
      <c r="AA251" t="str">
        <f>""</f>
        <v/>
      </c>
      <c r="AB251" t="str">
        <f>""</f>
        <v/>
      </c>
      <c r="AC251" t="str">
        <f>""</f>
        <v/>
      </c>
    </row>
    <row r="252" spans="1:29" x14ac:dyDescent="0.25">
      <c r="A252" t="str">
        <f>$A$55</f>
        <v xml:space="preserve">    Tata Consultancy Services Ltd</v>
      </c>
      <c r="B252" t="str">
        <f>$B$55</f>
        <v>TCS IN Equity</v>
      </c>
      <c r="C252" t="str">
        <f>$C$55</f>
        <v>RR053</v>
      </c>
      <c r="D252" t="str">
        <f>$D$55</f>
        <v>CUR_RATIO</v>
      </c>
      <c r="E252" t="str">
        <f>$E$55</f>
        <v>Dynamic</v>
      </c>
      <c r="F252">
        <f ca="1">_xll.BDH($B$55,$C$55,$B$200,$B$201,CONCATENATE("Per=",$B$198),"Dts=H","Dir=H",CONCATENATE("Points=",$B$199),"Sort=R","Days=A","Fill=B",CONCATENATE("FX=", $B$197),"cols=12;rows=1")</f>
        <v>3.3346999999999998</v>
      </c>
      <c r="G252">
        <v>3.5247000000000002</v>
      </c>
      <c r="H252">
        <v>4.1311999999999998</v>
      </c>
      <c r="I252">
        <v>3.8044000000000002</v>
      </c>
      <c r="J252">
        <v>4.1718000000000002</v>
      </c>
      <c r="K252">
        <v>4.0243000000000002</v>
      </c>
      <c r="L252">
        <v>3.4470000000000001</v>
      </c>
      <c r="M252">
        <v>4.1189999999999998</v>
      </c>
      <c r="N252">
        <v>4.556</v>
      </c>
      <c r="O252">
        <v>4.5431999999999997</v>
      </c>
      <c r="P252">
        <v>4.3383000000000003</v>
      </c>
      <c r="Q252">
        <v>4.2874999999999996</v>
      </c>
      <c r="R252" t="str">
        <f>""</f>
        <v/>
      </c>
      <c r="S252" t="str">
        <f>""</f>
        <v/>
      </c>
      <c r="T252" t="str">
        <f>""</f>
        <v/>
      </c>
      <c r="U252" t="str">
        <f>""</f>
        <v/>
      </c>
      <c r="V252" t="str">
        <f>""</f>
        <v/>
      </c>
      <c r="W252" t="str">
        <f>""</f>
        <v/>
      </c>
      <c r="X252" t="str">
        <f>""</f>
        <v/>
      </c>
      <c r="Y252" t="str">
        <f>""</f>
        <v/>
      </c>
      <c r="Z252" t="str">
        <f>""</f>
        <v/>
      </c>
      <c r="AA252" t="str">
        <f>""</f>
        <v/>
      </c>
      <c r="AB252" t="str">
        <f>""</f>
        <v/>
      </c>
      <c r="AC252" t="str">
        <f>""</f>
        <v/>
      </c>
    </row>
    <row r="253" spans="1:29" x14ac:dyDescent="0.25">
      <c r="A253" t="str">
        <f>$A$56</f>
        <v xml:space="preserve">    Tech Mahindra Ltd</v>
      </c>
      <c r="B253" t="str">
        <f>$B$56</f>
        <v>TECHM IN Equity</v>
      </c>
      <c r="C253" t="str">
        <f>$C$56</f>
        <v>RR053</v>
      </c>
      <c r="D253" t="str">
        <f>$D$56</f>
        <v>CUR_RATIO</v>
      </c>
      <c r="E253" t="str">
        <f>$E$56</f>
        <v>Dynamic</v>
      </c>
      <c r="F253">
        <f ca="1">_xll.BDH($B$56,$C$56,$B$200,$B$201,CONCATENATE("Per=",$B$198),"Dts=H","Dir=H",CONCATENATE("Points=",$B$199),"Sort=R","Days=A","Fill=B",CONCATENATE("FX=", $B$197),"cols=12;rows=1")</f>
        <v>2.1208999999999998</v>
      </c>
      <c r="G253">
        <v>2.0114000000000001</v>
      </c>
      <c r="H253">
        <v>2.0236999999999998</v>
      </c>
      <c r="I253">
        <v>2.0453999999999999</v>
      </c>
      <c r="J253">
        <v>1.8653</v>
      </c>
      <c r="K253">
        <v>1.9774</v>
      </c>
      <c r="L253">
        <v>1.8229</v>
      </c>
      <c r="M253">
        <v>2.0767000000000002</v>
      </c>
      <c r="N253">
        <v>1.9795</v>
      </c>
      <c r="O253">
        <v>1.9339</v>
      </c>
      <c r="P253">
        <v>2.0116999999999998</v>
      </c>
      <c r="Q253">
        <v>2.0394999999999999</v>
      </c>
      <c r="R253" t="str">
        <f>""</f>
        <v/>
      </c>
      <c r="S253" t="str">
        <f>""</f>
        <v/>
      </c>
      <c r="T253" t="str">
        <f>""</f>
        <v/>
      </c>
      <c r="U253" t="str">
        <f>""</f>
        <v/>
      </c>
      <c r="V253" t="str">
        <f>""</f>
        <v/>
      </c>
      <c r="W253" t="str">
        <f>""</f>
        <v/>
      </c>
      <c r="X253" t="str">
        <f>""</f>
        <v/>
      </c>
      <c r="Y253" t="str">
        <f>""</f>
        <v/>
      </c>
      <c r="Z253" t="str">
        <f>""</f>
        <v/>
      </c>
      <c r="AA253" t="str">
        <f>""</f>
        <v/>
      </c>
      <c r="AB253" t="str">
        <f>""</f>
        <v/>
      </c>
      <c r="AC253" t="str">
        <f>""</f>
        <v/>
      </c>
    </row>
    <row r="254" spans="1:29" x14ac:dyDescent="0.25">
      <c r="A254" t="str">
        <f>$A$57</f>
        <v xml:space="preserve">    Wipro Ltd</v>
      </c>
      <c r="B254" t="str">
        <f>$B$57</f>
        <v>WIT US Equity</v>
      </c>
      <c r="C254" t="str">
        <f>$C$57</f>
        <v>RR053</v>
      </c>
      <c r="D254" t="str">
        <f>$D$57</f>
        <v>CUR_RATIO</v>
      </c>
      <c r="E254" t="str">
        <f>$E$57</f>
        <v>Dynamic</v>
      </c>
      <c r="F254">
        <f ca="1">_xll.BDH($B$57,$C$57,$B$200,$B$201,CONCATENATE("Per=",$B$198),"Dts=H","Dir=H",CONCATENATE("Points=",$B$199),"Sort=R","Days=A","Fill=B",CONCATENATE("FX=", $B$197),"cols=12;rows=1")</f>
        <v>2.4022999999999999</v>
      </c>
      <c r="G254">
        <v>2.4515000000000002</v>
      </c>
      <c r="H254">
        <v>2.3973</v>
      </c>
      <c r="I254">
        <v>2.7126000000000001</v>
      </c>
      <c r="J254">
        <v>2.6680999999999999</v>
      </c>
      <c r="K254">
        <v>2.7922000000000002</v>
      </c>
      <c r="L254">
        <v>2.5060000000000002</v>
      </c>
      <c r="M254">
        <v>2.5333999999999999</v>
      </c>
      <c r="N254">
        <v>2.3706999999999998</v>
      </c>
      <c r="O254">
        <v>2.1558999999999999</v>
      </c>
      <c r="P254">
        <v>2.5306999999999999</v>
      </c>
      <c r="Q254">
        <v>2.4121000000000001</v>
      </c>
      <c r="R254" t="str">
        <f>""</f>
        <v/>
      </c>
      <c r="S254" t="str">
        <f>""</f>
        <v/>
      </c>
      <c r="T254" t="str">
        <f>""</f>
        <v/>
      </c>
      <c r="U254" t="str">
        <f>""</f>
        <v/>
      </c>
      <c r="V254" t="str">
        <f>""</f>
        <v/>
      </c>
      <c r="W254" t="str">
        <f>""</f>
        <v/>
      </c>
      <c r="X254" t="str">
        <f>""</f>
        <v/>
      </c>
      <c r="Y254" t="str">
        <f>""</f>
        <v/>
      </c>
      <c r="Z254" t="str">
        <f>""</f>
        <v/>
      </c>
      <c r="AA254" t="str">
        <f>""</f>
        <v/>
      </c>
      <c r="AB254" t="str">
        <f>""</f>
        <v/>
      </c>
      <c r="AC254" t="str">
        <f>""</f>
        <v/>
      </c>
    </row>
    <row r="255" spans="1:29" x14ac:dyDescent="0.25">
      <c r="A255" t="str">
        <f>$A$59</f>
        <v xml:space="preserve">    Accenture PLC</v>
      </c>
      <c r="B255" t="str">
        <f>$B$59</f>
        <v>ACN US Equity</v>
      </c>
      <c r="C255" t="str">
        <f>$C$59</f>
        <v>RR060</v>
      </c>
      <c r="D255" t="str">
        <f>$D$59</f>
        <v>INTEREST_COVERAGE_RATIO</v>
      </c>
      <c r="E255" t="str">
        <f>$E$59</f>
        <v>Dynamic</v>
      </c>
      <c r="F255">
        <f ca="1">_xll.BDH($B$59,$C$59,$B$200,$B$201,CONCATENATE("Per=",$B$198),"Dts=H","Dir=H",CONCATENATE("Points=",$B$199),"Sort=R","Days=A","Fill=B",CONCATENATE("FX=", $B$197),"cols=12;rows=1")</f>
        <v>173.8</v>
      </c>
      <c r="G255">
        <v>322.8467</v>
      </c>
      <c r="H255">
        <v>209.7841</v>
      </c>
      <c r="I255">
        <v>321.23090000000002</v>
      </c>
      <c r="J255">
        <v>246.77449999999999</v>
      </c>
      <c r="K255">
        <v>361.60090000000002</v>
      </c>
      <c r="L255">
        <v>285.20940000000002</v>
      </c>
      <c r="M255">
        <v>279.9923</v>
      </c>
      <c r="N255">
        <v>337.51150000000001</v>
      </c>
      <c r="O255">
        <v>318.28680000000003</v>
      </c>
      <c r="P255">
        <v>264.17320000000001</v>
      </c>
      <c r="Q255">
        <v>239.53360000000001</v>
      </c>
      <c r="R255" t="str">
        <f>""</f>
        <v/>
      </c>
      <c r="S255" t="str">
        <f>""</f>
        <v/>
      </c>
      <c r="T255" t="str">
        <f>""</f>
        <v/>
      </c>
      <c r="U255" t="str">
        <f>""</f>
        <v/>
      </c>
      <c r="V255" t="str">
        <f>""</f>
        <v/>
      </c>
      <c r="W255" t="str">
        <f>""</f>
        <v/>
      </c>
      <c r="X255" t="str">
        <f>""</f>
        <v/>
      </c>
      <c r="Y255" t="str">
        <f>""</f>
        <v/>
      </c>
      <c r="Z255" t="str">
        <f>""</f>
        <v/>
      </c>
      <c r="AA255" t="str">
        <f>""</f>
        <v/>
      </c>
      <c r="AB255" t="str">
        <f>""</f>
        <v/>
      </c>
      <c r="AC255" t="str">
        <f>""</f>
        <v/>
      </c>
    </row>
    <row r="256" spans="1:29" x14ac:dyDescent="0.25">
      <c r="A256" t="str">
        <f>$A$60</f>
        <v xml:space="preserve">    Amdocs Ltd</v>
      </c>
      <c r="B256" t="str">
        <f>$B$60</f>
        <v>DOX US Equity</v>
      </c>
      <c r="C256" t="str">
        <f>$C$60</f>
        <v>RR060</v>
      </c>
      <c r="D256" t="str">
        <f>$D$60</f>
        <v>INTEREST_COVERAGE_RATIO</v>
      </c>
      <c r="E256" t="str">
        <f>$E$60</f>
        <v>Dynamic</v>
      </c>
      <c r="F256" t="str">
        <f ca="1">_xll.BDH($B$60,$C$60,$B$200,$B$201,CONCATENATE("Per=",$B$198),"Dts=H","Dir=H",CONCATENATE("Points=",$B$199),"Sort=R","Days=A","Fill=B",CONCATENATE("FX=", $B$197) )</f>
        <v/>
      </c>
      <c r="R256" t="str">
        <f>""</f>
        <v/>
      </c>
      <c r="S256" t="str">
        <f>""</f>
        <v/>
      </c>
      <c r="T256" t="str">
        <f>""</f>
        <v/>
      </c>
      <c r="U256" t="str">
        <f>""</f>
        <v/>
      </c>
      <c r="V256" t="str">
        <f>""</f>
        <v/>
      </c>
      <c r="W256" t="str">
        <f>""</f>
        <v/>
      </c>
      <c r="X256" t="str">
        <f>""</f>
        <v/>
      </c>
      <c r="Y256" t="str">
        <f>""</f>
        <v/>
      </c>
      <c r="Z256" t="str">
        <f>""</f>
        <v/>
      </c>
      <c r="AA256" t="str">
        <f>""</f>
        <v/>
      </c>
      <c r="AB256" t="str">
        <f>""</f>
        <v/>
      </c>
      <c r="AC256" t="str">
        <f>""</f>
        <v/>
      </c>
    </row>
    <row r="257" spans="1:29" x14ac:dyDescent="0.25">
      <c r="A257" t="str">
        <f>$A$61</f>
        <v xml:space="preserve">    Atos SE</v>
      </c>
      <c r="B257" t="str">
        <f>$B$61</f>
        <v>ATO FP Equity</v>
      </c>
      <c r="C257" t="str">
        <f>$C$61</f>
        <v>RR060</v>
      </c>
      <c r="D257" t="str">
        <f>$D$61</f>
        <v>INTEREST_COVERAGE_RATIO</v>
      </c>
      <c r="E257" t="str">
        <f>$E$61</f>
        <v>Dynamic</v>
      </c>
      <c r="F257" t="str">
        <f ca="1">_xll.BDH($B$61,$C$61,$B$200,$B$201,CONCATENATE("Per=",$B$198),"Dts=H","Dir=H",CONCATENATE("Points=",$B$199),"Sort=R","Days=A","Fill=B",CONCATENATE("FX=", $B$197) )</f>
        <v/>
      </c>
      <c r="R257" t="str">
        <f>""</f>
        <v/>
      </c>
      <c r="S257" t="str">
        <f>""</f>
        <v/>
      </c>
      <c r="T257" t="str">
        <f>""</f>
        <v/>
      </c>
      <c r="U257" t="str">
        <f>""</f>
        <v/>
      </c>
      <c r="V257" t="str">
        <f>""</f>
        <v/>
      </c>
      <c r="W257" t="str">
        <f>""</f>
        <v/>
      </c>
      <c r="X257" t="str">
        <f>""</f>
        <v/>
      </c>
      <c r="Y257" t="str">
        <f>""</f>
        <v/>
      </c>
      <c r="Z257" t="str">
        <f>""</f>
        <v/>
      </c>
      <c r="AA257" t="str">
        <f>""</f>
        <v/>
      </c>
      <c r="AB257" t="str">
        <f>""</f>
        <v/>
      </c>
      <c r="AC257" t="str">
        <f>""</f>
        <v/>
      </c>
    </row>
    <row r="258" spans="1:29" x14ac:dyDescent="0.25">
      <c r="A258" t="str">
        <f>$A$62</f>
        <v xml:space="preserve">    Capgemini SE</v>
      </c>
      <c r="B258" t="str">
        <f>$B$62</f>
        <v>CAP FP Equity</v>
      </c>
      <c r="C258" t="str">
        <f>$C$62</f>
        <v>RR060</v>
      </c>
      <c r="D258" t="str">
        <f>$D$62</f>
        <v>INTEREST_COVERAGE_RATIO</v>
      </c>
      <c r="E258" t="str">
        <f>$E$62</f>
        <v>Dynamic</v>
      </c>
      <c r="F258" t="str">
        <f ca="1">_xll.BDH($B$62,$C$62,$B$200,$B$201,CONCATENATE("Per=",$B$198),"Dts=H","Dir=H",CONCATENATE("Points=",$B$199),"Sort=R","Days=A","Fill=B",CONCATENATE("FX=", $B$197) )</f>
        <v/>
      </c>
      <c r="R258" t="str">
        <f>""</f>
        <v/>
      </c>
      <c r="S258" t="str">
        <f>""</f>
        <v/>
      </c>
      <c r="T258" t="str">
        <f>""</f>
        <v/>
      </c>
      <c r="U258" t="str">
        <f>""</f>
        <v/>
      </c>
      <c r="V258" t="str">
        <f>""</f>
        <v/>
      </c>
      <c r="W258" t="str">
        <f>""</f>
        <v/>
      </c>
      <c r="X258" t="str">
        <f>""</f>
        <v/>
      </c>
      <c r="Y258" t="str">
        <f>""</f>
        <v/>
      </c>
      <c r="Z258" t="str">
        <f>""</f>
        <v/>
      </c>
      <c r="AA258" t="str">
        <f>""</f>
        <v/>
      </c>
      <c r="AB258" t="str">
        <f>""</f>
        <v/>
      </c>
      <c r="AC258" t="str">
        <f>""</f>
        <v/>
      </c>
    </row>
    <row r="259" spans="1:29" x14ac:dyDescent="0.25">
      <c r="A259" t="str">
        <f>$A$63</f>
        <v xml:space="preserve">    CGI Inc</v>
      </c>
      <c r="B259" t="str">
        <f>$B$63</f>
        <v>GIB US Equity</v>
      </c>
      <c r="C259" t="str">
        <f>$C$63</f>
        <v>RR060</v>
      </c>
      <c r="D259" t="str">
        <f>$D$63</f>
        <v>INTEREST_COVERAGE_RATIO</v>
      </c>
      <c r="E259" t="str">
        <f>$E$63</f>
        <v>Dynamic</v>
      </c>
      <c r="F259">
        <f ca="1">_xll.BDH($B$63,$C$63,$B$200,$B$201,CONCATENATE("Per=",$B$198),"Dts=H","Dir=H",CONCATENATE("Points=",$B$199),"Sort=R","Days=A","Fill=B",CONCATENATE("FX=", $B$197),"cols=12;rows=1")</f>
        <v>17.049800000000001</v>
      </c>
      <c r="G259">
        <v>15.8506</v>
      </c>
      <c r="H259">
        <v>24.122599999999998</v>
      </c>
      <c r="I259">
        <v>22.575399999999998</v>
      </c>
      <c r="J259">
        <v>23.898099999999999</v>
      </c>
      <c r="K259">
        <v>29.617999999999999</v>
      </c>
      <c r="N259">
        <v>22.279</v>
      </c>
      <c r="O259">
        <v>20.879200000000001</v>
      </c>
      <c r="R259" t="str">
        <f>""</f>
        <v/>
      </c>
      <c r="S259" t="str">
        <f>""</f>
        <v/>
      </c>
      <c r="T259" t="str">
        <f>""</f>
        <v/>
      </c>
      <c r="U259" t="str">
        <f>""</f>
        <v/>
      </c>
      <c r="V259" t="str">
        <f>""</f>
        <v/>
      </c>
      <c r="W259" t="str">
        <f>""</f>
        <v/>
      </c>
      <c r="X259" t="str">
        <f>""</f>
        <v/>
      </c>
      <c r="Y259" t="str">
        <f>""</f>
        <v/>
      </c>
      <c r="Z259" t="str">
        <f>""</f>
        <v/>
      </c>
      <c r="AA259" t="str">
        <f>""</f>
        <v/>
      </c>
      <c r="AB259" t="str">
        <f>""</f>
        <v/>
      </c>
      <c r="AC259" t="str">
        <f>""</f>
        <v/>
      </c>
    </row>
    <row r="260" spans="1:29" x14ac:dyDescent="0.25">
      <c r="A260" t="str">
        <f>$A$64</f>
        <v xml:space="preserve">    Cognizant Technology Solutions Corp</v>
      </c>
      <c r="B260" t="str">
        <f>$B$64</f>
        <v>CTSH US Equity</v>
      </c>
      <c r="C260" t="str">
        <f>$C$64</f>
        <v>RR060</v>
      </c>
      <c r="D260" t="str">
        <f>$D$64</f>
        <v>INTEREST_COVERAGE_RATIO</v>
      </c>
      <c r="E260" t="str">
        <f>$E$64</f>
        <v>Dynamic</v>
      </c>
      <c r="F260">
        <f ca="1">_xll.BDH($B$64,$C$64,$B$200,$B$201,CONCATENATE("Per=",$B$198),"Dts=H","Dir=H",CONCATENATE("Points=",$B$199),"Sort=R","Days=A","Fill=B",CONCATENATE("FX=", $B$197),"cols=12;rows=1")</f>
        <v>96.5</v>
      </c>
      <c r="G260">
        <v>104.33329999999999</v>
      </c>
      <c r="H260">
        <v>95.571399999999997</v>
      </c>
      <c r="I260">
        <v>103.16670000000001</v>
      </c>
      <c r="J260">
        <v>77</v>
      </c>
      <c r="K260">
        <v>86.625</v>
      </c>
      <c r="L260">
        <v>124.16670000000001</v>
      </c>
      <c r="M260">
        <v>95.714299999999994</v>
      </c>
      <c r="N260">
        <v>115.5</v>
      </c>
      <c r="O260">
        <v>131.4</v>
      </c>
      <c r="P260">
        <v>108</v>
      </c>
      <c r="Q260">
        <v>101</v>
      </c>
      <c r="R260" t="str">
        <f>""</f>
        <v/>
      </c>
      <c r="S260" t="str">
        <f>""</f>
        <v/>
      </c>
      <c r="T260" t="str">
        <f>""</f>
        <v/>
      </c>
      <c r="U260" t="str">
        <f>""</f>
        <v/>
      </c>
      <c r="V260" t="str">
        <f>""</f>
        <v/>
      </c>
      <c r="W260" t="str">
        <f>""</f>
        <v/>
      </c>
      <c r="X260" t="str">
        <f>""</f>
        <v/>
      </c>
      <c r="Y260" t="str">
        <f>""</f>
        <v/>
      </c>
      <c r="Z260" t="str">
        <f>""</f>
        <v/>
      </c>
      <c r="AA260" t="str">
        <f>""</f>
        <v/>
      </c>
      <c r="AB260" t="str">
        <f>""</f>
        <v/>
      </c>
      <c r="AC260" t="str">
        <f>""</f>
        <v/>
      </c>
    </row>
    <row r="261" spans="1:29" x14ac:dyDescent="0.25">
      <c r="A261" t="str">
        <f>$A$65</f>
        <v xml:space="preserve">    Conduent Inc</v>
      </c>
      <c r="B261" t="str">
        <f>$B$65</f>
        <v>CNDT US Equity</v>
      </c>
      <c r="C261" t="str">
        <f>$C$65</f>
        <v>RR060</v>
      </c>
      <c r="D261" t="str">
        <f>$D$65</f>
        <v>INTEREST_COVERAGE_RATIO</v>
      </c>
      <c r="E261" t="str">
        <f>$E$65</f>
        <v>Dynamic</v>
      </c>
      <c r="F261">
        <f ca="1">_xll.BDH($B$65,$C$65,$B$200,$B$201,CONCATENATE("Per=",$B$198),"Dts=H","Dir=H",CONCATENATE("Points=",$B$199),"Sort=R","Days=A","Fill=B",CONCATENATE("FX=", $B$197),"cols=12;rows=1")</f>
        <v>-2</v>
      </c>
      <c r="G261">
        <v>-34.277799999999999</v>
      </c>
      <c r="H261">
        <v>0.3</v>
      </c>
      <c r="I261">
        <v>-54.9</v>
      </c>
      <c r="J261">
        <v>-15.95</v>
      </c>
      <c r="K261">
        <v>-5.95</v>
      </c>
      <c r="L261">
        <v>-10.454499999999999</v>
      </c>
      <c r="M261">
        <v>2.4054000000000002</v>
      </c>
      <c r="N261">
        <v>-0.66669999999999996</v>
      </c>
      <c r="O261">
        <v>1.2187999999999999</v>
      </c>
      <c r="P261">
        <v>1.3714</v>
      </c>
      <c r="Q261">
        <v>0.38240000000000002</v>
      </c>
      <c r="R261" t="str">
        <f>""</f>
        <v/>
      </c>
      <c r="S261" t="str">
        <f>""</f>
        <v/>
      </c>
      <c r="T261" t="str">
        <f>""</f>
        <v/>
      </c>
      <c r="U261" t="str">
        <f>""</f>
        <v/>
      </c>
      <c r="V261" t="str">
        <f>""</f>
        <v/>
      </c>
      <c r="W261" t="str">
        <f>""</f>
        <v/>
      </c>
      <c r="X261" t="str">
        <f>""</f>
        <v/>
      </c>
      <c r="Y261" t="str">
        <f>""</f>
        <v/>
      </c>
      <c r="Z261" t="str">
        <f>""</f>
        <v/>
      </c>
      <c r="AA261" t="str">
        <f>""</f>
        <v/>
      </c>
      <c r="AB261" t="str">
        <f>""</f>
        <v/>
      </c>
      <c r="AC261" t="str">
        <f>""</f>
        <v/>
      </c>
    </row>
    <row r="262" spans="1:29" x14ac:dyDescent="0.25">
      <c r="A262" t="str">
        <f>$A$66</f>
        <v xml:space="preserve">    DXC Technology Co</v>
      </c>
      <c r="B262" t="str">
        <f>$B$66</f>
        <v>DXC US Equity</v>
      </c>
      <c r="C262" t="str">
        <f>$C$66</f>
        <v>RR060</v>
      </c>
      <c r="D262" t="str">
        <f>$D$66</f>
        <v>INTEREST_COVERAGE_RATIO</v>
      </c>
      <c r="E262" t="str">
        <f>$E$66</f>
        <v>Dynamic</v>
      </c>
      <c r="F262">
        <f ca="1">_xll.BDH($B$66,$C$66,$B$200,$B$201,CONCATENATE("Per=",$B$198),"Dts=H","Dir=H",CONCATENATE("Points=",$B$199),"Sort=R","Days=A","Fill=B",CONCATENATE("FX=", $B$197),"cols=12;rows=1")</f>
        <v>-40.821100000000001</v>
      </c>
      <c r="G262">
        <v>0.75270000000000004</v>
      </c>
      <c r="H262">
        <v>-19.913499999999999</v>
      </c>
      <c r="I262">
        <v>1.6374</v>
      </c>
      <c r="J262">
        <v>4.7412000000000001</v>
      </c>
      <c r="K262">
        <v>4.6666999999999996</v>
      </c>
      <c r="L262">
        <v>3.4337</v>
      </c>
      <c r="M262">
        <v>3.7528999999999999</v>
      </c>
      <c r="N262">
        <v>6.58</v>
      </c>
      <c r="O262">
        <v>4.274</v>
      </c>
      <c r="P262">
        <v>3.6848999999999998</v>
      </c>
      <c r="Q262">
        <v>6.7599999999999993E-2</v>
      </c>
      <c r="R262" t="str">
        <f>""</f>
        <v/>
      </c>
      <c r="S262" t="str">
        <f>""</f>
        <v/>
      </c>
      <c r="T262" t="str">
        <f>""</f>
        <v/>
      </c>
      <c r="U262" t="str">
        <f>""</f>
        <v/>
      </c>
      <c r="V262" t="str">
        <f>""</f>
        <v/>
      </c>
      <c r="W262" t="str">
        <f>""</f>
        <v/>
      </c>
      <c r="X262" t="str">
        <f>""</f>
        <v/>
      </c>
      <c r="Y262" t="str">
        <f>""</f>
        <v/>
      </c>
      <c r="Z262" t="str">
        <f>""</f>
        <v/>
      </c>
      <c r="AA262" t="str">
        <f>""</f>
        <v/>
      </c>
      <c r="AB262" t="str">
        <f>""</f>
        <v/>
      </c>
      <c r="AC262" t="str">
        <f>""</f>
        <v/>
      </c>
    </row>
    <row r="263" spans="1:29" x14ac:dyDescent="0.25">
      <c r="A263" t="str">
        <f>$A$67</f>
        <v xml:space="preserve">    EPAM Systems Inc</v>
      </c>
      <c r="B263" t="str">
        <f>$B$67</f>
        <v>EPAM US Equity</v>
      </c>
      <c r="C263" t="str">
        <f>$C$67</f>
        <v>RR060</v>
      </c>
      <c r="D263" t="str">
        <f>$D$67</f>
        <v>INTEREST_COVERAGE_RATIO</v>
      </c>
      <c r="E263" t="str">
        <f>$E$67</f>
        <v>Dynamic</v>
      </c>
      <c r="F263" t="str">
        <f ca="1">_xll.BDH($B$67,$C$67,$B$200,$B$201,CONCATENATE("Per=",$B$198),"Dts=H","Dir=H",CONCATENATE("Points=",$B$199),"Sort=R","Days=A","Fill=B",CONCATENATE("FX=", $B$197) )</f>
        <v/>
      </c>
      <c r="R263" t="str">
        <f>""</f>
        <v/>
      </c>
      <c r="S263" t="str">
        <f>""</f>
        <v/>
      </c>
      <c r="T263" t="str">
        <f>""</f>
        <v/>
      </c>
      <c r="U263" t="str">
        <f>""</f>
        <v/>
      </c>
      <c r="V263" t="str">
        <f>""</f>
        <v/>
      </c>
      <c r="W263" t="str">
        <f>""</f>
        <v/>
      </c>
      <c r="X263" t="str">
        <f>""</f>
        <v/>
      </c>
      <c r="Y263" t="str">
        <f>""</f>
        <v/>
      </c>
      <c r="Z263" t="str">
        <f>""</f>
        <v/>
      </c>
      <c r="AA263" t="str">
        <f>""</f>
        <v/>
      </c>
      <c r="AB263" t="str">
        <f>""</f>
        <v/>
      </c>
      <c r="AC263" t="str">
        <f>""</f>
        <v/>
      </c>
    </row>
    <row r="264" spans="1:29" x14ac:dyDescent="0.25">
      <c r="A264" t="str">
        <f>$A$68</f>
        <v xml:space="preserve">    Genpact Ltd</v>
      </c>
      <c r="B264" t="str">
        <f>$B$68</f>
        <v>G US Equity</v>
      </c>
      <c r="C264" t="str">
        <f>$C$68</f>
        <v>RR060</v>
      </c>
      <c r="D264" t="str">
        <f>$D$68</f>
        <v>INTEREST_COVERAGE_RATIO</v>
      </c>
      <c r="E264" t="str">
        <f>$E$68</f>
        <v>Dynamic</v>
      </c>
      <c r="F264">
        <f ca="1">_xll.BDH($B$68,$C$68,$B$200,$B$201,CONCATENATE("Per=",$B$198),"Dts=H","Dir=H",CONCATENATE("Points=",$B$199),"Sort=R","Days=A","Fill=B",CONCATENATE("FX=", $B$197),"cols=12;rows=1")</f>
        <v>7.9211</v>
      </c>
      <c r="G264">
        <v>9.5355000000000008</v>
      </c>
      <c r="H264">
        <v>9.3186</v>
      </c>
      <c r="I264">
        <v>8.0645000000000007</v>
      </c>
      <c r="J264">
        <v>6.9893999999999998</v>
      </c>
      <c r="K264">
        <v>8.9466999999999999</v>
      </c>
      <c r="L264">
        <v>7.5422000000000002</v>
      </c>
      <c r="M264">
        <v>6.5283999999999995</v>
      </c>
      <c r="N264">
        <v>5.5588999999999995</v>
      </c>
      <c r="O264">
        <v>6.4832000000000001</v>
      </c>
      <c r="P264">
        <v>8.6861999999999995</v>
      </c>
      <c r="Q264">
        <v>7.5571000000000002</v>
      </c>
      <c r="R264" t="str">
        <f>""</f>
        <v/>
      </c>
      <c r="S264" t="str">
        <f>""</f>
        <v/>
      </c>
      <c r="T264" t="str">
        <f>""</f>
        <v/>
      </c>
      <c r="U264" t="str">
        <f>""</f>
        <v/>
      </c>
      <c r="V264" t="str">
        <f>""</f>
        <v/>
      </c>
      <c r="W264" t="str">
        <f>""</f>
        <v/>
      </c>
      <c r="X264" t="str">
        <f>""</f>
        <v/>
      </c>
      <c r="Y264" t="str">
        <f>""</f>
        <v/>
      </c>
      <c r="Z264" t="str">
        <f>""</f>
        <v/>
      </c>
      <c r="AA264" t="str">
        <f>""</f>
        <v/>
      </c>
      <c r="AB264" t="str">
        <f>""</f>
        <v/>
      </c>
      <c r="AC264" t="str">
        <f>""</f>
        <v/>
      </c>
    </row>
    <row r="265" spans="1:29" x14ac:dyDescent="0.25">
      <c r="A265" t="str">
        <f>$A$69</f>
        <v xml:space="preserve">    HCL Technologies Ltd</v>
      </c>
      <c r="B265" t="str">
        <f>$B$69</f>
        <v>HCLT IN Equity</v>
      </c>
      <c r="C265" t="str">
        <f>$C$69</f>
        <v>RR060</v>
      </c>
      <c r="D265" t="str">
        <f>$D$69</f>
        <v>INTEREST_COVERAGE_RATIO</v>
      </c>
      <c r="E265" t="str">
        <f>$E$69</f>
        <v>Dynamic</v>
      </c>
      <c r="F265" t="str">
        <f ca="1">_xll.BDH($B$69,$C$69,$B$200,$B$201,CONCATENATE("Per=",$B$198),"Dts=H","Dir=H",CONCATENATE("Points=",$B$199),"Sort=R","Days=A","Fill=B",CONCATENATE("FX=", $B$197),"cols=12;rows=1")</f>
        <v/>
      </c>
      <c r="N265">
        <v>136.47370000000001</v>
      </c>
      <c r="R265" t="str">
        <f>""</f>
        <v/>
      </c>
      <c r="S265" t="str">
        <f>""</f>
        <v/>
      </c>
      <c r="T265" t="str">
        <f>""</f>
        <v/>
      </c>
      <c r="U265" t="str">
        <f>""</f>
        <v/>
      </c>
      <c r="V265" t="str">
        <f>""</f>
        <v/>
      </c>
      <c r="W265" t="str">
        <f>""</f>
        <v/>
      </c>
      <c r="X265" t="str">
        <f>""</f>
        <v/>
      </c>
      <c r="Y265" t="str">
        <f>""</f>
        <v/>
      </c>
      <c r="Z265" t="str">
        <f>""</f>
        <v/>
      </c>
      <c r="AA265" t="str">
        <f>""</f>
        <v/>
      </c>
      <c r="AB265" t="str">
        <f>""</f>
        <v/>
      </c>
      <c r="AC265" t="str">
        <f>""</f>
        <v/>
      </c>
    </row>
    <row r="266" spans="1:29" x14ac:dyDescent="0.25">
      <c r="A266" t="str">
        <f>$A$70</f>
        <v xml:space="preserve">    Indra Sistemas SA</v>
      </c>
      <c r="B266" t="str">
        <f>$B$70</f>
        <v>IDR SM Equity</v>
      </c>
      <c r="C266" t="str">
        <f>$C$70</f>
        <v>RR060</v>
      </c>
      <c r="D266" t="str">
        <f>$D$70</f>
        <v>INTEREST_COVERAGE_RATIO</v>
      </c>
      <c r="E266" t="str">
        <f>$E$70</f>
        <v>Dynamic</v>
      </c>
      <c r="F266" t="str">
        <f ca="1">_xll.BDH($B$70,$C$70,$B$200,$B$201,CONCATENATE("Per=",$B$198),"Dts=H","Dir=H",CONCATENATE("Points=",$B$199),"Sort=R","Days=A","Fill=B",CONCATENATE("FX=", $B$197) )</f>
        <v/>
      </c>
      <c r="R266" t="str">
        <f>""</f>
        <v/>
      </c>
      <c r="S266" t="str">
        <f>""</f>
        <v/>
      </c>
      <c r="T266" t="str">
        <f>""</f>
        <v/>
      </c>
      <c r="U266" t="str">
        <f>""</f>
        <v/>
      </c>
      <c r="V266" t="str">
        <f>""</f>
        <v/>
      </c>
      <c r="W266" t="str">
        <f>""</f>
        <v/>
      </c>
      <c r="X266" t="str">
        <f>""</f>
        <v/>
      </c>
      <c r="Y266" t="str">
        <f>""</f>
        <v/>
      </c>
      <c r="Z266" t="str">
        <f>""</f>
        <v/>
      </c>
      <c r="AA266" t="str">
        <f>""</f>
        <v/>
      </c>
      <c r="AB266" t="str">
        <f>""</f>
        <v/>
      </c>
      <c r="AC266" t="str">
        <f>""</f>
        <v/>
      </c>
    </row>
    <row r="267" spans="1:29" x14ac:dyDescent="0.25">
      <c r="A267" t="str">
        <f>$A$71</f>
        <v xml:space="preserve">    Infosys Ltd</v>
      </c>
      <c r="B267" t="str">
        <f>$B$71</f>
        <v>INFY US Equity</v>
      </c>
      <c r="C267" t="str">
        <f>$C$71</f>
        <v>RR060</v>
      </c>
      <c r="D267" t="str">
        <f>$D$71</f>
        <v>INTEREST_COVERAGE_RATIO</v>
      </c>
      <c r="E267" t="str">
        <f>$E$71</f>
        <v>Dynamic</v>
      </c>
      <c r="F267" t="str">
        <f ca="1">_xll.BDH($B$71,$C$71,$B$200,$B$201,CONCATENATE("Per=",$B$198),"Dts=H","Dir=H",CONCATENATE("Points=",$B$199),"Sort=R","Days=A","Fill=B",CONCATENATE("FX=", $B$197),"cols=12;rows=1")</f>
        <v/>
      </c>
      <c r="I267">
        <v>111.77500000000001</v>
      </c>
      <c r="R267" t="str">
        <f>""</f>
        <v/>
      </c>
      <c r="S267" t="str">
        <f>""</f>
        <v/>
      </c>
      <c r="T267" t="str">
        <f>""</f>
        <v/>
      </c>
      <c r="U267" t="str">
        <f>""</f>
        <v/>
      </c>
      <c r="V267" t="str">
        <f>""</f>
        <v/>
      </c>
      <c r="W267" t="str">
        <f>""</f>
        <v/>
      </c>
      <c r="X267" t="str">
        <f>""</f>
        <v/>
      </c>
      <c r="Y267" t="str">
        <f>""</f>
        <v/>
      </c>
      <c r="Z267" t="str">
        <f>""</f>
        <v/>
      </c>
      <c r="AA267" t="str">
        <f>""</f>
        <v/>
      </c>
      <c r="AB267" t="str">
        <f>""</f>
        <v/>
      </c>
      <c r="AC267" t="str">
        <f>""</f>
        <v/>
      </c>
    </row>
    <row r="268" spans="1:29" x14ac:dyDescent="0.25">
      <c r="A268" t="str">
        <f>$A$72</f>
        <v xml:space="preserve">    International Business Machines Corp</v>
      </c>
      <c r="B268" t="str">
        <f>$B$72</f>
        <v>IBM US Equity</v>
      </c>
      <c r="C268" t="str">
        <f>$C$72</f>
        <v>RR060</v>
      </c>
      <c r="D268" t="str">
        <f>$D$72</f>
        <v>INTEREST_COVERAGE_RATIO</v>
      </c>
      <c r="E268" t="str">
        <f>$E$72</f>
        <v>Dynamic</v>
      </c>
      <c r="F268">
        <f ca="1">_xll.BDH($B$72,$C$72,$B$200,$B$201,CONCATENATE("Per=",$B$198),"Dts=H","Dir=H",CONCATENATE("Points=",$B$199),"Sort=R","Days=A","Fill=B",CONCATENATE("FX=", $B$197),"cols=12;rows=1")</f>
        <v>1.0363</v>
      </c>
      <c r="G268">
        <v>11.5</v>
      </c>
      <c r="H268">
        <v>4.0529999999999999</v>
      </c>
      <c r="I268">
        <v>6.1167999999999996</v>
      </c>
      <c r="J268">
        <v>9.0518999999999998</v>
      </c>
      <c r="K268">
        <v>23.979299999999999</v>
      </c>
      <c r="L268">
        <v>16.691099999999999</v>
      </c>
      <c r="M268">
        <v>16.920500000000001</v>
      </c>
      <c r="N268">
        <v>8.3155000000000001</v>
      </c>
      <c r="O268">
        <v>27.4</v>
      </c>
      <c r="P268">
        <v>16.726199999999999</v>
      </c>
      <c r="Q268">
        <v>16.885100000000001</v>
      </c>
      <c r="R268" t="str">
        <f>""</f>
        <v/>
      </c>
      <c r="S268" t="str">
        <f>""</f>
        <v/>
      </c>
      <c r="T268" t="str">
        <f>""</f>
        <v/>
      </c>
      <c r="U268" t="str">
        <f>""</f>
        <v/>
      </c>
      <c r="V268" t="str">
        <f>""</f>
        <v/>
      </c>
      <c r="W268" t="str">
        <f>""</f>
        <v/>
      </c>
      <c r="X268" t="str">
        <f>""</f>
        <v/>
      </c>
      <c r="Y268" t="str">
        <f>""</f>
        <v/>
      </c>
      <c r="Z268" t="str">
        <f>""</f>
        <v/>
      </c>
      <c r="AA268" t="str">
        <f>""</f>
        <v/>
      </c>
      <c r="AB268" t="str">
        <f>""</f>
        <v/>
      </c>
      <c r="AC268" t="str">
        <f>""</f>
        <v/>
      </c>
    </row>
    <row r="269" spans="1:29" x14ac:dyDescent="0.25">
      <c r="A269" t="str">
        <f>$A$73</f>
        <v xml:space="preserve">    Tata Consultancy Services Ltd</v>
      </c>
      <c r="B269" t="str">
        <f>$B$73</f>
        <v>TCS IN Equity</v>
      </c>
      <c r="C269" t="str">
        <f>$C$73</f>
        <v>RR060</v>
      </c>
      <c r="D269" t="str">
        <f>$D$73</f>
        <v>INTEREST_COVERAGE_RATIO</v>
      </c>
      <c r="E269" t="str">
        <f>$E$73</f>
        <v>Dynamic</v>
      </c>
      <c r="F269">
        <f ca="1">_xll.BDH($B$73,$C$73,$B$200,$B$201,CONCATENATE("Per=",$B$198),"Dts=H","Dir=H",CONCATENATE("Points=",$B$199),"Sort=R","Days=A","Fill=B",CONCATENATE("FX=", $B$197),"cols=12;rows=1")</f>
        <v>39.940199999999997</v>
      </c>
      <c r="G269">
        <v>44.726500000000001</v>
      </c>
      <c r="H269">
        <v>48.502600000000001</v>
      </c>
      <c r="I269">
        <v>78.135599999999997</v>
      </c>
      <c r="J269">
        <v>340.6071</v>
      </c>
      <c r="K269">
        <v>597.75</v>
      </c>
      <c r="L269">
        <v>71.321200000000005</v>
      </c>
      <c r="M269">
        <v>504.58819999999997</v>
      </c>
      <c r="N269">
        <v>678.91669999999999</v>
      </c>
      <c r="O269">
        <v>1296.8333</v>
      </c>
      <c r="P269">
        <v>1094.2856999999999</v>
      </c>
      <c r="Q269">
        <v>256.07409999999999</v>
      </c>
      <c r="R269" t="str">
        <f>""</f>
        <v/>
      </c>
      <c r="S269" t="str">
        <f>""</f>
        <v/>
      </c>
      <c r="T269" t="str">
        <f>""</f>
        <v/>
      </c>
      <c r="U269" t="str">
        <f>""</f>
        <v/>
      </c>
      <c r="V269" t="str">
        <f>""</f>
        <v/>
      </c>
      <c r="W269" t="str">
        <f>""</f>
        <v/>
      </c>
      <c r="X269" t="str">
        <f>""</f>
        <v/>
      </c>
      <c r="Y269" t="str">
        <f>""</f>
        <v/>
      </c>
      <c r="Z269" t="str">
        <f>""</f>
        <v/>
      </c>
      <c r="AA269" t="str">
        <f>""</f>
        <v/>
      </c>
      <c r="AB269" t="str">
        <f>""</f>
        <v/>
      </c>
      <c r="AC269" t="str">
        <f>""</f>
        <v/>
      </c>
    </row>
    <row r="270" spans="1:29" x14ac:dyDescent="0.25">
      <c r="A270" t="str">
        <f>$A$74</f>
        <v xml:space="preserve">    Tech Mahindra Ltd</v>
      </c>
      <c r="B270" t="str">
        <f>$B$74</f>
        <v>TECHM IN Equity</v>
      </c>
      <c r="C270" t="str">
        <f>$C$74</f>
        <v>RR060</v>
      </c>
      <c r="D270" t="str">
        <f>$D$74</f>
        <v>INTEREST_COVERAGE_RATIO</v>
      </c>
      <c r="E270" t="str">
        <f>$E$74</f>
        <v>Dynamic</v>
      </c>
      <c r="F270">
        <f ca="1">_xll.BDH($B$74,$C$74,$B$200,$B$201,CONCATENATE("Per=",$B$198),"Dts=H","Dir=H",CONCATENATE("Points=",$B$199),"Sort=R","Days=A","Fill=B",CONCATENATE("FX=", $B$197),"cols=12;rows=1")</f>
        <v>13.760899999999999</v>
      </c>
      <c r="G270">
        <v>21.4269</v>
      </c>
      <c r="H270">
        <v>30.2712</v>
      </c>
      <c r="I270">
        <v>21.867799999999999</v>
      </c>
      <c r="J270">
        <v>48.694000000000003</v>
      </c>
      <c r="K270">
        <v>40.195500000000003</v>
      </c>
      <c r="L270">
        <v>34.1584</v>
      </c>
      <c r="M270">
        <v>35.283000000000001</v>
      </c>
      <c r="N270">
        <v>21.124300000000002</v>
      </c>
      <c r="O270">
        <v>29.052800000000001</v>
      </c>
      <c r="P270">
        <v>21.75</v>
      </c>
      <c r="Q270">
        <v>18.6157</v>
      </c>
      <c r="R270" t="str">
        <f>""</f>
        <v/>
      </c>
      <c r="S270" t="str">
        <f>""</f>
        <v/>
      </c>
      <c r="T270" t="str">
        <f>""</f>
        <v/>
      </c>
      <c r="U270" t="str">
        <f>""</f>
        <v/>
      </c>
      <c r="V270" t="str">
        <f>""</f>
        <v/>
      </c>
      <c r="W270" t="str">
        <f>""</f>
        <v/>
      </c>
      <c r="X270" t="str">
        <f>""</f>
        <v/>
      </c>
      <c r="Y270" t="str">
        <f>""</f>
        <v/>
      </c>
      <c r="Z270" t="str">
        <f>""</f>
        <v/>
      </c>
      <c r="AA270" t="str">
        <f>""</f>
        <v/>
      </c>
      <c r="AB270" t="str">
        <f>""</f>
        <v/>
      </c>
      <c r="AC270" t="str">
        <f>""</f>
        <v/>
      </c>
    </row>
    <row r="271" spans="1:29" x14ac:dyDescent="0.25">
      <c r="A271" t="str">
        <f>$A$75</f>
        <v xml:space="preserve">    Wipro Ltd</v>
      </c>
      <c r="B271" t="str">
        <f>$B$75</f>
        <v>WIT US Equity</v>
      </c>
      <c r="C271" t="str">
        <f>$C$75</f>
        <v>RR060</v>
      </c>
      <c r="D271" t="str">
        <f>$D$75</f>
        <v>INTEREST_COVERAGE_RATIO</v>
      </c>
      <c r="E271" t="str">
        <f>$E$75</f>
        <v>Dynamic</v>
      </c>
      <c r="F271">
        <f ca="1">_xll.BDH($B$75,$C$75,$B$200,$B$201,CONCATENATE("Per=",$B$198),"Dts=H","Dir=H",CONCATENATE("Points=",$B$199),"Sort=R","Days=A","Fill=B",CONCATENATE("FX=", $B$197),"cols=12;rows=1")</f>
        <v>21.743200000000002</v>
      </c>
      <c r="G271">
        <v>20.920300000000001</v>
      </c>
      <c r="H271">
        <v>18.3596</v>
      </c>
      <c r="I271">
        <v>19.197299999999998</v>
      </c>
      <c r="J271">
        <v>12.7437</v>
      </c>
      <c r="K271">
        <v>23.907800000000002</v>
      </c>
      <c r="L271">
        <v>17.213000000000001</v>
      </c>
      <c r="M271">
        <v>18.639399999999998</v>
      </c>
      <c r="N271">
        <v>17.514399999999998</v>
      </c>
      <c r="O271">
        <v>25.519500000000001</v>
      </c>
      <c r="P271">
        <v>31.859000000000002</v>
      </c>
      <c r="Q271">
        <v>31.235600000000002</v>
      </c>
      <c r="R271" t="str">
        <f>""</f>
        <v/>
      </c>
      <c r="S271" t="str">
        <f>""</f>
        <v/>
      </c>
      <c r="T271" t="str">
        <f>""</f>
        <v/>
      </c>
      <c r="U271" t="str">
        <f>""</f>
        <v/>
      </c>
      <c r="V271" t="str">
        <f>""</f>
        <v/>
      </c>
      <c r="W271" t="str">
        <f>""</f>
        <v/>
      </c>
      <c r="X271" t="str">
        <f>""</f>
        <v/>
      </c>
      <c r="Y271" t="str">
        <f>""</f>
        <v/>
      </c>
      <c r="Z271" t="str">
        <f>""</f>
        <v/>
      </c>
      <c r="AA271" t="str">
        <f>""</f>
        <v/>
      </c>
      <c r="AB271" t="str">
        <f>""</f>
        <v/>
      </c>
      <c r="AC271" t="str">
        <f>""</f>
        <v/>
      </c>
    </row>
    <row r="272" spans="1:29" x14ac:dyDescent="0.25">
      <c r="A272" t="str">
        <f>$A$78</f>
        <v xml:space="preserve">    Accenture PLC</v>
      </c>
      <c r="B272" t="str">
        <f>$B$78</f>
        <v>ACN US Equity</v>
      </c>
      <c r="C272" t="str">
        <f>$C$78</f>
        <v>RR481</v>
      </c>
      <c r="D272" t="str">
        <f>$D$78</f>
        <v>TOTAL_DEBT_TO_EV</v>
      </c>
      <c r="E272" t="str">
        <f>$E$78</f>
        <v>Dynamic</v>
      </c>
      <c r="F272">
        <f ca="1">_xll.BDH($B$78,$C$78,$B$200,$B$201,CONCATENATE("Per=",$B$198),"Dts=H","Dir=H",CONCATENATE("Points=",$B$199),"Sort=R","Days=A","Fill=B",CONCATENATE("FX=", $B$197),"cols=12;rows=1")</f>
        <v>0.03</v>
      </c>
      <c r="G272">
        <v>2.69E-2</v>
      </c>
      <c r="H272">
        <v>2.0000000000000001E-4</v>
      </c>
      <c r="I272">
        <v>2.0000000000000001E-4</v>
      </c>
      <c r="J272">
        <v>2.0000000000000001E-4</v>
      </c>
      <c r="K272">
        <v>2.0000000000000001E-4</v>
      </c>
      <c r="L272">
        <v>2.0000000000000001E-4</v>
      </c>
      <c r="M272">
        <v>2.9999999999999997E-4</v>
      </c>
      <c r="N272">
        <v>2.9999999999999997E-4</v>
      </c>
      <c r="O272">
        <v>2.9999999999999997E-4</v>
      </c>
      <c r="P272">
        <v>2.9999999999999997E-4</v>
      </c>
      <c r="Q272">
        <v>4.0000000000000002E-4</v>
      </c>
      <c r="R272" t="str">
        <f>""</f>
        <v/>
      </c>
      <c r="S272" t="str">
        <f>""</f>
        <v/>
      </c>
      <c r="T272" t="str">
        <f>""</f>
        <v/>
      </c>
      <c r="U272" t="str">
        <f>""</f>
        <v/>
      </c>
      <c r="V272" t="str">
        <f>""</f>
        <v/>
      </c>
      <c r="W272" t="str">
        <f>""</f>
        <v/>
      </c>
      <c r="X272" t="str">
        <f>""</f>
        <v/>
      </c>
      <c r="Y272" t="str">
        <f>""</f>
        <v/>
      </c>
      <c r="Z272" t="str">
        <f>""</f>
        <v/>
      </c>
      <c r="AA272" t="str">
        <f>""</f>
        <v/>
      </c>
      <c r="AB272" t="str">
        <f>""</f>
        <v/>
      </c>
      <c r="AC272" t="str">
        <f>""</f>
        <v/>
      </c>
    </row>
    <row r="273" spans="1:29" x14ac:dyDescent="0.25">
      <c r="A273" t="str">
        <f>$A$79</f>
        <v xml:space="preserve">    Amdocs Ltd</v>
      </c>
      <c r="B273" t="str">
        <f>$B$79</f>
        <v>DOX US Equity</v>
      </c>
      <c r="C273" t="str">
        <f>$C$79</f>
        <v>RR481</v>
      </c>
      <c r="D273" t="str">
        <f>$D$79</f>
        <v>TOTAL_DEBT_TO_EV</v>
      </c>
      <c r="E273" t="str">
        <f>$E$79</f>
        <v>Dynamic</v>
      </c>
      <c r="F273">
        <f ca="1">_xll.BDH($B$79,$C$79,$B$200,$B$201,CONCATENATE("Per=",$B$198),"Dts=H","Dir=H",CONCATENATE("Points=",$B$199),"Sort=R","Days=A","Fill=B",CONCATENATE("FX=", $B$197),"cols=12;rows=1")</f>
        <v>8.5999999999999993E-2</v>
      </c>
      <c r="G273">
        <v>2.9399999999999999E-2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1.32E-2</v>
      </c>
      <c r="O273">
        <v>0</v>
      </c>
      <c r="P273">
        <v>0</v>
      </c>
      <c r="Q273">
        <v>0</v>
      </c>
      <c r="R273" t="str">
        <f>""</f>
        <v/>
      </c>
      <c r="S273" t="str">
        <f>""</f>
        <v/>
      </c>
      <c r="T273" t="str">
        <f>""</f>
        <v/>
      </c>
      <c r="U273" t="str">
        <f>""</f>
        <v/>
      </c>
      <c r="V273" t="str">
        <f>""</f>
        <v/>
      </c>
      <c r="W273" t="str">
        <f>""</f>
        <v/>
      </c>
      <c r="X273" t="str">
        <f>""</f>
        <v/>
      </c>
      <c r="Y273" t="str">
        <f>""</f>
        <v/>
      </c>
      <c r="Z273" t="str">
        <f>""</f>
        <v/>
      </c>
      <c r="AA273" t="str">
        <f>""</f>
        <v/>
      </c>
      <c r="AB273" t="str">
        <f>""</f>
        <v/>
      </c>
      <c r="AC273" t="str">
        <f>""</f>
        <v/>
      </c>
    </row>
    <row r="274" spans="1:29" x14ac:dyDescent="0.25">
      <c r="A274" t="str">
        <f>$A$80</f>
        <v xml:space="preserve">    Atos SE</v>
      </c>
      <c r="B274" t="str">
        <f>$B$80</f>
        <v>ATO FP Equity</v>
      </c>
      <c r="C274" t="str">
        <f>$C$80</f>
        <v>RR481</v>
      </c>
      <c r="D274" t="str">
        <f>$D$80</f>
        <v>TOTAL_DEBT_TO_EV</v>
      </c>
      <c r="E274" t="str">
        <f>$E$80</f>
        <v>Dynamic</v>
      </c>
      <c r="F274" t="str">
        <f ca="1">_xll.BDH($B$80,$C$80,$B$200,$B$201,CONCATENATE("Per=",$B$198),"Dts=H","Dir=H",CONCATENATE("Points=",$B$199),"Sort=R","Days=A","Fill=B",CONCATENATE("FX=", $B$197) )</f>
        <v/>
      </c>
      <c r="R274" t="str">
        <f>""</f>
        <v/>
      </c>
      <c r="S274" t="str">
        <f>""</f>
        <v/>
      </c>
      <c r="T274" t="str">
        <f>""</f>
        <v/>
      </c>
      <c r="U274" t="str">
        <f>""</f>
        <v/>
      </c>
      <c r="V274" t="str">
        <f>""</f>
        <v/>
      </c>
      <c r="W274" t="str">
        <f>""</f>
        <v/>
      </c>
      <c r="X274" t="str">
        <f>""</f>
        <v/>
      </c>
      <c r="Y274" t="str">
        <f>""</f>
        <v/>
      </c>
      <c r="Z274" t="str">
        <f>""</f>
        <v/>
      </c>
      <c r="AA274" t="str">
        <f>""</f>
        <v/>
      </c>
      <c r="AB274" t="str">
        <f>""</f>
        <v/>
      </c>
      <c r="AC274" t="str">
        <f>""</f>
        <v/>
      </c>
    </row>
    <row r="275" spans="1:29" x14ac:dyDescent="0.25">
      <c r="A275" t="str">
        <f>$A$81</f>
        <v xml:space="preserve">    Capgemini SE</v>
      </c>
      <c r="B275" t="str">
        <f>$B$81</f>
        <v>CAP FP Equity</v>
      </c>
      <c r="C275" t="str">
        <f>$C$81</f>
        <v>RR481</v>
      </c>
      <c r="D275" t="str">
        <f>$D$81</f>
        <v>TOTAL_DEBT_TO_EV</v>
      </c>
      <c r="E275" t="str">
        <f>$E$81</f>
        <v>Dynamic</v>
      </c>
      <c r="F275" t="str">
        <f ca="1">_xll.BDH($B$81,$C$81,$B$200,$B$201,CONCATENATE("Per=",$B$198),"Dts=H","Dir=H",CONCATENATE("Points=",$B$199),"Sort=R","Days=A","Fill=B",CONCATENATE("FX=", $B$197),"cols=12;rows=1")</f>
        <v/>
      </c>
      <c r="G275">
        <v>0.20619999999999999</v>
      </c>
      <c r="R275" t="str">
        <f>""</f>
        <v/>
      </c>
      <c r="S275" t="str">
        <f>""</f>
        <v/>
      </c>
      <c r="T275" t="str">
        <f>""</f>
        <v/>
      </c>
      <c r="U275" t="str">
        <f>""</f>
        <v/>
      </c>
      <c r="V275" t="str">
        <f>""</f>
        <v/>
      </c>
      <c r="W275" t="str">
        <f>""</f>
        <v/>
      </c>
      <c r="X275" t="str">
        <f>""</f>
        <v/>
      </c>
      <c r="Y275" t="str">
        <f>""</f>
        <v/>
      </c>
      <c r="Z275" t="str">
        <f>""</f>
        <v/>
      </c>
      <c r="AA275" t="str">
        <f>""</f>
        <v/>
      </c>
      <c r="AB275" t="str">
        <f>""</f>
        <v/>
      </c>
      <c r="AC275" t="str">
        <f>""</f>
        <v/>
      </c>
    </row>
    <row r="276" spans="1:29" x14ac:dyDescent="0.25">
      <c r="A276" t="str">
        <f>$A$82</f>
        <v xml:space="preserve">    CGI Inc</v>
      </c>
      <c r="B276" t="str">
        <f>$B$82</f>
        <v>GIB US Equity</v>
      </c>
      <c r="C276" t="str">
        <f>$C$82</f>
        <v>RR481</v>
      </c>
      <c r="D276" t="str">
        <f>$D$82</f>
        <v>TOTAL_DEBT_TO_EV</v>
      </c>
      <c r="E276" t="str">
        <f>$E$82</f>
        <v>Dynamic</v>
      </c>
      <c r="F276">
        <f ca="1">_xll.BDH($B$82,$C$82,$B$200,$B$201,CONCATENATE("Per=",$B$198),"Dts=H","Dir=H",CONCATENATE("Points=",$B$199),"Sort=R","Days=A","Fill=B",CONCATENATE("FX=", $B$197),"cols=12;rows=1")</f>
        <v>0.17649999999999999</v>
      </c>
      <c r="G276">
        <v>9.3799999999999994E-2</v>
      </c>
      <c r="H276">
        <v>7.6999999999999999E-2</v>
      </c>
      <c r="I276">
        <v>8.6099999999999996E-2</v>
      </c>
      <c r="J276">
        <v>7.9799999999999996E-2</v>
      </c>
      <c r="K276">
        <v>8.8200000000000001E-2</v>
      </c>
      <c r="L276">
        <v>7.2400000000000006E-2</v>
      </c>
      <c r="M276">
        <v>7.3300000000000004E-2</v>
      </c>
      <c r="N276">
        <v>7.8399999999999997E-2</v>
      </c>
      <c r="O276">
        <v>8.5800000000000001E-2</v>
      </c>
      <c r="P276">
        <v>9.1899999999999996E-2</v>
      </c>
      <c r="Q276">
        <v>8.2299999999999998E-2</v>
      </c>
      <c r="R276" t="str">
        <f>""</f>
        <v/>
      </c>
      <c r="S276" t="str">
        <f>""</f>
        <v/>
      </c>
      <c r="T276" t="str">
        <f>""</f>
        <v/>
      </c>
      <c r="U276" t="str">
        <f>""</f>
        <v/>
      </c>
      <c r="V276" t="str">
        <f>""</f>
        <v/>
      </c>
      <c r="W276" t="str">
        <f>""</f>
        <v/>
      </c>
      <c r="X276" t="str">
        <f>""</f>
        <v/>
      </c>
      <c r="Y276" t="str">
        <f>""</f>
        <v/>
      </c>
      <c r="Z276" t="str">
        <f>""</f>
        <v/>
      </c>
      <c r="AA276" t="str">
        <f>""</f>
        <v/>
      </c>
      <c r="AB276" t="str">
        <f>""</f>
        <v/>
      </c>
      <c r="AC276" t="str">
        <f>""</f>
        <v/>
      </c>
    </row>
    <row r="277" spans="1:29" x14ac:dyDescent="0.25">
      <c r="A277" t="str">
        <f>$A$83</f>
        <v xml:space="preserve">    Cognizant Technology Solutions Corp</v>
      </c>
      <c r="B277" t="str">
        <f>$B$83</f>
        <v>CTSH US Equity</v>
      </c>
      <c r="C277" t="str">
        <f>$C$83</f>
        <v>RR481</v>
      </c>
      <c r="D277" t="str">
        <f>$D$83</f>
        <v>TOTAL_DEBT_TO_EV</v>
      </c>
      <c r="E277" t="str">
        <f>$E$83</f>
        <v>Dynamic</v>
      </c>
      <c r="F277">
        <f ca="1">_xll.BDH($B$83,$C$83,$B$200,$B$201,CONCATENATE("Per=",$B$198),"Dts=H","Dir=H",CONCATENATE("Points=",$B$199),"Sort=R","Days=A","Fill=B",CONCATENATE("FX=", $B$197),"cols=12;rows=1")</f>
        <v>0.1401</v>
      </c>
      <c r="G277">
        <v>5.2999999999999999E-2</v>
      </c>
      <c r="H277">
        <v>5.3499999999999999E-2</v>
      </c>
      <c r="I277">
        <v>4.9200000000000001E-2</v>
      </c>
      <c r="J277">
        <v>4.1099999999999998E-2</v>
      </c>
      <c r="K277">
        <v>2.2700000000000001E-2</v>
      </c>
      <c r="L277">
        <v>1.78E-2</v>
      </c>
      <c r="M277">
        <v>1.77E-2</v>
      </c>
      <c r="N277">
        <v>1.7899999999999999E-2</v>
      </c>
      <c r="O277">
        <v>2.3199999999999998E-2</v>
      </c>
      <c r="P277">
        <v>2.12E-2</v>
      </c>
      <c r="Q277">
        <v>2.7699999999999999E-2</v>
      </c>
      <c r="R277" t="str">
        <f>""</f>
        <v/>
      </c>
      <c r="S277" t="str">
        <f>""</f>
        <v/>
      </c>
      <c r="T277" t="str">
        <f>""</f>
        <v/>
      </c>
      <c r="U277" t="str">
        <f>""</f>
        <v/>
      </c>
      <c r="V277" t="str">
        <f>""</f>
        <v/>
      </c>
      <c r="W277" t="str">
        <f>""</f>
        <v/>
      </c>
      <c r="X277" t="str">
        <f>""</f>
        <v/>
      </c>
      <c r="Y277" t="str">
        <f>""</f>
        <v/>
      </c>
      <c r="Z277" t="str">
        <f>""</f>
        <v/>
      </c>
      <c r="AA277" t="str">
        <f>""</f>
        <v/>
      </c>
      <c r="AB277" t="str">
        <f>""</f>
        <v/>
      </c>
      <c r="AC277" t="str">
        <f>""</f>
        <v/>
      </c>
    </row>
    <row r="278" spans="1:29" x14ac:dyDescent="0.25">
      <c r="A278" t="str">
        <f>$A$84</f>
        <v xml:space="preserve">    Conduent Inc</v>
      </c>
      <c r="B278" t="str">
        <f>$B$84</f>
        <v>CNDT US Equity</v>
      </c>
      <c r="C278" t="str">
        <f>$C$84</f>
        <v>RR481</v>
      </c>
      <c r="D278" t="str">
        <f>$D$84</f>
        <v>TOTAL_DEBT_TO_EV</v>
      </c>
      <c r="E278" t="str">
        <f>$E$84</f>
        <v>Dynamic</v>
      </c>
      <c r="F278">
        <f ca="1">_xll.BDH($B$84,$C$84,$B$200,$B$201,CONCATENATE("Per=",$B$198),"Dts=H","Dir=H",CONCATENATE("Points=",$B$199),"Sort=R","Days=A","Fill=B",CONCATENATE("FX=", $B$197),"cols=12;rows=1")</f>
        <v>0.89239999999999997</v>
      </c>
      <c r="G278">
        <v>0.66310000000000002</v>
      </c>
      <c r="H278">
        <v>0.60309999999999997</v>
      </c>
      <c r="I278">
        <v>0.50339999999999996</v>
      </c>
      <c r="J278">
        <v>0.43469999999999998</v>
      </c>
      <c r="K278">
        <v>0.48980000000000001</v>
      </c>
      <c r="L278">
        <v>0.26869999999999999</v>
      </c>
      <c r="M278">
        <v>0.40910000000000002</v>
      </c>
      <c r="N278">
        <v>0.37030000000000002</v>
      </c>
      <c r="O278">
        <v>0.41860000000000003</v>
      </c>
      <c r="P278">
        <v>0.41149999999999998</v>
      </c>
      <c r="Q278">
        <v>0.40360000000000001</v>
      </c>
      <c r="R278" t="str">
        <f>""</f>
        <v/>
      </c>
      <c r="S278" t="str">
        <f>""</f>
        <v/>
      </c>
      <c r="T278" t="str">
        <f>""</f>
        <v/>
      </c>
      <c r="U278" t="str">
        <f>""</f>
        <v/>
      </c>
      <c r="V278" t="str">
        <f>""</f>
        <v/>
      </c>
      <c r="W278" t="str">
        <f>""</f>
        <v/>
      </c>
      <c r="X278" t="str">
        <f>""</f>
        <v/>
      </c>
      <c r="Y278" t="str">
        <f>""</f>
        <v/>
      </c>
      <c r="Z278" t="str">
        <f>""</f>
        <v/>
      </c>
      <c r="AA278" t="str">
        <f>""</f>
        <v/>
      </c>
      <c r="AB278" t="str">
        <f>""</f>
        <v/>
      </c>
      <c r="AC278" t="str">
        <f>""</f>
        <v/>
      </c>
    </row>
    <row r="279" spans="1:29" x14ac:dyDescent="0.25">
      <c r="A279" t="str">
        <f>$A$85</f>
        <v xml:space="preserve">    DXC Technology Co</v>
      </c>
      <c r="B279" t="str">
        <f>$B$85</f>
        <v>DXC US Equity</v>
      </c>
      <c r="C279" t="str">
        <f>$C$85</f>
        <v>RR481</v>
      </c>
      <c r="D279" t="str">
        <f>$D$85</f>
        <v>TOTAL_DEBT_TO_EV</v>
      </c>
      <c r="E279" t="str">
        <f>$E$85</f>
        <v>Dynamic</v>
      </c>
      <c r="F279">
        <f ca="1">_xll.BDH($B$85,$C$85,$B$200,$B$201,CONCATENATE("Per=",$B$198),"Dts=H","Dir=H",CONCATENATE("Points=",$B$199),"Sort=R","Days=A","Fill=B",CONCATENATE("FX=", $B$197),"cols=12;rows=1")</f>
        <v>1.0023</v>
      </c>
      <c r="G279">
        <v>0.58899999999999997</v>
      </c>
      <c r="H279">
        <v>0.68430000000000002</v>
      </c>
      <c r="I279">
        <v>0.46350000000000002</v>
      </c>
      <c r="J279">
        <v>0.33539999999999998</v>
      </c>
      <c r="K279">
        <v>0.38240000000000002</v>
      </c>
      <c r="L279">
        <v>0.22750000000000001</v>
      </c>
      <c r="M279">
        <v>0.25619999999999998</v>
      </c>
      <c r="N279">
        <v>0.23250000000000001</v>
      </c>
      <c r="O279">
        <v>0.25819999999999999</v>
      </c>
      <c r="P279">
        <v>0.27700000000000002</v>
      </c>
      <c r="Q279">
        <v>0.27429999999999999</v>
      </c>
      <c r="R279" t="str">
        <f>""</f>
        <v/>
      </c>
      <c r="S279" t="str">
        <f>""</f>
        <v/>
      </c>
      <c r="T279" t="str">
        <f>""</f>
        <v/>
      </c>
      <c r="U279" t="str">
        <f>""</f>
        <v/>
      </c>
      <c r="V279" t="str">
        <f>""</f>
        <v/>
      </c>
      <c r="W279" t="str">
        <f>""</f>
        <v/>
      </c>
      <c r="X279" t="str">
        <f>""</f>
        <v/>
      </c>
      <c r="Y279" t="str">
        <f>""</f>
        <v/>
      </c>
      <c r="Z279" t="str">
        <f>""</f>
        <v/>
      </c>
      <c r="AA279" t="str">
        <f>""</f>
        <v/>
      </c>
      <c r="AB279" t="str">
        <f>""</f>
        <v/>
      </c>
      <c r="AC279" t="str">
        <f>""</f>
        <v/>
      </c>
    </row>
    <row r="280" spans="1:29" x14ac:dyDescent="0.25">
      <c r="A280" t="str">
        <f>$A$86</f>
        <v xml:space="preserve">    EPAM Systems Inc</v>
      </c>
      <c r="B280" t="str">
        <f>$B$86</f>
        <v>EPAM US Equity</v>
      </c>
      <c r="C280" t="str">
        <f>$C$86</f>
        <v>RR481</v>
      </c>
      <c r="D280" t="str">
        <f>$D$86</f>
        <v>TOTAL_DEBT_TO_EV</v>
      </c>
      <c r="E280" t="str">
        <f>$E$86</f>
        <v>Dynamic</v>
      </c>
      <c r="F280">
        <f ca="1">_xll.BDH($B$86,$C$86,$B$200,$B$201,CONCATENATE("Per=",$B$198),"Dts=H","Dir=H",CONCATENATE("Points=",$B$199),"Sort=R","Days=A","Fill=B",CONCATENATE("FX=", $B$197),"cols=12;rows=1")</f>
        <v>2.8400000000000002E-2</v>
      </c>
      <c r="G280">
        <v>2.3900000000000001E-2</v>
      </c>
      <c r="H280">
        <v>2.4500000000000001E-2</v>
      </c>
      <c r="I280">
        <v>2.5899999999999999E-2</v>
      </c>
      <c r="J280">
        <v>2.23E-2</v>
      </c>
      <c r="K280">
        <v>4.4999999999999997E-3</v>
      </c>
      <c r="L280">
        <v>3.7000000000000002E-3</v>
      </c>
      <c r="M280">
        <v>4.1000000000000003E-3</v>
      </c>
      <c r="N280">
        <v>4.4999999999999997E-3</v>
      </c>
      <c r="O280">
        <v>4.8999999999999998E-3</v>
      </c>
      <c r="P280">
        <v>6.0000000000000001E-3</v>
      </c>
      <c r="Q280">
        <v>6.3E-3</v>
      </c>
      <c r="R280" t="str">
        <f>""</f>
        <v/>
      </c>
      <c r="S280" t="str">
        <f>""</f>
        <v/>
      </c>
      <c r="T280" t="str">
        <f>""</f>
        <v/>
      </c>
      <c r="U280" t="str">
        <f>""</f>
        <v/>
      </c>
      <c r="V280" t="str">
        <f>""</f>
        <v/>
      </c>
      <c r="W280" t="str">
        <f>""</f>
        <v/>
      </c>
      <c r="X280" t="str">
        <f>""</f>
        <v/>
      </c>
      <c r="Y280" t="str">
        <f>""</f>
        <v/>
      </c>
      <c r="Z280" t="str">
        <f>""</f>
        <v/>
      </c>
      <c r="AA280" t="str">
        <f>""</f>
        <v/>
      </c>
      <c r="AB280" t="str">
        <f>""</f>
        <v/>
      </c>
      <c r="AC280" t="str">
        <f>""</f>
        <v/>
      </c>
    </row>
    <row r="281" spans="1:29" x14ac:dyDescent="0.25">
      <c r="A281" t="str">
        <f>$A$87</f>
        <v xml:space="preserve">    Genpact Ltd</v>
      </c>
      <c r="B281" t="str">
        <f>$B$87</f>
        <v>G US Equity</v>
      </c>
      <c r="C281" t="str">
        <f>$C$87</f>
        <v>RR481</v>
      </c>
      <c r="D281" t="str">
        <f>$D$87</f>
        <v>TOTAL_DEBT_TO_EV</v>
      </c>
      <c r="E281" t="str">
        <f>$E$87</f>
        <v>Dynamic</v>
      </c>
      <c r="F281">
        <f ca="1">_xll.BDH($B$87,$C$87,$B$200,$B$201,CONCATENATE("Per=",$B$198),"Dts=H","Dir=H",CONCATENATE("Points=",$B$199),"Sort=R","Days=A","Fill=B",CONCATENATE("FX=", $B$197),"cols=12;rows=1")</f>
        <v>0.27350000000000002</v>
      </c>
      <c r="G281">
        <v>0.19539999999999999</v>
      </c>
      <c r="H281">
        <v>0.18690000000000001</v>
      </c>
      <c r="I281">
        <v>0.193</v>
      </c>
      <c r="J281">
        <v>0.20630000000000001</v>
      </c>
      <c r="K281">
        <v>0.2157</v>
      </c>
      <c r="L281">
        <v>0.19919999999999999</v>
      </c>
      <c r="M281">
        <v>0.19139999999999999</v>
      </c>
      <c r="N281">
        <v>0.18579999999999999</v>
      </c>
      <c r="O281">
        <v>0.1779</v>
      </c>
      <c r="P281">
        <v>0.19209999999999999</v>
      </c>
      <c r="Q281">
        <v>0.20480000000000001</v>
      </c>
      <c r="R281" t="str">
        <f>""</f>
        <v/>
      </c>
      <c r="S281" t="str">
        <f>""</f>
        <v/>
      </c>
      <c r="T281" t="str">
        <f>""</f>
        <v/>
      </c>
      <c r="U281" t="str">
        <f>""</f>
        <v/>
      </c>
      <c r="V281" t="str">
        <f>""</f>
        <v/>
      </c>
      <c r="W281" t="str">
        <f>""</f>
        <v/>
      </c>
      <c r="X281" t="str">
        <f>""</f>
        <v/>
      </c>
      <c r="Y281" t="str">
        <f>""</f>
        <v/>
      </c>
      <c r="Z281" t="str">
        <f>""</f>
        <v/>
      </c>
      <c r="AA281" t="str">
        <f>""</f>
        <v/>
      </c>
      <c r="AB281" t="str">
        <f>""</f>
        <v/>
      </c>
      <c r="AC281" t="str">
        <f>""</f>
        <v/>
      </c>
    </row>
    <row r="282" spans="1:29" x14ac:dyDescent="0.25">
      <c r="A282" t="str">
        <f>$A$88</f>
        <v xml:space="preserve">    HCL Technologies Ltd</v>
      </c>
      <c r="B282" t="str">
        <f>$B$88</f>
        <v>HCLT IN Equity</v>
      </c>
      <c r="C282" t="str">
        <f>$C$88</f>
        <v>RR481</v>
      </c>
      <c r="D282" t="str">
        <f>$D$88</f>
        <v>TOTAL_DEBT_TO_EV</v>
      </c>
      <c r="E282" t="str">
        <f>$E$88</f>
        <v>Dynamic</v>
      </c>
      <c r="F282">
        <f ca="1">_xll.BDH($B$88,$C$88,$B$200,$B$201,CONCATENATE("Per=",$B$198),"Dts=H","Dir=H",CONCATENATE("Points=",$B$199),"Sort=R","Days=A","Fill=B",CONCATENATE("FX=", $B$197),"cols=12;rows=1")</f>
        <v>7.1300000000000002E-2</v>
      </c>
      <c r="G282">
        <v>4.2700000000000002E-2</v>
      </c>
      <c r="H282">
        <v>4.4400000000000002E-2</v>
      </c>
      <c r="I282">
        <v>2.8899999999999999E-2</v>
      </c>
      <c r="J282">
        <v>2.9899999999999999E-2</v>
      </c>
      <c r="K282">
        <v>3.0099999999999998E-2</v>
      </c>
      <c r="L282">
        <v>2.12E-2</v>
      </c>
      <c r="M282">
        <v>3.0000000000000001E-3</v>
      </c>
      <c r="N282">
        <v>3.8999999999999998E-3</v>
      </c>
      <c r="O282">
        <v>4.3E-3</v>
      </c>
      <c r="P282">
        <v>6.3E-3</v>
      </c>
      <c r="Q282">
        <v>5.1999999999999998E-3</v>
      </c>
      <c r="R282" t="str">
        <f>""</f>
        <v/>
      </c>
      <c r="S282" t="str">
        <f>""</f>
        <v/>
      </c>
      <c r="T282" t="str">
        <f>""</f>
        <v/>
      </c>
      <c r="U282" t="str">
        <f>""</f>
        <v/>
      </c>
      <c r="V282" t="str">
        <f>""</f>
        <v/>
      </c>
      <c r="W282" t="str">
        <f>""</f>
        <v/>
      </c>
      <c r="X282" t="str">
        <f>""</f>
        <v/>
      </c>
      <c r="Y282" t="str">
        <f>""</f>
        <v/>
      </c>
      <c r="Z282" t="str">
        <f>""</f>
        <v/>
      </c>
      <c r="AA282" t="str">
        <f>""</f>
        <v/>
      </c>
      <c r="AB282" t="str">
        <f>""</f>
        <v/>
      </c>
      <c r="AC282" t="str">
        <f>""</f>
        <v/>
      </c>
    </row>
    <row r="283" spans="1:29" x14ac:dyDescent="0.25">
      <c r="A283" t="str">
        <f>$A$89</f>
        <v xml:space="preserve">    Indra Sistemas SA</v>
      </c>
      <c r="B283" t="str">
        <f>$B$89</f>
        <v>IDR SM Equity</v>
      </c>
      <c r="C283" t="str">
        <f>$C$89</f>
        <v>RR481</v>
      </c>
      <c r="D283" t="str">
        <f>$D$89</f>
        <v>TOTAL_DEBT_TO_EV</v>
      </c>
      <c r="E283" t="str">
        <f>$E$89</f>
        <v>Dynamic</v>
      </c>
      <c r="F283">
        <f ca="1">_xll.BDH($B$89,$C$89,$B$200,$B$201,CONCATENATE("Per=",$B$198),"Dts=H","Dir=H",CONCATENATE("Points=",$B$199),"Sort=R","Days=A","Fill=B",CONCATENATE("FX=", $B$197),"cols=12;rows=1")</f>
        <v>0.7429</v>
      </c>
      <c r="G283">
        <v>0.62239999999999995</v>
      </c>
      <c r="H283">
        <v>0.69750000000000001</v>
      </c>
      <c r="I283">
        <v>0.65849999999999997</v>
      </c>
      <c r="J283">
        <v>0.60609999999999997</v>
      </c>
      <c r="K283">
        <v>0.71519999999999995</v>
      </c>
      <c r="L283">
        <v>0.62949999999999995</v>
      </c>
      <c r="M283">
        <v>0.64549999999999996</v>
      </c>
      <c r="N283">
        <v>0.52070000000000005</v>
      </c>
      <c r="O283">
        <v>0.49149999999999999</v>
      </c>
      <c r="P283">
        <v>0.43130000000000002</v>
      </c>
      <c r="Q283">
        <v>0.44450000000000001</v>
      </c>
      <c r="R283" t="str">
        <f>""</f>
        <v/>
      </c>
      <c r="S283" t="str">
        <f>""</f>
        <v/>
      </c>
      <c r="T283" t="str">
        <f>""</f>
        <v/>
      </c>
      <c r="U283" t="str">
        <f>""</f>
        <v/>
      </c>
      <c r="V283" t="str">
        <f>""</f>
        <v/>
      </c>
      <c r="W283" t="str">
        <f>""</f>
        <v/>
      </c>
      <c r="X283" t="str">
        <f>""</f>
        <v/>
      </c>
      <c r="Y283" t="str">
        <f>""</f>
        <v/>
      </c>
      <c r="Z283" t="str">
        <f>""</f>
        <v/>
      </c>
      <c r="AA283" t="str">
        <f>""</f>
        <v/>
      </c>
      <c r="AB283" t="str">
        <f>""</f>
        <v/>
      </c>
      <c r="AC283" t="str">
        <f>""</f>
        <v/>
      </c>
    </row>
    <row r="284" spans="1:29" x14ac:dyDescent="0.25">
      <c r="A284" t="str">
        <f>$A$90</f>
        <v xml:space="preserve">    Infosys Ltd</v>
      </c>
      <c r="B284" t="str">
        <f>$B$90</f>
        <v>INFY US Equity</v>
      </c>
      <c r="C284" t="str">
        <f>$C$90</f>
        <v>RR481</v>
      </c>
      <c r="D284" t="str">
        <f>$D$90</f>
        <v>TOTAL_DEBT_TO_EV</v>
      </c>
      <c r="E284" t="str">
        <f>$E$90</f>
        <v>Dynamic</v>
      </c>
      <c r="F284">
        <f ca="1">_xll.BDH($B$90,$C$90,$B$200,$B$201,CONCATENATE("Per=",$B$198),"Dts=H","Dir=H",CONCATENATE("Points=",$B$199),"Sort=R","Days=A","Fill=B",CONCATENATE("FX=", $B$197),"cols=12;rows=1")</f>
        <v>1.83E-2</v>
      </c>
      <c r="G284">
        <v>1.41E-2</v>
      </c>
      <c r="H284">
        <v>1.2500000000000001E-2</v>
      </c>
      <c r="I284">
        <v>1.2999999999999999E-2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tr">
        <f>""</f>
        <v/>
      </c>
      <c r="S284" t="str">
        <f>""</f>
        <v/>
      </c>
      <c r="T284" t="str">
        <f>""</f>
        <v/>
      </c>
      <c r="U284" t="str">
        <f>""</f>
        <v/>
      </c>
      <c r="V284" t="str">
        <f>""</f>
        <v/>
      </c>
      <c r="W284" t="str">
        <f>""</f>
        <v/>
      </c>
      <c r="X284" t="str">
        <f>""</f>
        <v/>
      </c>
      <c r="Y284" t="str">
        <f>""</f>
        <v/>
      </c>
      <c r="Z284" t="str">
        <f>""</f>
        <v/>
      </c>
      <c r="AA284" t="str">
        <f>""</f>
        <v/>
      </c>
      <c r="AB284" t="str">
        <f>""</f>
        <v/>
      </c>
      <c r="AC284" t="str">
        <f>""</f>
        <v/>
      </c>
    </row>
    <row r="285" spans="1:29" x14ac:dyDescent="0.25">
      <c r="A285" t="str">
        <f>$A$91</f>
        <v xml:space="preserve">    International Business Machines Corp</v>
      </c>
      <c r="B285" t="str">
        <f>$B$91</f>
        <v>IBM US Equity</v>
      </c>
      <c r="C285" t="str">
        <f>$C$91</f>
        <v>RR481</v>
      </c>
      <c r="D285" t="str">
        <f>$D$91</f>
        <v>TOTAL_DEBT_TO_EV</v>
      </c>
      <c r="E285" t="str">
        <f>$E$91</f>
        <v>Dynamic</v>
      </c>
      <c r="F285">
        <f ca="1">_xll.BDH($B$91,$C$91,$B$200,$B$201,CONCATENATE("Per=",$B$198),"Dts=H","Dir=H",CONCATENATE("Points=",$B$199),"Sort=R","Days=A","Fill=B",CONCATENATE("FX=", $B$197),"cols=12;rows=1")</f>
        <v>0.4446</v>
      </c>
      <c r="G285">
        <v>0.38219999999999998</v>
      </c>
      <c r="H285">
        <v>0.35649999999999998</v>
      </c>
      <c r="I285">
        <v>0.48659999999999998</v>
      </c>
      <c r="J285">
        <v>0.31240000000000001</v>
      </c>
      <c r="K285">
        <v>0.30630000000000002</v>
      </c>
      <c r="L285">
        <v>0.2482</v>
      </c>
      <c r="M285">
        <v>0.25240000000000001</v>
      </c>
      <c r="N285">
        <v>0.23649999999999999</v>
      </c>
      <c r="O285">
        <v>0.2382</v>
      </c>
      <c r="P285">
        <v>0.21740000000000001</v>
      </c>
      <c r="Q285">
        <v>0.21060000000000001</v>
      </c>
      <c r="R285" t="str">
        <f>""</f>
        <v/>
      </c>
      <c r="S285" t="str">
        <f>""</f>
        <v/>
      </c>
      <c r="T285" t="str">
        <f>""</f>
        <v/>
      </c>
      <c r="U285" t="str">
        <f>""</f>
        <v/>
      </c>
      <c r="V285" t="str">
        <f>""</f>
        <v/>
      </c>
      <c r="W285" t="str">
        <f>""</f>
        <v/>
      </c>
      <c r="X285" t="str">
        <f>""</f>
        <v/>
      </c>
      <c r="Y285" t="str">
        <f>""</f>
        <v/>
      </c>
      <c r="Z285" t="str">
        <f>""</f>
        <v/>
      </c>
      <c r="AA285" t="str">
        <f>""</f>
        <v/>
      </c>
      <c r="AB285" t="str">
        <f>""</f>
        <v/>
      </c>
      <c r="AC285" t="str">
        <f>""</f>
        <v/>
      </c>
    </row>
    <row r="286" spans="1:29" x14ac:dyDescent="0.25">
      <c r="A286" t="str">
        <f>$A$92</f>
        <v xml:space="preserve">    Tata Consultancy Services Ltd</v>
      </c>
      <c r="B286" t="str">
        <f>$B$92</f>
        <v>TCS IN Equity</v>
      </c>
      <c r="C286" t="str">
        <f>$C$92</f>
        <v>RR481</v>
      </c>
      <c r="D286" t="str">
        <f>$D$92</f>
        <v>TOTAL_DEBT_TO_EV</v>
      </c>
      <c r="E286" t="str">
        <f>$E$92</f>
        <v>Dynamic</v>
      </c>
      <c r="F286">
        <f ca="1">_xll.BDH($B$92,$C$92,$B$200,$B$201,CONCATENATE("Per=",$B$198),"Dts=H","Dir=H",CONCATENATE("Points=",$B$199),"Sort=R","Days=A","Fill=B",CONCATENATE("FX=", $B$197),"cols=12;rows=1")</f>
        <v>1.24E-2</v>
      </c>
      <c r="G286">
        <v>8.9999999999999993E-3</v>
      </c>
      <c r="H286">
        <v>9.1000000000000004E-3</v>
      </c>
      <c r="I286">
        <v>8.6E-3</v>
      </c>
      <c r="J286">
        <v>1E-4</v>
      </c>
      <c r="K286">
        <v>1E-4</v>
      </c>
      <c r="L286">
        <v>1E-4</v>
      </c>
      <c r="M286">
        <v>1E-4</v>
      </c>
      <c r="N286">
        <v>5.0000000000000001E-4</v>
      </c>
      <c r="O286">
        <v>2.0000000000000001E-4</v>
      </c>
      <c r="P286">
        <v>2.0000000000000001E-4</v>
      </c>
      <c r="Q286">
        <v>2.0000000000000001E-4</v>
      </c>
      <c r="R286" t="str">
        <f>""</f>
        <v/>
      </c>
      <c r="S286" t="str">
        <f>""</f>
        <v/>
      </c>
      <c r="T286" t="str">
        <f>""</f>
        <v/>
      </c>
      <c r="U286" t="str">
        <f>""</f>
        <v/>
      </c>
      <c r="V286" t="str">
        <f>""</f>
        <v/>
      </c>
      <c r="W286" t="str">
        <f>""</f>
        <v/>
      </c>
      <c r="X286" t="str">
        <f>""</f>
        <v/>
      </c>
      <c r="Y286" t="str">
        <f>""</f>
        <v/>
      </c>
      <c r="Z286" t="str">
        <f>""</f>
        <v/>
      </c>
      <c r="AA286" t="str">
        <f>""</f>
        <v/>
      </c>
      <c r="AB286" t="str">
        <f>""</f>
        <v/>
      </c>
      <c r="AC286" t="str">
        <f>""</f>
        <v/>
      </c>
    </row>
    <row r="287" spans="1:29" x14ac:dyDescent="0.25">
      <c r="A287" t="str">
        <f>$A$93</f>
        <v xml:space="preserve">    Tech Mahindra Ltd</v>
      </c>
      <c r="B287" t="str">
        <f>$B$93</f>
        <v>TECHM IN Equity</v>
      </c>
      <c r="C287" t="str">
        <f>$C$93</f>
        <v>RR481</v>
      </c>
      <c r="D287" t="str">
        <f>$D$93</f>
        <v>TOTAL_DEBT_TO_EV</v>
      </c>
      <c r="E287" t="str">
        <f>$E$93</f>
        <v>Dynamic</v>
      </c>
      <c r="F287">
        <f ca="1">_xll.BDH($B$93,$C$93,$B$200,$B$201,CONCATENATE("Per=",$B$198),"Dts=H","Dir=H",CONCATENATE("Points=",$B$199),"Sort=R","Days=A","Fill=B",CONCATENATE("FX=", $B$197),"cols=12;rows=1")</f>
        <v>5.6000000000000001E-2</v>
      </c>
      <c r="G287">
        <v>5.1700000000000003E-2</v>
      </c>
      <c r="H287">
        <v>5.4100000000000002E-2</v>
      </c>
      <c r="I287">
        <v>3.7400000000000003E-2</v>
      </c>
      <c r="J287">
        <v>3.1899999999999998E-2</v>
      </c>
      <c r="K287">
        <v>2.4199999999999999E-2</v>
      </c>
      <c r="L287">
        <v>2.4E-2</v>
      </c>
      <c r="M287">
        <v>3.3799999999999997E-2</v>
      </c>
      <c r="N287">
        <v>4.53E-2</v>
      </c>
      <c r="O287">
        <v>3.8199999999999998E-2</v>
      </c>
      <c r="P287">
        <v>3.9399999999999998E-2</v>
      </c>
      <c r="Q287">
        <v>4.7800000000000002E-2</v>
      </c>
      <c r="R287" t="str">
        <f>""</f>
        <v/>
      </c>
      <c r="S287" t="str">
        <f>""</f>
        <v/>
      </c>
      <c r="T287" t="str">
        <f>""</f>
        <v/>
      </c>
      <c r="U287" t="str">
        <f>""</f>
        <v/>
      </c>
      <c r="V287" t="str">
        <f>""</f>
        <v/>
      </c>
      <c r="W287" t="str">
        <f>""</f>
        <v/>
      </c>
      <c r="X287" t="str">
        <f>""</f>
        <v/>
      </c>
      <c r="Y287" t="str">
        <f>""</f>
        <v/>
      </c>
      <c r="Z287" t="str">
        <f>""</f>
        <v/>
      </c>
      <c r="AA287" t="str">
        <f>""</f>
        <v/>
      </c>
      <c r="AB287" t="str">
        <f>""</f>
        <v/>
      </c>
      <c r="AC287" t="str">
        <f>""</f>
        <v/>
      </c>
    </row>
    <row r="288" spans="1:29" x14ac:dyDescent="0.25">
      <c r="A288" t="str">
        <f>$A$94</f>
        <v xml:space="preserve">    Wipro Ltd</v>
      </c>
      <c r="B288" t="str">
        <f>$B$94</f>
        <v>WIT US Equity</v>
      </c>
      <c r="C288" t="str">
        <f>$C$94</f>
        <v>RR481</v>
      </c>
      <c r="D288" t="str">
        <f>$D$94</f>
        <v>TOTAL_DEBT_TO_EV</v>
      </c>
      <c r="E288" t="str">
        <f>$E$94</f>
        <v>Dynamic</v>
      </c>
      <c r="F288">
        <f ca="1">_xll.BDH($B$94,$C$94,$B$200,$B$201,CONCATENATE("Per=",$B$198),"Dts=H","Dir=H",CONCATENATE("Points=",$B$199),"Sort=R","Days=A","Fill=B",CONCATENATE("FX=", $B$197),"cols=12;rows=1")</f>
        <v>0.1094</v>
      </c>
      <c r="G288">
        <v>9.5699999999999993E-2</v>
      </c>
      <c r="H288">
        <v>8.48E-2</v>
      </c>
      <c r="I288">
        <v>8.72E-2</v>
      </c>
      <c r="J288">
        <v>7.8899999999999998E-2</v>
      </c>
      <c r="K288">
        <v>8.3199999999999996E-2</v>
      </c>
      <c r="L288">
        <v>9.1700000000000004E-2</v>
      </c>
      <c r="M288">
        <v>0.11990000000000001</v>
      </c>
      <c r="N288">
        <v>0.1236</v>
      </c>
      <c r="O288">
        <v>0.1042</v>
      </c>
      <c r="P288">
        <v>0.129</v>
      </c>
      <c r="Q288">
        <v>0.1414</v>
      </c>
      <c r="R288" t="str">
        <f>""</f>
        <v/>
      </c>
      <c r="S288" t="str">
        <f>""</f>
        <v/>
      </c>
      <c r="T288" t="str">
        <f>""</f>
        <v/>
      </c>
      <c r="U288" t="str">
        <f>""</f>
        <v/>
      </c>
      <c r="V288" t="str">
        <f>""</f>
        <v/>
      </c>
      <c r="W288" t="str">
        <f>""</f>
        <v/>
      </c>
      <c r="X288" t="str">
        <f>""</f>
        <v/>
      </c>
      <c r="Y288" t="str">
        <f>""</f>
        <v/>
      </c>
      <c r="Z288" t="str">
        <f>""</f>
        <v/>
      </c>
      <c r="AA288" t="str">
        <f>""</f>
        <v/>
      </c>
      <c r="AB288" t="str">
        <f>""</f>
        <v/>
      </c>
      <c r="AC288" t="str">
        <f>""</f>
        <v/>
      </c>
    </row>
    <row r="289" spans="1:29" x14ac:dyDescent="0.25">
      <c r="A289" t="str">
        <f>$A$96</f>
        <v xml:space="preserve">    Accenture PLC</v>
      </c>
      <c r="B289" t="str">
        <f>$B$96</f>
        <v>ACN US Equity</v>
      </c>
      <c r="C289" t="str">
        <f>$C$96</f>
        <v>RR052</v>
      </c>
      <c r="D289" t="str">
        <f>$D$96</f>
        <v>TOT_DEBT_TO_EBITDA</v>
      </c>
      <c r="E289" t="str">
        <f>$E$96</f>
        <v>Dynamic</v>
      </c>
      <c r="F289">
        <f ca="1">_xll.BDH($B$96,$C$96,$B$200,$B$201,CONCATENATE("Per=",$B$198),"Dts=H","Dir=H",CONCATENATE("Points=",$B$199),"Sort=R","Days=A","Fill=B",CONCATENATE("FX=", $B$197),"cols=12;rows=1")</f>
        <v>0.39729999999999999</v>
      </c>
      <c r="G289">
        <v>0.41</v>
      </c>
      <c r="H289">
        <v>3.0999999999999999E-3</v>
      </c>
      <c r="I289">
        <v>3.3E-3</v>
      </c>
      <c r="J289">
        <v>3.3999999999999998E-3</v>
      </c>
      <c r="K289">
        <v>3.5000000000000001E-3</v>
      </c>
      <c r="L289">
        <v>3.5999999999999999E-3</v>
      </c>
      <c r="M289">
        <v>4.3E-3</v>
      </c>
      <c r="N289">
        <v>4.8999999999999998E-3</v>
      </c>
      <c r="O289">
        <v>4.4999999999999997E-3</v>
      </c>
      <c r="P289">
        <v>4.5999999999999999E-3</v>
      </c>
      <c r="Q289">
        <v>5.1999999999999998E-3</v>
      </c>
      <c r="R289" t="str">
        <f>""</f>
        <v/>
      </c>
      <c r="S289" t="str">
        <f>""</f>
        <v/>
      </c>
      <c r="T289" t="str">
        <f>""</f>
        <v/>
      </c>
      <c r="U289" t="str">
        <f>""</f>
        <v/>
      </c>
      <c r="V289" t="str">
        <f>""</f>
        <v/>
      </c>
      <c r="W289" t="str">
        <f>""</f>
        <v/>
      </c>
      <c r="X289" t="str">
        <f>""</f>
        <v/>
      </c>
      <c r="Y289" t="str">
        <f>""</f>
        <v/>
      </c>
      <c r="Z289" t="str">
        <f>""</f>
        <v/>
      </c>
      <c r="AA289" t="str">
        <f>""</f>
        <v/>
      </c>
      <c r="AB289" t="str">
        <f>""</f>
        <v/>
      </c>
      <c r="AC289" t="str">
        <f>""</f>
        <v/>
      </c>
    </row>
    <row r="290" spans="1:29" x14ac:dyDescent="0.25">
      <c r="A290" t="str">
        <f>$A$97</f>
        <v xml:space="preserve">    Amdocs Ltd</v>
      </c>
      <c r="B290" t="str">
        <f>$B$97</f>
        <v>DOX US Equity</v>
      </c>
      <c r="C290" t="str">
        <f>$C$97</f>
        <v>RR052</v>
      </c>
      <c r="D290" t="str">
        <f>$D$97</f>
        <v>TOT_DEBT_TO_EBITDA</v>
      </c>
      <c r="E290" t="str">
        <f>$E$97</f>
        <v>Dynamic</v>
      </c>
      <c r="F290">
        <f ca="1">_xll.BDH($B$97,$C$97,$B$200,$B$201,CONCATENATE("Per=",$B$198),"Dts=H","Dir=H",CONCATENATE("Points=",$B$199),"Sort=R","Days=A","Fill=B",CONCATENATE("FX=", $B$197),"cols=12;rows=1")</f>
        <v>0.7964</v>
      </c>
      <c r="G290">
        <v>0.35920000000000002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0.1656</v>
      </c>
      <c r="O290">
        <v>0</v>
      </c>
      <c r="P290">
        <v>0</v>
      </c>
      <c r="Q290">
        <v>0</v>
      </c>
      <c r="R290" t="str">
        <f>""</f>
        <v/>
      </c>
      <c r="S290" t="str">
        <f>""</f>
        <v/>
      </c>
      <c r="T290" t="str">
        <f>""</f>
        <v/>
      </c>
      <c r="U290" t="str">
        <f>""</f>
        <v/>
      </c>
      <c r="V290" t="str">
        <f>""</f>
        <v/>
      </c>
      <c r="W290" t="str">
        <f>""</f>
        <v/>
      </c>
      <c r="X290" t="str">
        <f>""</f>
        <v/>
      </c>
      <c r="Y290" t="str">
        <f>""</f>
        <v/>
      </c>
      <c r="Z290" t="str">
        <f>""</f>
        <v/>
      </c>
      <c r="AA290" t="str">
        <f>""</f>
        <v/>
      </c>
      <c r="AB290" t="str">
        <f>""</f>
        <v/>
      </c>
      <c r="AC290" t="str">
        <f>""</f>
        <v/>
      </c>
    </row>
    <row r="291" spans="1:29" x14ac:dyDescent="0.25">
      <c r="A291" t="str">
        <f>$A$98</f>
        <v xml:space="preserve">    Atos SE</v>
      </c>
      <c r="B291" t="str">
        <f>$B$98</f>
        <v>ATO FP Equity</v>
      </c>
      <c r="C291" t="str">
        <f>$C$98</f>
        <v>RR052</v>
      </c>
      <c r="D291" t="str">
        <f>$D$98</f>
        <v>TOT_DEBT_TO_EBITDA</v>
      </c>
      <c r="E291" t="str">
        <f>$E$98</f>
        <v>Dynamic</v>
      </c>
      <c r="F291" t="str">
        <f ca="1">_xll.BDH($B$98,$C$98,$B$200,$B$201,CONCATENATE("Per=",$B$198),"Dts=H","Dir=H",CONCATENATE("Points=",$B$199),"Sort=R","Days=A","Fill=B",CONCATENATE("FX=", $B$197) )</f>
        <v/>
      </c>
      <c r="R291" t="str">
        <f>""</f>
        <v/>
      </c>
      <c r="S291" t="str">
        <f>""</f>
        <v/>
      </c>
      <c r="T291" t="str">
        <f>""</f>
        <v/>
      </c>
      <c r="U291" t="str">
        <f>""</f>
        <v/>
      </c>
      <c r="V291" t="str">
        <f>""</f>
        <v/>
      </c>
      <c r="W291" t="str">
        <f>""</f>
        <v/>
      </c>
      <c r="X291" t="str">
        <f>""</f>
        <v/>
      </c>
      <c r="Y291" t="str">
        <f>""</f>
        <v/>
      </c>
      <c r="Z291" t="str">
        <f>""</f>
        <v/>
      </c>
      <c r="AA291" t="str">
        <f>""</f>
        <v/>
      </c>
      <c r="AB291" t="str">
        <f>""</f>
        <v/>
      </c>
      <c r="AC291" t="str">
        <f>""</f>
        <v/>
      </c>
    </row>
    <row r="292" spans="1:29" x14ac:dyDescent="0.25">
      <c r="A292" t="str">
        <f>$A$99</f>
        <v xml:space="preserve">    Capgemini SE</v>
      </c>
      <c r="B292" t="str">
        <f>$B$99</f>
        <v>CAP FP Equity</v>
      </c>
      <c r="C292" t="str">
        <f>$C$99</f>
        <v>RR052</v>
      </c>
      <c r="D292" t="str">
        <f>$D$99</f>
        <v>TOT_DEBT_TO_EBITDA</v>
      </c>
      <c r="E292" t="str">
        <f>$E$99</f>
        <v>Dynamic</v>
      </c>
      <c r="F292" t="str">
        <f ca="1">_xll.BDH($B$99,$C$99,$B$200,$B$201,CONCATENATE("Per=",$B$198),"Dts=H","Dir=H",CONCATENATE("Points=",$B$199),"Sort=R","Days=A","Fill=B",CONCATENATE("FX=", $B$197) )</f>
        <v/>
      </c>
      <c r="R292" t="str">
        <f>""</f>
        <v/>
      </c>
      <c r="S292" t="str">
        <f>""</f>
        <v/>
      </c>
      <c r="T292" t="str">
        <f>""</f>
        <v/>
      </c>
      <c r="U292" t="str">
        <f>""</f>
        <v/>
      </c>
      <c r="V292" t="str">
        <f>""</f>
        <v/>
      </c>
      <c r="W292" t="str">
        <f>""</f>
        <v/>
      </c>
      <c r="X292" t="str">
        <f>""</f>
        <v/>
      </c>
      <c r="Y292" t="str">
        <f>""</f>
        <v/>
      </c>
      <c r="Z292" t="str">
        <f>""</f>
        <v/>
      </c>
      <c r="AA292" t="str">
        <f>""</f>
        <v/>
      </c>
      <c r="AB292" t="str">
        <f>""</f>
        <v/>
      </c>
      <c r="AC292" t="str">
        <f>""</f>
        <v/>
      </c>
    </row>
    <row r="293" spans="1:29" x14ac:dyDescent="0.25">
      <c r="A293" t="str">
        <f>$A$100</f>
        <v xml:space="preserve">    CGI Inc</v>
      </c>
      <c r="B293" t="str">
        <f>$B$100</f>
        <v>GIB US Equity</v>
      </c>
      <c r="C293" t="str">
        <f>$C$100</f>
        <v>RR052</v>
      </c>
      <c r="D293" t="str">
        <f>$D$100</f>
        <v>TOT_DEBT_TO_EBITDA</v>
      </c>
      <c r="E293" t="str">
        <f>$E$100</f>
        <v>Dynamic</v>
      </c>
      <c r="F293">
        <f ca="1">_xll.BDH($B$100,$C$100,$B$200,$B$201,CONCATENATE("Per=",$B$198),"Dts=H","Dir=H",CONCATENATE("Points=",$B$199),"Sort=R","Days=A","Fill=B",CONCATENATE("FX=", $B$197),"cols=12;rows=1")</f>
        <v>1.8873</v>
      </c>
      <c r="G293">
        <v>1.3852</v>
      </c>
      <c r="H293">
        <v>1.0883</v>
      </c>
      <c r="I293">
        <v>1.1879</v>
      </c>
      <c r="J293">
        <v>1.0175000000000001</v>
      </c>
      <c r="K293">
        <v>1.0731999999999999</v>
      </c>
      <c r="L293">
        <v>0.91890000000000005</v>
      </c>
      <c r="M293">
        <v>0.99890000000000001</v>
      </c>
      <c r="N293">
        <v>0.97509999999999997</v>
      </c>
      <c r="O293">
        <v>0.99529999999999996</v>
      </c>
      <c r="P293">
        <v>0.998</v>
      </c>
      <c r="Q293">
        <v>0.88329999999999997</v>
      </c>
      <c r="R293" t="str">
        <f>""</f>
        <v/>
      </c>
      <c r="S293" t="str">
        <f>""</f>
        <v/>
      </c>
      <c r="T293" t="str">
        <f>""</f>
        <v/>
      </c>
      <c r="U293" t="str">
        <f>""</f>
        <v/>
      </c>
      <c r="V293" t="str">
        <f>""</f>
        <v/>
      </c>
      <c r="W293" t="str">
        <f>""</f>
        <v/>
      </c>
      <c r="X293" t="str">
        <f>""</f>
        <v/>
      </c>
      <c r="Y293" t="str">
        <f>""</f>
        <v/>
      </c>
      <c r="Z293" t="str">
        <f>""</f>
        <v/>
      </c>
      <c r="AA293" t="str">
        <f>""</f>
        <v/>
      </c>
      <c r="AB293" t="str">
        <f>""</f>
        <v/>
      </c>
      <c r="AC293" t="str">
        <f>""</f>
        <v/>
      </c>
    </row>
    <row r="294" spans="1:29" x14ac:dyDescent="0.25">
      <c r="A294" t="str">
        <f>$A$101</f>
        <v xml:space="preserve">    Cognizant Technology Solutions Corp</v>
      </c>
      <c r="B294" t="str">
        <f>$B$101</f>
        <v>CTSH US Equity</v>
      </c>
      <c r="C294" t="str">
        <f>$C$101</f>
        <v>RR052</v>
      </c>
      <c r="D294" t="str">
        <f>$D$101</f>
        <v>TOT_DEBT_TO_EBITDA</v>
      </c>
      <c r="E294" t="str">
        <f>$E$101</f>
        <v>Dynamic</v>
      </c>
      <c r="F294">
        <f ca="1">_xll.BDH($B$101,$C$101,$B$200,$B$201,CONCATENATE("Per=",$B$198),"Dts=H","Dir=H",CONCATENATE("Points=",$B$199),"Sort=R","Days=A","Fill=B",CONCATENATE("FX=", $B$197),"cols=12;rows=1")</f>
        <v>1.0594999999999999</v>
      </c>
      <c r="G294">
        <v>0.54059999999999997</v>
      </c>
      <c r="H294">
        <v>0.52900000000000003</v>
      </c>
      <c r="I294">
        <v>0.50919999999999999</v>
      </c>
      <c r="J294">
        <v>0.50960000000000005</v>
      </c>
      <c r="K294">
        <v>0.2258</v>
      </c>
      <c r="L294">
        <v>0.2225</v>
      </c>
      <c r="M294">
        <v>0.2382</v>
      </c>
      <c r="N294">
        <v>0.24429999999999999</v>
      </c>
      <c r="O294">
        <v>0.2883</v>
      </c>
      <c r="P294">
        <v>0.28270000000000001</v>
      </c>
      <c r="Q294">
        <v>0.3503</v>
      </c>
      <c r="R294" t="str">
        <f>""</f>
        <v/>
      </c>
      <c r="S294" t="str">
        <f>""</f>
        <v/>
      </c>
      <c r="T294" t="str">
        <f>""</f>
        <v/>
      </c>
      <c r="U294" t="str">
        <f>""</f>
        <v/>
      </c>
      <c r="V294" t="str">
        <f>""</f>
        <v/>
      </c>
      <c r="W294" t="str">
        <f>""</f>
        <v/>
      </c>
      <c r="X294" t="str">
        <f>""</f>
        <v/>
      </c>
      <c r="Y294" t="str">
        <f>""</f>
        <v/>
      </c>
      <c r="Z294" t="str">
        <f>""</f>
        <v/>
      </c>
      <c r="AA294" t="str">
        <f>""</f>
        <v/>
      </c>
      <c r="AB294" t="str">
        <f>""</f>
        <v/>
      </c>
      <c r="AC294" t="str">
        <f>""</f>
        <v/>
      </c>
    </row>
    <row r="295" spans="1:29" x14ac:dyDescent="0.25">
      <c r="A295" t="str">
        <f>$A$102</f>
        <v xml:space="preserve">    Conduent Inc</v>
      </c>
      <c r="B295" t="str">
        <f>$B$102</f>
        <v>CNDT US Equity</v>
      </c>
      <c r="C295" t="str">
        <f>$C$102</f>
        <v>RR052</v>
      </c>
      <c r="D295" t="str">
        <f>$D$102</f>
        <v>TOT_DEBT_TO_EBITDA</v>
      </c>
      <c r="E295" t="str">
        <f>$E$102</f>
        <v>Dynamic</v>
      </c>
      <c r="F295" t="str">
        <f ca="1">_xll.BDH($B$102,$C$102,$B$200,$B$201,CONCATENATE("Per=",$B$198),"Dts=H","Dir=H",CONCATENATE("Points=",$B$199),"Sort=R","Days=A","Fill=B",CONCATENATE("FX=", $B$197),"cols=12;rows=1")</f>
        <v/>
      </c>
      <c r="K295">
        <v>8.8033999999999999</v>
      </c>
      <c r="L295">
        <v>4.6657000000000002</v>
      </c>
      <c r="M295">
        <v>3.2652000000000001</v>
      </c>
      <c r="N295">
        <v>3.6335999999999999</v>
      </c>
      <c r="O295">
        <v>3.3898000000000001</v>
      </c>
      <c r="R295" t="str">
        <f>""</f>
        <v/>
      </c>
      <c r="S295" t="str">
        <f>""</f>
        <v/>
      </c>
      <c r="T295" t="str">
        <f>""</f>
        <v/>
      </c>
      <c r="U295" t="str">
        <f>""</f>
        <v/>
      </c>
      <c r="V295" t="str">
        <f>""</f>
        <v/>
      </c>
      <c r="W295" t="str">
        <f>""</f>
        <v/>
      </c>
      <c r="X295" t="str">
        <f>""</f>
        <v/>
      </c>
      <c r="Y295" t="str">
        <f>""</f>
        <v/>
      </c>
      <c r="Z295" t="str">
        <f>""</f>
        <v/>
      </c>
      <c r="AA295" t="str">
        <f>""</f>
        <v/>
      </c>
      <c r="AB295" t="str">
        <f>""</f>
        <v/>
      </c>
      <c r="AC295" t="str">
        <f>""</f>
        <v/>
      </c>
    </row>
    <row r="296" spans="1:29" x14ac:dyDescent="0.25">
      <c r="A296" t="str">
        <f>$A$103</f>
        <v xml:space="preserve">    DXC Technology Co</v>
      </c>
      <c r="B296" t="str">
        <f>$B$103</f>
        <v>DXC US Equity</v>
      </c>
      <c r="C296" t="str">
        <f>$C$103</f>
        <v>RR052</v>
      </c>
      <c r="D296" t="str">
        <f>$D$103</f>
        <v>TOT_DEBT_TO_EBITDA</v>
      </c>
      <c r="E296" t="str">
        <f>$E$103</f>
        <v>Dynamic</v>
      </c>
      <c r="F296" t="str">
        <f ca="1">_xll.BDH($B$103,$C$103,$B$200,$B$201,CONCATENATE("Per=",$B$198),"Dts=H","Dir=H",CONCATENATE("Points=",$B$199),"Sort=R","Days=A","Fill=B",CONCATENATE("FX=", $B$197),"cols=12;rows=1")</f>
        <v/>
      </c>
      <c r="G296">
        <v>9.3142999999999994</v>
      </c>
      <c r="H296">
        <v>7.3548999999999998</v>
      </c>
      <c r="I296">
        <v>2.8723999999999998</v>
      </c>
      <c r="J296">
        <v>2.1749000000000001</v>
      </c>
      <c r="K296">
        <v>1.9995000000000001</v>
      </c>
      <c r="L296">
        <v>1.9064000000000001</v>
      </c>
      <c r="M296">
        <v>1.7284999999999999</v>
      </c>
      <c r="N296">
        <v>2.2121</v>
      </c>
      <c r="R296" t="str">
        <f>""</f>
        <v/>
      </c>
      <c r="S296" t="str">
        <f>""</f>
        <v/>
      </c>
      <c r="T296" t="str">
        <f>""</f>
        <v/>
      </c>
      <c r="U296" t="str">
        <f>""</f>
        <v/>
      </c>
      <c r="V296" t="str">
        <f>""</f>
        <v/>
      </c>
      <c r="W296" t="str">
        <f>""</f>
        <v/>
      </c>
      <c r="X296" t="str">
        <f>""</f>
        <v/>
      </c>
      <c r="Y296" t="str">
        <f>""</f>
        <v/>
      </c>
      <c r="Z296" t="str">
        <f>""</f>
        <v/>
      </c>
      <c r="AA296" t="str">
        <f>""</f>
        <v/>
      </c>
      <c r="AB296" t="str">
        <f>""</f>
        <v/>
      </c>
      <c r="AC296" t="str">
        <f>""</f>
        <v/>
      </c>
    </row>
    <row r="297" spans="1:29" x14ac:dyDescent="0.25">
      <c r="A297" t="str">
        <f>$A$104</f>
        <v xml:space="preserve">    EPAM Systems Inc</v>
      </c>
      <c r="B297" t="str">
        <f>$B$104</f>
        <v>EPAM US Equity</v>
      </c>
      <c r="C297" t="str">
        <f>$C$104</f>
        <v>RR052</v>
      </c>
      <c r="D297" t="str">
        <f>$D$104</f>
        <v>TOT_DEBT_TO_EBITDA</v>
      </c>
      <c r="E297" t="str">
        <f>$E$104</f>
        <v>Dynamic</v>
      </c>
      <c r="F297">
        <f ca="1">_xll.BDH($B$104,$C$104,$B$200,$B$201,CONCATENATE("Per=",$B$198),"Dts=H","Dir=H",CONCATENATE("Points=",$B$199),"Sort=R","Days=A","Fill=B",CONCATENATE("FX=", $B$197),"cols=12;rows=1")</f>
        <v>0.62029999999999996</v>
      </c>
      <c r="G297">
        <v>0.64370000000000005</v>
      </c>
      <c r="H297">
        <v>0.58040000000000003</v>
      </c>
      <c r="I297">
        <v>0.61409999999999998</v>
      </c>
      <c r="J297">
        <v>0.54549999999999998</v>
      </c>
      <c r="K297">
        <v>8.8599999999999998E-2</v>
      </c>
      <c r="L297">
        <v>9.8699999999999996E-2</v>
      </c>
      <c r="M297">
        <v>0.10589999999999999</v>
      </c>
      <c r="N297">
        <v>0.1134</v>
      </c>
      <c r="O297">
        <v>0.1242</v>
      </c>
      <c r="P297">
        <v>0.1351</v>
      </c>
      <c r="Q297">
        <v>0.14829999999999999</v>
      </c>
      <c r="R297" t="str">
        <f>""</f>
        <v/>
      </c>
      <c r="S297" t="str">
        <f>""</f>
        <v/>
      </c>
      <c r="T297" t="str">
        <f>""</f>
        <v/>
      </c>
      <c r="U297" t="str">
        <f>""</f>
        <v/>
      </c>
      <c r="V297" t="str">
        <f>""</f>
        <v/>
      </c>
      <c r="W297" t="str">
        <f>""</f>
        <v/>
      </c>
      <c r="X297" t="str">
        <f>""</f>
        <v/>
      </c>
      <c r="Y297" t="str">
        <f>""</f>
        <v/>
      </c>
      <c r="Z297" t="str">
        <f>""</f>
        <v/>
      </c>
      <c r="AA297" t="str">
        <f>""</f>
        <v/>
      </c>
      <c r="AB297" t="str">
        <f>""</f>
        <v/>
      </c>
      <c r="AC297" t="str">
        <f>""</f>
        <v/>
      </c>
    </row>
    <row r="298" spans="1:29" x14ac:dyDescent="0.25">
      <c r="A298" t="str">
        <f>$A$105</f>
        <v xml:space="preserve">    Genpact Ltd</v>
      </c>
      <c r="B298" t="str">
        <f>$B$105</f>
        <v>G US Equity</v>
      </c>
      <c r="C298" t="str">
        <f>$C$105</f>
        <v>RR052</v>
      </c>
      <c r="D298" t="str">
        <f>$D$105</f>
        <v>TOT_DEBT_TO_EBITDA</v>
      </c>
      <c r="E298" t="str">
        <f>$E$105</f>
        <v>Dynamic</v>
      </c>
      <c r="F298">
        <f ca="1">_xll.BDH($B$105,$C$105,$B$200,$B$201,CONCATENATE("Per=",$B$198),"Dts=H","Dir=H",CONCATENATE("Points=",$B$199),"Sort=R","Days=A","Fill=B",CONCATENATE("FX=", $B$197),"cols=12;rows=1")</f>
        <v>2.9941</v>
      </c>
      <c r="G298">
        <v>2.8988</v>
      </c>
      <c r="H298">
        <v>2.6085000000000003</v>
      </c>
      <c r="I298">
        <v>2.8363</v>
      </c>
      <c r="J298">
        <v>3.0533999999999999</v>
      </c>
      <c r="K298">
        <v>2.8860999999999999</v>
      </c>
      <c r="L298">
        <v>3.2526999999999999</v>
      </c>
      <c r="M298">
        <v>2.9713000000000003</v>
      </c>
      <c r="N298">
        <v>3.1577000000000002</v>
      </c>
      <c r="O298">
        <v>2.8529999999999998</v>
      </c>
      <c r="P298">
        <v>2.7273000000000001</v>
      </c>
      <c r="Q298">
        <v>2.952</v>
      </c>
      <c r="R298" t="str">
        <f>""</f>
        <v/>
      </c>
      <c r="S298" t="str">
        <f>""</f>
        <v/>
      </c>
      <c r="T298" t="str">
        <f>""</f>
        <v/>
      </c>
      <c r="U298" t="str">
        <f>""</f>
        <v/>
      </c>
      <c r="V298" t="str">
        <f>""</f>
        <v/>
      </c>
      <c r="W298" t="str">
        <f>""</f>
        <v/>
      </c>
      <c r="X298" t="str">
        <f>""</f>
        <v/>
      </c>
      <c r="Y298" t="str">
        <f>""</f>
        <v/>
      </c>
      <c r="Z298" t="str">
        <f>""</f>
        <v/>
      </c>
      <c r="AA298" t="str">
        <f>""</f>
        <v/>
      </c>
      <c r="AB298" t="str">
        <f>""</f>
        <v/>
      </c>
      <c r="AC298" t="str">
        <f>""</f>
        <v/>
      </c>
    </row>
    <row r="299" spans="1:29" x14ac:dyDescent="0.25">
      <c r="A299" t="str">
        <f>$A$106</f>
        <v xml:space="preserve">    HCL Technologies Ltd</v>
      </c>
      <c r="B299" t="str">
        <f>$B$106</f>
        <v>HCLT IN Equity</v>
      </c>
      <c r="C299" t="str">
        <f>$C$106</f>
        <v>RR052</v>
      </c>
      <c r="D299" t="str">
        <f>$D$106</f>
        <v>TOT_DEBT_TO_EBITDA</v>
      </c>
      <c r="E299" t="str">
        <f>$E$106</f>
        <v>Dynamic</v>
      </c>
      <c r="F299">
        <f ca="1">_xll.BDH($B$106,$C$106,$B$200,$B$201,CONCATENATE("Per=",$B$198),"Dts=H","Dir=H",CONCATENATE("Points=",$B$199),"Sort=R","Days=A","Fill=B",CONCATENATE("FX=", $B$197),"cols=12;rows=1")</f>
        <v>0.45019999999999999</v>
      </c>
      <c r="G299">
        <v>0.40510000000000002</v>
      </c>
      <c r="H299">
        <v>0.43780000000000002</v>
      </c>
      <c r="I299">
        <v>0.28810000000000002</v>
      </c>
      <c r="J299">
        <v>0.3049</v>
      </c>
      <c r="K299">
        <v>0.2858</v>
      </c>
      <c r="L299">
        <v>0.2233</v>
      </c>
      <c r="M299">
        <v>2.8500000000000001E-2</v>
      </c>
      <c r="N299">
        <v>4.3499999999999997E-2</v>
      </c>
      <c r="O299">
        <v>4.6600000000000003E-2</v>
      </c>
      <c r="P299">
        <v>6.7900000000000002E-2</v>
      </c>
      <c r="Q299">
        <v>5.5500000000000001E-2</v>
      </c>
      <c r="R299" t="str">
        <f>""</f>
        <v/>
      </c>
      <c r="S299" t="str">
        <f>""</f>
        <v/>
      </c>
      <c r="T299" t="str">
        <f>""</f>
        <v/>
      </c>
      <c r="U299" t="str">
        <f>""</f>
        <v/>
      </c>
      <c r="V299" t="str">
        <f>""</f>
        <v/>
      </c>
      <c r="W299" t="str">
        <f>""</f>
        <v/>
      </c>
      <c r="X299" t="str">
        <f>""</f>
        <v/>
      </c>
      <c r="Y299" t="str">
        <f>""</f>
        <v/>
      </c>
      <c r="Z299" t="str">
        <f>""</f>
        <v/>
      </c>
      <c r="AA299" t="str">
        <f>""</f>
        <v/>
      </c>
      <c r="AB299" t="str">
        <f>""</f>
        <v/>
      </c>
      <c r="AC299" t="str">
        <f>""</f>
        <v/>
      </c>
    </row>
    <row r="300" spans="1:29" x14ac:dyDescent="0.25">
      <c r="A300" t="str">
        <f>$A$107</f>
        <v xml:space="preserve">    Indra Sistemas SA</v>
      </c>
      <c r="B300" t="str">
        <f>$B$107</f>
        <v>IDR SM Equity</v>
      </c>
      <c r="C300" t="str">
        <f>$C$107</f>
        <v>RR052</v>
      </c>
      <c r="D300" t="str">
        <f>$D$107</f>
        <v>TOT_DEBT_TO_EBITDA</v>
      </c>
      <c r="E300" t="str">
        <f>$E$107</f>
        <v>Dynamic</v>
      </c>
      <c r="F300">
        <f ca="1">_xll.BDH($B$107,$C$107,$B$200,$B$201,CONCATENATE("Per=",$B$198),"Dts=H","Dir=H",CONCATENATE("Points=",$B$199),"Sort=R","Days=A","Fill=B",CONCATENATE("FX=", $B$197),"cols=12;rows=1")</f>
        <v>4.6768999999999998</v>
      </c>
      <c r="G300">
        <v>4.6040999999999999</v>
      </c>
      <c r="H300">
        <v>4.6574999999999998</v>
      </c>
      <c r="I300">
        <v>5.1692</v>
      </c>
      <c r="J300">
        <v>4.5407999999999999</v>
      </c>
      <c r="K300">
        <v>4.7808999999999999</v>
      </c>
      <c r="L300">
        <v>5.5364000000000004</v>
      </c>
      <c r="M300">
        <v>5.8263999999999996</v>
      </c>
      <c r="N300">
        <v>5.0876999999999999</v>
      </c>
      <c r="O300">
        <v>4.8361999999999998</v>
      </c>
      <c r="P300">
        <v>5.2903000000000002</v>
      </c>
      <c r="Q300">
        <v>5.7805999999999997</v>
      </c>
      <c r="R300" t="str">
        <f>""</f>
        <v/>
      </c>
      <c r="S300" t="str">
        <f>""</f>
        <v/>
      </c>
      <c r="T300" t="str">
        <f>""</f>
        <v/>
      </c>
      <c r="U300" t="str">
        <f>""</f>
        <v/>
      </c>
      <c r="V300" t="str">
        <f>""</f>
        <v/>
      </c>
      <c r="W300" t="str">
        <f>""</f>
        <v/>
      </c>
      <c r="X300" t="str">
        <f>""</f>
        <v/>
      </c>
      <c r="Y300" t="str">
        <f>""</f>
        <v/>
      </c>
      <c r="Z300" t="str">
        <f>""</f>
        <v/>
      </c>
      <c r="AA300" t="str">
        <f>""</f>
        <v/>
      </c>
      <c r="AB300" t="str">
        <f>""</f>
        <v/>
      </c>
      <c r="AC300" t="str">
        <f>""</f>
        <v/>
      </c>
    </row>
    <row r="301" spans="1:29" x14ac:dyDescent="0.25">
      <c r="A301" t="str">
        <f>$A$108</f>
        <v xml:space="preserve">    Infosys Ltd</v>
      </c>
      <c r="B301" t="str">
        <f>$B$108</f>
        <v>INFY US Equity</v>
      </c>
      <c r="C301" t="str">
        <f>$C$108</f>
        <v>RR052</v>
      </c>
      <c r="D301" t="str">
        <f>$D$108</f>
        <v>TOT_DEBT_TO_EBITDA</v>
      </c>
      <c r="E301" t="str">
        <f>$E$108</f>
        <v>Dynamic</v>
      </c>
      <c r="F301">
        <f ca="1">_xll.BDH($B$108,$C$108,$B$200,$B$201,CONCATENATE("Per=",$B$198),"Dts=H","Dir=H",CONCATENATE("Points=",$B$199),"Sort=R","Days=A","Fill=B",CONCATENATE("FX=", $B$197),"cols=12;rows=1")</f>
        <v>0.20810000000000001</v>
      </c>
      <c r="G301">
        <v>0.19059999999999999</v>
      </c>
      <c r="H301">
        <v>0.191</v>
      </c>
      <c r="I301">
        <v>0.18190000000000001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tr">
        <f>""</f>
        <v/>
      </c>
      <c r="S301" t="str">
        <f>""</f>
        <v/>
      </c>
      <c r="T301" t="str">
        <f>""</f>
        <v/>
      </c>
      <c r="U301" t="str">
        <f>""</f>
        <v/>
      </c>
      <c r="V301" t="str">
        <f>""</f>
        <v/>
      </c>
      <c r="W301" t="str">
        <f>""</f>
        <v/>
      </c>
      <c r="X301" t="str">
        <f>""</f>
        <v/>
      </c>
      <c r="Y301" t="str">
        <f>""</f>
        <v/>
      </c>
      <c r="Z301" t="str">
        <f>""</f>
        <v/>
      </c>
      <c r="AA301" t="str">
        <f>""</f>
        <v/>
      </c>
      <c r="AB301" t="str">
        <f>""</f>
        <v/>
      </c>
      <c r="AC301" t="str">
        <f>""</f>
        <v/>
      </c>
    </row>
    <row r="302" spans="1:29" x14ac:dyDescent="0.25">
      <c r="A302" t="str">
        <f>$A$109</f>
        <v xml:space="preserve">    International Business Machines Corp</v>
      </c>
      <c r="B302" t="str">
        <f>$B$109</f>
        <v>IBM US Equity</v>
      </c>
      <c r="C302" t="str">
        <f>$C$109</f>
        <v>RR052</v>
      </c>
      <c r="D302" t="str">
        <f>$D$109</f>
        <v>TOT_DEBT_TO_EBITDA</v>
      </c>
      <c r="E302" t="str">
        <f>$E$109</f>
        <v>Dynamic</v>
      </c>
      <c r="F302">
        <f ca="1">_xll.BDH($B$109,$C$109,$B$200,$B$201,CONCATENATE("Per=",$B$198),"Dts=H","Dir=H",CONCATENATE("Points=",$B$199),"Sort=R","Days=A","Fill=B",CONCATENATE("FX=", $B$197),"cols=12;rows=1")</f>
        <v>4.3937999999999997</v>
      </c>
      <c r="G302">
        <v>3.8772000000000002</v>
      </c>
      <c r="H302">
        <v>3.7153999999999998</v>
      </c>
      <c r="I302">
        <v>3.8948</v>
      </c>
      <c r="J302">
        <v>2.4140999999999999</v>
      </c>
      <c r="K302">
        <v>2.2237999999999998</v>
      </c>
      <c r="L302">
        <v>2.2757999999999998</v>
      </c>
      <c r="M302">
        <v>2.2353000000000001</v>
      </c>
      <c r="N302">
        <v>2.4933999999999998</v>
      </c>
      <c r="O302">
        <v>2.5314000000000001</v>
      </c>
      <c r="P302">
        <v>2.1690999999999998</v>
      </c>
      <c r="Q302">
        <v>2.2185000000000001</v>
      </c>
      <c r="R302" t="str">
        <f>""</f>
        <v/>
      </c>
      <c r="S302" t="str">
        <f>""</f>
        <v/>
      </c>
      <c r="T302" t="str">
        <f>""</f>
        <v/>
      </c>
      <c r="U302" t="str">
        <f>""</f>
        <v/>
      </c>
      <c r="V302" t="str">
        <f>""</f>
        <v/>
      </c>
      <c r="W302" t="str">
        <f>""</f>
        <v/>
      </c>
      <c r="X302" t="str">
        <f>""</f>
        <v/>
      </c>
      <c r="Y302" t="str">
        <f>""</f>
        <v/>
      </c>
      <c r="Z302" t="str">
        <f>""</f>
        <v/>
      </c>
      <c r="AA302" t="str">
        <f>""</f>
        <v/>
      </c>
      <c r="AB302" t="str">
        <f>""</f>
        <v/>
      </c>
      <c r="AC302" t="str">
        <f>""</f>
        <v/>
      </c>
    </row>
    <row r="303" spans="1:29" x14ac:dyDescent="0.25">
      <c r="A303" t="str">
        <f>$A$110</f>
        <v xml:space="preserve">    Tata Consultancy Services Ltd</v>
      </c>
      <c r="B303" t="str">
        <f>$B$110</f>
        <v>TCS IN Equity</v>
      </c>
      <c r="C303" t="str">
        <f>$C$110</f>
        <v>RR052</v>
      </c>
      <c r="D303" t="str">
        <f>$D$110</f>
        <v>TOT_DEBT_TO_EBITDA</v>
      </c>
      <c r="E303" t="str">
        <f>$E$110</f>
        <v>Dynamic</v>
      </c>
      <c r="F303">
        <f ca="1">_xll.BDH($B$110,$C$110,$B$200,$B$201,CONCATENATE("Per=",$B$198),"Dts=H","Dir=H",CONCATENATE("Points=",$B$199),"Sort=R","Days=A","Fill=B",CONCATENATE("FX=", $B$197),"cols=12;rows=1")</f>
        <v>0.19409999999999999</v>
      </c>
      <c r="G303">
        <v>0.17150000000000001</v>
      </c>
      <c r="H303">
        <v>0.1678</v>
      </c>
      <c r="I303">
        <v>0.16919999999999999</v>
      </c>
      <c r="J303">
        <v>1.6000000000000001E-3</v>
      </c>
      <c r="K303">
        <v>1.6999999999999999E-3</v>
      </c>
      <c r="L303">
        <v>1.6999999999999999E-3</v>
      </c>
      <c r="M303">
        <v>1.9E-3</v>
      </c>
      <c r="N303">
        <v>7.6E-3</v>
      </c>
      <c r="O303">
        <v>2.3999999999999998E-3</v>
      </c>
      <c r="P303">
        <v>2.5000000000000001E-3</v>
      </c>
      <c r="Q303">
        <v>2.5999999999999999E-3</v>
      </c>
      <c r="R303" t="str">
        <f>""</f>
        <v/>
      </c>
      <c r="S303" t="str">
        <f>""</f>
        <v/>
      </c>
      <c r="T303" t="str">
        <f>""</f>
        <v/>
      </c>
      <c r="U303" t="str">
        <f>""</f>
        <v/>
      </c>
      <c r="V303" t="str">
        <f>""</f>
        <v/>
      </c>
      <c r="W303" t="str">
        <f>""</f>
        <v/>
      </c>
      <c r="X303" t="str">
        <f>""</f>
        <v/>
      </c>
      <c r="Y303" t="str">
        <f>""</f>
        <v/>
      </c>
      <c r="Z303" t="str">
        <f>""</f>
        <v/>
      </c>
      <c r="AA303" t="str">
        <f>""</f>
        <v/>
      </c>
      <c r="AB303" t="str">
        <f>""</f>
        <v/>
      </c>
      <c r="AC303" t="str">
        <f>""</f>
        <v/>
      </c>
    </row>
    <row r="304" spans="1:29" x14ac:dyDescent="0.25">
      <c r="A304" t="str">
        <f>$A$111</f>
        <v xml:space="preserve">    Tech Mahindra Ltd</v>
      </c>
      <c r="B304" t="str">
        <f>$B$111</f>
        <v>TECHM IN Equity</v>
      </c>
      <c r="C304" t="str">
        <f>$C$111</f>
        <v>RR052</v>
      </c>
      <c r="D304" t="str">
        <f>$D$111</f>
        <v>TOT_DEBT_TO_EBITDA</v>
      </c>
      <c r="E304" t="str">
        <f>$E$111</f>
        <v>Dynamic</v>
      </c>
      <c r="F304">
        <f ca="1">_xll.BDH($B$111,$C$111,$B$200,$B$201,CONCATENATE("Per=",$B$198),"Dts=H","Dir=H",CONCATENATE("Points=",$B$199),"Sort=R","Days=A","Fill=B",CONCATENATE("FX=", $B$197),"cols=12;rows=1")</f>
        <v>0.44080000000000003</v>
      </c>
      <c r="G304">
        <v>0.53220000000000001</v>
      </c>
      <c r="H304">
        <v>0.51139999999999997</v>
      </c>
      <c r="I304">
        <v>0.38500000000000001</v>
      </c>
      <c r="J304">
        <v>0.32800000000000001</v>
      </c>
      <c r="K304">
        <v>0.27400000000000002</v>
      </c>
      <c r="L304">
        <v>0.2742</v>
      </c>
      <c r="M304">
        <v>0.36649999999999999</v>
      </c>
      <c r="N304">
        <v>0.5081</v>
      </c>
      <c r="O304">
        <v>0.3679</v>
      </c>
      <c r="P304">
        <v>0.3478</v>
      </c>
      <c r="Q304">
        <v>0.3463</v>
      </c>
      <c r="R304" t="str">
        <f>""</f>
        <v/>
      </c>
      <c r="S304" t="str">
        <f>""</f>
        <v/>
      </c>
      <c r="T304" t="str">
        <f>""</f>
        <v/>
      </c>
      <c r="U304" t="str">
        <f>""</f>
        <v/>
      </c>
      <c r="V304" t="str">
        <f>""</f>
        <v/>
      </c>
      <c r="W304" t="str">
        <f>""</f>
        <v/>
      </c>
      <c r="X304" t="str">
        <f>""</f>
        <v/>
      </c>
      <c r="Y304" t="str">
        <f>""</f>
        <v/>
      </c>
      <c r="Z304" t="str">
        <f>""</f>
        <v/>
      </c>
      <c r="AA304" t="str">
        <f>""</f>
        <v/>
      </c>
      <c r="AB304" t="str">
        <f>""</f>
        <v/>
      </c>
      <c r="AC304" t="str">
        <f>""</f>
        <v/>
      </c>
    </row>
    <row r="305" spans="1:29" x14ac:dyDescent="0.25">
      <c r="A305" t="str">
        <f>$A$112</f>
        <v xml:space="preserve">    Wipro Ltd</v>
      </c>
      <c r="B305" t="str">
        <f>$B$112</f>
        <v>WIT US Equity</v>
      </c>
      <c r="C305" t="str">
        <f>$C$112</f>
        <v>RR052</v>
      </c>
      <c r="D305" t="str">
        <f>$D$112</f>
        <v>TOT_DEBT_TO_EBITDA</v>
      </c>
      <c r="E305" t="str">
        <f>$E$112</f>
        <v>Dynamic</v>
      </c>
      <c r="F305">
        <f ca="1">_xll.BDH($B$112,$C$112,$B$200,$B$201,CONCATENATE("Per=",$B$198),"Dts=H","Dir=H",CONCATENATE("Points=",$B$199),"Sort=R","Days=A","Fill=B",CONCATENATE("FX=", $B$197),"cols=12;rows=1")</f>
        <v>0.78790000000000004</v>
      </c>
      <c r="G305">
        <v>0.90010000000000001</v>
      </c>
      <c r="H305">
        <v>0.88329999999999997</v>
      </c>
      <c r="I305">
        <v>1.0175000000000001</v>
      </c>
      <c r="J305">
        <v>0.85619999999999996</v>
      </c>
      <c r="K305">
        <v>0.95420000000000005</v>
      </c>
      <c r="L305">
        <v>1.1494</v>
      </c>
      <c r="M305">
        <v>1.1307</v>
      </c>
      <c r="N305">
        <v>1.3303</v>
      </c>
      <c r="O305">
        <v>1.1815</v>
      </c>
      <c r="P305">
        <v>1.2683</v>
      </c>
      <c r="Q305">
        <v>1.2896000000000001</v>
      </c>
      <c r="R305" t="str">
        <f>""</f>
        <v/>
      </c>
      <c r="S305" t="str">
        <f>""</f>
        <v/>
      </c>
      <c r="T305" t="str">
        <f>""</f>
        <v/>
      </c>
      <c r="U305" t="str">
        <f>""</f>
        <v/>
      </c>
      <c r="V305" t="str">
        <f>""</f>
        <v/>
      </c>
      <c r="W305" t="str">
        <f>""</f>
        <v/>
      </c>
      <c r="X305" t="str">
        <f>""</f>
        <v/>
      </c>
      <c r="Y305" t="str">
        <f>""</f>
        <v/>
      </c>
      <c r="Z305" t="str">
        <f>""</f>
        <v/>
      </c>
      <c r="AA305" t="str">
        <f>""</f>
        <v/>
      </c>
      <c r="AB305" t="str">
        <f>""</f>
        <v/>
      </c>
      <c r="AC305" t="str">
        <f>""</f>
        <v/>
      </c>
    </row>
    <row r="306" spans="1:29" x14ac:dyDescent="0.25">
      <c r="A306" t="str">
        <f>$A$114</f>
        <v xml:space="preserve">    Accenture PLC</v>
      </c>
      <c r="B306" t="str">
        <f>$B$114</f>
        <v>ACN US Equity</v>
      </c>
      <c r="C306" t="str">
        <f>$C$114</f>
        <v>RR045</v>
      </c>
      <c r="D306" t="str">
        <f>$D$114</f>
        <v>TOT_DEBT_TO_TOT_CAP</v>
      </c>
      <c r="E306" t="str">
        <f>$E$114</f>
        <v>Dynamic</v>
      </c>
      <c r="F306">
        <f ca="1">_xll.BDH($B$114,$C$114,$B$200,$B$201,CONCATENATE("Per=",$B$198),"Dts=H","Dir=H",CONCATENATE("Points=",$B$199),"Sort=R","Days=A","Fill=B",CONCATENATE("FX=", $B$197),"cols=12;rows=1")</f>
        <v>17.641100000000002</v>
      </c>
      <c r="G306">
        <v>17.816099999999999</v>
      </c>
      <c r="H306">
        <v>0.15260000000000001</v>
      </c>
      <c r="I306">
        <v>0.1694</v>
      </c>
      <c r="J306">
        <v>0.1754</v>
      </c>
      <c r="K306">
        <v>0.18820000000000001</v>
      </c>
      <c r="L306">
        <v>0.23269999999999999</v>
      </c>
      <c r="M306">
        <v>0.2828</v>
      </c>
      <c r="N306">
        <v>0.27550000000000002</v>
      </c>
      <c r="O306">
        <v>0.25409999999999999</v>
      </c>
      <c r="P306">
        <v>0.25750000000000001</v>
      </c>
      <c r="Q306">
        <v>0.31080000000000002</v>
      </c>
      <c r="R306" t="str">
        <f>""</f>
        <v/>
      </c>
      <c r="S306" t="str">
        <f>""</f>
        <v/>
      </c>
      <c r="T306" t="str">
        <f>""</f>
        <v/>
      </c>
      <c r="U306" t="str">
        <f>""</f>
        <v/>
      </c>
      <c r="V306" t="str">
        <f>""</f>
        <v/>
      </c>
      <c r="W306" t="str">
        <f>""</f>
        <v/>
      </c>
      <c r="X306" t="str">
        <f>""</f>
        <v/>
      </c>
      <c r="Y306" t="str">
        <f>""</f>
        <v/>
      </c>
      <c r="Z306" t="str">
        <f>""</f>
        <v/>
      </c>
      <c r="AA306" t="str">
        <f>""</f>
        <v/>
      </c>
      <c r="AB306" t="str">
        <f>""</f>
        <v/>
      </c>
      <c r="AC306" t="str">
        <f>""</f>
        <v/>
      </c>
    </row>
    <row r="307" spans="1:29" x14ac:dyDescent="0.25">
      <c r="A307" t="str">
        <f>$A$115</f>
        <v xml:space="preserve">    Amdocs Ltd</v>
      </c>
      <c r="B307" t="str">
        <f>$B$115</f>
        <v>DOX US Equity</v>
      </c>
      <c r="C307" t="str">
        <f>$C$115</f>
        <v>RR045</v>
      </c>
      <c r="D307" t="str">
        <f>$D$115</f>
        <v>TOT_DEBT_TO_TOT_CAP</v>
      </c>
      <c r="E307" t="str">
        <f>$E$115</f>
        <v>Dynamic</v>
      </c>
      <c r="F307">
        <f ca="1">_xll.BDH($B$115,$C$115,$B$200,$B$201,CONCATENATE("Per=",$B$198),"Dts=H","Dir=H",CONCATENATE("Points=",$B$199),"Sort=R","Days=A","Fill=B",CONCATENATE("FX=", $B$197),"cols=12;rows=1")</f>
        <v>14.9314</v>
      </c>
      <c r="G307">
        <v>7.2844999999999995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3.2204000000000002</v>
      </c>
      <c r="O307">
        <v>0</v>
      </c>
      <c r="P307">
        <v>0</v>
      </c>
      <c r="Q307">
        <v>0</v>
      </c>
      <c r="R307" t="str">
        <f>""</f>
        <v/>
      </c>
      <c r="S307" t="str">
        <f>""</f>
        <v/>
      </c>
      <c r="T307" t="str">
        <f>""</f>
        <v/>
      </c>
      <c r="U307" t="str">
        <f>""</f>
        <v/>
      </c>
      <c r="V307" t="str">
        <f>""</f>
        <v/>
      </c>
      <c r="W307" t="str">
        <f>""</f>
        <v/>
      </c>
      <c r="X307" t="str">
        <f>""</f>
        <v/>
      </c>
      <c r="Y307" t="str">
        <f>""</f>
        <v/>
      </c>
      <c r="Z307" t="str">
        <f>""</f>
        <v/>
      </c>
      <c r="AA307" t="str">
        <f>""</f>
        <v/>
      </c>
      <c r="AB307" t="str">
        <f>""</f>
        <v/>
      </c>
      <c r="AC307" t="str">
        <f>""</f>
        <v/>
      </c>
    </row>
    <row r="308" spans="1:29" x14ac:dyDescent="0.25">
      <c r="A308" t="str">
        <f>$A$116</f>
        <v xml:space="preserve">    Atos SE</v>
      </c>
      <c r="B308" t="str">
        <f>$B$116</f>
        <v>ATO FP Equity</v>
      </c>
      <c r="C308" t="str">
        <f>$C$116</f>
        <v>RR045</v>
      </c>
      <c r="D308" t="str">
        <f>$D$116</f>
        <v>TOT_DEBT_TO_TOT_CAP</v>
      </c>
      <c r="E308" t="str">
        <f>$E$116</f>
        <v>Dynamic</v>
      </c>
      <c r="F308" t="str">
        <f ca="1">_xll.BDH($B$116,$C$116,$B$200,$B$201,CONCATENATE("Per=",$B$198),"Dts=H","Dir=H",CONCATENATE("Points=",$B$199),"Sort=R","Days=A","Fill=B",CONCATENATE("FX=", $B$197) )</f>
        <v/>
      </c>
      <c r="R308" t="str">
        <f>""</f>
        <v/>
      </c>
      <c r="S308" t="str">
        <f>""</f>
        <v/>
      </c>
      <c r="T308" t="str">
        <f>""</f>
        <v/>
      </c>
      <c r="U308" t="str">
        <f>""</f>
        <v/>
      </c>
      <c r="V308" t="str">
        <f>""</f>
        <v/>
      </c>
      <c r="W308" t="str">
        <f>""</f>
        <v/>
      </c>
      <c r="X308" t="str">
        <f>""</f>
        <v/>
      </c>
      <c r="Y308" t="str">
        <f>""</f>
        <v/>
      </c>
      <c r="Z308" t="str">
        <f>""</f>
        <v/>
      </c>
      <c r="AA308" t="str">
        <f>""</f>
        <v/>
      </c>
      <c r="AB308" t="str">
        <f>""</f>
        <v/>
      </c>
      <c r="AC308" t="str">
        <f>""</f>
        <v/>
      </c>
    </row>
    <row r="309" spans="1:29" x14ac:dyDescent="0.25">
      <c r="A309" t="str">
        <f>$A$117</f>
        <v xml:space="preserve">    Capgemini SE</v>
      </c>
      <c r="B309" t="str">
        <f>$B$117</f>
        <v>CAP FP Equity</v>
      </c>
      <c r="C309" t="str">
        <f>$C$117</f>
        <v>RR045</v>
      </c>
      <c r="D309" t="str">
        <f>$D$117</f>
        <v>TOT_DEBT_TO_TOT_CAP</v>
      </c>
      <c r="E309" t="str">
        <f>$E$117</f>
        <v>Dynamic</v>
      </c>
      <c r="F309" t="str">
        <f ca="1">_xll.BDH($B$117,$C$117,$B$200,$B$201,CONCATENATE("Per=",$B$198),"Dts=H","Dir=H",CONCATENATE("Points=",$B$199),"Sort=R","Days=A","Fill=B",CONCATENATE("FX=", $B$197),"cols=12;rows=1")</f>
        <v/>
      </c>
      <c r="G309">
        <v>32.718000000000004</v>
      </c>
      <c r="R309" t="str">
        <f>""</f>
        <v/>
      </c>
      <c r="S309" t="str">
        <f>""</f>
        <v/>
      </c>
      <c r="T309" t="str">
        <f>""</f>
        <v/>
      </c>
      <c r="U309" t="str">
        <f>""</f>
        <v/>
      </c>
      <c r="V309" t="str">
        <f>""</f>
        <v/>
      </c>
      <c r="W309" t="str">
        <f>""</f>
        <v/>
      </c>
      <c r="X309" t="str">
        <f>""</f>
        <v/>
      </c>
      <c r="Y309" t="str">
        <f>""</f>
        <v/>
      </c>
      <c r="Z309" t="str">
        <f>""</f>
        <v/>
      </c>
      <c r="AA309" t="str">
        <f>""</f>
        <v/>
      </c>
      <c r="AB309" t="str">
        <f>""</f>
        <v/>
      </c>
      <c r="AC309" t="str">
        <f>""</f>
        <v/>
      </c>
    </row>
    <row r="310" spans="1:29" x14ac:dyDescent="0.25">
      <c r="A310" t="str">
        <f>$A$118</f>
        <v xml:space="preserve">    CGI Inc</v>
      </c>
      <c r="B310" t="str">
        <f>$B$118</f>
        <v>GIB US Equity</v>
      </c>
      <c r="C310" t="str">
        <f>$C$118</f>
        <v>RR045</v>
      </c>
      <c r="D310" t="str">
        <f>$D$118</f>
        <v>TOT_DEBT_TO_TOT_CAP</v>
      </c>
      <c r="E310" t="str">
        <f>$E$118</f>
        <v>Dynamic</v>
      </c>
      <c r="F310">
        <f ca="1">_xll.BDH($B$118,$C$118,$B$200,$B$201,CONCATENATE("Per=",$B$198),"Dts=H","Dir=H",CONCATENATE("Points=",$B$199),"Sort=R","Days=A","Fill=B",CONCATENATE("FX=", $B$197),"cols=12;rows=1")</f>
        <v>38.131799999999998</v>
      </c>
      <c r="G310">
        <v>29.785399999999999</v>
      </c>
      <c r="H310">
        <v>25.2971</v>
      </c>
      <c r="I310">
        <v>27.515899999999998</v>
      </c>
      <c r="J310">
        <v>23.4422</v>
      </c>
      <c r="K310">
        <v>23.9771</v>
      </c>
      <c r="L310">
        <v>21.2227</v>
      </c>
      <c r="M310">
        <v>21.4956</v>
      </c>
      <c r="N310">
        <v>20.616499999999998</v>
      </c>
      <c r="O310">
        <v>21.763300000000001</v>
      </c>
      <c r="P310">
        <v>23.0885</v>
      </c>
      <c r="Q310">
        <v>20.658100000000001</v>
      </c>
      <c r="R310" t="str">
        <f>""</f>
        <v/>
      </c>
      <c r="S310" t="str">
        <f>""</f>
        <v/>
      </c>
      <c r="T310" t="str">
        <f>""</f>
        <v/>
      </c>
      <c r="U310" t="str">
        <f>""</f>
        <v/>
      </c>
      <c r="V310" t="str">
        <f>""</f>
        <v/>
      </c>
      <c r="W310" t="str">
        <f>""</f>
        <v/>
      </c>
      <c r="X310" t="str">
        <f>""</f>
        <v/>
      </c>
      <c r="Y310" t="str">
        <f>""</f>
        <v/>
      </c>
      <c r="Z310" t="str">
        <f>""</f>
        <v/>
      </c>
      <c r="AA310" t="str">
        <f>""</f>
        <v/>
      </c>
      <c r="AB310" t="str">
        <f>""</f>
        <v/>
      </c>
      <c r="AC310" t="str">
        <f>""</f>
        <v/>
      </c>
    </row>
    <row r="311" spans="1:29" x14ac:dyDescent="0.25">
      <c r="A311" t="str">
        <f>$A$119</f>
        <v xml:space="preserve">    Cognizant Technology Solutions Corp</v>
      </c>
      <c r="B311" t="str">
        <f>$B$119</f>
        <v>CTSH US Equity</v>
      </c>
      <c r="C311" t="str">
        <f>$C$119</f>
        <v>RR045</v>
      </c>
      <c r="D311" t="str">
        <f>$D$119</f>
        <v>TOT_DEBT_TO_TOT_CAP</v>
      </c>
      <c r="E311" t="str">
        <f>$E$119</f>
        <v>Dynamic</v>
      </c>
      <c r="F311">
        <f ca="1">_xll.BDH($B$119,$C$119,$B$200,$B$201,CONCATENATE("Per=",$B$198),"Dts=H","Dir=H",CONCATENATE("Points=",$B$199),"Sort=R","Days=A","Fill=B",CONCATENATE("FX=", $B$197),"cols=12;rows=1")</f>
        <v>24.2578</v>
      </c>
      <c r="G311">
        <v>13.4375</v>
      </c>
      <c r="H311">
        <v>13.7075</v>
      </c>
      <c r="I311">
        <v>13.545199999999999</v>
      </c>
      <c r="J311">
        <v>12.638299999999999</v>
      </c>
      <c r="K311">
        <v>6.1220999999999997</v>
      </c>
      <c r="L311">
        <v>6.1870000000000003</v>
      </c>
      <c r="M311">
        <v>6.5719000000000003</v>
      </c>
      <c r="N311">
        <v>6.5725999999999996</v>
      </c>
      <c r="O311">
        <v>7.5636999999999999</v>
      </c>
      <c r="P311">
        <v>6.9733999999999998</v>
      </c>
      <c r="Q311">
        <v>8.6369000000000007</v>
      </c>
      <c r="R311" t="str">
        <f>""</f>
        <v/>
      </c>
      <c r="S311" t="str">
        <f>""</f>
        <v/>
      </c>
      <c r="T311" t="str">
        <f>""</f>
        <v/>
      </c>
      <c r="U311" t="str">
        <f>""</f>
        <v/>
      </c>
      <c r="V311" t="str">
        <f>""</f>
        <v/>
      </c>
      <c r="W311" t="str">
        <f>""</f>
        <v/>
      </c>
      <c r="X311" t="str">
        <f>""</f>
        <v/>
      </c>
      <c r="Y311" t="str">
        <f>""</f>
        <v/>
      </c>
      <c r="Z311" t="str">
        <f>""</f>
        <v/>
      </c>
      <c r="AA311" t="str">
        <f>""</f>
        <v/>
      </c>
      <c r="AB311" t="str">
        <f>""</f>
        <v/>
      </c>
      <c r="AC311" t="str">
        <f>""</f>
        <v/>
      </c>
    </row>
    <row r="312" spans="1:29" x14ac:dyDescent="0.25">
      <c r="A312" t="str">
        <f>$A$120</f>
        <v xml:space="preserve">    Conduent Inc</v>
      </c>
      <c r="B312" t="str">
        <f>$B$120</f>
        <v>CNDT US Equity</v>
      </c>
      <c r="C312" t="str">
        <f>$C$120</f>
        <v>RR045</v>
      </c>
      <c r="D312" t="str">
        <f>$D$120</f>
        <v>TOT_DEBT_TO_TOT_CAP</v>
      </c>
      <c r="E312" t="str">
        <f>$E$120</f>
        <v>Dynamic</v>
      </c>
      <c r="F312">
        <f ca="1">_xll.BDH($B$120,$C$120,$B$200,$B$201,CONCATENATE("Per=",$B$198),"Dts=H","Dir=H",CONCATENATE("Points=",$B$199),"Sort=R","Days=A","Fill=B",CONCATENATE("FX=", $B$197),"cols=12;rows=1")</f>
        <v>59.086799999999997</v>
      </c>
      <c r="G312">
        <v>56.076799999999999</v>
      </c>
      <c r="H312">
        <v>48.155799999999999</v>
      </c>
      <c r="I312">
        <v>48.317700000000002</v>
      </c>
      <c r="J312">
        <v>38.767000000000003</v>
      </c>
      <c r="K312">
        <v>31.778500000000001</v>
      </c>
      <c r="L312">
        <v>31.055499999999999</v>
      </c>
      <c r="M312">
        <v>35.954300000000003</v>
      </c>
      <c r="N312">
        <v>35.985999999999997</v>
      </c>
      <c r="O312">
        <v>35.956000000000003</v>
      </c>
      <c r="P312">
        <v>37.382199999999997</v>
      </c>
      <c r="Q312">
        <v>38.110599999999998</v>
      </c>
      <c r="R312" t="str">
        <f>""</f>
        <v/>
      </c>
      <c r="S312" t="str">
        <f>""</f>
        <v/>
      </c>
      <c r="T312" t="str">
        <f>""</f>
        <v/>
      </c>
      <c r="U312" t="str">
        <f>""</f>
        <v/>
      </c>
      <c r="V312" t="str">
        <f>""</f>
        <v/>
      </c>
      <c r="W312" t="str">
        <f>""</f>
        <v/>
      </c>
      <c r="X312" t="str">
        <f>""</f>
        <v/>
      </c>
      <c r="Y312" t="str">
        <f>""</f>
        <v/>
      </c>
      <c r="Z312" t="str">
        <f>""</f>
        <v/>
      </c>
      <c r="AA312" t="str">
        <f>""</f>
        <v/>
      </c>
      <c r="AB312" t="str">
        <f>""</f>
        <v/>
      </c>
      <c r="AC312" t="str">
        <f>""</f>
        <v/>
      </c>
    </row>
    <row r="313" spans="1:29" x14ac:dyDescent="0.25">
      <c r="A313" t="str">
        <f>$A$121</f>
        <v xml:space="preserve">    DXC Technology Co</v>
      </c>
      <c r="B313" t="str">
        <f>$B$121</f>
        <v>DXC US Equity</v>
      </c>
      <c r="C313" t="str">
        <f>$C$121</f>
        <v>RR045</v>
      </c>
      <c r="D313" t="str">
        <f>$D$121</f>
        <v>TOT_DEBT_TO_TOT_CAP</v>
      </c>
      <c r="E313" t="str">
        <f>$E$121</f>
        <v>Dynamic</v>
      </c>
      <c r="F313">
        <f ca="1">_xll.BDH($B$121,$C$121,$B$200,$B$201,CONCATENATE("Per=",$B$198),"Dts=H","Dir=H",CONCATENATE("Points=",$B$199),"Sort=R","Days=A","Fill=B",CONCATENATE("FX=", $B$197),"cols=12;rows=1")</f>
        <v>69.143299999999996</v>
      </c>
      <c r="G313">
        <v>53.547400000000003</v>
      </c>
      <c r="H313">
        <v>54.899099999999997</v>
      </c>
      <c r="I313">
        <v>49.7806</v>
      </c>
      <c r="J313">
        <v>38.731299999999997</v>
      </c>
      <c r="K313">
        <v>39.966200000000001</v>
      </c>
      <c r="L313">
        <v>37.250799999999998</v>
      </c>
      <c r="M313">
        <v>37.386099999999999</v>
      </c>
      <c r="N313">
        <v>36.664099999999998</v>
      </c>
      <c r="O313">
        <v>39.278799999999997</v>
      </c>
      <c r="P313">
        <v>40.533499999999997</v>
      </c>
      <c r="Q313">
        <v>37.642099999999999</v>
      </c>
      <c r="R313" t="str">
        <f>""</f>
        <v/>
      </c>
      <c r="S313" t="str">
        <f>""</f>
        <v/>
      </c>
      <c r="T313" t="str">
        <f>""</f>
        <v/>
      </c>
      <c r="U313" t="str">
        <f>""</f>
        <v/>
      </c>
      <c r="V313" t="str">
        <f>""</f>
        <v/>
      </c>
      <c r="W313" t="str">
        <f>""</f>
        <v/>
      </c>
      <c r="X313" t="str">
        <f>""</f>
        <v/>
      </c>
      <c r="Y313" t="str">
        <f>""</f>
        <v/>
      </c>
      <c r="Z313" t="str">
        <f>""</f>
        <v/>
      </c>
      <c r="AA313" t="str">
        <f>""</f>
        <v/>
      </c>
      <c r="AB313" t="str">
        <f>""</f>
        <v/>
      </c>
      <c r="AC313" t="str">
        <f>""</f>
        <v/>
      </c>
    </row>
    <row r="314" spans="1:29" x14ac:dyDescent="0.25">
      <c r="A314" t="str">
        <f>$A$122</f>
        <v xml:space="preserve">    EPAM Systems Inc</v>
      </c>
      <c r="B314" t="str">
        <f>$B$122</f>
        <v>EPAM US Equity</v>
      </c>
      <c r="C314" t="str">
        <f>$C$122</f>
        <v>RR045</v>
      </c>
      <c r="D314" t="str">
        <f>$D$122</f>
        <v>TOT_DEBT_TO_TOT_CAP</v>
      </c>
      <c r="E314" t="str">
        <f>$E$122</f>
        <v>Dynamic</v>
      </c>
      <c r="F314">
        <f ca="1">_xll.BDH($B$122,$C$122,$B$200,$B$201,CONCATENATE("Per=",$B$198),"Dts=H","Dir=H",CONCATENATE("Points=",$B$199),"Sort=R","Days=A","Fill=B",CONCATENATE("FX=", $B$197),"cols=12;rows=1")</f>
        <v>14.2806</v>
      </c>
      <c r="G314">
        <v>14.1677</v>
      </c>
      <c r="H314">
        <v>13.375999999999999</v>
      </c>
      <c r="I314">
        <v>14.001899999999999</v>
      </c>
      <c r="J314">
        <v>12.5924</v>
      </c>
      <c r="K314">
        <v>1.944</v>
      </c>
      <c r="L314">
        <v>2.0499000000000001</v>
      </c>
      <c r="M314">
        <v>2.1989000000000001</v>
      </c>
      <c r="N314">
        <v>2.3163</v>
      </c>
      <c r="O314">
        <v>2.5034000000000001</v>
      </c>
      <c r="P314">
        <v>2.4788999999999999</v>
      </c>
      <c r="Q314">
        <v>2.6497000000000002</v>
      </c>
      <c r="R314" t="str">
        <f>""</f>
        <v/>
      </c>
      <c r="S314" t="str">
        <f>""</f>
        <v/>
      </c>
      <c r="T314" t="str">
        <f>""</f>
        <v/>
      </c>
      <c r="U314" t="str">
        <f>""</f>
        <v/>
      </c>
      <c r="V314" t="str">
        <f>""</f>
        <v/>
      </c>
      <c r="W314" t="str">
        <f>""</f>
        <v/>
      </c>
      <c r="X314" t="str">
        <f>""</f>
        <v/>
      </c>
      <c r="Y314" t="str">
        <f>""</f>
        <v/>
      </c>
      <c r="Z314" t="str">
        <f>""</f>
        <v/>
      </c>
      <c r="AA314" t="str">
        <f>""</f>
        <v/>
      </c>
      <c r="AB314" t="str">
        <f>""</f>
        <v/>
      </c>
      <c r="AC314" t="str">
        <f>""</f>
        <v/>
      </c>
    </row>
    <row r="315" spans="1:29" x14ac:dyDescent="0.25">
      <c r="A315" t="str">
        <f>$A$123</f>
        <v xml:space="preserve">    Genpact Ltd</v>
      </c>
      <c r="B315" t="str">
        <f>$B$123</f>
        <v>G US Equity</v>
      </c>
      <c r="C315" t="str">
        <f>$C$123</f>
        <v>RR045</v>
      </c>
      <c r="D315" t="str">
        <f>$D$123</f>
        <v>TOT_DEBT_TO_TOT_CAP</v>
      </c>
      <c r="E315" t="str">
        <f>$E$123</f>
        <v>Dynamic</v>
      </c>
      <c r="F315">
        <f ca="1">_xll.BDH($B$123,$C$123,$B$200,$B$201,CONCATENATE("Per=",$B$198),"Dts=H","Dir=H",CONCATENATE("Points=",$B$199),"Sort=R","Days=A","Fill=B",CONCATENATE("FX=", $B$197),"cols=12;rows=1")</f>
        <v>55.217599999999997</v>
      </c>
      <c r="G315">
        <v>52.048999999999999</v>
      </c>
      <c r="H315">
        <v>49.726199999999999</v>
      </c>
      <c r="I315">
        <v>50.949100000000001</v>
      </c>
      <c r="J315">
        <v>52.4099</v>
      </c>
      <c r="K315">
        <v>48.152799999999999</v>
      </c>
      <c r="L315">
        <v>51.184100000000001</v>
      </c>
      <c r="M315">
        <v>48.919200000000004</v>
      </c>
      <c r="N315">
        <v>48.9773</v>
      </c>
      <c r="O315">
        <v>45.975299999999997</v>
      </c>
      <c r="P315">
        <v>47.9754</v>
      </c>
      <c r="Q315">
        <v>50.141300000000001</v>
      </c>
      <c r="R315" t="str">
        <f>""</f>
        <v/>
      </c>
      <c r="S315" t="str">
        <f>""</f>
        <v/>
      </c>
      <c r="T315" t="str">
        <f>""</f>
        <v/>
      </c>
      <c r="U315" t="str">
        <f>""</f>
        <v/>
      </c>
      <c r="V315" t="str">
        <f>""</f>
        <v/>
      </c>
      <c r="W315" t="str">
        <f>""</f>
        <v/>
      </c>
      <c r="X315" t="str">
        <f>""</f>
        <v/>
      </c>
      <c r="Y315" t="str">
        <f>""</f>
        <v/>
      </c>
      <c r="Z315" t="str">
        <f>""</f>
        <v/>
      </c>
      <c r="AA315" t="str">
        <f>""</f>
        <v/>
      </c>
      <c r="AB315" t="str">
        <f>""</f>
        <v/>
      </c>
      <c r="AC315" t="str">
        <f>""</f>
        <v/>
      </c>
    </row>
    <row r="316" spans="1:29" x14ac:dyDescent="0.25">
      <c r="A316" t="str">
        <f>$A$124</f>
        <v xml:space="preserve">    HCL Technologies Ltd</v>
      </c>
      <c r="B316" t="str">
        <f>$B$124</f>
        <v>HCLT IN Equity</v>
      </c>
      <c r="C316" t="str">
        <f>$C$124</f>
        <v>RR045</v>
      </c>
      <c r="D316" t="str">
        <f>$D$124</f>
        <v>TOT_DEBT_TO_TOT_CAP</v>
      </c>
      <c r="E316" t="str">
        <f>$E$124</f>
        <v>Dynamic</v>
      </c>
      <c r="F316">
        <f ca="1">_xll.BDH($B$124,$C$124,$B$200,$B$201,CONCATENATE("Per=",$B$198),"Dts=H","Dir=H",CONCATENATE("Points=",$B$199),"Sort=R","Days=A","Fill=B",CONCATENATE("FX=", $B$197),"cols=12;rows=1")</f>
        <v>13.267300000000001</v>
      </c>
      <c r="G316">
        <v>11.414999999999999</v>
      </c>
      <c r="H316">
        <v>12.2418</v>
      </c>
      <c r="I316">
        <v>8.6257000000000001</v>
      </c>
      <c r="J316">
        <v>9.0353999999999992</v>
      </c>
      <c r="K316">
        <v>8.8731000000000009</v>
      </c>
      <c r="L316">
        <v>6.8418999999999999</v>
      </c>
      <c r="M316">
        <v>0.91269999999999996</v>
      </c>
      <c r="N316">
        <v>1.3474999999999999</v>
      </c>
      <c r="O316">
        <v>1.4480999999999999</v>
      </c>
      <c r="P316">
        <v>2.1558000000000002</v>
      </c>
      <c r="Q316">
        <v>1.6145</v>
      </c>
      <c r="R316" t="str">
        <f>""</f>
        <v/>
      </c>
      <c r="S316" t="str">
        <f>""</f>
        <v/>
      </c>
      <c r="T316" t="str">
        <f>""</f>
        <v/>
      </c>
      <c r="U316" t="str">
        <f>""</f>
        <v/>
      </c>
      <c r="V316" t="str">
        <f>""</f>
        <v/>
      </c>
      <c r="W316" t="str">
        <f>""</f>
        <v/>
      </c>
      <c r="X316" t="str">
        <f>""</f>
        <v/>
      </c>
      <c r="Y316" t="str">
        <f>""</f>
        <v/>
      </c>
      <c r="Z316" t="str">
        <f>""</f>
        <v/>
      </c>
      <c r="AA316" t="str">
        <f>""</f>
        <v/>
      </c>
      <c r="AB316" t="str">
        <f>""</f>
        <v/>
      </c>
      <c r="AC316" t="str">
        <f>""</f>
        <v/>
      </c>
    </row>
    <row r="317" spans="1:29" x14ac:dyDescent="0.25">
      <c r="A317" t="str">
        <f>$A$125</f>
        <v xml:space="preserve">    Indra Sistemas SA</v>
      </c>
      <c r="B317" t="str">
        <f>$B$125</f>
        <v>IDR SM Equity</v>
      </c>
      <c r="C317" t="str">
        <f>$C$125</f>
        <v>RR045</v>
      </c>
      <c r="D317" t="str">
        <f>$D$125</f>
        <v>TOT_DEBT_TO_TOT_CAP</v>
      </c>
      <c r="E317" t="str">
        <f>$E$125</f>
        <v>Dynamic</v>
      </c>
      <c r="F317">
        <f ca="1">_xll.BDH($B$125,$C$125,$B$200,$B$201,CONCATENATE("Per=",$B$198),"Dts=H","Dir=H",CONCATENATE("Points=",$B$199),"Sort=R","Days=A","Fill=B",CONCATENATE("FX=", $B$197),"cols=12;rows=1")</f>
        <v>66.408900000000003</v>
      </c>
      <c r="G317">
        <v>66.566800000000001</v>
      </c>
      <c r="H317">
        <v>67.663499999999999</v>
      </c>
      <c r="I317">
        <v>69.592299999999994</v>
      </c>
      <c r="J317">
        <v>67.074200000000005</v>
      </c>
      <c r="K317">
        <v>67.398300000000006</v>
      </c>
      <c r="L317">
        <v>71.419300000000007</v>
      </c>
      <c r="M317">
        <v>72.625699999999995</v>
      </c>
      <c r="N317">
        <v>69.681200000000004</v>
      </c>
      <c r="O317">
        <v>66.485600000000005</v>
      </c>
      <c r="P317">
        <v>68.785899999999998</v>
      </c>
      <c r="Q317">
        <v>71.135099999999994</v>
      </c>
      <c r="R317" t="str">
        <f>""</f>
        <v/>
      </c>
      <c r="S317" t="str">
        <f>""</f>
        <v/>
      </c>
      <c r="T317" t="str">
        <f>""</f>
        <v/>
      </c>
      <c r="U317" t="str">
        <f>""</f>
        <v/>
      </c>
      <c r="V317" t="str">
        <f>""</f>
        <v/>
      </c>
      <c r="W317" t="str">
        <f>""</f>
        <v/>
      </c>
      <c r="X317" t="str">
        <f>""</f>
        <v/>
      </c>
      <c r="Y317" t="str">
        <f>""</f>
        <v/>
      </c>
      <c r="Z317" t="str">
        <f>""</f>
        <v/>
      </c>
      <c r="AA317" t="str">
        <f>""</f>
        <v/>
      </c>
      <c r="AB317" t="str">
        <f>""</f>
        <v/>
      </c>
      <c r="AC317" t="str">
        <f>""</f>
        <v/>
      </c>
    </row>
    <row r="318" spans="1:29" x14ac:dyDescent="0.25">
      <c r="A318" t="str">
        <f>$A$126</f>
        <v xml:space="preserve">    Infosys Ltd</v>
      </c>
      <c r="B318" t="str">
        <f>$B$126</f>
        <v>INFY US Equity</v>
      </c>
      <c r="C318" t="str">
        <f>$C$126</f>
        <v>RR045</v>
      </c>
      <c r="D318" t="str">
        <f>$D$126</f>
        <v>TOT_DEBT_TO_TOT_CAP</v>
      </c>
      <c r="E318" t="str">
        <f>$E$126</f>
        <v>Dynamic</v>
      </c>
      <c r="F318">
        <f ca="1">_xll.BDH($B$126,$C$126,$B$200,$B$201,CONCATENATE("Per=",$B$198),"Dts=H","Dir=H",CONCATENATE("Points=",$B$199),"Sort=R","Days=A","Fill=B",CONCATENATE("FX=", $B$197),"cols=12;rows=1")</f>
        <v>6.5738000000000003</v>
      </c>
      <c r="G318">
        <v>6.3373999999999997</v>
      </c>
      <c r="H318">
        <v>6.2763999999999998</v>
      </c>
      <c r="I318">
        <v>6.3143000000000002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tr">
        <f>""</f>
        <v/>
      </c>
      <c r="S318" t="str">
        <f>""</f>
        <v/>
      </c>
      <c r="T318" t="str">
        <f>""</f>
        <v/>
      </c>
      <c r="U318" t="str">
        <f>""</f>
        <v/>
      </c>
      <c r="V318" t="str">
        <f>""</f>
        <v/>
      </c>
      <c r="W318" t="str">
        <f>""</f>
        <v/>
      </c>
      <c r="X318" t="str">
        <f>""</f>
        <v/>
      </c>
      <c r="Y318" t="str">
        <f>""</f>
        <v/>
      </c>
      <c r="Z318" t="str">
        <f>""</f>
        <v/>
      </c>
      <c r="AA318" t="str">
        <f>""</f>
        <v/>
      </c>
      <c r="AB318" t="str">
        <f>""</f>
        <v/>
      </c>
      <c r="AC318" t="str">
        <f>""</f>
        <v/>
      </c>
    </row>
    <row r="319" spans="1:29" x14ac:dyDescent="0.25">
      <c r="A319" t="str">
        <f>$A$127</f>
        <v xml:space="preserve">    International Business Machines Corp</v>
      </c>
      <c r="B319" t="str">
        <f>$B$127</f>
        <v>IBM US Equity</v>
      </c>
      <c r="C319" t="str">
        <f>$C$127</f>
        <v>RR045</v>
      </c>
      <c r="D319" t="str">
        <f>$D$127</f>
        <v>TOT_DEBT_TO_TOT_CAP</v>
      </c>
      <c r="E319" t="str">
        <f>$E$127</f>
        <v>Dynamic</v>
      </c>
      <c r="F319">
        <f ca="1">_xll.BDH($B$127,$C$127,$B$200,$B$201,CONCATENATE("Per=",$B$198),"Dts=H","Dir=H",CONCATENATE("Points=",$B$199),"Sort=R","Days=A","Fill=B",CONCATENATE("FX=", $B$197),"cols=12;rows=1")</f>
        <v>77.530900000000003</v>
      </c>
      <c r="G319">
        <v>76.459999999999994</v>
      </c>
      <c r="H319">
        <v>78.335700000000003</v>
      </c>
      <c r="I319">
        <v>80.208200000000005</v>
      </c>
      <c r="J319">
        <v>74.573999999999998</v>
      </c>
      <c r="K319">
        <v>70.025300000000001</v>
      </c>
      <c r="L319">
        <v>67.100999999999999</v>
      </c>
      <c r="M319">
        <v>67.732600000000005</v>
      </c>
      <c r="N319">
        <v>68.457400000000007</v>
      </c>
      <c r="O319">
        <v>69.480699999999999</v>
      </c>
      <c r="P319">
        <v>63.354599999999998</v>
      </c>
      <c r="Q319">
        <v>65.360299999999995</v>
      </c>
      <c r="R319" t="str">
        <f>""</f>
        <v/>
      </c>
      <c r="S319" t="str">
        <f>""</f>
        <v/>
      </c>
      <c r="T319" t="str">
        <f>""</f>
        <v/>
      </c>
      <c r="U319" t="str">
        <f>""</f>
        <v/>
      </c>
      <c r="V319" t="str">
        <f>""</f>
        <v/>
      </c>
      <c r="W319" t="str">
        <f>""</f>
        <v/>
      </c>
      <c r="X319" t="str">
        <f>""</f>
        <v/>
      </c>
      <c r="Y319" t="str">
        <f>""</f>
        <v/>
      </c>
      <c r="Z319" t="str">
        <f>""</f>
        <v/>
      </c>
      <c r="AA319" t="str">
        <f>""</f>
        <v/>
      </c>
      <c r="AB319" t="str">
        <f>""</f>
        <v/>
      </c>
      <c r="AC319" t="str">
        <f>""</f>
        <v/>
      </c>
    </row>
    <row r="320" spans="1:29" x14ac:dyDescent="0.25">
      <c r="A320" t="str">
        <f>$A$128</f>
        <v xml:space="preserve">    Tata Consultancy Services Ltd</v>
      </c>
      <c r="B320" t="str">
        <f>$B$128</f>
        <v>TCS IN Equity</v>
      </c>
      <c r="C320" t="str">
        <f>$C$128</f>
        <v>RR045</v>
      </c>
      <c r="D320" t="str">
        <f>$D$128</f>
        <v>TOT_DEBT_TO_TOT_CAP</v>
      </c>
      <c r="E320" t="str">
        <f>$E$128</f>
        <v>Dynamic</v>
      </c>
      <c r="F320">
        <f ca="1">_xll.BDH($B$128,$C$128,$B$200,$B$201,CONCATENATE("Per=",$B$198),"Dts=H","Dir=H",CONCATENATE("Points=",$B$199),"Sort=R","Days=A","Fill=B",CONCATENATE("FX=", $B$197),"cols=12;rows=1")</f>
        <v>8.6008999999999993</v>
      </c>
      <c r="G320">
        <v>7.6142000000000003</v>
      </c>
      <c r="H320">
        <v>6.4950000000000001</v>
      </c>
      <c r="I320">
        <v>6.9302999999999999</v>
      </c>
      <c r="J320">
        <v>6.7299999999999999E-2</v>
      </c>
      <c r="K320">
        <v>7.3400000000000007E-2</v>
      </c>
      <c r="L320">
        <v>0.08</v>
      </c>
      <c r="M320">
        <v>7.3700000000000002E-2</v>
      </c>
      <c r="N320">
        <v>0.28100000000000003</v>
      </c>
      <c r="O320">
        <v>9.2700000000000005E-2</v>
      </c>
      <c r="P320">
        <v>0.1018</v>
      </c>
      <c r="Q320">
        <v>0.11409999999999999</v>
      </c>
      <c r="R320" t="str">
        <f>""</f>
        <v/>
      </c>
      <c r="S320" t="str">
        <f>""</f>
        <v/>
      </c>
      <c r="T320" t="str">
        <f>""</f>
        <v/>
      </c>
      <c r="U320" t="str">
        <f>""</f>
        <v/>
      </c>
      <c r="V320" t="str">
        <f>""</f>
        <v/>
      </c>
      <c r="W320" t="str">
        <f>""</f>
        <v/>
      </c>
      <c r="X320" t="str">
        <f>""</f>
        <v/>
      </c>
      <c r="Y320" t="str">
        <f>""</f>
        <v/>
      </c>
      <c r="Z320" t="str">
        <f>""</f>
        <v/>
      </c>
      <c r="AA320" t="str">
        <f>""</f>
        <v/>
      </c>
      <c r="AB320" t="str">
        <f>""</f>
        <v/>
      </c>
      <c r="AC320" t="str">
        <f>""</f>
        <v/>
      </c>
    </row>
    <row r="321" spans="1:29" x14ac:dyDescent="0.25">
      <c r="A321" t="str">
        <f>$A$129</f>
        <v xml:space="preserve">    Tech Mahindra Ltd</v>
      </c>
      <c r="B321" t="str">
        <f>$B$129</f>
        <v>TECHM IN Equity</v>
      </c>
      <c r="C321" t="str">
        <f>$C$129</f>
        <v>RR045</v>
      </c>
      <c r="D321" t="str">
        <f>$D$129</f>
        <v>TOT_DEBT_TO_TOT_CAP</v>
      </c>
      <c r="E321" t="str">
        <f>$E$129</f>
        <v>Dynamic</v>
      </c>
      <c r="F321">
        <f ca="1">_xll.BDH($B$129,$C$129,$B$200,$B$201,CONCATENATE("Per=",$B$198),"Dts=H","Dir=H",CONCATENATE("Points=",$B$199),"Sort=R","Days=A","Fill=B",CONCATENATE("FX=", $B$197),"cols=12;rows=1")</f>
        <v>9.8568999999999996</v>
      </c>
      <c r="G321">
        <v>12.4537</v>
      </c>
      <c r="H321">
        <v>12.866300000000001</v>
      </c>
      <c r="I321">
        <v>10.061299999999999</v>
      </c>
      <c r="J321">
        <v>8.7684999999999995</v>
      </c>
      <c r="K321">
        <v>7.0053999999999998</v>
      </c>
      <c r="L321">
        <v>6.9501999999999997</v>
      </c>
      <c r="M321">
        <v>8.1151999999999997</v>
      </c>
      <c r="N321">
        <v>11.019600000000001</v>
      </c>
      <c r="O321">
        <v>7.8475999999999999</v>
      </c>
      <c r="P321">
        <v>7.5221</v>
      </c>
      <c r="Q321">
        <v>7.3621999999999996</v>
      </c>
      <c r="R321" t="str">
        <f>""</f>
        <v/>
      </c>
      <c r="S321" t="str">
        <f>""</f>
        <v/>
      </c>
      <c r="T321" t="str">
        <f>""</f>
        <v/>
      </c>
      <c r="U321" t="str">
        <f>""</f>
        <v/>
      </c>
      <c r="V321" t="str">
        <f>""</f>
        <v/>
      </c>
      <c r="W321" t="str">
        <f>""</f>
        <v/>
      </c>
      <c r="X321" t="str">
        <f>""</f>
        <v/>
      </c>
      <c r="Y321" t="str">
        <f>""</f>
        <v/>
      </c>
      <c r="Z321" t="str">
        <f>""</f>
        <v/>
      </c>
      <c r="AA321" t="str">
        <f>""</f>
        <v/>
      </c>
      <c r="AB321" t="str">
        <f>""</f>
        <v/>
      </c>
      <c r="AC321" t="str">
        <f>""</f>
        <v/>
      </c>
    </row>
    <row r="322" spans="1:29" x14ac:dyDescent="0.25">
      <c r="A322" t="str">
        <f>$A$130</f>
        <v xml:space="preserve">    Wipro Ltd</v>
      </c>
      <c r="B322" t="str">
        <f>$B$130</f>
        <v>WIT US Equity</v>
      </c>
      <c r="C322" t="str">
        <f>$C$130</f>
        <v>RR045</v>
      </c>
      <c r="D322" t="str">
        <f>$D$130</f>
        <v>TOT_DEBT_TO_TOT_CAP</v>
      </c>
      <c r="E322" t="str">
        <f>$E$130</f>
        <v>Dynamic</v>
      </c>
      <c r="F322">
        <f ca="1">_xll.BDH($B$130,$C$130,$B$200,$B$201,CONCATENATE("Per=",$B$198),"Dts=H","Dir=H",CONCATENATE("Points=",$B$199),"Sort=R","Days=A","Fill=B",CONCATENATE("FX=", $B$197),"cols=12;rows=1")</f>
        <v>14.8102</v>
      </c>
      <c r="G322">
        <v>17.107399999999998</v>
      </c>
      <c r="H322">
        <v>17.727699999999999</v>
      </c>
      <c r="I322">
        <v>16.864999999999998</v>
      </c>
      <c r="J322">
        <v>14.8409</v>
      </c>
      <c r="K322">
        <v>15.8903</v>
      </c>
      <c r="L322">
        <v>18.023299999999999</v>
      </c>
      <c r="M322">
        <v>19.002099999999999</v>
      </c>
      <c r="N322">
        <v>22.1709</v>
      </c>
      <c r="O322">
        <v>21.814699999999998</v>
      </c>
      <c r="P322">
        <v>20.466100000000001</v>
      </c>
      <c r="Q322">
        <v>21.208100000000002</v>
      </c>
      <c r="R322" t="str">
        <f>""</f>
        <v/>
      </c>
      <c r="S322" t="str">
        <f>""</f>
        <v/>
      </c>
      <c r="T322" t="str">
        <f>""</f>
        <v/>
      </c>
      <c r="U322" t="str">
        <f>""</f>
        <v/>
      </c>
      <c r="V322" t="str">
        <f>""</f>
        <v/>
      </c>
      <c r="W322" t="str">
        <f>""</f>
        <v/>
      </c>
      <c r="X322" t="str">
        <f>""</f>
        <v/>
      </c>
      <c r="Y322" t="str">
        <f>""</f>
        <v/>
      </c>
      <c r="Z322" t="str">
        <f>""</f>
        <v/>
      </c>
      <c r="AA322" t="str">
        <f>""</f>
        <v/>
      </c>
      <c r="AB322" t="str">
        <f>""</f>
        <v/>
      </c>
      <c r="AC322" t="str">
        <f>""</f>
        <v/>
      </c>
    </row>
    <row r="323" spans="1:29" x14ac:dyDescent="0.25">
      <c r="A323" t="str">
        <f>$A$132</f>
        <v xml:space="preserve">    Accenture PLC</v>
      </c>
      <c r="B323" t="str">
        <f>$B$132</f>
        <v>ACN US Equity</v>
      </c>
      <c r="C323" t="str">
        <f>$C$132</f>
        <v>RR732</v>
      </c>
      <c r="D323" t="str">
        <f>$D$132</f>
        <v>TOT_DEBT_TO_TOT_EQY</v>
      </c>
      <c r="E323" t="str">
        <f>$E$132</f>
        <v>Dynamic</v>
      </c>
      <c r="F323">
        <f ca="1">_xll.BDH($B$132,$C$132,$B$200,$B$201,CONCATENATE("Per=",$B$198),"Dts=H","Dir=H",CONCATENATE("Points=",$B$199),"Sort=R","Days=A","Fill=B",CONCATENATE("FX=", $B$197),"cols=12;rows=1")</f>
        <v>21.419799999999999</v>
      </c>
      <c r="G323">
        <v>21.6783</v>
      </c>
      <c r="H323">
        <v>0.15279999999999999</v>
      </c>
      <c r="I323">
        <v>0.1696</v>
      </c>
      <c r="J323">
        <v>0.1757</v>
      </c>
      <c r="K323">
        <v>0.18859999999999999</v>
      </c>
      <c r="L323">
        <v>0.23319999999999999</v>
      </c>
      <c r="M323">
        <v>0.28360000000000002</v>
      </c>
      <c r="N323">
        <v>0.27629999999999999</v>
      </c>
      <c r="O323">
        <v>0.25480000000000003</v>
      </c>
      <c r="P323">
        <v>0.25819999999999999</v>
      </c>
      <c r="Q323">
        <v>0.31180000000000002</v>
      </c>
      <c r="R323" t="str">
        <f>""</f>
        <v/>
      </c>
      <c r="S323" t="str">
        <f>""</f>
        <v/>
      </c>
      <c r="T323" t="str">
        <f>""</f>
        <v/>
      </c>
      <c r="U323" t="str">
        <f>""</f>
        <v/>
      </c>
      <c r="V323" t="str">
        <f>""</f>
        <v/>
      </c>
      <c r="W323" t="str">
        <f>""</f>
        <v/>
      </c>
      <c r="X323" t="str">
        <f>""</f>
        <v/>
      </c>
      <c r="Y323" t="str">
        <f>""</f>
        <v/>
      </c>
      <c r="Z323" t="str">
        <f>""</f>
        <v/>
      </c>
      <c r="AA323" t="str">
        <f>""</f>
        <v/>
      </c>
      <c r="AB323" t="str">
        <f>""</f>
        <v/>
      </c>
      <c r="AC323" t="str">
        <f>""</f>
        <v/>
      </c>
    </row>
    <row r="324" spans="1:29" x14ac:dyDescent="0.25">
      <c r="A324" t="str">
        <f>$A$133</f>
        <v xml:space="preserve">    Amdocs Ltd</v>
      </c>
      <c r="B324" t="str">
        <f>$B$133</f>
        <v>DOX US Equity</v>
      </c>
      <c r="C324" t="str">
        <f>$C$133</f>
        <v>RR732</v>
      </c>
      <c r="D324" t="str">
        <f>$D$133</f>
        <v>TOT_DEBT_TO_TOT_EQY</v>
      </c>
      <c r="E324" t="str">
        <f>$E$133</f>
        <v>Dynamic</v>
      </c>
      <c r="F324">
        <f ca="1">_xll.BDH($B$133,$C$133,$B$200,$B$201,CONCATENATE("Per=",$B$198),"Dts=H","Dir=H",CONCATENATE("Points=",$B$199),"Sort=R","Days=A","Fill=B",CONCATENATE("FX=", $B$197),"cols=12;rows=1")</f>
        <v>17.552099999999999</v>
      </c>
      <c r="G324">
        <v>7.8567999999999998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3.3275999999999999</v>
      </c>
      <c r="O324">
        <v>0</v>
      </c>
      <c r="P324">
        <v>0</v>
      </c>
      <c r="Q324">
        <v>0</v>
      </c>
      <c r="R324" t="str">
        <f>""</f>
        <v/>
      </c>
      <c r="S324" t="str">
        <f>""</f>
        <v/>
      </c>
      <c r="T324" t="str">
        <f>""</f>
        <v/>
      </c>
      <c r="U324" t="str">
        <f>""</f>
        <v/>
      </c>
      <c r="V324" t="str">
        <f>""</f>
        <v/>
      </c>
      <c r="W324" t="str">
        <f>""</f>
        <v/>
      </c>
      <c r="X324" t="str">
        <f>""</f>
        <v/>
      </c>
      <c r="Y324" t="str">
        <f>""</f>
        <v/>
      </c>
      <c r="Z324" t="str">
        <f>""</f>
        <v/>
      </c>
      <c r="AA324" t="str">
        <f>""</f>
        <v/>
      </c>
      <c r="AB324" t="str">
        <f>""</f>
        <v/>
      </c>
      <c r="AC324" t="str">
        <f>""</f>
        <v/>
      </c>
    </row>
    <row r="325" spans="1:29" x14ac:dyDescent="0.25">
      <c r="A325" t="str">
        <f>$A$134</f>
        <v xml:space="preserve">    Atos SE</v>
      </c>
      <c r="B325" t="str">
        <f>$B$134</f>
        <v>ATO FP Equity</v>
      </c>
      <c r="C325" t="str">
        <f>$C$134</f>
        <v>RR732</v>
      </c>
      <c r="D325" t="str">
        <f>$D$134</f>
        <v>TOT_DEBT_TO_TOT_EQY</v>
      </c>
      <c r="E325" t="str">
        <f>$E$134</f>
        <v>Dynamic</v>
      </c>
      <c r="F325" t="str">
        <f ca="1">_xll.BDH($B$134,$C$134,$B$200,$B$201,CONCATENATE("Per=",$B$198),"Dts=H","Dir=H",CONCATENATE("Points=",$B$199),"Sort=R","Days=A","Fill=B",CONCATENATE("FX=", $B$197) )</f>
        <v/>
      </c>
      <c r="R325" t="str">
        <f>""</f>
        <v/>
      </c>
      <c r="S325" t="str">
        <f>""</f>
        <v/>
      </c>
      <c r="T325" t="str">
        <f>""</f>
        <v/>
      </c>
      <c r="U325" t="str">
        <f>""</f>
        <v/>
      </c>
      <c r="V325" t="str">
        <f>""</f>
        <v/>
      </c>
      <c r="W325" t="str">
        <f>""</f>
        <v/>
      </c>
      <c r="X325" t="str">
        <f>""</f>
        <v/>
      </c>
      <c r="Y325" t="str">
        <f>""</f>
        <v/>
      </c>
      <c r="Z325" t="str">
        <f>""</f>
        <v/>
      </c>
      <c r="AA325" t="str">
        <f>""</f>
        <v/>
      </c>
      <c r="AB325" t="str">
        <f>""</f>
        <v/>
      </c>
      <c r="AC325" t="str">
        <f>""</f>
        <v/>
      </c>
    </row>
    <row r="326" spans="1:29" x14ac:dyDescent="0.25">
      <c r="A326" t="str">
        <f>$A$135</f>
        <v xml:space="preserve">    Capgemini SE</v>
      </c>
      <c r="B326" t="str">
        <f>$B$135</f>
        <v>CAP FP Equity</v>
      </c>
      <c r="C326" t="str">
        <f>$C$135</f>
        <v>RR732</v>
      </c>
      <c r="D326" t="str">
        <f>$D$135</f>
        <v>TOT_DEBT_TO_TOT_EQY</v>
      </c>
      <c r="E326" t="str">
        <f>$E$135</f>
        <v>Dynamic</v>
      </c>
      <c r="F326" t="str">
        <f ca="1">_xll.BDH($B$135,$C$135,$B$200,$B$201,CONCATENATE("Per=",$B$198),"Dts=H","Dir=H",CONCATENATE("Points=",$B$199),"Sort=R","Days=A","Fill=B",CONCATENATE("FX=", $B$197),"cols=12;rows=1")</f>
        <v/>
      </c>
      <c r="G326">
        <v>48.628100000000003</v>
      </c>
      <c r="R326" t="str">
        <f>""</f>
        <v/>
      </c>
      <c r="S326" t="str">
        <f>""</f>
        <v/>
      </c>
      <c r="T326" t="str">
        <f>""</f>
        <v/>
      </c>
      <c r="U326" t="str">
        <f>""</f>
        <v/>
      </c>
      <c r="V326" t="str">
        <f>""</f>
        <v/>
      </c>
      <c r="W326" t="str">
        <f>""</f>
        <v/>
      </c>
      <c r="X326" t="str">
        <f>""</f>
        <v/>
      </c>
      <c r="Y326" t="str">
        <f>""</f>
        <v/>
      </c>
      <c r="Z326" t="str">
        <f>""</f>
        <v/>
      </c>
      <c r="AA326" t="str">
        <f>""</f>
        <v/>
      </c>
      <c r="AB326" t="str">
        <f>""</f>
        <v/>
      </c>
      <c r="AC326" t="str">
        <f>""</f>
        <v/>
      </c>
    </row>
    <row r="327" spans="1:29" x14ac:dyDescent="0.25">
      <c r="A327" t="str">
        <f>$A$136</f>
        <v xml:space="preserve">    CGI Inc</v>
      </c>
      <c r="B327" t="str">
        <f>$B$136</f>
        <v>GIB US Equity</v>
      </c>
      <c r="C327" t="str">
        <f>$C$136</f>
        <v>RR732</v>
      </c>
      <c r="D327" t="str">
        <f>$D$136</f>
        <v>TOT_DEBT_TO_TOT_EQY</v>
      </c>
      <c r="E327" t="str">
        <f>$E$136</f>
        <v>Dynamic</v>
      </c>
      <c r="F327">
        <f ca="1">_xll.BDH($B$136,$C$136,$B$200,$B$201,CONCATENATE("Per=",$B$198),"Dts=H","Dir=H",CONCATENATE("Points=",$B$199),"Sort=R","Days=A","Fill=B",CONCATENATE("FX=", $B$197),"cols=12;rows=1")</f>
        <v>61.633899999999997</v>
      </c>
      <c r="G327">
        <v>42.4206</v>
      </c>
      <c r="H327">
        <v>33.863599999999998</v>
      </c>
      <c r="I327">
        <v>37.961300000000001</v>
      </c>
      <c r="J327">
        <v>30.6203</v>
      </c>
      <c r="K327">
        <v>31.539400000000001</v>
      </c>
      <c r="L327">
        <v>26.940100000000001</v>
      </c>
      <c r="M327">
        <v>27.381399999999999</v>
      </c>
      <c r="N327">
        <v>25.970700000000001</v>
      </c>
      <c r="O327">
        <v>27.817299999999999</v>
      </c>
      <c r="P327">
        <v>30.019600000000001</v>
      </c>
      <c r="Q327">
        <v>26.036899999999999</v>
      </c>
      <c r="R327" t="str">
        <f>""</f>
        <v/>
      </c>
      <c r="S327" t="str">
        <f>""</f>
        <v/>
      </c>
      <c r="T327" t="str">
        <f>""</f>
        <v/>
      </c>
      <c r="U327" t="str">
        <f>""</f>
        <v/>
      </c>
      <c r="V327" t="str">
        <f>""</f>
        <v/>
      </c>
      <c r="W327" t="str">
        <f>""</f>
        <v/>
      </c>
      <c r="X327" t="str">
        <f>""</f>
        <v/>
      </c>
      <c r="Y327" t="str">
        <f>""</f>
        <v/>
      </c>
      <c r="Z327" t="str">
        <f>""</f>
        <v/>
      </c>
      <c r="AA327" t="str">
        <f>""</f>
        <v/>
      </c>
      <c r="AB327" t="str">
        <f>""</f>
        <v/>
      </c>
      <c r="AC327" t="str">
        <f>""</f>
        <v/>
      </c>
    </row>
    <row r="328" spans="1:29" x14ac:dyDescent="0.25">
      <c r="A328" t="str">
        <f>$A$137</f>
        <v xml:space="preserve">    Cognizant Technology Solutions Corp</v>
      </c>
      <c r="B328" t="str">
        <f>$B$137</f>
        <v>CTSH US Equity</v>
      </c>
      <c r="C328" t="str">
        <f>$C$137</f>
        <v>RR732</v>
      </c>
      <c r="D328" t="str">
        <f>$D$137</f>
        <v>TOT_DEBT_TO_TOT_EQY</v>
      </c>
      <c r="E328" t="str">
        <f>$E$137</f>
        <v>Dynamic</v>
      </c>
      <c r="F328">
        <f ca="1">_xll.BDH($B$137,$C$137,$B$200,$B$201,CONCATENATE("Per=",$B$198),"Dts=H","Dir=H",CONCATENATE("Points=",$B$199),"Sort=R","Days=A","Fill=B",CONCATENATE("FX=", $B$197),"cols=12;rows=1")</f>
        <v>32.026800000000001</v>
      </c>
      <c r="G328">
        <v>15.5235</v>
      </c>
      <c r="H328">
        <v>15.8849</v>
      </c>
      <c r="I328">
        <v>15.667300000000001</v>
      </c>
      <c r="J328">
        <v>14.4666</v>
      </c>
      <c r="K328">
        <v>6.5213999999999999</v>
      </c>
      <c r="L328">
        <v>6.5949999999999998</v>
      </c>
      <c r="M328">
        <v>7.0342000000000002</v>
      </c>
      <c r="N328">
        <v>7.0349000000000004</v>
      </c>
      <c r="O328">
        <v>8.1826000000000008</v>
      </c>
      <c r="P328">
        <v>7.4961000000000002</v>
      </c>
      <c r="Q328">
        <v>9.4534000000000002</v>
      </c>
      <c r="R328" t="str">
        <f>""</f>
        <v/>
      </c>
      <c r="S328" t="str">
        <f>""</f>
        <v/>
      </c>
      <c r="T328" t="str">
        <f>""</f>
        <v/>
      </c>
      <c r="U328" t="str">
        <f>""</f>
        <v/>
      </c>
      <c r="V328" t="str">
        <f>""</f>
        <v/>
      </c>
      <c r="W328" t="str">
        <f>""</f>
        <v/>
      </c>
      <c r="X328" t="str">
        <f>""</f>
        <v/>
      </c>
      <c r="Y328" t="str">
        <f>""</f>
        <v/>
      </c>
      <c r="Z328" t="str">
        <f>""</f>
        <v/>
      </c>
      <c r="AA328" t="str">
        <f>""</f>
        <v/>
      </c>
      <c r="AB328" t="str">
        <f>""</f>
        <v/>
      </c>
      <c r="AC328" t="str">
        <f>""</f>
        <v/>
      </c>
    </row>
    <row r="329" spans="1:29" x14ac:dyDescent="0.25">
      <c r="A329" t="str">
        <f>$A$138</f>
        <v xml:space="preserve">    Conduent Inc</v>
      </c>
      <c r="B329" t="str">
        <f>$B$138</f>
        <v>CNDT US Equity</v>
      </c>
      <c r="C329" t="str">
        <f>$C$138</f>
        <v>RR732</v>
      </c>
      <c r="D329" t="str">
        <f>$D$138</f>
        <v>TOT_DEBT_TO_TOT_EQY</v>
      </c>
      <c r="E329" t="str">
        <f>$E$138</f>
        <v>Dynamic</v>
      </c>
      <c r="F329">
        <f ca="1">_xll.BDH($B$138,$C$138,$B$200,$B$201,CONCATENATE("Per=",$B$198),"Dts=H","Dir=H",CONCATENATE("Points=",$B$199),"Sort=R","Days=A","Fill=B",CONCATENATE("FX=", $B$197),"cols=12;rows=1")</f>
        <v>144.41999999999999</v>
      </c>
      <c r="G329">
        <v>127.6699</v>
      </c>
      <c r="H329">
        <v>92.885599999999997</v>
      </c>
      <c r="I329">
        <v>93.49</v>
      </c>
      <c r="J329">
        <v>63.310499999999998</v>
      </c>
      <c r="K329">
        <v>46.581499999999998</v>
      </c>
      <c r="L329">
        <v>45.0443</v>
      </c>
      <c r="M329">
        <v>56.138399999999997</v>
      </c>
      <c r="N329">
        <v>56.215800000000002</v>
      </c>
      <c r="O329">
        <v>56.142699999999998</v>
      </c>
      <c r="P329">
        <v>59.698900000000002</v>
      </c>
      <c r="Q329">
        <v>61.578499999999998</v>
      </c>
      <c r="R329" t="str">
        <f>""</f>
        <v/>
      </c>
      <c r="S329" t="str">
        <f>""</f>
        <v/>
      </c>
      <c r="T329" t="str">
        <f>""</f>
        <v/>
      </c>
      <c r="U329" t="str">
        <f>""</f>
        <v/>
      </c>
      <c r="V329" t="str">
        <f>""</f>
        <v/>
      </c>
      <c r="W329" t="str">
        <f>""</f>
        <v/>
      </c>
      <c r="X329" t="str">
        <f>""</f>
        <v/>
      </c>
      <c r="Y329" t="str">
        <f>""</f>
        <v/>
      </c>
      <c r="Z329" t="str">
        <f>""</f>
        <v/>
      </c>
      <c r="AA329" t="str">
        <f>""</f>
        <v/>
      </c>
      <c r="AB329" t="str">
        <f>""</f>
        <v/>
      </c>
      <c r="AC329" t="str">
        <f>""</f>
        <v/>
      </c>
    </row>
    <row r="330" spans="1:29" x14ac:dyDescent="0.25">
      <c r="A330" t="str">
        <f>$A$139</f>
        <v xml:space="preserve">    DXC Technology Co</v>
      </c>
      <c r="B330" t="str">
        <f>$B$139</f>
        <v>DXC US Equity</v>
      </c>
      <c r="C330" t="str">
        <f>$C$139</f>
        <v>RR732</v>
      </c>
      <c r="D330" t="str">
        <f>$D$139</f>
        <v>TOT_DEBT_TO_TOT_EQY</v>
      </c>
      <c r="E330" t="str">
        <f>$E$139</f>
        <v>Dynamic</v>
      </c>
      <c r="F330">
        <f ca="1">_xll.BDH($B$139,$C$139,$B$200,$B$201,CONCATENATE("Per=",$B$198),"Dts=H","Dir=H",CONCATENATE("Points=",$B$199),"Sort=R","Days=A","Fill=B",CONCATENATE("FX=", $B$197),"cols=12;rows=1")</f>
        <v>224.0788</v>
      </c>
      <c r="G330">
        <v>115.273</v>
      </c>
      <c r="H330">
        <v>121.72490000000001</v>
      </c>
      <c r="I330">
        <v>99.126300000000001</v>
      </c>
      <c r="J330">
        <v>63.215400000000002</v>
      </c>
      <c r="K330">
        <v>66.572699999999998</v>
      </c>
      <c r="L330">
        <v>59.364699999999999</v>
      </c>
      <c r="M330">
        <v>59.708799999999997</v>
      </c>
      <c r="N330">
        <v>57.888300000000001</v>
      </c>
      <c r="O330">
        <v>64.687200000000004</v>
      </c>
      <c r="P330">
        <v>68.161799999999999</v>
      </c>
      <c r="Q330">
        <v>60.3645</v>
      </c>
      <c r="R330" t="str">
        <f>""</f>
        <v/>
      </c>
      <c r="S330" t="str">
        <f>""</f>
        <v/>
      </c>
      <c r="T330" t="str">
        <f>""</f>
        <v/>
      </c>
      <c r="U330" t="str">
        <f>""</f>
        <v/>
      </c>
      <c r="V330" t="str">
        <f>""</f>
        <v/>
      </c>
      <c r="W330" t="str">
        <f>""</f>
        <v/>
      </c>
      <c r="X330" t="str">
        <f>""</f>
        <v/>
      </c>
      <c r="Y330" t="str">
        <f>""</f>
        <v/>
      </c>
      <c r="Z330" t="str">
        <f>""</f>
        <v/>
      </c>
      <c r="AA330" t="str">
        <f>""</f>
        <v/>
      </c>
      <c r="AB330" t="str">
        <f>""</f>
        <v/>
      </c>
      <c r="AC330" t="str">
        <f>""</f>
        <v/>
      </c>
    </row>
    <row r="331" spans="1:29" x14ac:dyDescent="0.25">
      <c r="A331" t="str">
        <f>$A$140</f>
        <v xml:space="preserve">    EPAM Systems Inc</v>
      </c>
      <c r="B331" t="str">
        <f>$B$140</f>
        <v>EPAM US Equity</v>
      </c>
      <c r="C331" t="str">
        <f>$C$140</f>
        <v>RR732</v>
      </c>
      <c r="D331" t="str">
        <f>$D$140</f>
        <v>TOT_DEBT_TO_TOT_EQY</v>
      </c>
      <c r="E331" t="str">
        <f>$E$140</f>
        <v>Dynamic</v>
      </c>
      <c r="F331">
        <f ca="1">_xll.BDH($B$140,$C$140,$B$200,$B$201,CONCATENATE("Per=",$B$198),"Dts=H","Dir=H",CONCATENATE("Points=",$B$199),"Sort=R","Days=A","Fill=B",CONCATENATE("FX=", $B$197),"cols=12;rows=1")</f>
        <v>16.659700000000001</v>
      </c>
      <c r="G331">
        <v>16.5063</v>
      </c>
      <c r="H331">
        <v>15.4414</v>
      </c>
      <c r="I331">
        <v>16.281700000000001</v>
      </c>
      <c r="J331">
        <v>14.406499999999999</v>
      </c>
      <c r="K331">
        <v>1.9824999999999999</v>
      </c>
      <c r="L331">
        <v>2.0928</v>
      </c>
      <c r="M331">
        <v>2.2484000000000002</v>
      </c>
      <c r="N331">
        <v>2.3713000000000002</v>
      </c>
      <c r="O331">
        <v>2.5676000000000001</v>
      </c>
      <c r="P331">
        <v>2.5419</v>
      </c>
      <c r="Q331">
        <v>2.7218</v>
      </c>
      <c r="R331" t="str">
        <f>""</f>
        <v/>
      </c>
      <c r="S331" t="str">
        <f>""</f>
        <v/>
      </c>
      <c r="T331" t="str">
        <f>""</f>
        <v/>
      </c>
      <c r="U331" t="str">
        <f>""</f>
        <v/>
      </c>
      <c r="V331" t="str">
        <f>""</f>
        <v/>
      </c>
      <c r="W331" t="str">
        <f>""</f>
        <v/>
      </c>
      <c r="X331" t="str">
        <f>""</f>
        <v/>
      </c>
      <c r="Y331" t="str">
        <f>""</f>
        <v/>
      </c>
      <c r="Z331" t="str">
        <f>""</f>
        <v/>
      </c>
      <c r="AA331" t="str">
        <f>""</f>
        <v/>
      </c>
      <c r="AB331" t="str">
        <f>""</f>
        <v/>
      </c>
      <c r="AC331" t="str">
        <f>""</f>
        <v/>
      </c>
    </row>
    <row r="332" spans="1:29" x14ac:dyDescent="0.25">
      <c r="A332" t="str">
        <f>$A$141</f>
        <v xml:space="preserve">    Genpact Ltd</v>
      </c>
      <c r="B332" t="str">
        <f>$B$141</f>
        <v>G US Equity</v>
      </c>
      <c r="C332" t="str">
        <f>$C$141</f>
        <v>RR732</v>
      </c>
      <c r="D332" t="str">
        <f>$D$141</f>
        <v>TOT_DEBT_TO_TOT_EQY</v>
      </c>
      <c r="E332" t="str">
        <f>$E$141</f>
        <v>Dynamic</v>
      </c>
      <c r="F332">
        <f ca="1">_xll.BDH($B$141,$C$141,$B$200,$B$201,CONCATENATE("Per=",$B$198),"Dts=H","Dir=H",CONCATENATE("Points=",$B$199),"Sort=R","Days=A","Fill=B",CONCATENATE("FX=", $B$197),"cols=12;rows=1")</f>
        <v>123.3019</v>
      </c>
      <c r="G332">
        <v>108.54640000000001</v>
      </c>
      <c r="H332">
        <v>98.910700000000006</v>
      </c>
      <c r="I332">
        <v>103.86969999999999</v>
      </c>
      <c r="J332">
        <v>110.1276</v>
      </c>
      <c r="K332">
        <v>92.874600000000001</v>
      </c>
      <c r="L332">
        <v>104.8514</v>
      </c>
      <c r="M332">
        <v>95.768199999999993</v>
      </c>
      <c r="N332">
        <v>95.991100000000003</v>
      </c>
      <c r="O332">
        <v>85.100700000000003</v>
      </c>
      <c r="P332">
        <v>92.216800000000006</v>
      </c>
      <c r="Q332">
        <v>100.5669</v>
      </c>
      <c r="R332" t="str">
        <f>""</f>
        <v/>
      </c>
      <c r="S332" t="str">
        <f>""</f>
        <v/>
      </c>
      <c r="T332" t="str">
        <f>""</f>
        <v/>
      </c>
      <c r="U332" t="str">
        <f>""</f>
        <v/>
      </c>
      <c r="V332" t="str">
        <f>""</f>
        <v/>
      </c>
      <c r="W332" t="str">
        <f>""</f>
        <v/>
      </c>
      <c r="X332" t="str">
        <f>""</f>
        <v/>
      </c>
      <c r="Y332" t="str">
        <f>""</f>
        <v/>
      </c>
      <c r="Z332" t="str">
        <f>""</f>
        <v/>
      </c>
      <c r="AA332" t="str">
        <f>""</f>
        <v/>
      </c>
      <c r="AB332" t="str">
        <f>""</f>
        <v/>
      </c>
      <c r="AC332" t="str">
        <f>""</f>
        <v/>
      </c>
    </row>
    <row r="333" spans="1:29" x14ac:dyDescent="0.25">
      <c r="A333" t="str">
        <f>$A$142</f>
        <v xml:space="preserve">    HCL Technologies Ltd</v>
      </c>
      <c r="B333" t="str">
        <f>$B$142</f>
        <v>HCLT IN Equity</v>
      </c>
      <c r="C333" t="str">
        <f>$C$142</f>
        <v>RR732</v>
      </c>
      <c r="D333" t="str">
        <f>$D$142</f>
        <v>TOT_DEBT_TO_TOT_EQY</v>
      </c>
      <c r="E333" t="str">
        <f>$E$142</f>
        <v>Dynamic</v>
      </c>
      <c r="F333">
        <f ca="1">_xll.BDH($B$142,$C$142,$B$200,$B$201,CONCATENATE("Per=",$B$198),"Dts=H","Dir=H",CONCATENATE("Points=",$B$199),"Sort=R","Days=A","Fill=B",CONCATENATE("FX=", $B$197),"cols=12;rows=1")</f>
        <v>15.296799999999999</v>
      </c>
      <c r="G333">
        <v>12.885899999999999</v>
      </c>
      <c r="H333">
        <v>13.949400000000001</v>
      </c>
      <c r="I333">
        <v>9.44</v>
      </c>
      <c r="J333">
        <v>9.9328000000000003</v>
      </c>
      <c r="K333">
        <v>9.7370999999999999</v>
      </c>
      <c r="L333">
        <v>7.3444000000000003</v>
      </c>
      <c r="M333">
        <v>0.92110000000000003</v>
      </c>
      <c r="N333">
        <v>1.3658999999999999</v>
      </c>
      <c r="O333">
        <v>1.4693000000000001</v>
      </c>
      <c r="P333">
        <v>2.2033</v>
      </c>
      <c r="Q333">
        <v>1.641</v>
      </c>
      <c r="R333" t="str">
        <f>""</f>
        <v/>
      </c>
      <c r="S333" t="str">
        <f>""</f>
        <v/>
      </c>
      <c r="T333" t="str">
        <f>""</f>
        <v/>
      </c>
      <c r="U333" t="str">
        <f>""</f>
        <v/>
      </c>
      <c r="V333" t="str">
        <f>""</f>
        <v/>
      </c>
      <c r="W333" t="str">
        <f>""</f>
        <v/>
      </c>
      <c r="X333" t="str">
        <f>""</f>
        <v/>
      </c>
      <c r="Y333" t="str">
        <f>""</f>
        <v/>
      </c>
      <c r="Z333" t="str">
        <f>""</f>
        <v/>
      </c>
      <c r="AA333" t="str">
        <f>""</f>
        <v/>
      </c>
      <c r="AB333" t="str">
        <f>""</f>
        <v/>
      </c>
      <c r="AC333" t="str">
        <f>""</f>
        <v/>
      </c>
    </row>
    <row r="334" spans="1:29" x14ac:dyDescent="0.25">
      <c r="A334" t="str">
        <f>$A$143</f>
        <v xml:space="preserve">    Indra Sistemas SA</v>
      </c>
      <c r="B334" t="str">
        <f>$B$143</f>
        <v>IDR SM Equity</v>
      </c>
      <c r="C334" t="str">
        <f>$C$143</f>
        <v>RR732</v>
      </c>
      <c r="D334" t="str">
        <f>$D$143</f>
        <v>TOT_DEBT_TO_TOT_EQY</v>
      </c>
      <c r="E334" t="str">
        <f>$E$143</f>
        <v>Dynamic</v>
      </c>
      <c r="F334">
        <f ca="1">_xll.BDH($B$143,$C$143,$B$200,$B$201,CONCATENATE("Per=",$B$198),"Dts=H","Dir=H",CONCATENATE("Points=",$B$199),"Sort=R","Days=A","Fill=B",CONCATENATE("FX=", $B$197),"cols=12;rows=1")</f>
        <v>197.69820000000001</v>
      </c>
      <c r="G334">
        <v>199.1037</v>
      </c>
      <c r="H334">
        <v>209.24799999999999</v>
      </c>
      <c r="I334">
        <v>228.86449999999999</v>
      </c>
      <c r="J334">
        <v>203.7132</v>
      </c>
      <c r="K334">
        <v>206.73230000000001</v>
      </c>
      <c r="L334">
        <v>249.88669999999999</v>
      </c>
      <c r="M334">
        <v>265.3057</v>
      </c>
      <c r="N334">
        <v>229.8287</v>
      </c>
      <c r="O334">
        <v>198.37889999999999</v>
      </c>
      <c r="P334">
        <v>220.36760000000001</v>
      </c>
      <c r="Q334">
        <v>246.44120000000001</v>
      </c>
      <c r="R334" t="str">
        <f>""</f>
        <v/>
      </c>
      <c r="S334" t="str">
        <f>""</f>
        <v/>
      </c>
      <c r="T334" t="str">
        <f>""</f>
        <v/>
      </c>
      <c r="U334" t="str">
        <f>""</f>
        <v/>
      </c>
      <c r="V334" t="str">
        <f>""</f>
        <v/>
      </c>
      <c r="W334" t="str">
        <f>""</f>
        <v/>
      </c>
      <c r="X334" t="str">
        <f>""</f>
        <v/>
      </c>
      <c r="Y334" t="str">
        <f>""</f>
        <v/>
      </c>
      <c r="Z334" t="str">
        <f>""</f>
        <v/>
      </c>
      <c r="AA334" t="str">
        <f>""</f>
        <v/>
      </c>
      <c r="AB334" t="str">
        <f>""</f>
        <v/>
      </c>
      <c r="AC334" t="str">
        <f>""</f>
        <v/>
      </c>
    </row>
    <row r="335" spans="1:29" x14ac:dyDescent="0.25">
      <c r="A335" t="str">
        <f>$A$144</f>
        <v xml:space="preserve">    Infosys Ltd</v>
      </c>
      <c r="B335" t="str">
        <f>$B$144</f>
        <v>INFY US Equity</v>
      </c>
      <c r="C335" t="str">
        <f>$C$144</f>
        <v>RR732</v>
      </c>
      <c r="D335" t="str">
        <f>$D$144</f>
        <v>TOT_DEBT_TO_TOT_EQY</v>
      </c>
      <c r="E335" t="str">
        <f>$E$144</f>
        <v>Dynamic</v>
      </c>
      <c r="F335">
        <f ca="1">_xll.BDH($B$144,$C$144,$B$200,$B$201,CONCATENATE("Per=",$B$198),"Dts=H","Dir=H",CONCATENATE("Points=",$B$199),"Sort=R","Days=A","Fill=B",CONCATENATE("FX=", $B$197),"cols=12;rows=1")</f>
        <v>7.0362999999999998</v>
      </c>
      <c r="G335">
        <v>6.7661999999999995</v>
      </c>
      <c r="H335">
        <v>6.6966999999999999</v>
      </c>
      <c r="I335">
        <v>6.7397999999999998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t="str">
        <f>""</f>
        <v/>
      </c>
      <c r="S335" t="str">
        <f>""</f>
        <v/>
      </c>
      <c r="T335" t="str">
        <f>""</f>
        <v/>
      </c>
      <c r="U335" t="str">
        <f>""</f>
        <v/>
      </c>
      <c r="V335" t="str">
        <f>""</f>
        <v/>
      </c>
      <c r="W335" t="str">
        <f>""</f>
        <v/>
      </c>
      <c r="X335" t="str">
        <f>""</f>
        <v/>
      </c>
      <c r="Y335" t="str">
        <f>""</f>
        <v/>
      </c>
      <c r="Z335" t="str">
        <f>""</f>
        <v/>
      </c>
      <c r="AA335" t="str">
        <f>""</f>
        <v/>
      </c>
      <c r="AB335" t="str">
        <f>""</f>
        <v/>
      </c>
      <c r="AC335" t="str">
        <f>""</f>
        <v/>
      </c>
    </row>
    <row r="336" spans="1:29" x14ac:dyDescent="0.25">
      <c r="A336" t="str">
        <f>$A$145</f>
        <v xml:space="preserve">    International Business Machines Corp</v>
      </c>
      <c r="B336" t="str">
        <f>$B$145</f>
        <v>IBM US Equity</v>
      </c>
      <c r="C336" t="str">
        <f>$C$145</f>
        <v>RR732</v>
      </c>
      <c r="D336" t="str">
        <f>$D$145</f>
        <v>TOT_DEBT_TO_TOT_EQY</v>
      </c>
      <c r="E336" t="str">
        <f>$E$145</f>
        <v>Dynamic</v>
      </c>
      <c r="F336">
        <f ca="1">_xll.BDH($B$145,$C$145,$B$200,$B$201,CONCATENATE("Per=",$B$198),"Dts=H","Dir=H",CONCATENATE("Points=",$B$199),"Sort=R","Days=A","Fill=B",CONCATENATE("FX=", $B$197),"cols=12;rows=1")</f>
        <v>345.0566</v>
      </c>
      <c r="G336">
        <v>324.80939999999998</v>
      </c>
      <c r="H336">
        <v>361.58819999999997</v>
      </c>
      <c r="I336">
        <v>405.25990000000002</v>
      </c>
      <c r="J336">
        <v>293.29759999999999</v>
      </c>
      <c r="K336">
        <v>233.61490000000001</v>
      </c>
      <c r="L336">
        <v>203.96100000000001</v>
      </c>
      <c r="M336">
        <v>209.90989999999999</v>
      </c>
      <c r="N336">
        <v>217.03120000000001</v>
      </c>
      <c r="O336">
        <v>227.66149999999999</v>
      </c>
      <c r="P336">
        <v>172.88560000000001</v>
      </c>
      <c r="Q336">
        <v>188.68639999999999</v>
      </c>
      <c r="R336" t="str">
        <f>""</f>
        <v/>
      </c>
      <c r="S336" t="str">
        <f>""</f>
        <v/>
      </c>
      <c r="T336" t="str">
        <f>""</f>
        <v/>
      </c>
      <c r="U336" t="str">
        <f>""</f>
        <v/>
      </c>
      <c r="V336" t="str">
        <f>""</f>
        <v/>
      </c>
      <c r="W336" t="str">
        <f>""</f>
        <v/>
      </c>
      <c r="X336" t="str">
        <f>""</f>
        <v/>
      </c>
      <c r="Y336" t="str">
        <f>""</f>
        <v/>
      </c>
      <c r="Z336" t="str">
        <f>""</f>
        <v/>
      </c>
      <c r="AA336" t="str">
        <f>""</f>
        <v/>
      </c>
      <c r="AB336" t="str">
        <f>""</f>
        <v/>
      </c>
      <c r="AC336" t="str">
        <f>""</f>
        <v/>
      </c>
    </row>
    <row r="337" spans="1:29" x14ac:dyDescent="0.25">
      <c r="A337" t="str">
        <f>$A$146</f>
        <v xml:space="preserve">    Tata Consultancy Services Ltd</v>
      </c>
      <c r="B337" t="str">
        <f>$B$146</f>
        <v>TCS IN Equity</v>
      </c>
      <c r="C337" t="str">
        <f>$C$146</f>
        <v>RR732</v>
      </c>
      <c r="D337" t="str">
        <f>$D$146</f>
        <v>TOT_DEBT_TO_TOT_EQY</v>
      </c>
      <c r="E337" t="str">
        <f>$E$146</f>
        <v>Dynamic</v>
      </c>
      <c r="F337">
        <f ca="1">_xll.BDH($B$146,$C$146,$B$200,$B$201,CONCATENATE("Per=",$B$198),"Dts=H","Dir=H",CONCATENATE("Points=",$B$199),"Sort=R","Days=A","Fill=B",CONCATENATE("FX=", $B$197),"cols=12;rows=1")</f>
        <v>9.4101999999999997</v>
      </c>
      <c r="G337">
        <v>8.2416999999999998</v>
      </c>
      <c r="H337">
        <v>6.9461000000000004</v>
      </c>
      <c r="I337">
        <v>7.4463999999999997</v>
      </c>
      <c r="J337">
        <v>6.7400000000000002E-2</v>
      </c>
      <c r="K337">
        <v>7.3499999999999996E-2</v>
      </c>
      <c r="L337">
        <v>8.0100000000000005E-2</v>
      </c>
      <c r="M337">
        <v>7.3700000000000002E-2</v>
      </c>
      <c r="N337">
        <v>0.28179999999999999</v>
      </c>
      <c r="O337">
        <v>9.2700000000000005E-2</v>
      </c>
      <c r="P337">
        <v>0.1019</v>
      </c>
      <c r="Q337">
        <v>0.1142</v>
      </c>
      <c r="R337" t="str">
        <f>""</f>
        <v/>
      </c>
      <c r="S337" t="str">
        <f>""</f>
        <v/>
      </c>
      <c r="T337" t="str">
        <f>""</f>
        <v/>
      </c>
      <c r="U337" t="str">
        <f>""</f>
        <v/>
      </c>
      <c r="V337" t="str">
        <f>""</f>
        <v/>
      </c>
      <c r="W337" t="str">
        <f>""</f>
        <v/>
      </c>
      <c r="X337" t="str">
        <f>""</f>
        <v/>
      </c>
      <c r="Y337" t="str">
        <f>""</f>
        <v/>
      </c>
      <c r="Z337" t="str">
        <f>""</f>
        <v/>
      </c>
      <c r="AA337" t="str">
        <f>""</f>
        <v/>
      </c>
      <c r="AB337" t="str">
        <f>""</f>
        <v/>
      </c>
      <c r="AC337" t="str">
        <f>""</f>
        <v/>
      </c>
    </row>
    <row r="338" spans="1:29" x14ac:dyDescent="0.25">
      <c r="A338" t="str">
        <f>$A$147</f>
        <v xml:space="preserve">    Tech Mahindra Ltd</v>
      </c>
      <c r="B338" t="str">
        <f>$B$147</f>
        <v>TECHM IN Equity</v>
      </c>
      <c r="C338" t="str">
        <f>$C$147</f>
        <v>RR732</v>
      </c>
      <c r="D338" t="str">
        <f>$D$147</f>
        <v>TOT_DEBT_TO_TOT_EQY</v>
      </c>
      <c r="E338" t="str">
        <f>$E$147</f>
        <v>Dynamic</v>
      </c>
      <c r="F338">
        <f ca="1">_xll.BDH($B$147,$C$147,$B$200,$B$201,CONCATENATE("Per=",$B$198),"Dts=H","Dir=H",CONCATENATE("Points=",$B$199),"Sort=R","Days=A","Fill=B",CONCATENATE("FX=", $B$197),"cols=12;rows=1")</f>
        <v>10.934699999999999</v>
      </c>
      <c r="G338">
        <v>14.225300000000001</v>
      </c>
      <c r="H338">
        <v>14.7661</v>
      </c>
      <c r="I338">
        <v>11.1869</v>
      </c>
      <c r="J338">
        <v>9.6113</v>
      </c>
      <c r="K338">
        <v>7.5331000000000001</v>
      </c>
      <c r="L338">
        <v>7.4692999999999996</v>
      </c>
      <c r="M338">
        <v>8.8318999999999992</v>
      </c>
      <c r="N338">
        <v>12.3843</v>
      </c>
      <c r="O338">
        <v>8.5159000000000002</v>
      </c>
      <c r="P338">
        <v>8.1339000000000006</v>
      </c>
      <c r="Q338">
        <v>7.9473000000000003</v>
      </c>
      <c r="R338" t="str">
        <f>""</f>
        <v/>
      </c>
      <c r="S338" t="str">
        <f>""</f>
        <v/>
      </c>
      <c r="T338" t="str">
        <f>""</f>
        <v/>
      </c>
      <c r="U338" t="str">
        <f>""</f>
        <v/>
      </c>
      <c r="V338" t="str">
        <f>""</f>
        <v/>
      </c>
      <c r="W338" t="str">
        <f>""</f>
        <v/>
      </c>
      <c r="X338" t="str">
        <f>""</f>
        <v/>
      </c>
      <c r="Y338" t="str">
        <f>""</f>
        <v/>
      </c>
      <c r="Z338" t="str">
        <f>""</f>
        <v/>
      </c>
      <c r="AA338" t="str">
        <f>""</f>
        <v/>
      </c>
      <c r="AB338" t="str">
        <f>""</f>
        <v/>
      </c>
      <c r="AC338" t="str">
        <f>""</f>
        <v/>
      </c>
    </row>
    <row r="339" spans="1:29" x14ac:dyDescent="0.25">
      <c r="A339" t="str">
        <f>$A$148</f>
        <v xml:space="preserve">    Wipro Ltd</v>
      </c>
      <c r="B339" t="str">
        <f>$B$148</f>
        <v>WIT US Equity</v>
      </c>
      <c r="C339" t="str">
        <f>$C$148</f>
        <v>RR732</v>
      </c>
      <c r="D339" t="str">
        <f>$D$148</f>
        <v>TOT_DEBT_TO_TOT_EQY</v>
      </c>
      <c r="E339" t="str">
        <f>$E$148</f>
        <v>Dynamic</v>
      </c>
      <c r="F339">
        <f ca="1">_xll.BDH($B$148,$C$148,$B$200,$B$201,CONCATENATE("Per=",$B$198),"Dts=H","Dir=H",CONCATENATE("Points=",$B$199),"Sort=R","Days=A","Fill=B",CONCATENATE("FX=", $B$197),"cols=12;rows=1")</f>
        <v>17.385000000000002</v>
      </c>
      <c r="G339">
        <v>20.638000000000002</v>
      </c>
      <c r="H339">
        <v>21.547599999999999</v>
      </c>
      <c r="I339">
        <v>20.286200000000001</v>
      </c>
      <c r="J339">
        <v>17.427299999999999</v>
      </c>
      <c r="K339">
        <v>18.892299999999999</v>
      </c>
      <c r="L339">
        <v>21.985800000000001</v>
      </c>
      <c r="M339">
        <v>23.46</v>
      </c>
      <c r="N339">
        <v>28.486699999999999</v>
      </c>
      <c r="O339">
        <v>27.901299999999999</v>
      </c>
      <c r="P339">
        <v>25.732600000000001</v>
      </c>
      <c r="Q339">
        <v>26.916599999999999</v>
      </c>
      <c r="R339" t="str">
        <f>""</f>
        <v/>
      </c>
      <c r="S339" t="str">
        <f>""</f>
        <v/>
      </c>
      <c r="T339" t="str">
        <f>""</f>
        <v/>
      </c>
      <c r="U339" t="str">
        <f>""</f>
        <v/>
      </c>
      <c r="V339" t="str">
        <f>""</f>
        <v/>
      </c>
      <c r="W339" t="str">
        <f>""</f>
        <v/>
      </c>
      <c r="X339" t="str">
        <f>""</f>
        <v/>
      </c>
      <c r="Y339" t="str">
        <f>""</f>
        <v/>
      </c>
      <c r="Z339" t="str">
        <f>""</f>
        <v/>
      </c>
      <c r="AA339" t="str">
        <f>""</f>
        <v/>
      </c>
      <c r="AB339" t="str">
        <f>""</f>
        <v/>
      </c>
      <c r="AC339" t="str">
        <f>""</f>
        <v/>
      </c>
    </row>
    <row r="340" spans="1:29" x14ac:dyDescent="0.25">
      <c r="A340" t="str">
        <f>$A$151</f>
        <v xml:space="preserve">    Accenture PLC</v>
      </c>
      <c r="B340" t="str">
        <f>$B$151</f>
        <v>ACN US Equity</v>
      </c>
      <c r="C340" t="str">
        <f>$C$151</f>
        <v>RX547</v>
      </c>
      <c r="D340" t="str">
        <f>$D$151</f>
        <v>NET_DEBT_PER_DILUTED_SHARE</v>
      </c>
      <c r="E340" t="str">
        <f>$E$151</f>
        <v>Dynamic</v>
      </c>
      <c r="F340">
        <f ca="1">_xll.BDH($B$151,$C$151,$B$200,$B$201,CONCATENATE("Per=",$B$198),"Dts=H","Dir=H",CONCATENATE("Points=",$B$199),"Sort=R","Days=A","Fill=B",CONCATENATE("FX=", $B$197),"cols=12;rows=1")</f>
        <v>-3.1284999999999998</v>
      </c>
      <c r="G340">
        <v>-3.7446999999999999</v>
      </c>
      <c r="H340">
        <v>-9.3886000000000003</v>
      </c>
      <c r="I340">
        <v>-7.3132999999999999</v>
      </c>
      <c r="J340">
        <v>-6.8455000000000004</v>
      </c>
      <c r="K340">
        <v>-6.6584000000000003</v>
      </c>
      <c r="L340">
        <v>-7.7061999999999999</v>
      </c>
      <c r="M340">
        <v>-5.9629000000000003</v>
      </c>
      <c r="N340">
        <v>-5.4405999999999999</v>
      </c>
      <c r="O340">
        <v>-5.5693000000000001</v>
      </c>
      <c r="P340">
        <v>-6.2347000000000001</v>
      </c>
      <c r="Q340">
        <v>-5.0960999999999999</v>
      </c>
      <c r="R340" t="str">
        <f>""</f>
        <v/>
      </c>
      <c r="S340" t="str">
        <f>""</f>
        <v/>
      </c>
      <c r="T340" t="str">
        <f>""</f>
        <v/>
      </c>
      <c r="U340" t="str">
        <f>""</f>
        <v/>
      </c>
      <c r="V340" t="str">
        <f>""</f>
        <v/>
      </c>
      <c r="W340" t="str">
        <f>""</f>
        <v/>
      </c>
      <c r="X340" t="str">
        <f>""</f>
        <v/>
      </c>
      <c r="Y340" t="str">
        <f>""</f>
        <v/>
      </c>
      <c r="Z340" t="str">
        <f>""</f>
        <v/>
      </c>
      <c r="AA340" t="str">
        <f>""</f>
        <v/>
      </c>
      <c r="AB340" t="str">
        <f>""</f>
        <v/>
      </c>
      <c r="AC340" t="str">
        <f>""</f>
        <v/>
      </c>
    </row>
    <row r="341" spans="1:29" x14ac:dyDescent="0.25">
      <c r="A341" t="str">
        <f>$A$152</f>
        <v xml:space="preserve">    Amdocs Ltd</v>
      </c>
      <c r="B341" t="str">
        <f>$B$152</f>
        <v>DOX US Equity</v>
      </c>
      <c r="C341" t="str">
        <f>$C$152</f>
        <v>RX547</v>
      </c>
      <c r="D341" t="str">
        <f>$D$152</f>
        <v>NET_DEBT_PER_DILUTED_SHARE</v>
      </c>
      <c r="E341" t="str">
        <f>$E$152</f>
        <v>Dynamic</v>
      </c>
      <c r="F341">
        <f ca="1">_xll.BDH($B$152,$C$152,$B$200,$B$201,CONCATENATE("Per=",$B$198),"Dts=H","Dir=H",CONCATENATE("Points=",$B$199),"Sort=R","Days=A","Fill=B",CONCATENATE("FX=", $B$197),"cols=12;rows=1")</f>
        <v>-0.99539999999999995</v>
      </c>
      <c r="G341">
        <v>-1.5076000000000001</v>
      </c>
      <c r="H341">
        <v>-3.464</v>
      </c>
      <c r="I341">
        <v>-3.3388999999999998</v>
      </c>
      <c r="J341">
        <v>-3.2423000000000002</v>
      </c>
      <c r="K341">
        <v>-3.2865000000000002</v>
      </c>
      <c r="L341">
        <v>-3.6597</v>
      </c>
      <c r="M341">
        <v>-3.9468999999999999</v>
      </c>
      <c r="N341">
        <v>-3.7873000000000001</v>
      </c>
      <c r="O341">
        <v>-6.6458000000000004</v>
      </c>
      <c r="P341">
        <v>-6.7031999999999998</v>
      </c>
      <c r="Q341">
        <v>-6.5397999999999996</v>
      </c>
      <c r="R341" t="str">
        <f>""</f>
        <v/>
      </c>
      <c r="S341" t="str">
        <f>""</f>
        <v/>
      </c>
      <c r="T341" t="str">
        <f>""</f>
        <v/>
      </c>
      <c r="U341" t="str">
        <f>""</f>
        <v/>
      </c>
      <c r="V341" t="str">
        <f>""</f>
        <v/>
      </c>
      <c r="W341" t="str">
        <f>""</f>
        <v/>
      </c>
      <c r="X341" t="str">
        <f>""</f>
        <v/>
      </c>
      <c r="Y341" t="str">
        <f>""</f>
        <v/>
      </c>
      <c r="Z341" t="str">
        <f>""</f>
        <v/>
      </c>
      <c r="AA341" t="str">
        <f>""</f>
        <v/>
      </c>
      <c r="AB341" t="str">
        <f>""</f>
        <v/>
      </c>
      <c r="AC341" t="str">
        <f>""</f>
        <v/>
      </c>
    </row>
    <row r="342" spans="1:29" x14ac:dyDescent="0.25">
      <c r="A342" t="str">
        <f>$A$153</f>
        <v xml:space="preserve">    Atos SE</v>
      </c>
      <c r="B342" t="str">
        <f>$B$153</f>
        <v>ATO FP Equity</v>
      </c>
      <c r="C342" t="str">
        <f>$C$153</f>
        <v>RX547</v>
      </c>
      <c r="D342" t="str">
        <f>$D$153</f>
        <v>NET_DEBT_PER_DILUTED_SHARE</v>
      </c>
      <c r="E342" t="str">
        <f>$E$153</f>
        <v>Dynamic</v>
      </c>
      <c r="F342" t="str">
        <f ca="1">_xll.BDH($B$153,$C$153,$B$200,$B$201,CONCATENATE("Per=",$B$198),"Dts=H","Dir=H",CONCATENATE("Points=",$B$199),"Sort=R","Days=A","Fill=B",CONCATENATE("FX=", $B$197) )</f>
        <v/>
      </c>
      <c r="R342" t="str">
        <f>""</f>
        <v/>
      </c>
      <c r="S342" t="str">
        <f>""</f>
        <v/>
      </c>
      <c r="T342" t="str">
        <f>""</f>
        <v/>
      </c>
      <c r="U342" t="str">
        <f>""</f>
        <v/>
      </c>
      <c r="V342" t="str">
        <f>""</f>
        <v/>
      </c>
      <c r="W342" t="str">
        <f>""</f>
        <v/>
      </c>
      <c r="X342" t="str">
        <f>""</f>
        <v/>
      </c>
      <c r="Y342" t="str">
        <f>""</f>
        <v/>
      </c>
      <c r="Z342" t="str">
        <f>""</f>
        <v/>
      </c>
      <c r="AA342" t="str">
        <f>""</f>
        <v/>
      </c>
      <c r="AB342" t="str">
        <f>""</f>
        <v/>
      </c>
      <c r="AC342" t="str">
        <f>""</f>
        <v/>
      </c>
    </row>
    <row r="343" spans="1:29" x14ac:dyDescent="0.25">
      <c r="A343" t="str">
        <f>$A$154</f>
        <v xml:space="preserve">    Capgemini SE</v>
      </c>
      <c r="B343" t="str">
        <f>$B$154</f>
        <v>CAP FP Equity</v>
      </c>
      <c r="C343" t="str">
        <f>$C$154</f>
        <v>RX547</v>
      </c>
      <c r="D343" t="str">
        <f>$D$154</f>
        <v>NET_DEBT_PER_DILUTED_SHARE</v>
      </c>
      <c r="E343" t="str">
        <f>$E$154</f>
        <v>Dynamic</v>
      </c>
      <c r="F343" t="str">
        <f ca="1">_xll.BDH($B$154,$C$154,$B$200,$B$201,CONCATENATE("Per=",$B$198),"Dts=H","Dir=H",CONCATENATE("Points=",$B$199),"Sort=R","Days=A","Fill=B",CONCATENATE("FX=", $B$197) )</f>
        <v/>
      </c>
      <c r="R343" t="str">
        <f>""</f>
        <v/>
      </c>
      <c r="S343" t="str">
        <f>""</f>
        <v/>
      </c>
      <c r="T343" t="str">
        <f>""</f>
        <v/>
      </c>
      <c r="U343" t="str">
        <f>""</f>
        <v/>
      </c>
      <c r="V343" t="str">
        <f>""</f>
        <v/>
      </c>
      <c r="W343" t="str">
        <f>""</f>
        <v/>
      </c>
      <c r="X343" t="str">
        <f>""</f>
        <v/>
      </c>
      <c r="Y343" t="str">
        <f>""</f>
        <v/>
      </c>
      <c r="Z343" t="str">
        <f>""</f>
        <v/>
      </c>
      <c r="AA343" t="str">
        <f>""</f>
        <v/>
      </c>
      <c r="AB343" t="str">
        <f>""</f>
        <v/>
      </c>
      <c r="AC343" t="str">
        <f>""</f>
        <v/>
      </c>
    </row>
    <row r="344" spans="1:29" x14ac:dyDescent="0.25">
      <c r="A344" t="str">
        <f>$A$155</f>
        <v xml:space="preserve">    CGI Inc</v>
      </c>
      <c r="B344" t="str">
        <f>$B$155</f>
        <v>GIB US Equity</v>
      </c>
      <c r="C344" t="str">
        <f>$C$155</f>
        <v>RX547</v>
      </c>
      <c r="D344" t="str">
        <f>$D$155</f>
        <v>NET_DEBT_PER_DILUTED_SHARE</v>
      </c>
      <c r="E344" t="str">
        <f>$E$155</f>
        <v>Dynamic</v>
      </c>
      <c r="F344" t="str">
        <f ca="1">_xll.BDH($B$155,$C$155,$B$200,$B$201,CONCATENATE("Per=",$B$198),"Dts=H","Dir=H",CONCATENATE("Points=",$B$199),"Sort=R","Days=A","Fill=B",CONCATENATE("FX=", $B$197) )</f>
        <v/>
      </c>
      <c r="R344" t="str">
        <f>""</f>
        <v/>
      </c>
      <c r="S344" t="str">
        <f>""</f>
        <v/>
      </c>
      <c r="T344" t="str">
        <f>""</f>
        <v/>
      </c>
      <c r="U344" t="str">
        <f>""</f>
        <v/>
      </c>
      <c r="V344" t="str">
        <f>""</f>
        <v/>
      </c>
      <c r="W344" t="str">
        <f>""</f>
        <v/>
      </c>
      <c r="X344" t="str">
        <f>""</f>
        <v/>
      </c>
      <c r="Y344" t="str">
        <f>""</f>
        <v/>
      </c>
      <c r="Z344" t="str">
        <f>""</f>
        <v/>
      </c>
      <c r="AA344" t="str">
        <f>""</f>
        <v/>
      </c>
      <c r="AB344" t="str">
        <f>""</f>
        <v/>
      </c>
      <c r="AC344" t="str">
        <f>""</f>
        <v/>
      </c>
    </row>
    <row r="345" spans="1:29" x14ac:dyDescent="0.25">
      <c r="A345" t="str">
        <f>$A$156</f>
        <v xml:space="preserve">    Cognizant Technology Solutions Corp</v>
      </c>
      <c r="B345" t="str">
        <f>$B$156</f>
        <v>CTSH US Equity</v>
      </c>
      <c r="C345" t="str">
        <f>$C$156</f>
        <v>RX547</v>
      </c>
      <c r="D345" t="str">
        <f>$D$156</f>
        <v>NET_DEBT_PER_DILUTED_SHARE</v>
      </c>
      <c r="E345" t="str">
        <f>$E$156</f>
        <v>Dynamic</v>
      </c>
      <c r="F345">
        <f ca="1">_xll.BDH($B$156,$C$156,$B$200,$B$201,CONCATENATE("Per=",$B$198),"Dts=H","Dir=H",CONCATENATE("Points=",$B$199),"Sort=R","Days=A","Fill=B",CONCATENATE("FX=", $B$197),"cols=12;rows=1")</f>
        <v>-1.6172</v>
      </c>
      <c r="G345">
        <v>-3.1259000000000001</v>
      </c>
      <c r="H345">
        <v>-2.4990999999999999</v>
      </c>
      <c r="I345">
        <v>-2.3917999999999999</v>
      </c>
      <c r="J345">
        <v>-3.5773999999999999</v>
      </c>
      <c r="K345">
        <v>-6.5042999999999997</v>
      </c>
      <c r="L345">
        <v>-6.9638</v>
      </c>
      <c r="M345">
        <v>-5.9693000000000005</v>
      </c>
      <c r="N345">
        <v>-6.8879000000000001</v>
      </c>
      <c r="O345">
        <v>-7.1018999999999997</v>
      </c>
      <c r="P345">
        <v>-6.5709</v>
      </c>
      <c r="Q345">
        <v>-5.7309999999999999</v>
      </c>
      <c r="R345" t="str">
        <f>""</f>
        <v/>
      </c>
      <c r="S345" t="str">
        <f>""</f>
        <v/>
      </c>
      <c r="T345" t="str">
        <f>""</f>
        <v/>
      </c>
      <c r="U345" t="str">
        <f>""</f>
        <v/>
      </c>
      <c r="V345" t="str">
        <f>""</f>
        <v/>
      </c>
      <c r="W345" t="str">
        <f>""</f>
        <v/>
      </c>
      <c r="X345" t="str">
        <f>""</f>
        <v/>
      </c>
      <c r="Y345" t="str">
        <f>""</f>
        <v/>
      </c>
      <c r="Z345" t="str">
        <f>""</f>
        <v/>
      </c>
      <c r="AA345" t="str">
        <f>""</f>
        <v/>
      </c>
      <c r="AB345" t="str">
        <f>""</f>
        <v/>
      </c>
      <c r="AC345" t="str">
        <f>""</f>
        <v/>
      </c>
    </row>
    <row r="346" spans="1:29" x14ac:dyDescent="0.25">
      <c r="A346" t="str">
        <f>$A$157</f>
        <v xml:space="preserve">    Conduent Inc</v>
      </c>
      <c r="B346" t="str">
        <f>$B$157</f>
        <v>CNDT US Equity</v>
      </c>
      <c r="C346" t="str">
        <f>$C$157</f>
        <v>RX547</v>
      </c>
      <c r="D346" t="str">
        <f>$D$157</f>
        <v>NET_DEBT_PER_DILUTED_SHARE</v>
      </c>
      <c r="E346" t="str">
        <f>$E$157</f>
        <v>Dynamic</v>
      </c>
      <c r="F346">
        <f ca="1">_xll.BDH($B$157,$C$157,$B$200,$B$201,CONCATENATE("Per=",$B$198),"Dts=H","Dir=H",CONCATENATE("Points=",$B$199),"Sort=R","Days=A","Fill=B",CONCATENATE("FX=", $B$197),"cols=12;rows=1")</f>
        <v>7.4470000000000001</v>
      </c>
      <c r="G346">
        <v>6.3687000000000005</v>
      </c>
      <c r="H346">
        <v>7.8186999999999998</v>
      </c>
      <c r="I346">
        <v>7.8370999999999995</v>
      </c>
      <c r="J346">
        <v>6.8431999999999995</v>
      </c>
      <c r="K346">
        <v>3.9971000000000001</v>
      </c>
      <c r="L346">
        <v>4.7965999999999998</v>
      </c>
      <c r="M346">
        <v>5.0313999999999997</v>
      </c>
      <c r="N346">
        <v>7.3137999999999996</v>
      </c>
      <c r="O346">
        <v>6.6102999999999996</v>
      </c>
      <c r="P346">
        <v>7.8001000000000005</v>
      </c>
      <c r="Q346">
        <v>8.9407999999999994</v>
      </c>
      <c r="R346" t="str">
        <f>""</f>
        <v/>
      </c>
      <c r="S346" t="str">
        <f>""</f>
        <v/>
      </c>
      <c r="T346" t="str">
        <f>""</f>
        <v/>
      </c>
      <c r="U346" t="str">
        <f>""</f>
        <v/>
      </c>
      <c r="V346" t="str">
        <f>""</f>
        <v/>
      </c>
      <c r="W346" t="str">
        <f>""</f>
        <v/>
      </c>
      <c r="X346" t="str">
        <f>""</f>
        <v/>
      </c>
      <c r="Y346" t="str">
        <f>""</f>
        <v/>
      </c>
      <c r="Z346" t="str">
        <f>""</f>
        <v/>
      </c>
      <c r="AA346" t="str">
        <f>""</f>
        <v/>
      </c>
      <c r="AB346" t="str">
        <f>""</f>
        <v/>
      </c>
      <c r="AC346" t="str">
        <f>""</f>
        <v/>
      </c>
    </row>
    <row r="347" spans="1:29" x14ac:dyDescent="0.25">
      <c r="A347" t="str">
        <f>$A$158</f>
        <v xml:space="preserve">    DXC Technology Co</v>
      </c>
      <c r="B347" t="str">
        <f>$B$158</f>
        <v>DXC US Equity</v>
      </c>
      <c r="C347" t="str">
        <f>$C$158</f>
        <v>RX547</v>
      </c>
      <c r="D347" t="str">
        <f>$D$158</f>
        <v>NET_DEBT_PER_DILUTED_SHARE</v>
      </c>
      <c r="E347" t="str">
        <f>$E$158</f>
        <v>Dynamic</v>
      </c>
      <c r="F347">
        <f ca="1">_xll.BDH($B$158,$C$158,$B$200,$B$201,CONCATENATE("Per=",$B$198),"Dts=H","Dir=H",CONCATENATE("Points=",$B$199),"Sort=R","Days=A","Fill=B",CONCATENATE("FX=", $B$197),"cols=12;rows=1")</f>
        <v>30.8232</v>
      </c>
      <c r="G347">
        <v>30.974399999999999</v>
      </c>
      <c r="H347">
        <v>30.601800000000001</v>
      </c>
      <c r="I347">
        <v>34.394199999999998</v>
      </c>
      <c r="J347">
        <v>16.664200000000001</v>
      </c>
      <c r="K347">
        <v>18.226500000000001</v>
      </c>
      <c r="L347">
        <v>14.8611</v>
      </c>
      <c r="M347">
        <v>15.468400000000001</v>
      </c>
      <c r="N347">
        <v>18.666399999999999</v>
      </c>
      <c r="O347">
        <v>19.373999999999999</v>
      </c>
      <c r="P347">
        <v>20.235700000000001</v>
      </c>
      <c r="Q347">
        <v>17.048400000000001</v>
      </c>
      <c r="R347" t="str">
        <f>""</f>
        <v/>
      </c>
      <c r="S347" t="str">
        <f>""</f>
        <v/>
      </c>
      <c r="T347" t="str">
        <f>""</f>
        <v/>
      </c>
      <c r="U347" t="str">
        <f>""</f>
        <v/>
      </c>
      <c r="V347" t="str">
        <f>""</f>
        <v/>
      </c>
      <c r="W347" t="str">
        <f>""</f>
        <v/>
      </c>
      <c r="X347" t="str">
        <f>""</f>
        <v/>
      </c>
      <c r="Y347" t="str">
        <f>""</f>
        <v/>
      </c>
      <c r="Z347" t="str">
        <f>""</f>
        <v/>
      </c>
      <c r="AA347" t="str">
        <f>""</f>
        <v/>
      </c>
      <c r="AB347" t="str">
        <f>""</f>
        <v/>
      </c>
      <c r="AC347" t="str">
        <f>""</f>
        <v/>
      </c>
    </row>
    <row r="348" spans="1:29" x14ac:dyDescent="0.25">
      <c r="A348" t="str">
        <f>$A$159</f>
        <v xml:space="preserve">    EPAM Systems Inc</v>
      </c>
      <c r="B348" t="str">
        <f>$B$159</f>
        <v>EPAM US Equity</v>
      </c>
      <c r="C348" t="str">
        <f>$C$159</f>
        <v>RX547</v>
      </c>
      <c r="D348" t="str">
        <f>$D$159</f>
        <v>NET_DEBT_PER_DILUTED_SHARE</v>
      </c>
      <c r="E348" t="str">
        <f>$E$159</f>
        <v>Dynamic</v>
      </c>
      <c r="F348">
        <f ca="1">_xll.BDH($B$159,$C$159,$B$200,$B$201,CONCATENATE("Per=",$B$198),"Dts=H","Dir=H",CONCATENATE("Points=",$B$199),"Sort=R","Days=A","Fill=B",CONCATENATE("FX=", $B$197),"cols=12;rows=1")</f>
        <v>-11.0382</v>
      </c>
      <c r="G348">
        <v>-11.612</v>
      </c>
      <c r="H348">
        <v>-10.7675</v>
      </c>
      <c r="I348">
        <v>-9.4733000000000001</v>
      </c>
      <c r="J348">
        <v>-9.9541000000000004</v>
      </c>
      <c r="K348">
        <v>-13.105399999999999</v>
      </c>
      <c r="L348">
        <v>-11.587899999999999</v>
      </c>
      <c r="M348">
        <v>-9.8796999999999997</v>
      </c>
      <c r="N348">
        <v>-9.0830000000000002</v>
      </c>
      <c r="O348">
        <v>-10.543900000000001</v>
      </c>
      <c r="P348">
        <v>-8.8260000000000005</v>
      </c>
      <c r="Q348">
        <v>-7.6826999999999996</v>
      </c>
      <c r="R348" t="str">
        <f>""</f>
        <v/>
      </c>
      <c r="S348" t="str">
        <f>""</f>
        <v/>
      </c>
      <c r="T348" t="str">
        <f>""</f>
        <v/>
      </c>
      <c r="U348" t="str">
        <f>""</f>
        <v/>
      </c>
      <c r="V348" t="str">
        <f>""</f>
        <v/>
      </c>
      <c r="W348" t="str">
        <f>""</f>
        <v/>
      </c>
      <c r="X348" t="str">
        <f>""</f>
        <v/>
      </c>
      <c r="Y348" t="str">
        <f>""</f>
        <v/>
      </c>
      <c r="Z348" t="str">
        <f>""</f>
        <v/>
      </c>
      <c r="AA348" t="str">
        <f>""</f>
        <v/>
      </c>
      <c r="AB348" t="str">
        <f>""</f>
        <v/>
      </c>
      <c r="AC348" t="str">
        <f>""</f>
        <v/>
      </c>
    </row>
    <row r="349" spans="1:29" x14ac:dyDescent="0.25">
      <c r="A349" t="str">
        <f>$A$160</f>
        <v xml:space="preserve">    Genpact Ltd</v>
      </c>
      <c r="B349" t="str">
        <f>$B$160</f>
        <v>G US Equity</v>
      </c>
      <c r="C349" t="str">
        <f>$C$160</f>
        <v>RX547</v>
      </c>
      <c r="D349" t="str">
        <f>$D$160</f>
        <v>NET_DEBT_PER_DILUTED_SHARE</v>
      </c>
      <c r="E349" t="str">
        <f>$E$160</f>
        <v>Dynamic</v>
      </c>
      <c r="F349">
        <f ca="1">_xll.BDH($B$160,$C$160,$B$200,$B$201,CONCATENATE("Per=",$B$198),"Dts=H","Dir=H",CONCATENATE("Points=",$B$199),"Sort=R","Days=A","Fill=B",CONCATENATE("FX=", $B$197),"cols=12;rows=1")</f>
        <v>7.8257000000000003</v>
      </c>
      <c r="G349">
        <v>6.9505999999999997</v>
      </c>
      <c r="H349">
        <v>5.7752999999999997</v>
      </c>
      <c r="I349">
        <v>6.5031999999999996</v>
      </c>
      <c r="J349">
        <v>6.8316999999999997</v>
      </c>
      <c r="K349">
        <v>4.8445999999999998</v>
      </c>
      <c r="L349">
        <v>4.8993000000000002</v>
      </c>
      <c r="M349">
        <v>4.694</v>
      </c>
      <c r="N349">
        <v>4.5189000000000004</v>
      </c>
      <c r="O349">
        <v>3.6139000000000001</v>
      </c>
      <c r="P349">
        <v>3.9782000000000002</v>
      </c>
      <c r="Q349">
        <v>4.2801</v>
      </c>
      <c r="R349" t="str">
        <f>""</f>
        <v/>
      </c>
      <c r="S349" t="str">
        <f>""</f>
        <v/>
      </c>
      <c r="T349" t="str">
        <f>""</f>
        <v/>
      </c>
      <c r="U349" t="str">
        <f>""</f>
        <v/>
      </c>
      <c r="V349" t="str">
        <f>""</f>
        <v/>
      </c>
      <c r="W349" t="str">
        <f>""</f>
        <v/>
      </c>
      <c r="X349" t="str">
        <f>""</f>
        <v/>
      </c>
      <c r="Y349" t="str">
        <f>""</f>
        <v/>
      </c>
      <c r="Z349" t="str">
        <f>""</f>
        <v/>
      </c>
      <c r="AA349" t="str">
        <f>""</f>
        <v/>
      </c>
      <c r="AB349" t="str">
        <f>""</f>
        <v/>
      </c>
      <c r="AC349" t="str">
        <f>""</f>
        <v/>
      </c>
    </row>
    <row r="350" spans="1:29" x14ac:dyDescent="0.25">
      <c r="A350" t="str">
        <f>$A$161</f>
        <v xml:space="preserve">    HCL Technologies Ltd</v>
      </c>
      <c r="B350" t="str">
        <f>$B$161</f>
        <v>HCLT IN Equity</v>
      </c>
      <c r="C350" t="str">
        <f>$C$161</f>
        <v>RX547</v>
      </c>
      <c r="D350" t="str">
        <f>$D$161</f>
        <v>NET_DEBT_PER_DILUTED_SHARE</v>
      </c>
      <c r="E350" t="str">
        <f>$E$161</f>
        <v>Dynamic</v>
      </c>
      <c r="F350">
        <f ca="1">_xll.BDH($B$161,$C$161,$B$200,$B$201,CONCATENATE("Per=",$B$198),"Dts=H","Dir=H",CONCATENATE("Points=",$B$199),"Sort=R","Days=A","Fill=B",CONCATENATE("FX=", $B$197),"cols=12;rows=1")</f>
        <v>-0.35980000000000001</v>
      </c>
      <c r="G350">
        <v>-0.28699999999999998</v>
      </c>
      <c r="H350">
        <v>-6.6799999999999998E-2</v>
      </c>
      <c r="I350">
        <v>-0.39489999999999997</v>
      </c>
      <c r="J350">
        <v>-0.38369999999999999</v>
      </c>
      <c r="K350">
        <v>-0.2954</v>
      </c>
      <c r="L350">
        <v>-0.32040000000000002</v>
      </c>
      <c r="M350">
        <v>-0.50429999999999997</v>
      </c>
      <c r="N350">
        <v>-0.32390000000000002</v>
      </c>
      <c r="O350">
        <v>-0.43740000000000001</v>
      </c>
      <c r="P350">
        <v>-0.48259999999999997</v>
      </c>
      <c r="Q350">
        <v>-0.59960000000000002</v>
      </c>
      <c r="R350" t="str">
        <f>""</f>
        <v/>
      </c>
      <c r="S350" t="str">
        <f>""</f>
        <v/>
      </c>
      <c r="T350" t="str">
        <f>""</f>
        <v/>
      </c>
      <c r="U350" t="str">
        <f>""</f>
        <v/>
      </c>
      <c r="V350" t="str">
        <f>""</f>
        <v/>
      </c>
      <c r="W350" t="str">
        <f>""</f>
        <v/>
      </c>
      <c r="X350" t="str">
        <f>""</f>
        <v/>
      </c>
      <c r="Y350" t="str">
        <f>""</f>
        <v/>
      </c>
      <c r="Z350" t="str">
        <f>""</f>
        <v/>
      </c>
      <c r="AA350" t="str">
        <f>""</f>
        <v/>
      </c>
      <c r="AB350" t="str">
        <f>""</f>
        <v/>
      </c>
      <c r="AC350" t="str">
        <f>""</f>
        <v/>
      </c>
    </row>
    <row r="351" spans="1:29" x14ac:dyDescent="0.25">
      <c r="A351" t="str">
        <f>$A$162</f>
        <v xml:space="preserve">    Indra Sistemas SA</v>
      </c>
      <c r="B351" t="str">
        <f>$B$162</f>
        <v>IDR SM Equity</v>
      </c>
      <c r="C351" t="str">
        <f>$C$162</f>
        <v>RX547</v>
      </c>
      <c r="D351" t="str">
        <f>$D$162</f>
        <v>NET_DEBT_PER_DILUTED_SHARE</v>
      </c>
      <c r="E351" t="str">
        <f>$E$162</f>
        <v>Dynamic</v>
      </c>
      <c r="F351">
        <f ca="1">_xll.BDH($B$162,$C$162,$B$200,$B$201,CONCATENATE("Per=",$B$198),"Dts=H","Dir=H",CONCATENATE("Points=",$B$199),"Sort=R","Days=A","Fill=B",CONCATENATE("FX=", $B$197),"cols=12;rows=1")</f>
        <v>4.0189000000000004</v>
      </c>
      <c r="G351">
        <v>4.2946</v>
      </c>
      <c r="H351">
        <v>4.4778000000000002</v>
      </c>
      <c r="I351">
        <v>5.3196000000000003</v>
      </c>
      <c r="J351">
        <v>3.4378000000000002</v>
      </c>
      <c r="K351">
        <v>3.1322999999999999</v>
      </c>
      <c r="L351">
        <v>3.8940000000000001</v>
      </c>
      <c r="M351">
        <v>3.7433000000000001</v>
      </c>
      <c r="N351">
        <v>3.6200999999999999</v>
      </c>
      <c r="O351">
        <v>3.4544000000000001</v>
      </c>
      <c r="P351">
        <v>4.0380000000000003</v>
      </c>
      <c r="Q351">
        <v>4.7199</v>
      </c>
      <c r="R351" t="str">
        <f>""</f>
        <v/>
      </c>
      <c r="S351" t="str">
        <f>""</f>
        <v/>
      </c>
      <c r="T351" t="str">
        <f>""</f>
        <v/>
      </c>
      <c r="U351" t="str">
        <f>""</f>
        <v/>
      </c>
      <c r="V351" t="str">
        <f>""</f>
        <v/>
      </c>
      <c r="W351" t="str">
        <f>""</f>
        <v/>
      </c>
      <c r="X351" t="str">
        <f>""</f>
        <v/>
      </c>
      <c r="Y351" t="str">
        <f>""</f>
        <v/>
      </c>
      <c r="Z351" t="str">
        <f>""</f>
        <v/>
      </c>
      <c r="AA351" t="str">
        <f>""</f>
        <v/>
      </c>
      <c r="AB351" t="str">
        <f>""</f>
        <v/>
      </c>
      <c r="AC351" t="str">
        <f>""</f>
        <v/>
      </c>
    </row>
    <row r="352" spans="1:29" x14ac:dyDescent="0.25">
      <c r="A352" t="str">
        <f>$A$163</f>
        <v xml:space="preserve">    Infosys Ltd</v>
      </c>
      <c r="B352" t="str">
        <f>$B$163</f>
        <v>INFY US Equity</v>
      </c>
      <c r="C352" t="str">
        <f>$C$163</f>
        <v>RX547</v>
      </c>
      <c r="D352" t="str">
        <f>$D$163</f>
        <v>NET_DEBT_PER_DILUTED_SHARE</v>
      </c>
      <c r="E352" t="str">
        <f>$E$163</f>
        <v>Dynamic</v>
      </c>
      <c r="F352" t="str">
        <f ca="1">_xll.BDH($B$163,$C$163,$B$200,$B$201,CONCATENATE("Per=",$B$198),"Dts=H","Dir=H",CONCATENATE("Points=",$B$199),"Sort=R","Days=A","Fill=B",CONCATENATE("FX=", $B$197) )</f>
        <v/>
      </c>
      <c r="R352" t="str">
        <f>""</f>
        <v/>
      </c>
      <c r="S352" t="str">
        <f>""</f>
        <v/>
      </c>
      <c r="T352" t="str">
        <f>""</f>
        <v/>
      </c>
      <c r="U352" t="str">
        <f>""</f>
        <v/>
      </c>
      <c r="V352" t="str">
        <f>""</f>
        <v/>
      </c>
      <c r="W352" t="str">
        <f>""</f>
        <v/>
      </c>
      <c r="X352" t="str">
        <f>""</f>
        <v/>
      </c>
      <c r="Y352" t="str">
        <f>""</f>
        <v/>
      </c>
      <c r="Z352" t="str">
        <f>""</f>
        <v/>
      </c>
      <c r="AA352" t="str">
        <f>""</f>
        <v/>
      </c>
      <c r="AB352" t="str">
        <f>""</f>
        <v/>
      </c>
      <c r="AC352" t="str">
        <f>""</f>
        <v/>
      </c>
    </row>
    <row r="353" spans="1:29" x14ac:dyDescent="0.25">
      <c r="A353" t="str">
        <f>$A$164</f>
        <v xml:space="preserve">    International Business Machines Corp</v>
      </c>
      <c r="B353" t="str">
        <f>$B$164</f>
        <v>IBM US Equity</v>
      </c>
      <c r="C353" t="str">
        <f>$C$164</f>
        <v>RX547</v>
      </c>
      <c r="D353" t="str">
        <f>$D$164</f>
        <v>NET_DEBT_PER_DILUTED_SHARE</v>
      </c>
      <c r="E353" t="str">
        <f>$E$164</f>
        <v>Dynamic</v>
      </c>
      <c r="F353">
        <f ca="1">_xll.BDH($B$164,$C$164,$B$200,$B$201,CONCATENATE("Per=",$B$198),"Dts=H","Dir=H",CONCATENATE("Points=",$B$199),"Sort=R","Days=A","Fill=B",CONCATENATE("FX=", $B$197),"cols=12;rows=1")</f>
        <v>64.344099999999997</v>
      </c>
      <c r="G353">
        <v>66.342200000000005</v>
      </c>
      <c r="H353">
        <v>61.170499999999997</v>
      </c>
      <c r="I353">
        <v>28.924600000000002</v>
      </c>
      <c r="J353">
        <v>34.342799999999997</v>
      </c>
      <c r="K353">
        <v>30.439699999999998</v>
      </c>
      <c r="L353">
        <v>28.5533</v>
      </c>
      <c r="M353">
        <v>29.842300000000002</v>
      </c>
      <c r="N353">
        <v>29.017700000000001</v>
      </c>
      <c r="O353">
        <v>29.898800000000001</v>
      </c>
      <c r="P353">
        <v>24.262799999999999</v>
      </c>
      <c r="Q353">
        <v>24.1539</v>
      </c>
      <c r="R353" t="str">
        <f>""</f>
        <v/>
      </c>
      <c r="S353" t="str">
        <f>""</f>
        <v/>
      </c>
      <c r="T353" t="str">
        <f>""</f>
        <v/>
      </c>
      <c r="U353" t="str">
        <f>""</f>
        <v/>
      </c>
      <c r="V353" t="str">
        <f>""</f>
        <v/>
      </c>
      <c r="W353" t="str">
        <f>""</f>
        <v/>
      </c>
      <c r="X353" t="str">
        <f>""</f>
        <v/>
      </c>
      <c r="Y353" t="str">
        <f>""</f>
        <v/>
      </c>
      <c r="Z353" t="str">
        <f>""</f>
        <v/>
      </c>
      <c r="AA353" t="str">
        <f>""</f>
        <v/>
      </c>
      <c r="AB353" t="str">
        <f>""</f>
        <v/>
      </c>
      <c r="AC353" t="str">
        <f>""</f>
        <v/>
      </c>
    </row>
    <row r="354" spans="1:29" x14ac:dyDescent="0.25">
      <c r="A354" t="str">
        <f>$A$165</f>
        <v xml:space="preserve">    Tata Consultancy Services Ltd</v>
      </c>
      <c r="B354" t="str">
        <f>$B$165</f>
        <v>TCS IN Equity</v>
      </c>
      <c r="C354" t="str">
        <f>$C$165</f>
        <v>RX547</v>
      </c>
      <c r="D354" t="str">
        <f>$D$165</f>
        <v>NET_DEBT_PER_DILUTED_SHARE</v>
      </c>
      <c r="E354" t="str">
        <f>$E$165</f>
        <v>Dynamic</v>
      </c>
      <c r="F354">
        <f ca="1">_xll.BDH($B$165,$C$165,$B$200,$B$201,CONCATENATE("Per=",$B$198),"Dts=H","Dir=H",CONCATENATE("Points=",$B$199),"Sort=R","Days=A","Fill=B",CONCATENATE("FX=", $B$197),"cols=12;rows=1")</f>
        <v>-0.96940000000000004</v>
      </c>
      <c r="G354">
        <v>-1.1179999999999999</v>
      </c>
      <c r="H354">
        <v>-1.4959</v>
      </c>
      <c r="I354">
        <v>-1.3756999999999999</v>
      </c>
      <c r="J354">
        <v>-1.6021999999999998</v>
      </c>
      <c r="K354">
        <v>-1.3772</v>
      </c>
      <c r="L354">
        <v>-1.2184999999999999</v>
      </c>
      <c r="M354">
        <v>-1.4605999999999999</v>
      </c>
      <c r="N354">
        <v>-1.7000999999999999</v>
      </c>
      <c r="O354">
        <v>-1.4994000000000001</v>
      </c>
      <c r="P354">
        <v>-1.3372999999999999</v>
      </c>
      <c r="Q354">
        <v>-1.2585</v>
      </c>
      <c r="R354" t="str">
        <f>""</f>
        <v/>
      </c>
      <c r="S354" t="str">
        <f>""</f>
        <v/>
      </c>
      <c r="T354" t="str">
        <f>""</f>
        <v/>
      </c>
      <c r="U354" t="str">
        <f>""</f>
        <v/>
      </c>
      <c r="V354" t="str">
        <f>""</f>
        <v/>
      </c>
      <c r="W354" t="str">
        <f>""</f>
        <v/>
      </c>
      <c r="X354" t="str">
        <f>""</f>
        <v/>
      </c>
      <c r="Y354" t="str">
        <f>""</f>
        <v/>
      </c>
      <c r="Z354" t="str">
        <f>""</f>
        <v/>
      </c>
      <c r="AA354" t="str">
        <f>""</f>
        <v/>
      </c>
      <c r="AB354" t="str">
        <f>""</f>
        <v/>
      </c>
      <c r="AC354" t="str">
        <f>""</f>
        <v/>
      </c>
    </row>
    <row r="355" spans="1:29" x14ac:dyDescent="0.25">
      <c r="A355" t="str">
        <f>$A$166</f>
        <v xml:space="preserve">    Tech Mahindra Ltd</v>
      </c>
      <c r="B355" t="str">
        <f>$B$166</f>
        <v>TECHM IN Equity</v>
      </c>
      <c r="C355" t="str">
        <f>$C$166</f>
        <v>RX547</v>
      </c>
      <c r="D355" t="str">
        <f>$D$166</f>
        <v>NET_DEBT_PER_DILUTED_SHARE</v>
      </c>
      <c r="E355" t="str">
        <f>$E$166</f>
        <v>Dynamic</v>
      </c>
      <c r="F355">
        <f ca="1">_xll.BDH($B$166,$C$166,$B$200,$B$201,CONCATENATE("Per=",$B$198),"Dts=H","Dir=H",CONCATENATE("Points=",$B$199),"Sort=R","Days=A","Fill=B",CONCATENATE("FX=", $B$197),"cols=12;rows=1")</f>
        <v>-0.95509999999999995</v>
      </c>
      <c r="G355">
        <v>-0.80259999999999998</v>
      </c>
      <c r="H355">
        <v>-0.63190000000000002</v>
      </c>
      <c r="I355">
        <v>-0.88249999999999995</v>
      </c>
      <c r="J355">
        <v>-1.0708</v>
      </c>
      <c r="K355">
        <v>-0.81759999999999999</v>
      </c>
      <c r="L355">
        <v>-0.75370000000000004</v>
      </c>
      <c r="M355">
        <v>-0.88180000000000003</v>
      </c>
      <c r="N355">
        <v>-0.69740000000000002</v>
      </c>
      <c r="O355">
        <v>-0.79669999999999996</v>
      </c>
      <c r="P355">
        <v>-0.77859999999999996</v>
      </c>
      <c r="Q355">
        <v>-0.80049999999999999</v>
      </c>
      <c r="R355" t="str">
        <f>""</f>
        <v/>
      </c>
      <c r="S355" t="str">
        <f>""</f>
        <v/>
      </c>
      <c r="T355" t="str">
        <f>""</f>
        <v/>
      </c>
      <c r="U355" t="str">
        <f>""</f>
        <v/>
      </c>
      <c r="V355" t="str">
        <f>""</f>
        <v/>
      </c>
      <c r="W355" t="str">
        <f>""</f>
        <v/>
      </c>
      <c r="X355" t="str">
        <f>""</f>
        <v/>
      </c>
      <c r="Y355" t="str">
        <f>""</f>
        <v/>
      </c>
      <c r="Z355" t="str">
        <f>""</f>
        <v/>
      </c>
      <c r="AA355" t="str">
        <f>""</f>
        <v/>
      </c>
      <c r="AB355" t="str">
        <f>""</f>
        <v/>
      </c>
      <c r="AC355" t="str">
        <f>""</f>
        <v/>
      </c>
    </row>
    <row r="356" spans="1:29" x14ac:dyDescent="0.25">
      <c r="A356" t="str">
        <f>$A$167</f>
        <v xml:space="preserve">    Wipro Ltd</v>
      </c>
      <c r="B356" t="str">
        <f>$B$167</f>
        <v>WIT US Equity</v>
      </c>
      <c r="C356" t="str">
        <f>$C$167</f>
        <v>RX547</v>
      </c>
      <c r="D356" t="str">
        <f>$D$167</f>
        <v>NET_DEBT_PER_DILUTED_SHARE</v>
      </c>
      <c r="E356" t="str">
        <f>$E$167</f>
        <v>Dynamic</v>
      </c>
      <c r="F356" t="str">
        <f ca="1">_xll.BDH($B$167,$C$167,$B$200,$B$201,CONCATENATE("Per=",$B$198),"Dts=H","Dir=H",CONCATENATE("Points=",$B$199),"Sort=R","Days=A","Fill=B",CONCATENATE("FX=", $B$197) )</f>
        <v/>
      </c>
      <c r="R356" t="str">
        <f>""</f>
        <v/>
      </c>
      <c r="S356" t="str">
        <f>""</f>
        <v/>
      </c>
      <c r="T356" t="str">
        <f>""</f>
        <v/>
      </c>
      <c r="U356" t="str">
        <f>""</f>
        <v/>
      </c>
      <c r="V356" t="str">
        <f>""</f>
        <v/>
      </c>
      <c r="W356" t="str">
        <f>""</f>
        <v/>
      </c>
      <c r="X356" t="str">
        <f>""</f>
        <v/>
      </c>
      <c r="Y356" t="str">
        <f>""</f>
        <v/>
      </c>
      <c r="Z356" t="str">
        <f>""</f>
        <v/>
      </c>
      <c r="AA356" t="str">
        <f>""</f>
        <v/>
      </c>
      <c r="AB356" t="str">
        <f>""</f>
        <v/>
      </c>
      <c r="AC356" t="str">
        <f>""</f>
        <v/>
      </c>
    </row>
    <row r="357" spans="1:29" x14ac:dyDescent="0.25">
      <c r="A357" t="str">
        <f>$A$169</f>
        <v xml:space="preserve">    Accenture PLC</v>
      </c>
      <c r="B357" t="str">
        <f>$B$169</f>
        <v>ACN US Equity</v>
      </c>
      <c r="C357" t="str">
        <f>$C$169</f>
        <v>RR159</v>
      </c>
      <c r="D357" t="str">
        <f>$D$169</f>
        <v>ACCT_RCV_DAYS</v>
      </c>
      <c r="E357" t="str">
        <f>$E$169</f>
        <v>Dynamic</v>
      </c>
      <c r="F357">
        <f ca="1">_xll.BDH($B$169,$C$169,$B$200,$B$201,CONCATENATE("Per=",$B$198),"Dts=H","Dir=H",CONCATENATE("Points=",$B$199),"Sort=R","Days=A","Fill=B",CONCATENATE("FX=", $B$197),"cols=12;rows=1")</f>
        <v>68.311199999999999</v>
      </c>
      <c r="G357">
        <v>68.903599999999997</v>
      </c>
      <c r="H357">
        <v>55.2864</v>
      </c>
      <c r="I357">
        <v>56.1265</v>
      </c>
      <c r="J357">
        <v>56.928800000000003</v>
      </c>
      <c r="K357">
        <v>56.893799999999999</v>
      </c>
      <c r="L357">
        <v>42.586599999999997</v>
      </c>
      <c r="M357">
        <v>43.026899999999998</v>
      </c>
      <c r="N357">
        <v>44.614100000000001</v>
      </c>
      <c r="O357">
        <v>44.988199999999999</v>
      </c>
      <c r="P357">
        <v>42.895000000000003</v>
      </c>
      <c r="Q357">
        <v>44.3887</v>
      </c>
      <c r="R357" t="str">
        <f>""</f>
        <v/>
      </c>
      <c r="S357" t="str">
        <f>""</f>
        <v/>
      </c>
      <c r="T357" t="str">
        <f>""</f>
        <v/>
      </c>
      <c r="U357" t="str">
        <f>""</f>
        <v/>
      </c>
      <c r="V357" t="str">
        <f>""</f>
        <v/>
      </c>
      <c r="W357" t="str">
        <f>""</f>
        <v/>
      </c>
      <c r="X357" t="str">
        <f>""</f>
        <v/>
      </c>
      <c r="Y357" t="str">
        <f>""</f>
        <v/>
      </c>
      <c r="Z357" t="str">
        <f>""</f>
        <v/>
      </c>
      <c r="AA357" t="str">
        <f>""</f>
        <v/>
      </c>
      <c r="AB357" t="str">
        <f>""</f>
        <v/>
      </c>
      <c r="AC357" t="str">
        <f>""</f>
        <v/>
      </c>
    </row>
    <row r="358" spans="1:29" x14ac:dyDescent="0.25">
      <c r="A358" t="str">
        <f>$A$170</f>
        <v xml:space="preserve">    Amdocs Ltd</v>
      </c>
      <c r="B358" t="str">
        <f>$B$170</f>
        <v>DOX US Equity</v>
      </c>
      <c r="C358" t="str">
        <f>$C$170</f>
        <v>RR159</v>
      </c>
      <c r="D358" t="str">
        <f>$D$170</f>
        <v>ACCT_RCV_DAYS</v>
      </c>
      <c r="E358" t="str">
        <f>$E$170</f>
        <v>Dynamic</v>
      </c>
      <c r="F358">
        <f ca="1">_xll.BDH($B$170,$C$170,$B$200,$B$201,CONCATENATE("Per=",$B$198),"Dts=H","Dir=H",CONCATENATE("Points=",$B$199),"Sort=R","Days=A","Fill=B",CONCATENATE("FX=", $B$197),"cols=12;rows=1")</f>
        <v>67.123999999999995</v>
      </c>
      <c r="G358">
        <v>89.154200000000003</v>
      </c>
      <c r="H358">
        <v>75.710499999999996</v>
      </c>
      <c r="I358">
        <v>75.813000000000002</v>
      </c>
      <c r="J358">
        <v>67.268500000000003</v>
      </c>
      <c r="K358">
        <v>76.947000000000003</v>
      </c>
      <c r="L358">
        <v>61.656700000000001</v>
      </c>
      <c r="M358">
        <v>67.041600000000003</v>
      </c>
      <c r="N358">
        <v>66.010800000000003</v>
      </c>
      <c r="O358">
        <v>65.456900000000005</v>
      </c>
      <c r="P358">
        <v>62.2836</v>
      </c>
      <c r="Q358">
        <v>64.106399999999994</v>
      </c>
      <c r="R358" t="str">
        <f>""</f>
        <v/>
      </c>
      <c r="S358" t="str">
        <f>""</f>
        <v/>
      </c>
      <c r="T358" t="str">
        <f>""</f>
        <v/>
      </c>
      <c r="U358" t="str">
        <f>""</f>
        <v/>
      </c>
      <c r="V358" t="str">
        <f>""</f>
        <v/>
      </c>
      <c r="W358" t="str">
        <f>""</f>
        <v/>
      </c>
      <c r="X358" t="str">
        <f>""</f>
        <v/>
      </c>
      <c r="Y358" t="str">
        <f>""</f>
        <v/>
      </c>
      <c r="Z358" t="str">
        <f>""</f>
        <v/>
      </c>
      <c r="AA358" t="str">
        <f>""</f>
        <v/>
      </c>
      <c r="AB358" t="str">
        <f>""</f>
        <v/>
      </c>
      <c r="AC358" t="str">
        <f>""</f>
        <v/>
      </c>
    </row>
    <row r="359" spans="1:29" x14ac:dyDescent="0.25">
      <c r="A359" t="str">
        <f>$A$171</f>
        <v xml:space="preserve">    Atos SE</v>
      </c>
      <c r="B359" t="str">
        <f>$B$171</f>
        <v>ATO FP Equity</v>
      </c>
      <c r="C359" t="str">
        <f>$C$171</f>
        <v>RR159</v>
      </c>
      <c r="D359" t="str">
        <f>$D$171</f>
        <v>ACCT_RCV_DAYS</v>
      </c>
      <c r="E359" t="str">
        <f>$E$171</f>
        <v>Dynamic</v>
      </c>
      <c r="F359" t="str">
        <f ca="1">_xll.BDH($B$171,$C$171,$B$200,$B$201,CONCATENATE("Per=",$B$198),"Dts=H","Dir=H",CONCATENATE("Points=",$B$199),"Sort=R","Days=A","Fill=B",CONCATENATE("FX=", $B$197) )</f>
        <v/>
      </c>
      <c r="R359" t="str">
        <f>""</f>
        <v/>
      </c>
      <c r="S359" t="str">
        <f>""</f>
        <v/>
      </c>
      <c r="T359" t="str">
        <f>""</f>
        <v/>
      </c>
      <c r="U359" t="str">
        <f>""</f>
        <v/>
      </c>
      <c r="V359" t="str">
        <f>""</f>
        <v/>
      </c>
      <c r="W359" t="str">
        <f>""</f>
        <v/>
      </c>
      <c r="X359" t="str">
        <f>""</f>
        <v/>
      </c>
      <c r="Y359" t="str">
        <f>""</f>
        <v/>
      </c>
      <c r="Z359" t="str">
        <f>""</f>
        <v/>
      </c>
      <c r="AA359" t="str">
        <f>""</f>
        <v/>
      </c>
      <c r="AB359" t="str">
        <f>""</f>
        <v/>
      </c>
      <c r="AC359" t="str">
        <f>""</f>
        <v/>
      </c>
    </row>
    <row r="360" spans="1:29" x14ac:dyDescent="0.25">
      <c r="A360" t="str">
        <f>$A$172</f>
        <v xml:space="preserve">    Capgemini SE</v>
      </c>
      <c r="B360" t="str">
        <f>$B$172</f>
        <v>CAP FP Equity</v>
      </c>
      <c r="C360" t="str">
        <f>$C$172</f>
        <v>RR159</v>
      </c>
      <c r="D360" t="str">
        <f>$D$172</f>
        <v>ACCT_RCV_DAYS</v>
      </c>
      <c r="E360" t="str">
        <f>$E$172</f>
        <v>Dynamic</v>
      </c>
      <c r="F360" t="str">
        <f ca="1">_xll.BDH($B$172,$C$172,$B$200,$B$201,CONCATENATE("Per=",$B$198),"Dts=H","Dir=H",CONCATENATE("Points=",$B$199),"Sort=R","Days=A","Fill=B",CONCATENATE("FX=", $B$197) )</f>
        <v/>
      </c>
      <c r="R360" t="str">
        <f>""</f>
        <v/>
      </c>
      <c r="S360" t="str">
        <f>""</f>
        <v/>
      </c>
      <c r="T360" t="str">
        <f>""</f>
        <v/>
      </c>
      <c r="U360" t="str">
        <f>""</f>
        <v/>
      </c>
      <c r="V360" t="str">
        <f>""</f>
        <v/>
      </c>
      <c r="W360" t="str">
        <f>""</f>
        <v/>
      </c>
      <c r="X360" t="str">
        <f>""</f>
        <v/>
      </c>
      <c r="Y360" t="str">
        <f>""</f>
        <v/>
      </c>
      <c r="Z360" t="str">
        <f>""</f>
        <v/>
      </c>
      <c r="AA360" t="str">
        <f>""</f>
        <v/>
      </c>
      <c r="AB360" t="str">
        <f>""</f>
        <v/>
      </c>
      <c r="AC360" t="str">
        <f>""</f>
        <v/>
      </c>
    </row>
    <row r="361" spans="1:29" x14ac:dyDescent="0.25">
      <c r="A361" t="str">
        <f>$A$173</f>
        <v xml:space="preserve">    CGI Inc</v>
      </c>
      <c r="B361" t="str">
        <f>$B$173</f>
        <v>GIB US Equity</v>
      </c>
      <c r="C361" t="str">
        <f>$C$173</f>
        <v>RR159</v>
      </c>
      <c r="D361" t="str">
        <f>$D$173</f>
        <v>ACCT_RCV_DAYS</v>
      </c>
      <c r="E361" t="str">
        <f>$E$173</f>
        <v>Dynamic</v>
      </c>
      <c r="F361">
        <f ca="1">_xll.BDH($B$173,$C$173,$B$200,$B$201,CONCATENATE("Per=",$B$198),"Dts=H","Dir=H",CONCATENATE("Points=",$B$199),"Sort=R","Days=A","Fill=B",CONCATENATE("FX=", $B$197),"cols=12;rows=1")</f>
        <v>44.045900000000003</v>
      </c>
      <c r="G361">
        <v>46.1143</v>
      </c>
      <c r="H361">
        <v>31.742100000000001</v>
      </c>
      <c r="J361">
        <v>43.460099999999997</v>
      </c>
      <c r="K361">
        <v>46.3491</v>
      </c>
      <c r="L361">
        <v>32.645000000000003</v>
      </c>
      <c r="N361">
        <v>41.101799999999997</v>
      </c>
      <c r="O361">
        <v>44.192799999999998</v>
      </c>
      <c r="P361">
        <v>29.4222</v>
      </c>
      <c r="Q361">
        <v>40.742899999999999</v>
      </c>
      <c r="R361" t="str">
        <f>""</f>
        <v/>
      </c>
      <c r="S361" t="str">
        <f>""</f>
        <v/>
      </c>
      <c r="T361" t="str">
        <f>""</f>
        <v/>
      </c>
      <c r="U361" t="str">
        <f>""</f>
        <v/>
      </c>
      <c r="V361" t="str">
        <f>""</f>
        <v/>
      </c>
      <c r="W361" t="str">
        <f>""</f>
        <v/>
      </c>
      <c r="X361" t="str">
        <f>""</f>
        <v/>
      </c>
      <c r="Y361" t="str">
        <f>""</f>
        <v/>
      </c>
      <c r="Z361" t="str">
        <f>""</f>
        <v/>
      </c>
      <c r="AA361" t="str">
        <f>""</f>
        <v/>
      </c>
      <c r="AB361" t="str">
        <f>""</f>
        <v/>
      </c>
      <c r="AC361" t="str">
        <f>""</f>
        <v/>
      </c>
    </row>
    <row r="362" spans="1:29" x14ac:dyDescent="0.25">
      <c r="A362" t="str">
        <f>$A$174</f>
        <v xml:space="preserve">    Cognizant Technology Solutions Corp</v>
      </c>
      <c r="B362" t="str">
        <f>$B$174</f>
        <v>CTSH US Equity</v>
      </c>
      <c r="C362" t="str">
        <f>$C$174</f>
        <v>RR159</v>
      </c>
      <c r="D362" t="str">
        <f>$D$174</f>
        <v>ACCT_RCV_DAYS</v>
      </c>
      <c r="E362" t="str">
        <f>$E$174</f>
        <v>Dynamic</v>
      </c>
      <c r="F362">
        <f ca="1">_xll.BDH($B$174,$C$174,$B$200,$B$201,CONCATENATE("Per=",$B$198),"Dts=H","Dir=H",CONCATENATE("Points=",$B$199),"Sort=R","Days=A","Fill=B",CONCATENATE("FX=", $B$197),"cols=12;rows=1")</f>
        <v>71.443399999999997</v>
      </c>
      <c r="G362">
        <v>70.094399999999993</v>
      </c>
      <c r="H362">
        <v>72.712400000000002</v>
      </c>
      <c r="I362">
        <v>73.075400000000002</v>
      </c>
      <c r="J362">
        <v>72.919499999999999</v>
      </c>
      <c r="K362">
        <v>68.529499999999999</v>
      </c>
      <c r="L362">
        <v>70.075199999999995</v>
      </c>
      <c r="M362">
        <v>69.225800000000007</v>
      </c>
      <c r="N362">
        <v>69.616</v>
      </c>
      <c r="O362">
        <v>66.801699999999997</v>
      </c>
      <c r="P362">
        <v>67.990200000000002</v>
      </c>
      <c r="Q362">
        <v>65.961399999999998</v>
      </c>
      <c r="R362" t="str">
        <f>""</f>
        <v/>
      </c>
      <c r="S362" t="str">
        <f>""</f>
        <v/>
      </c>
      <c r="T362" t="str">
        <f>""</f>
        <v/>
      </c>
      <c r="U362" t="str">
        <f>""</f>
        <v/>
      </c>
      <c r="V362" t="str">
        <f>""</f>
        <v/>
      </c>
      <c r="W362" t="str">
        <f>""</f>
        <v/>
      </c>
      <c r="X362" t="str">
        <f>""</f>
        <v/>
      </c>
      <c r="Y362" t="str">
        <f>""</f>
        <v/>
      </c>
      <c r="Z362" t="str">
        <f>""</f>
        <v/>
      </c>
      <c r="AA362" t="str">
        <f>""</f>
        <v/>
      </c>
      <c r="AB362" t="str">
        <f>""</f>
        <v/>
      </c>
      <c r="AC362" t="str">
        <f>""</f>
        <v/>
      </c>
    </row>
    <row r="363" spans="1:29" x14ac:dyDescent="0.25">
      <c r="A363" t="str">
        <f>$A$175</f>
        <v xml:space="preserve">    Conduent Inc</v>
      </c>
      <c r="B363" t="str">
        <f>$B$175</f>
        <v>CNDT US Equity</v>
      </c>
      <c r="C363" t="str">
        <f>$C$175</f>
        <v>RR159</v>
      </c>
      <c r="D363" t="str">
        <f>$D$175</f>
        <v>ACCT_RCV_DAYS</v>
      </c>
      <c r="E363" t="str">
        <f>$E$175</f>
        <v>Dynamic</v>
      </c>
      <c r="F363">
        <f ca="1">_xll.BDH($B$175,$C$175,$B$200,$B$201,CONCATENATE("Per=",$B$198),"Dts=H","Dir=H",CONCATENATE("Points=",$B$199),"Sort=R","Days=A","Fill=B",CONCATENATE("FX=", $B$197),"cols=12;rows=1")</f>
        <v>63.378399999999999</v>
      </c>
      <c r="G363">
        <v>58.586300000000001</v>
      </c>
      <c r="H363">
        <v>70.291899999999998</v>
      </c>
      <c r="I363">
        <v>65.919499999999999</v>
      </c>
      <c r="J363">
        <v>65.658699999999996</v>
      </c>
      <c r="K363">
        <v>64.194800000000001</v>
      </c>
      <c r="L363">
        <v>76.920900000000003</v>
      </c>
      <c r="M363">
        <v>73.978800000000007</v>
      </c>
      <c r="N363">
        <v>75.429599999999994</v>
      </c>
      <c r="O363">
        <v>72.763599999999997</v>
      </c>
      <c r="P363">
        <v>85.496899999999997</v>
      </c>
      <c r="Q363">
        <v>82.819900000000004</v>
      </c>
      <c r="R363" t="str">
        <f>""</f>
        <v/>
      </c>
      <c r="S363" t="str">
        <f>""</f>
        <v/>
      </c>
      <c r="T363" t="str">
        <f>""</f>
        <v/>
      </c>
      <c r="U363" t="str">
        <f>""</f>
        <v/>
      </c>
      <c r="V363" t="str">
        <f>""</f>
        <v/>
      </c>
      <c r="W363" t="str">
        <f>""</f>
        <v/>
      </c>
      <c r="X363" t="str">
        <f>""</f>
        <v/>
      </c>
      <c r="Y363" t="str">
        <f>""</f>
        <v/>
      </c>
      <c r="Z363" t="str">
        <f>""</f>
        <v/>
      </c>
      <c r="AA363" t="str">
        <f>""</f>
        <v/>
      </c>
      <c r="AB363" t="str">
        <f>""</f>
        <v/>
      </c>
      <c r="AC363" t="str">
        <f>""</f>
        <v/>
      </c>
    </row>
    <row r="364" spans="1:29" x14ac:dyDescent="0.25">
      <c r="A364" t="str">
        <f>$A$176</f>
        <v xml:space="preserve">    DXC Technology Co</v>
      </c>
      <c r="B364" t="str">
        <f>$B$176</f>
        <v>DXC US Equity</v>
      </c>
      <c r="C364" t="str">
        <f>$C$176</f>
        <v>RR159</v>
      </c>
      <c r="D364" t="str">
        <f>$D$176</f>
        <v>ACCT_RCV_DAYS</v>
      </c>
      <c r="E364" t="str">
        <f>$E$176</f>
        <v>Dynamic</v>
      </c>
      <c r="F364">
        <f ca="1">_xll.BDH($B$176,$C$176,$B$200,$B$201,CONCATENATE("Per=",$B$198),"Dts=H","Dir=H",CONCATENATE("Points=",$B$199),"Sort=R","Days=A","Fill=B",CONCATENATE("FX=", $B$197),"cols=12;rows=1")</f>
        <v>43.018099999999997</v>
      </c>
      <c r="G364">
        <v>88.4636</v>
      </c>
      <c r="H364">
        <v>86.1858</v>
      </c>
      <c r="I364">
        <v>94.158600000000007</v>
      </c>
      <c r="J364">
        <v>49.404200000000003</v>
      </c>
      <c r="K364">
        <v>92.7971</v>
      </c>
      <c r="L364">
        <v>90.689800000000005</v>
      </c>
      <c r="M364">
        <v>92.569800000000001</v>
      </c>
      <c r="N364">
        <v>68.992800000000003</v>
      </c>
      <c r="R364" t="str">
        <f>""</f>
        <v/>
      </c>
      <c r="S364" t="str">
        <f>""</f>
        <v/>
      </c>
      <c r="T364" t="str">
        <f>""</f>
        <v/>
      </c>
      <c r="U364" t="str">
        <f>""</f>
        <v/>
      </c>
      <c r="V364" t="str">
        <f>""</f>
        <v/>
      </c>
      <c r="W364" t="str">
        <f>""</f>
        <v/>
      </c>
      <c r="X364" t="str">
        <f>""</f>
        <v/>
      </c>
      <c r="Y364" t="str">
        <f>""</f>
        <v/>
      </c>
      <c r="Z364" t="str">
        <f>""</f>
        <v/>
      </c>
      <c r="AA364" t="str">
        <f>""</f>
        <v/>
      </c>
      <c r="AB364" t="str">
        <f>""</f>
        <v/>
      </c>
      <c r="AC364" t="str">
        <f>""</f>
        <v/>
      </c>
    </row>
    <row r="365" spans="1:29" x14ac:dyDescent="0.25">
      <c r="A365" t="str">
        <f>$A$177</f>
        <v xml:space="preserve">    EPAM Systems Inc</v>
      </c>
      <c r="B365" t="str">
        <f>$B$177</f>
        <v>EPAM US Equity</v>
      </c>
      <c r="C365" t="str">
        <f>$C$177</f>
        <v>RR159</v>
      </c>
      <c r="D365" t="str">
        <f>$D$177</f>
        <v>ACCT_RCV_DAYS</v>
      </c>
      <c r="E365" t="str">
        <f>$E$177</f>
        <v>Dynamic</v>
      </c>
      <c r="F365">
        <f ca="1">_xll.BDH($B$177,$C$177,$B$200,$B$201,CONCATENATE("Per=",$B$198),"Dts=H","Dir=H",CONCATENATE("Points=",$B$199),"Sort=R","Days=A","Fill=B",CONCATENATE("FX=", $B$197),"cols=12;rows=1")</f>
        <v>64.167900000000003</v>
      </c>
      <c r="G365">
        <v>63.283999999999999</v>
      </c>
      <c r="H365">
        <v>52.357199999999999</v>
      </c>
      <c r="I365">
        <v>55.914400000000001</v>
      </c>
      <c r="J365">
        <v>53.571100000000001</v>
      </c>
      <c r="K365">
        <v>55.7849</v>
      </c>
      <c r="L365">
        <v>53.826799999999999</v>
      </c>
      <c r="M365">
        <v>54.449599999999997</v>
      </c>
      <c r="N365">
        <v>51.688299999999998</v>
      </c>
      <c r="O365">
        <v>58.585900000000002</v>
      </c>
      <c r="P365">
        <v>55.893299999999996</v>
      </c>
      <c r="Q365">
        <v>54.953800000000001</v>
      </c>
      <c r="R365" t="str">
        <f>""</f>
        <v/>
      </c>
      <c r="S365" t="str">
        <f>""</f>
        <v/>
      </c>
      <c r="T365" t="str">
        <f>""</f>
        <v/>
      </c>
      <c r="U365" t="str">
        <f>""</f>
        <v/>
      </c>
      <c r="V365" t="str">
        <f>""</f>
        <v/>
      </c>
      <c r="W365" t="str">
        <f>""</f>
        <v/>
      </c>
      <c r="X365" t="str">
        <f>""</f>
        <v/>
      </c>
      <c r="Y365" t="str">
        <f>""</f>
        <v/>
      </c>
      <c r="Z365" t="str">
        <f>""</f>
        <v/>
      </c>
      <c r="AA365" t="str">
        <f>""</f>
        <v/>
      </c>
      <c r="AB365" t="str">
        <f>""</f>
        <v/>
      </c>
      <c r="AC365" t="str">
        <f>""</f>
        <v/>
      </c>
    </row>
    <row r="366" spans="1:29" x14ac:dyDescent="0.25">
      <c r="A366" t="str">
        <f>$A$178</f>
        <v xml:space="preserve">    Genpact Ltd</v>
      </c>
      <c r="B366" t="str">
        <f>$B$178</f>
        <v>G US Equity</v>
      </c>
      <c r="C366" t="str">
        <f>$C$178</f>
        <v>RR159</v>
      </c>
      <c r="D366" t="str">
        <f>$D$178</f>
        <v>ACCT_RCV_DAYS</v>
      </c>
      <c r="E366" t="str">
        <f>$E$178</f>
        <v>Dynamic</v>
      </c>
      <c r="F366">
        <f ca="1">_xll.BDH($B$178,$C$178,$B$200,$B$201,CONCATENATE("Per=",$B$198),"Dts=H","Dir=H",CONCATENATE("Points=",$B$199),"Sort=R","Days=A","Fill=B",CONCATENATE("FX=", $B$197),"cols=12;rows=1")</f>
        <v>88.110500000000002</v>
      </c>
      <c r="G366">
        <v>87.526300000000006</v>
      </c>
      <c r="H366">
        <v>84.073499999999996</v>
      </c>
      <c r="I366">
        <v>86.277600000000007</v>
      </c>
      <c r="J366">
        <v>90.169200000000004</v>
      </c>
      <c r="K366">
        <v>89.235399999999998</v>
      </c>
      <c r="L366">
        <v>86.895300000000006</v>
      </c>
      <c r="M366">
        <v>84.781499999999994</v>
      </c>
      <c r="N366">
        <v>85.032700000000006</v>
      </c>
      <c r="O366">
        <v>87.241500000000002</v>
      </c>
      <c r="P366">
        <v>87.040300000000002</v>
      </c>
      <c r="Q366">
        <v>85.945800000000006</v>
      </c>
      <c r="R366" t="str">
        <f>""</f>
        <v/>
      </c>
      <c r="S366" t="str">
        <f>""</f>
        <v/>
      </c>
      <c r="T366" t="str">
        <f>""</f>
        <v/>
      </c>
      <c r="U366" t="str">
        <f>""</f>
        <v/>
      </c>
      <c r="V366" t="str">
        <f>""</f>
        <v/>
      </c>
      <c r="W366" t="str">
        <f>""</f>
        <v/>
      </c>
      <c r="X366" t="str">
        <f>""</f>
        <v/>
      </c>
      <c r="Y366" t="str">
        <f>""</f>
        <v/>
      </c>
      <c r="Z366" t="str">
        <f>""</f>
        <v/>
      </c>
      <c r="AA366" t="str">
        <f>""</f>
        <v/>
      </c>
      <c r="AB366" t="str">
        <f>""</f>
        <v/>
      </c>
      <c r="AC366" t="str">
        <f>""</f>
        <v/>
      </c>
    </row>
    <row r="367" spans="1:29" x14ac:dyDescent="0.25">
      <c r="A367" t="str">
        <f>$A$179</f>
        <v xml:space="preserve">    HCL Technologies Ltd</v>
      </c>
      <c r="B367" t="str">
        <f>$B$179</f>
        <v>HCLT IN Equity</v>
      </c>
      <c r="C367" t="str">
        <f>$C$179</f>
        <v>RR159</v>
      </c>
      <c r="D367" t="str">
        <f>$D$179</f>
        <v>ACCT_RCV_DAYS</v>
      </c>
      <c r="E367" t="str">
        <f>$E$179</f>
        <v>Dynamic</v>
      </c>
      <c r="F367">
        <f ca="1">_xll.BDH($B$179,$C$179,$B$200,$B$201,CONCATENATE("Per=",$B$198),"Dts=H","Dir=H",CONCATENATE("Points=",$B$199),"Sort=R","Days=A","Fill=B",CONCATENATE("FX=", $B$197),"cols=12;rows=1")</f>
        <v>65.595399999999998</v>
      </c>
      <c r="G367">
        <v>65.306600000000003</v>
      </c>
      <c r="H367">
        <v>67.281499999999994</v>
      </c>
      <c r="I367">
        <v>65.280799999999999</v>
      </c>
      <c r="J367">
        <v>67.086500000000001</v>
      </c>
      <c r="K367">
        <v>66.564300000000003</v>
      </c>
      <c r="L367">
        <v>63.676699999999997</v>
      </c>
      <c r="M367">
        <v>64.337400000000002</v>
      </c>
      <c r="N367">
        <v>64.715100000000007</v>
      </c>
      <c r="P367">
        <v>61.854500000000002</v>
      </c>
      <c r="R367" t="str">
        <f>""</f>
        <v/>
      </c>
      <c r="S367" t="str">
        <f>""</f>
        <v/>
      </c>
      <c r="T367" t="str">
        <f>""</f>
        <v/>
      </c>
      <c r="U367" t="str">
        <f>""</f>
        <v/>
      </c>
      <c r="V367" t="str">
        <f>""</f>
        <v/>
      </c>
      <c r="W367" t="str">
        <f>""</f>
        <v/>
      </c>
      <c r="X367" t="str">
        <f>""</f>
        <v/>
      </c>
      <c r="Y367" t="str">
        <f>""</f>
        <v/>
      </c>
      <c r="Z367" t="str">
        <f>""</f>
        <v/>
      </c>
      <c r="AA367" t="str">
        <f>""</f>
        <v/>
      </c>
      <c r="AB367" t="str">
        <f>""</f>
        <v/>
      </c>
      <c r="AC367" t="str">
        <f>""</f>
        <v/>
      </c>
    </row>
    <row r="368" spans="1:29" x14ac:dyDescent="0.25">
      <c r="A368" t="str">
        <f>$A$180</f>
        <v xml:space="preserve">    Indra Sistemas SA</v>
      </c>
      <c r="B368" t="str">
        <f>$B$180</f>
        <v>IDR SM Equity</v>
      </c>
      <c r="C368" t="str">
        <f>$C$180</f>
        <v>RR159</v>
      </c>
      <c r="D368" t="str">
        <f>$D$180</f>
        <v>ACCT_RCV_DAYS</v>
      </c>
      <c r="E368" t="str">
        <f>$E$180</f>
        <v>Dynamic</v>
      </c>
      <c r="F368" t="str">
        <f ca="1">_xll.BDH($B$180,$C$180,$B$200,$B$201,CONCATENATE("Per=",$B$198),"Dts=H","Dir=H",CONCATENATE("Points=",$B$199),"Sort=R","Days=A","Fill=B",CONCATENATE("FX=", $B$197),"cols=12;rows=1")</f>
        <v/>
      </c>
      <c r="G368">
        <v>112.9157</v>
      </c>
      <c r="I368">
        <v>119.0543</v>
      </c>
      <c r="K368">
        <v>127.67870000000001</v>
      </c>
      <c r="M368">
        <v>138.06129999999999</v>
      </c>
      <c r="O368">
        <v>145.7098</v>
      </c>
      <c r="R368" t="str">
        <f>""</f>
        <v/>
      </c>
      <c r="S368" t="str">
        <f>""</f>
        <v/>
      </c>
      <c r="T368" t="str">
        <f>""</f>
        <v/>
      </c>
      <c r="U368" t="str">
        <f>""</f>
        <v/>
      </c>
      <c r="V368" t="str">
        <f>""</f>
        <v/>
      </c>
      <c r="W368" t="str">
        <f>""</f>
        <v/>
      </c>
      <c r="X368" t="str">
        <f>""</f>
        <v/>
      </c>
      <c r="Y368" t="str">
        <f>""</f>
        <v/>
      </c>
      <c r="Z368" t="str">
        <f>""</f>
        <v/>
      </c>
      <c r="AA368" t="str">
        <f>""</f>
        <v/>
      </c>
      <c r="AB368" t="str">
        <f>""</f>
        <v/>
      </c>
      <c r="AC368" t="str">
        <f>""</f>
        <v/>
      </c>
    </row>
    <row r="369" spans="1:29" x14ac:dyDescent="0.25">
      <c r="A369" t="str">
        <f>$A$181</f>
        <v xml:space="preserve">    Infosys Ltd</v>
      </c>
      <c r="B369" t="str">
        <f>$B$181</f>
        <v>INFY US Equity</v>
      </c>
      <c r="C369" t="str">
        <f>$C$181</f>
        <v>RR159</v>
      </c>
      <c r="D369" t="str">
        <f>$D$181</f>
        <v>ACCT_RCV_DAYS</v>
      </c>
      <c r="E369" t="str">
        <f>$E$181</f>
        <v>Dynamic</v>
      </c>
      <c r="F369">
        <f ca="1">_xll.BDH($B$181,$C$181,$B$200,$B$201,CONCATENATE("Per=",$B$198),"Dts=H","Dir=H",CONCATENATE("Points=",$B$199),"Sort=R","Days=A","Fill=B",CONCATENATE("FX=", $B$197),"cols=12;rows=1")</f>
        <v>67.148300000000006</v>
      </c>
      <c r="G369">
        <v>67.448499999999996</v>
      </c>
      <c r="H369">
        <v>64.41</v>
      </c>
      <c r="I369">
        <v>63.082000000000001</v>
      </c>
      <c r="J369">
        <v>61.739100000000001</v>
      </c>
      <c r="K369">
        <v>64.513099999999994</v>
      </c>
      <c r="L369">
        <v>68.072400000000002</v>
      </c>
      <c r="M369">
        <v>65.8536</v>
      </c>
      <c r="N369">
        <v>65.896900000000002</v>
      </c>
      <c r="O369">
        <v>68.438500000000005</v>
      </c>
      <c r="P369">
        <v>66.070899999999995</v>
      </c>
      <c r="Q369">
        <v>64.687600000000003</v>
      </c>
      <c r="R369" t="str">
        <f>""</f>
        <v/>
      </c>
      <c r="S369" t="str">
        <f>""</f>
        <v/>
      </c>
      <c r="T369" t="str">
        <f>""</f>
        <v/>
      </c>
      <c r="U369" t="str">
        <f>""</f>
        <v/>
      </c>
      <c r="V369" t="str">
        <f>""</f>
        <v/>
      </c>
      <c r="W369" t="str">
        <f>""</f>
        <v/>
      </c>
      <c r="X369" t="str">
        <f>""</f>
        <v/>
      </c>
      <c r="Y369" t="str">
        <f>""</f>
        <v/>
      </c>
      <c r="Z369" t="str">
        <f>""</f>
        <v/>
      </c>
      <c r="AA369" t="str">
        <f>""</f>
        <v/>
      </c>
      <c r="AB369" t="str">
        <f>""</f>
        <v/>
      </c>
      <c r="AC369" t="str">
        <f>""</f>
        <v/>
      </c>
    </row>
    <row r="370" spans="1:29" x14ac:dyDescent="0.25">
      <c r="A370" t="str">
        <f>$A$182</f>
        <v xml:space="preserve">    International Business Machines Corp</v>
      </c>
      <c r="B370" t="str">
        <f>$B$182</f>
        <v>IBM US Equity</v>
      </c>
      <c r="C370" t="str">
        <f>$C$182</f>
        <v>RR159</v>
      </c>
      <c r="D370" t="str">
        <f>$D$182</f>
        <v>ACCT_RCV_DAYS</v>
      </c>
      <c r="E370" t="str">
        <f>$E$182</f>
        <v>Dynamic</v>
      </c>
      <c r="F370">
        <f ca="1">_xll.BDH($B$182,$C$182,$B$200,$B$201,CONCATENATE("Per=",$B$198),"Dts=H","Dir=H",CONCATENATE("Points=",$B$199),"Sort=R","Days=A","Fill=B",CONCATENATE("FX=", $B$197),"cols=12;rows=1")</f>
        <v>110.7679</v>
      </c>
      <c r="G370">
        <v>122.7312</v>
      </c>
      <c r="H370">
        <v>107.4282</v>
      </c>
      <c r="I370">
        <v>117.6866</v>
      </c>
      <c r="J370">
        <v>128.22839999999999</v>
      </c>
      <c r="K370">
        <v>138.65379999999999</v>
      </c>
      <c r="L370">
        <v>119.25369999999999</v>
      </c>
      <c r="M370">
        <v>120.2379</v>
      </c>
      <c r="N370">
        <v>120.27760000000001</v>
      </c>
      <c r="O370">
        <v>135.68049999999999</v>
      </c>
      <c r="P370">
        <v>117.65730000000001</v>
      </c>
      <c r="Q370">
        <v>119.544</v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 t="str">
        <f>""</f>
        <v/>
      </c>
      <c r="AA370" t="str">
        <f>""</f>
        <v/>
      </c>
      <c r="AB370" t="str">
        <f>""</f>
        <v/>
      </c>
      <c r="AC370" t="str">
        <f>""</f>
        <v/>
      </c>
    </row>
    <row r="371" spans="1:29" x14ac:dyDescent="0.25">
      <c r="A371" t="str">
        <f>$A$183</f>
        <v xml:space="preserve">    Tata Consultancy Services Ltd</v>
      </c>
      <c r="B371" t="str">
        <f>$B$183</f>
        <v>TCS IN Equity</v>
      </c>
      <c r="C371" t="str">
        <f>$C$183</f>
        <v>RR159</v>
      </c>
      <c r="D371" t="str">
        <f>$D$183</f>
        <v>ACCT_RCV_DAYS</v>
      </c>
      <c r="E371" t="str">
        <f>$E$183</f>
        <v>Dynamic</v>
      </c>
      <c r="F371">
        <f ca="1">_xll.BDH($B$183,$C$183,$B$200,$B$201,CONCATENATE("Per=",$B$198),"Dts=H","Dir=H",CONCATENATE("Points=",$B$199),"Sort=R","Days=A","Fill=B",CONCATENATE("FX=", $B$197),"cols=12;rows=1")</f>
        <v>67.484800000000007</v>
      </c>
      <c r="G371">
        <v>66.412700000000001</v>
      </c>
      <c r="H371">
        <v>67.337199999999996</v>
      </c>
      <c r="I371">
        <v>67.103399999999993</v>
      </c>
      <c r="J371">
        <v>65.154600000000002</v>
      </c>
      <c r="K371">
        <v>66.909000000000006</v>
      </c>
      <c r="L371">
        <v>72.618099999999998</v>
      </c>
      <c r="M371">
        <v>71.312700000000007</v>
      </c>
      <c r="N371">
        <v>70.507099999999994</v>
      </c>
      <c r="O371">
        <v>73.283699999999996</v>
      </c>
      <c r="P371">
        <v>76.059200000000004</v>
      </c>
      <c r="Q371">
        <v>73.212999999999994</v>
      </c>
      <c r="R371" t="str">
        <f>""</f>
        <v/>
      </c>
      <c r="S371" t="str">
        <f>""</f>
        <v/>
      </c>
      <c r="T371" t="str">
        <f>""</f>
        <v/>
      </c>
      <c r="U371" t="str">
        <f>""</f>
        <v/>
      </c>
      <c r="V371" t="str">
        <f>""</f>
        <v/>
      </c>
      <c r="W371" t="str">
        <f>""</f>
        <v/>
      </c>
      <c r="X371" t="str">
        <f>""</f>
        <v/>
      </c>
      <c r="Y371" t="str">
        <f>""</f>
        <v/>
      </c>
      <c r="Z371" t="str">
        <f>""</f>
        <v/>
      </c>
      <c r="AA371" t="str">
        <f>""</f>
        <v/>
      </c>
      <c r="AB371" t="str">
        <f>""</f>
        <v/>
      </c>
      <c r="AC371" t="str">
        <f>""</f>
        <v/>
      </c>
    </row>
    <row r="372" spans="1:29" x14ac:dyDescent="0.25">
      <c r="A372" t="str">
        <f>$A$184</f>
        <v xml:space="preserve">    Tech Mahindra Ltd</v>
      </c>
      <c r="B372" t="str">
        <f>$B$184</f>
        <v>TECHM IN Equity</v>
      </c>
      <c r="C372" t="str">
        <f>$C$184</f>
        <v>RR159</v>
      </c>
      <c r="D372" t="str">
        <f>$D$184</f>
        <v>ACCT_RCV_DAYS</v>
      </c>
      <c r="E372" t="str">
        <f>$E$184</f>
        <v>Dynamic</v>
      </c>
      <c r="F372">
        <f ca="1">_xll.BDH($B$184,$C$184,$B$200,$B$201,CONCATENATE("Per=",$B$198),"Dts=H","Dir=H",CONCATENATE("Points=",$B$199),"Sort=R","Days=A","Fill=B",CONCATENATE("FX=", $B$197),"cols=12;rows=1")</f>
        <v>72.151200000000003</v>
      </c>
      <c r="G372">
        <v>78.176599999999993</v>
      </c>
      <c r="H372">
        <v>74.503900000000002</v>
      </c>
      <c r="I372">
        <v>69.322699999999998</v>
      </c>
      <c r="J372">
        <v>70.686800000000005</v>
      </c>
      <c r="K372">
        <v>75.797799999999995</v>
      </c>
      <c r="L372">
        <v>74.454999999999998</v>
      </c>
      <c r="M372">
        <v>72.121600000000001</v>
      </c>
      <c r="N372">
        <v>70.191400000000002</v>
      </c>
      <c r="O372">
        <v>75.788399999999996</v>
      </c>
      <c r="P372">
        <v>74.857299999999995</v>
      </c>
      <c r="Q372">
        <v>72.670199999999994</v>
      </c>
      <c r="R372" t="str">
        <f>""</f>
        <v/>
      </c>
      <c r="S372" t="str">
        <f>""</f>
        <v/>
      </c>
      <c r="T372" t="str">
        <f>""</f>
        <v/>
      </c>
      <c r="U372" t="str">
        <f>""</f>
        <v/>
      </c>
      <c r="V372" t="str">
        <f>""</f>
        <v/>
      </c>
      <c r="W372" t="str">
        <f>""</f>
        <v/>
      </c>
      <c r="X372" t="str">
        <f>""</f>
        <v/>
      </c>
      <c r="Y372" t="str">
        <f>""</f>
        <v/>
      </c>
      <c r="Z372" t="str">
        <f>""</f>
        <v/>
      </c>
      <c r="AA372" t="str">
        <f>""</f>
        <v/>
      </c>
      <c r="AB372" t="str">
        <f>""</f>
        <v/>
      </c>
      <c r="AC372" t="str">
        <f>""</f>
        <v/>
      </c>
    </row>
    <row r="373" spans="1:29" x14ac:dyDescent="0.25">
      <c r="A373" t="str">
        <f>$A$185</f>
        <v xml:space="preserve">    Wipro Ltd</v>
      </c>
      <c r="B373" t="str">
        <f>$B$185</f>
        <v>WIT US Equity</v>
      </c>
      <c r="C373" t="str">
        <f>$C$185</f>
        <v>RR159</v>
      </c>
      <c r="D373" t="str">
        <f>$D$185</f>
        <v>ACCT_RCV_DAYS</v>
      </c>
      <c r="E373" t="str">
        <f>$E$185</f>
        <v>Dynamic</v>
      </c>
      <c r="F373">
        <f ca="1">_xll.BDH($B$185,$C$185,$B$200,$B$201,CONCATENATE("Per=",$B$198),"Dts=H","Dir=H",CONCATENATE("Points=",$B$199),"Sort=R","Days=A","Fill=B",CONCATENATE("FX=", $B$197),"cols=12;rows=1")</f>
        <v>61.465499999999999</v>
      </c>
      <c r="G373">
        <v>60.7136</v>
      </c>
      <c r="H373">
        <v>61.918199999999999</v>
      </c>
      <c r="I373">
        <v>59.505600000000001</v>
      </c>
      <c r="J373">
        <v>62.7639</v>
      </c>
      <c r="K373">
        <v>63.661799999999999</v>
      </c>
      <c r="L373">
        <v>67.274100000000004</v>
      </c>
      <c r="M373">
        <v>65.081900000000005</v>
      </c>
      <c r="N373">
        <v>65.593599999999995</v>
      </c>
      <c r="P373">
        <v>67.049899999999994</v>
      </c>
      <c r="Q373">
        <v>66.291399999999996</v>
      </c>
      <c r="R373" t="str">
        <f>""</f>
        <v/>
      </c>
      <c r="S373" t="str">
        <f>""</f>
        <v/>
      </c>
      <c r="T373" t="str">
        <f>""</f>
        <v/>
      </c>
      <c r="U373" t="str">
        <f>""</f>
        <v/>
      </c>
      <c r="V373" t="str">
        <f>""</f>
        <v/>
      </c>
      <c r="W373" t="str">
        <f>""</f>
        <v/>
      </c>
      <c r="X373" t="str">
        <f>""</f>
        <v/>
      </c>
      <c r="Y373" t="str">
        <f>""</f>
        <v/>
      </c>
      <c r="Z373" t="str">
        <f>""</f>
        <v/>
      </c>
      <c r="AA373" t="str">
        <f>""</f>
        <v/>
      </c>
      <c r="AB373" t="str">
        <f>""</f>
        <v/>
      </c>
      <c r="AC373" t="str">
        <f>""</f>
        <v/>
      </c>
    </row>
    <row r="374" spans="1:29" x14ac:dyDescent="0.25">
      <c r="A374" t="str">
        <f>""</f>
        <v/>
      </c>
      <c r="B374" t="str">
        <f>""</f>
        <v/>
      </c>
      <c r="C374" t="str">
        <f>""</f>
        <v/>
      </c>
      <c r="D374" t="str">
        <f>""</f>
        <v/>
      </c>
      <c r="E374" t="str">
        <f>""</f>
        <v/>
      </c>
      <c r="R374" t="str">
        <f>""</f>
        <v/>
      </c>
      <c r="S374" t="str">
        <f>""</f>
        <v/>
      </c>
      <c r="T374" t="str">
        <f>""</f>
        <v/>
      </c>
      <c r="U374" t="str">
        <f>""</f>
        <v/>
      </c>
      <c r="V374" t="str">
        <f>""</f>
        <v/>
      </c>
      <c r="W374" t="str">
        <f>""</f>
        <v/>
      </c>
      <c r="X374" t="str">
        <f>""</f>
        <v/>
      </c>
      <c r="Y374" t="str">
        <f>""</f>
        <v/>
      </c>
      <c r="Z374" t="str">
        <f>""</f>
        <v/>
      </c>
      <c r="AA374" t="str">
        <f>""</f>
        <v/>
      </c>
      <c r="AB374" t="str">
        <f>""</f>
        <v/>
      </c>
      <c r="AC374" t="str">
        <f>""</f>
        <v/>
      </c>
    </row>
    <row r="375" spans="1:29" x14ac:dyDescent="0.25">
      <c r="A375" t="str">
        <f>""</f>
        <v/>
      </c>
      <c r="B375" t="str">
        <f>""</f>
        <v/>
      </c>
      <c r="C375" t="str">
        <f>""</f>
        <v/>
      </c>
      <c r="D375" t="str">
        <f>""</f>
        <v/>
      </c>
      <c r="E375" t="str">
        <f>""</f>
        <v/>
      </c>
      <c r="R375" t="str">
        <f>""</f>
        <v/>
      </c>
      <c r="S375" t="str">
        <f>""</f>
        <v/>
      </c>
      <c r="T375" t="str">
        <f>""</f>
        <v/>
      </c>
      <c r="U375" t="str">
        <f>""</f>
        <v/>
      </c>
      <c r="V375" t="str">
        <f>""</f>
        <v/>
      </c>
      <c r="W375" t="str">
        <f>""</f>
        <v/>
      </c>
      <c r="X375" t="str">
        <f>""</f>
        <v/>
      </c>
      <c r="Y375" t="str">
        <f>""</f>
        <v/>
      </c>
      <c r="Z375" t="str">
        <f>""</f>
        <v/>
      </c>
      <c r="AA375" t="str">
        <f>""</f>
        <v/>
      </c>
      <c r="AB375" t="str">
        <f>""</f>
        <v/>
      </c>
      <c r="AC375" t="str">
        <f>""</f>
        <v/>
      </c>
    </row>
    <row r="376" spans="1:29" x14ac:dyDescent="0.25">
      <c r="A376" t="str">
        <f>""</f>
        <v/>
      </c>
      <c r="B376" t="str">
        <f>""</f>
        <v/>
      </c>
      <c r="C376" t="str">
        <f>""</f>
        <v/>
      </c>
      <c r="D376" t="str">
        <f>""</f>
        <v/>
      </c>
      <c r="E376" t="str">
        <f>""</f>
        <v/>
      </c>
      <c r="R376" t="str">
        <f>""</f>
        <v/>
      </c>
      <c r="S376" t="str">
        <f>""</f>
        <v/>
      </c>
      <c r="T376" t="str">
        <f>""</f>
        <v/>
      </c>
      <c r="U376" t="str">
        <f>""</f>
        <v/>
      </c>
      <c r="V376" t="str">
        <f>""</f>
        <v/>
      </c>
      <c r="W376" t="str">
        <f>""</f>
        <v/>
      </c>
      <c r="X376" t="str">
        <f>""</f>
        <v/>
      </c>
      <c r="Y376" t="str">
        <f>""</f>
        <v/>
      </c>
      <c r="Z376" t="str">
        <f>""</f>
        <v/>
      </c>
      <c r="AA376" t="str">
        <f>""</f>
        <v/>
      </c>
      <c r="AB376" t="str">
        <f>""</f>
        <v/>
      </c>
      <c r="AC376" t="str">
        <f>""</f>
        <v/>
      </c>
    </row>
    <row r="377" spans="1:29" x14ac:dyDescent="0.25">
      <c r="A377" t="str">
        <f>""</f>
        <v/>
      </c>
      <c r="B377" t="str">
        <f>""</f>
        <v/>
      </c>
      <c r="C377" t="str">
        <f>""</f>
        <v/>
      </c>
      <c r="D377" t="str">
        <f>""</f>
        <v/>
      </c>
      <c r="E377" t="str">
        <f>""</f>
        <v/>
      </c>
      <c r="R377" t="str">
        <f>""</f>
        <v/>
      </c>
      <c r="S377" t="str">
        <f>""</f>
        <v/>
      </c>
      <c r="T377" t="str">
        <f>""</f>
        <v/>
      </c>
      <c r="U377" t="str">
        <f>""</f>
        <v/>
      </c>
      <c r="V377" t="str">
        <f>""</f>
        <v/>
      </c>
      <c r="W377" t="str">
        <f>""</f>
        <v/>
      </c>
      <c r="X377" t="str">
        <f>""</f>
        <v/>
      </c>
      <c r="Y377" t="str">
        <f>""</f>
        <v/>
      </c>
      <c r="Z377" t="str">
        <f>""</f>
        <v/>
      </c>
      <c r="AA377" t="str">
        <f>""</f>
        <v/>
      </c>
      <c r="AB377" t="str">
        <f>""</f>
        <v/>
      </c>
      <c r="AC377" t="str">
        <f>""</f>
        <v/>
      </c>
    </row>
    <row r="378" spans="1:29" x14ac:dyDescent="0.25">
      <c r="A378" t="str">
        <f>""</f>
        <v/>
      </c>
      <c r="B378" t="str">
        <f>""</f>
        <v/>
      </c>
      <c r="C378" t="str">
        <f>""</f>
        <v/>
      </c>
      <c r="D378" t="str">
        <f>""</f>
        <v/>
      </c>
      <c r="E378" t="str">
        <f>""</f>
        <v/>
      </c>
      <c r="R378" t="str">
        <f>""</f>
        <v/>
      </c>
      <c r="S378" t="str">
        <f>""</f>
        <v/>
      </c>
      <c r="T378" t="str">
        <f>""</f>
        <v/>
      </c>
      <c r="U378" t="str">
        <f>""</f>
        <v/>
      </c>
      <c r="V378" t="str">
        <f>""</f>
        <v/>
      </c>
      <c r="W378" t="str">
        <f>""</f>
        <v/>
      </c>
      <c r="X378" t="str">
        <f>""</f>
        <v/>
      </c>
      <c r="Y378" t="str">
        <f>""</f>
        <v/>
      </c>
      <c r="Z378" t="str">
        <f>""</f>
        <v/>
      </c>
      <c r="AA378" t="str">
        <f>""</f>
        <v/>
      </c>
      <c r="AB378" t="str">
        <f>""</f>
        <v/>
      </c>
      <c r="AC378" t="str">
        <f>""</f>
        <v/>
      </c>
    </row>
    <row r="379" spans="1:29" x14ac:dyDescent="0.25">
      <c r="A379" t="str">
        <f>"~~~~~~~~~~~~~~~~~~~~~"</f>
        <v>~~~~~~~~~~~~~~~~~~~~~</v>
      </c>
      <c r="B379" t="str">
        <f>"~~~~~~~~~~~~~~~~~~~~~"</f>
        <v>~~~~~~~~~~~~~~~~~~~~~</v>
      </c>
      <c r="C379" t="str">
        <f>"~~~~~~~~~~~~~~~~~~~~~"</f>
        <v>~~~~~~~~~~~~~~~~~~~~~</v>
      </c>
      <c r="D379" t="str">
        <f>"~~~~~~~~~~~~~~~~~~~~~"</f>
        <v>~~~~~~~~~~~~~~~~~~~~~</v>
      </c>
      <c r="E379" t="str">
        <f>"~~~~~~~~~~~~~~~~~~~~~"</f>
        <v>~~~~~~~~~~~~~~~~~~~~~</v>
      </c>
      <c r="R379" t="str">
        <f>""</f>
        <v/>
      </c>
      <c r="S379" t="str">
        <f>""</f>
        <v/>
      </c>
      <c r="T379" t="str">
        <f>""</f>
        <v/>
      </c>
      <c r="U379" t="str">
        <f>""</f>
        <v/>
      </c>
      <c r="V379" t="str">
        <f>""</f>
        <v/>
      </c>
      <c r="W379" t="str">
        <f>""</f>
        <v/>
      </c>
      <c r="X379" t="str">
        <f>""</f>
        <v/>
      </c>
      <c r="Y379" t="str">
        <f>""</f>
        <v/>
      </c>
      <c r="Z379" t="str">
        <f>""</f>
        <v/>
      </c>
      <c r="AA379" t="str">
        <f>""</f>
        <v/>
      </c>
      <c r="AB379" t="str">
        <f>""</f>
        <v/>
      </c>
      <c r="AC379" t="str">
        <f>""</f>
        <v/>
      </c>
    </row>
    <row r="380" spans="1:29" x14ac:dyDescent="0.25">
      <c r="A380" t="str">
        <f>"Rows below for column date calculation"</f>
        <v>Rows below for column date calculation</v>
      </c>
      <c r="R380" t="str">
        <f>""</f>
        <v/>
      </c>
      <c r="S380" t="str">
        <f>""</f>
        <v/>
      </c>
      <c r="T380" t="str">
        <f>""</f>
        <v/>
      </c>
      <c r="U380" t="str">
        <f>""</f>
        <v/>
      </c>
      <c r="V380" t="str">
        <f>""</f>
        <v/>
      </c>
      <c r="W380" t="str">
        <f>""</f>
        <v/>
      </c>
      <c r="X380" t="str">
        <f>""</f>
        <v/>
      </c>
      <c r="Y380" t="str">
        <f>""</f>
        <v/>
      </c>
      <c r="Z380" t="str">
        <f>""</f>
        <v/>
      </c>
      <c r="AA380" t="str">
        <f>""</f>
        <v/>
      </c>
      <c r="AB380" t="str">
        <f>""</f>
        <v/>
      </c>
      <c r="AC380" t="str">
        <f>""</f>
        <v/>
      </c>
    </row>
    <row r="381" spans="1:29" x14ac:dyDescent="0.25">
      <c r="A381" t="str">
        <f>"Downloaded at"</f>
        <v>Downloaded at</v>
      </c>
      <c r="B381">
        <f>DATE(2020, 6,17)</f>
        <v>43999</v>
      </c>
      <c r="C381" t="str">
        <f>""</f>
        <v/>
      </c>
      <c r="D381" t="str">
        <f>""</f>
        <v/>
      </c>
      <c r="E381" t="str">
        <f>""</f>
        <v/>
      </c>
      <c r="R381" t="str">
        <f>""</f>
        <v/>
      </c>
      <c r="S381" t="str">
        <f>""</f>
        <v/>
      </c>
      <c r="T381" t="str">
        <f>""</f>
        <v/>
      </c>
      <c r="U381" t="str">
        <f>""</f>
        <v/>
      </c>
      <c r="V381" t="str">
        <f>""</f>
        <v/>
      </c>
      <c r="W381" t="str">
        <f>""</f>
        <v/>
      </c>
      <c r="X381" t="str">
        <f>""</f>
        <v/>
      </c>
      <c r="Y381" t="str">
        <f>""</f>
        <v/>
      </c>
      <c r="Z381" t="str">
        <f>""</f>
        <v/>
      </c>
      <c r="AA381" t="str">
        <f>""</f>
        <v/>
      </c>
      <c r="AB381" t="str">
        <f>""</f>
        <v/>
      </c>
      <c r="AC381" t="str">
        <f>""</f>
        <v/>
      </c>
    </row>
    <row r="382" spans="1:29" x14ac:dyDescent="0.25">
      <c r="A382" t="str">
        <f>"This is End Date"</f>
        <v>This is End Date</v>
      </c>
      <c r="B382">
        <f ca="1">$B$201</f>
        <v>43999</v>
      </c>
      <c r="C382" t="str">
        <f>""</f>
        <v/>
      </c>
      <c r="D382" t="str">
        <f>""</f>
        <v/>
      </c>
      <c r="E382" t="str">
        <f>""</f>
        <v/>
      </c>
      <c r="R382" t="str">
        <f>""</f>
        <v/>
      </c>
      <c r="S382" t="str">
        <f>""</f>
        <v/>
      </c>
      <c r="T382" t="str">
        <f>""</f>
        <v/>
      </c>
      <c r="U382" t="str">
        <f>""</f>
        <v/>
      </c>
      <c r="V382" t="str">
        <f>""</f>
        <v/>
      </c>
      <c r="W382" t="str">
        <f>""</f>
        <v/>
      </c>
      <c r="X382" t="str">
        <f>""</f>
        <v/>
      </c>
      <c r="Y382" t="str">
        <f>""</f>
        <v/>
      </c>
      <c r="Z382" t="str">
        <f>""</f>
        <v/>
      </c>
      <c r="AA382" t="str">
        <f>""</f>
        <v/>
      </c>
      <c r="AB382" t="str">
        <f>""</f>
        <v/>
      </c>
      <c r="AC382" t="str">
        <f>""</f>
        <v/>
      </c>
    </row>
    <row r="383" spans="1:29" x14ac:dyDescent="0.25">
      <c r="A383" t="str">
        <f>"Description"</f>
        <v>Description</v>
      </c>
      <c r="B383" t="str">
        <f>"Ticker"</f>
        <v>Ticker</v>
      </c>
      <c r="C383" t="str">
        <f>"Field ID"</f>
        <v>Field ID</v>
      </c>
      <c r="D383" t="str">
        <f>"Field Mnemonic"</f>
        <v>Field Mnemonic</v>
      </c>
      <c r="E383" t="str">
        <f>"Data State"</f>
        <v>Data State</v>
      </c>
      <c r="R383" t="str">
        <f>""</f>
        <v/>
      </c>
      <c r="S383" t="str">
        <f>""</f>
        <v/>
      </c>
      <c r="T383" t="str">
        <f>""</f>
        <v/>
      </c>
      <c r="U383" t="str">
        <f>""</f>
        <v/>
      </c>
      <c r="V383" t="str">
        <f>""</f>
        <v/>
      </c>
      <c r="W383" t="str">
        <f>""</f>
        <v/>
      </c>
      <c r="X383" t="str">
        <f>""</f>
        <v/>
      </c>
      <c r="Y383" t="str">
        <f>""</f>
        <v/>
      </c>
      <c r="Z383" t="str">
        <f>""</f>
        <v/>
      </c>
      <c r="AA383" t="str">
        <f>""</f>
        <v/>
      </c>
      <c r="AB383" t="str">
        <f>""</f>
        <v/>
      </c>
      <c r="AC383" t="str">
        <f>""</f>
        <v/>
      </c>
    </row>
    <row r="384" spans="1:29" x14ac:dyDescent="0.25">
      <c r="A384" t="str">
        <f>"Snapshot Date"</f>
        <v>Snapshot Date</v>
      </c>
      <c r="B384">
        <f>DATE(2020, 6,17)</f>
        <v>43999</v>
      </c>
      <c r="C384" t="str">
        <f>""</f>
        <v/>
      </c>
      <c r="D384" t="str">
        <f>""</f>
        <v/>
      </c>
      <c r="E384" t="str">
        <f>""</f>
        <v/>
      </c>
      <c r="R384" t="str">
        <f>""</f>
        <v/>
      </c>
      <c r="S384" t="str">
        <f>""</f>
        <v/>
      </c>
      <c r="T384" t="str">
        <f>""</f>
        <v/>
      </c>
      <c r="U384" t="str">
        <f>""</f>
        <v/>
      </c>
      <c r="V384" t="str">
        <f>""</f>
        <v/>
      </c>
      <c r="W384" t="str">
        <f>""</f>
        <v/>
      </c>
      <c r="X384" t="str">
        <f>""</f>
        <v/>
      </c>
      <c r="Y384" t="str">
        <f>""</f>
        <v/>
      </c>
      <c r="Z384" t="str">
        <f>""</f>
        <v/>
      </c>
      <c r="AA384" t="str">
        <f>""</f>
        <v/>
      </c>
      <c r="AB384" t="str">
        <f>""</f>
        <v/>
      </c>
      <c r="AC384" t="str">
        <f>""</f>
        <v/>
      </c>
    </row>
    <row r="385" spans="1:29" x14ac:dyDescent="0.25">
      <c r="A385" t="str">
        <f>"Snapshot header"</f>
        <v>Snapshot header</v>
      </c>
      <c r="B385">
        <f>2</f>
        <v>2</v>
      </c>
      <c r="C385" t="str">
        <f>"2020 Q1"</f>
        <v>2020 Q1</v>
      </c>
      <c r="D385" t="str">
        <f>"2019 Q4"</f>
        <v>2019 Q4</v>
      </c>
      <c r="E385" t="str">
        <f>"2019 Q3"</f>
        <v>2019 Q3</v>
      </c>
      <c r="F385" t="str">
        <f>"2019 Q2"</f>
        <v>2019 Q2</v>
      </c>
      <c r="G385" t="str">
        <f>"2019 Q1"</f>
        <v>2019 Q1</v>
      </c>
      <c r="H385" t="str">
        <f>"2018 Q4"</f>
        <v>2018 Q4</v>
      </c>
      <c r="I385" t="str">
        <f>"2018 Q3"</f>
        <v>2018 Q3</v>
      </c>
      <c r="J385" t="str">
        <f>"2018 Q2"</f>
        <v>2018 Q2</v>
      </c>
      <c r="K385" t="str">
        <f>"2018 Q1"</f>
        <v>2018 Q1</v>
      </c>
      <c r="L385" t="str">
        <f>"2017 Q4"</f>
        <v>2017 Q4</v>
      </c>
      <c r="M385" t="str">
        <f>"2017 Q3"</f>
        <v>2017 Q3</v>
      </c>
      <c r="N385" t="str">
        <f>"2017 Q2"</f>
        <v>2017 Q2</v>
      </c>
      <c r="R385" t="str">
        <f>""</f>
        <v/>
      </c>
      <c r="S385" t="str">
        <f>""</f>
        <v/>
      </c>
      <c r="T385" t="str">
        <f>""</f>
        <v/>
      </c>
      <c r="U385" t="str">
        <f>""</f>
        <v/>
      </c>
      <c r="V385" t="str">
        <f>""</f>
        <v/>
      </c>
      <c r="W385" t="str">
        <f>""</f>
        <v/>
      </c>
      <c r="X385" t="str">
        <f>""</f>
        <v/>
      </c>
      <c r="Y385" t="str">
        <f>""</f>
        <v/>
      </c>
      <c r="Z385" t="str">
        <f>""</f>
        <v/>
      </c>
      <c r="AA385" t="str">
        <f>""</f>
        <v/>
      </c>
      <c r="AB385" t="str">
        <f>""</f>
        <v/>
      </c>
      <c r="AC385" t="str">
        <f>""</f>
        <v/>
      </c>
    </row>
    <row r="386" spans="1:29" x14ac:dyDescent="0.25">
      <c r="A386" t="str">
        <f>"BDH snapshot header0"</f>
        <v>BDH snapshot header0</v>
      </c>
      <c r="B386">
        <f>IF(OR(ISERROR($C$386),ISBLANK($C$386),ISNUMBER(SEARCH("N/A",$C$386) ),ISERROR($C$387),ISBLANK($C$387)),0,1)</f>
        <v>0</v>
      </c>
      <c r="C386" t="str">
        <f>_xll.BDH($B$5,$C$5,$B$200,$B$384,"PER=CQ","Dts=S","DtFmt=FI", "rows=2","Dir=H","Points=12","Sort=R","Days=A","Fill=B","FX=USD" )</f>
        <v>#N/A Invalid Parameter: Invalid override field id specified</v>
      </c>
      <c r="R386" t="str">
        <f>""</f>
        <v/>
      </c>
      <c r="S386" t="str">
        <f>""</f>
        <v/>
      </c>
      <c r="T386" t="str">
        <f>""</f>
        <v/>
      </c>
      <c r="U386" t="str">
        <f>""</f>
        <v/>
      </c>
      <c r="V386" t="str">
        <f>""</f>
        <v/>
      </c>
      <c r="W386" t="str">
        <f>""</f>
        <v/>
      </c>
      <c r="X386" t="str">
        <f>""</f>
        <v/>
      </c>
      <c r="Y386" t="str">
        <f>""</f>
        <v/>
      </c>
      <c r="Z386" t="str">
        <f>""</f>
        <v/>
      </c>
      <c r="AA386" t="str">
        <f>""</f>
        <v/>
      </c>
      <c r="AB386" t="str">
        <f>""</f>
        <v/>
      </c>
      <c r="AC386" t="str">
        <f>""</f>
        <v/>
      </c>
    </row>
    <row r="387" spans="1:29" x14ac:dyDescent="0.25">
      <c r="A387" t="str">
        <f>"BDH snapshot result0"</f>
        <v>BDH snapshot result0</v>
      </c>
      <c r="R387" t="str">
        <f>""</f>
        <v/>
      </c>
      <c r="S387" t="str">
        <f>""</f>
        <v/>
      </c>
      <c r="T387" t="str">
        <f>""</f>
        <v/>
      </c>
      <c r="U387" t="str">
        <f>""</f>
        <v/>
      </c>
      <c r="V387" t="str">
        <f>""</f>
        <v/>
      </c>
      <c r="W387" t="str">
        <f>""</f>
        <v/>
      </c>
      <c r="X387" t="str">
        <f>""</f>
        <v/>
      </c>
      <c r="Y387" t="str">
        <f>""</f>
        <v/>
      </c>
      <c r="Z387" t="str">
        <f>""</f>
        <v/>
      </c>
      <c r="AA387" t="str">
        <f>""</f>
        <v/>
      </c>
      <c r="AB387" t="str">
        <f>""</f>
        <v/>
      </c>
      <c r="AC387" t="str">
        <f>""</f>
        <v/>
      </c>
    </row>
    <row r="388" spans="1:29" x14ac:dyDescent="0.25">
      <c r="A388" t="str">
        <f>"BDH snapshot header1"</f>
        <v>BDH snapshot header1</v>
      </c>
      <c r="B388">
        <f>IF(OR(ISERROR($C$388),ISBLANK($C$388),ISNUMBER(SEARCH("N/A",$C$388) ),ISERROR($C$389),ISBLANK($C$389)),0,1)</f>
        <v>0</v>
      </c>
      <c r="C388" t="str">
        <f>_xll.BDH($B$6,$C$6,$B$200,$B$384,"PER=CQ","Dts=S","DtFmt=FI", "rows=2","Dir=H","Points=12","Sort=R","Days=A","Fill=B","FX=USD" )</f>
        <v>#N/A Invalid Parameter: Invalid override field id specified</v>
      </c>
      <c r="R388" t="str">
        <f>""</f>
        <v/>
      </c>
      <c r="S388" t="str">
        <f>""</f>
        <v/>
      </c>
      <c r="T388" t="str">
        <f>""</f>
        <v/>
      </c>
      <c r="U388" t="str">
        <f>""</f>
        <v/>
      </c>
      <c r="V388" t="str">
        <f>""</f>
        <v/>
      </c>
      <c r="W388" t="str">
        <f>""</f>
        <v/>
      </c>
      <c r="X388" t="str">
        <f>""</f>
        <v/>
      </c>
      <c r="Y388" t="str">
        <f>""</f>
        <v/>
      </c>
      <c r="Z388" t="str">
        <f>""</f>
        <v/>
      </c>
      <c r="AA388" t="str">
        <f>""</f>
        <v/>
      </c>
      <c r="AB388" t="str">
        <f>""</f>
        <v/>
      </c>
      <c r="AC388" t="str">
        <f>""</f>
        <v/>
      </c>
    </row>
    <row r="389" spans="1:29" x14ac:dyDescent="0.25">
      <c r="A389" t="str">
        <f>"BDH snapshot result1"</f>
        <v>BDH snapshot result1</v>
      </c>
      <c r="R389" t="str">
        <f>""</f>
        <v/>
      </c>
      <c r="S389" t="str">
        <f>""</f>
        <v/>
      </c>
      <c r="T389" t="str">
        <f>""</f>
        <v/>
      </c>
      <c r="U389" t="str">
        <f>""</f>
        <v/>
      </c>
      <c r="V389" t="str">
        <f>""</f>
        <v/>
      </c>
      <c r="W389" t="str">
        <f>""</f>
        <v/>
      </c>
      <c r="X389" t="str">
        <f>""</f>
        <v/>
      </c>
      <c r="Y389" t="str">
        <f>""</f>
        <v/>
      </c>
      <c r="Z389" t="str">
        <f>""</f>
        <v/>
      </c>
      <c r="AA389" t="str">
        <f>""</f>
        <v/>
      </c>
      <c r="AB389" t="str">
        <f>""</f>
        <v/>
      </c>
      <c r="AC389" t="str">
        <f>""</f>
        <v/>
      </c>
    </row>
    <row r="390" spans="1:29" x14ac:dyDescent="0.25">
      <c r="A390" t="str">
        <f>"BDH snapshot header2"</f>
        <v>BDH snapshot header2</v>
      </c>
      <c r="B390">
        <f>IF(OR(ISERROR($C$390),ISBLANK($C$390),ISNUMBER(SEARCH("N/A",$C$390) ),ISERROR($C$391),ISBLANK($C$391)),0,1)</f>
        <v>0</v>
      </c>
      <c r="C390" t="str">
        <f>_xll.BDH($B$7,$C$7,$B$200,$B$384,"PER=CQ","Dts=S","DtFmt=FI", "rows=2","Dir=H","Points=12","Sort=R","Days=A","Fill=B","FX=USD" )</f>
        <v>#N/A Invalid Parameter: Invalid override field id specified</v>
      </c>
      <c r="R390" t="str">
        <f>""</f>
        <v/>
      </c>
      <c r="S390" t="str">
        <f>""</f>
        <v/>
      </c>
      <c r="T390" t="str">
        <f>""</f>
        <v/>
      </c>
      <c r="U390" t="str">
        <f>""</f>
        <v/>
      </c>
      <c r="V390" t="str">
        <f>""</f>
        <v/>
      </c>
      <c r="W390" t="str">
        <f>""</f>
        <v/>
      </c>
      <c r="X390" t="str">
        <f>""</f>
        <v/>
      </c>
      <c r="Y390" t="str">
        <f>""</f>
        <v/>
      </c>
      <c r="Z390" t="str">
        <f>""</f>
        <v/>
      </c>
      <c r="AA390" t="str">
        <f>""</f>
        <v/>
      </c>
      <c r="AB390" t="str">
        <f>""</f>
        <v/>
      </c>
      <c r="AC390" t="str">
        <f>""</f>
        <v/>
      </c>
    </row>
    <row r="391" spans="1:29" x14ac:dyDescent="0.25">
      <c r="A391" t="str">
        <f>"BDH snapshot result2"</f>
        <v>BDH snapshot result2</v>
      </c>
      <c r="R391" t="str">
        <f>""</f>
        <v/>
      </c>
      <c r="S391" t="str">
        <f>""</f>
        <v/>
      </c>
      <c r="T391" t="str">
        <f>""</f>
        <v/>
      </c>
      <c r="U391" t="str">
        <f>""</f>
        <v/>
      </c>
      <c r="V391" t="str">
        <f>""</f>
        <v/>
      </c>
      <c r="W391" t="str">
        <f>""</f>
        <v/>
      </c>
      <c r="X391" t="str">
        <f>""</f>
        <v/>
      </c>
      <c r="Y391" t="str">
        <f>""</f>
        <v/>
      </c>
      <c r="Z391" t="str">
        <f>""</f>
        <v/>
      </c>
      <c r="AA391" t="str">
        <f>""</f>
        <v/>
      </c>
      <c r="AB391" t="str">
        <f>""</f>
        <v/>
      </c>
      <c r="AC391" t="str">
        <f>""</f>
        <v/>
      </c>
    </row>
    <row r="392" spans="1:29" x14ac:dyDescent="0.25">
      <c r="A392" t="str">
        <f>"BDH snapshot"</f>
        <v>BDH snapshot</v>
      </c>
      <c r="B392">
        <f>IF($B$386&gt;=1,$B$386,IF($B$388&gt;=1,$B$388,IF($B$390&gt;=1,$B$390,$B$385)))</f>
        <v>2</v>
      </c>
      <c r="C392" t="str">
        <f>IF($B$386&gt;=1,$C$386,IF($B$388&gt;=1,$C$388,IF($B$390&gt;=1,$C$390,$C$385)))</f>
        <v>2020 Q1</v>
      </c>
      <c r="D392" t="str">
        <f>IF($B$386&gt;=1,$D$386,IF($B$388&gt;=1,$D$388,IF($B$390&gt;=1,$D$390,$D$385)))</f>
        <v>2019 Q4</v>
      </c>
      <c r="E392" t="str">
        <f>IF($B$386&gt;=1,$E$386,IF($B$388&gt;=1,$E$388,IF($B$390&gt;=1,$E$390,$E$385)))</f>
        <v>2019 Q3</v>
      </c>
      <c r="F392" t="str">
        <f>IF($B$386&gt;=1,$F$386,IF($B$388&gt;=1,$F$388,IF($B$390&gt;=1,$F$390,$F$385)))</f>
        <v>2019 Q2</v>
      </c>
      <c r="G392" t="str">
        <f>IF($B$386&gt;=1,$G$386,IF($B$388&gt;=1,$G$388,IF($B$390&gt;=1,$G$390,$G$385)))</f>
        <v>2019 Q1</v>
      </c>
      <c r="H392" t="str">
        <f>IF($B$386&gt;=1,$H$386,IF($B$388&gt;=1,$H$388,IF($B$390&gt;=1,$H$390,$H$385)))</f>
        <v>2018 Q4</v>
      </c>
      <c r="I392" t="str">
        <f>IF($B$386&gt;=1,$I$386,IF($B$388&gt;=1,$I$388,IF($B$390&gt;=1,$I$390,$I$385)))</f>
        <v>2018 Q3</v>
      </c>
      <c r="J392" t="str">
        <f>IF($B$386&gt;=1,$J$386,IF($B$388&gt;=1,$J$388,IF($B$390&gt;=1,$J$390,$J$385)))</f>
        <v>2018 Q2</v>
      </c>
      <c r="K392" t="str">
        <f>IF($B$386&gt;=1,$K$386,IF($B$388&gt;=1,$K$388,IF($B$390&gt;=1,$K$390,$K$385)))</f>
        <v>2018 Q1</v>
      </c>
      <c r="L392" t="str">
        <f>IF($B$386&gt;=1,$L$386,IF($B$388&gt;=1,$L$388,IF($B$390&gt;=1,$L$390,$L$385)))</f>
        <v>2017 Q4</v>
      </c>
      <c r="M392" t="str">
        <f>IF($B$386&gt;=1,$M$386,IF($B$388&gt;=1,$M$388,IF($B$390&gt;=1,$M$390,$M$385)))</f>
        <v>2017 Q3</v>
      </c>
      <c r="N392" t="str">
        <f>IF($B$386&gt;=1,$N$386,IF($B$388&gt;=1,$N$388,IF($B$390&gt;=1,$N$390,$N$385)))</f>
        <v>2017 Q2</v>
      </c>
      <c r="R392" t="str">
        <f>""</f>
        <v/>
      </c>
      <c r="S392" t="str">
        <f>""</f>
        <v/>
      </c>
      <c r="T392" t="str">
        <f>""</f>
        <v/>
      </c>
      <c r="U392" t="str">
        <f>""</f>
        <v/>
      </c>
      <c r="V392" t="str">
        <f>""</f>
        <v/>
      </c>
      <c r="W392" t="str">
        <f>""</f>
        <v/>
      </c>
      <c r="X392" t="str">
        <f>""</f>
        <v/>
      </c>
      <c r="Y392" t="str">
        <f>""</f>
        <v/>
      </c>
      <c r="Z392" t="str">
        <f>""</f>
        <v/>
      </c>
      <c r="AA392" t="str">
        <f>""</f>
        <v/>
      </c>
      <c r="AB392" t="str">
        <f>""</f>
        <v/>
      </c>
      <c r="AC392" t="str">
        <f>""</f>
        <v/>
      </c>
    </row>
    <row r="393" spans="1:29" x14ac:dyDescent="0.25">
      <c r="A393" t="str">
        <f>"BDH snapshot title"</f>
        <v>BDH snapshot title</v>
      </c>
      <c r="B393">
        <f>$B$392</f>
        <v>2</v>
      </c>
      <c r="C393" t="str">
        <f>IF(LEN($C$392)&lt;&gt;8,$C$392,RIGHT($C$392,4)&amp;" "&amp;MID($C$392,3,1)&amp;LEFT($C$392,1))</f>
        <v>2020 Q1</v>
      </c>
      <c r="D393" t="str">
        <f>IF(LEN($D$392)&lt;&gt;8,$D$392,RIGHT($D$392,4)&amp;" "&amp;MID($D$392,3,1)&amp;LEFT($D$392,1))</f>
        <v>2019 Q4</v>
      </c>
      <c r="E393" t="str">
        <f>IF(LEN($E$392)&lt;&gt;8,$E$392,RIGHT($E$392,4)&amp;" "&amp;MID($E$392,3,1)&amp;LEFT($E$392,1))</f>
        <v>2019 Q3</v>
      </c>
      <c r="F393" t="str">
        <f>IF(LEN($F$392)&lt;&gt;8,$F$392,RIGHT($F$392,4)&amp;" "&amp;MID($F$392,3,1)&amp;LEFT($F$392,1))</f>
        <v>2019 Q2</v>
      </c>
      <c r="G393" t="str">
        <f>IF(LEN($G$392)&lt;&gt;8,$G$392,RIGHT($G$392,4)&amp;" "&amp;MID($G$392,3,1)&amp;LEFT($G$392,1))</f>
        <v>2019 Q1</v>
      </c>
      <c r="H393" t="str">
        <f>IF(LEN($H$392)&lt;&gt;8,$H$392,RIGHT($H$392,4)&amp;" "&amp;MID($H$392,3,1)&amp;LEFT($H$392,1))</f>
        <v>2018 Q4</v>
      </c>
      <c r="I393" t="str">
        <f>IF(LEN($I$392)&lt;&gt;8,$I$392,RIGHT($I$392,4)&amp;" "&amp;MID($I$392,3,1)&amp;LEFT($I$392,1))</f>
        <v>2018 Q3</v>
      </c>
      <c r="J393" t="str">
        <f>IF(LEN($J$392)&lt;&gt;8,$J$392,RIGHT($J$392,4)&amp;" "&amp;MID($J$392,3,1)&amp;LEFT($J$392,1))</f>
        <v>2018 Q2</v>
      </c>
      <c r="K393" t="str">
        <f>IF(LEN($K$392)&lt;&gt;8,$K$392,RIGHT($K$392,4)&amp;" "&amp;MID($K$392,3,1)&amp;LEFT($K$392,1))</f>
        <v>2018 Q1</v>
      </c>
      <c r="L393" t="str">
        <f>IF(LEN($L$392)&lt;&gt;8,$L$392,RIGHT($L$392,4)&amp;" "&amp;MID($L$392,3,1)&amp;LEFT($L$392,1))</f>
        <v>2017 Q4</v>
      </c>
      <c r="M393" t="str">
        <f>IF(LEN($M$392)&lt;&gt;8,$M$392,RIGHT($M$392,4)&amp;" "&amp;MID($M$392,3,1)&amp;LEFT($M$392,1))</f>
        <v>2017 Q3</v>
      </c>
      <c r="N393" t="str">
        <f>IF(LEN($N$392)&lt;&gt;8,$N$392,RIGHT($N$392,4)&amp;" "&amp;MID($N$392,3,1)&amp;LEFT($N$392,1))</f>
        <v>2017 Q2</v>
      </c>
      <c r="R393" t="str">
        <f>""</f>
        <v/>
      </c>
      <c r="S393" t="str">
        <f>""</f>
        <v/>
      </c>
      <c r="T393" t="str">
        <f>""</f>
        <v/>
      </c>
      <c r="U393" t="str">
        <f>""</f>
        <v/>
      </c>
      <c r="V393" t="str">
        <f>""</f>
        <v/>
      </c>
      <c r="W393" t="str">
        <f>""</f>
        <v/>
      </c>
      <c r="X393" t="str">
        <f>""</f>
        <v/>
      </c>
      <c r="Y393" t="str">
        <f>""</f>
        <v/>
      </c>
      <c r="Z393" t="str">
        <f>""</f>
        <v/>
      </c>
      <c r="AA393" t="str">
        <f>""</f>
        <v/>
      </c>
      <c r="AB393" t="str">
        <f>""</f>
        <v/>
      </c>
      <c r="AC393" t="str">
        <f>""</f>
        <v/>
      </c>
    </row>
    <row r="394" spans="1:29" x14ac:dyDescent="0.25">
      <c r="A394" t="str">
        <f>"BDH dynamic header0"</f>
        <v>BDH dynamic header0</v>
      </c>
      <c r="B394">
        <f ca="1">IF(OR(ISERROR($C$394),ISBLANK($C$394),ISNUMBER(SEARCH("N/A",$C$394) ),ISERROR($C$395),ISBLANK($C$395)),0,1)</f>
        <v>0</v>
      </c>
      <c r="C394" t="str">
        <f ca="1">_xll.BDH($B$5,$C$5,$B$200,$B$201,"PER=CQ","Dts=S","DtFmt=FI", "rows=2","Dir=H","Points=12","Sort=R","Days=A","Fill=B","FX=USD" )</f>
        <v>#N/A Invalid Parameter: Invalid override field id specified</v>
      </c>
      <c r="R394" t="str">
        <f>""</f>
        <v/>
      </c>
      <c r="S394" t="str">
        <f>""</f>
        <v/>
      </c>
      <c r="T394" t="str">
        <f>""</f>
        <v/>
      </c>
      <c r="U394" t="str">
        <f>""</f>
        <v/>
      </c>
      <c r="V394" t="str">
        <f>""</f>
        <v/>
      </c>
      <c r="W394" t="str">
        <f>""</f>
        <v/>
      </c>
      <c r="X394" t="str">
        <f>""</f>
        <v/>
      </c>
      <c r="Y394" t="str">
        <f>""</f>
        <v/>
      </c>
      <c r="Z394" t="str">
        <f>""</f>
        <v/>
      </c>
      <c r="AA394" t="str">
        <f>""</f>
        <v/>
      </c>
      <c r="AB394" t="str">
        <f>""</f>
        <v/>
      </c>
      <c r="AC394" t="str">
        <f>""</f>
        <v/>
      </c>
    </row>
    <row r="395" spans="1:29" x14ac:dyDescent="0.25">
      <c r="A395" t="str">
        <f>"BDH dynamic result0"</f>
        <v>BDH dynamic result0</v>
      </c>
      <c r="R395" t="str">
        <f>""</f>
        <v/>
      </c>
      <c r="S395" t="str">
        <f>""</f>
        <v/>
      </c>
      <c r="T395" t="str">
        <f>""</f>
        <v/>
      </c>
      <c r="U395" t="str">
        <f>""</f>
        <v/>
      </c>
      <c r="V395" t="str">
        <f>""</f>
        <v/>
      </c>
      <c r="W395" t="str">
        <f>""</f>
        <v/>
      </c>
      <c r="X395" t="str">
        <f>""</f>
        <v/>
      </c>
      <c r="Y395" t="str">
        <f>""</f>
        <v/>
      </c>
      <c r="Z395" t="str">
        <f>""</f>
        <v/>
      </c>
      <c r="AA395" t="str">
        <f>""</f>
        <v/>
      </c>
      <c r="AB395" t="str">
        <f>""</f>
        <v/>
      </c>
      <c r="AC395" t="str">
        <f>""</f>
        <v/>
      </c>
    </row>
    <row r="396" spans="1:29" x14ac:dyDescent="0.25">
      <c r="A396" t="str">
        <f>"BDH dynamic header1"</f>
        <v>BDH dynamic header1</v>
      </c>
      <c r="B396">
        <f ca="1">IF(OR(ISERROR($C$396),ISBLANK($C$396),ISNUMBER(SEARCH("N/A",$C$396) ),ISERROR($C$397),ISBLANK($C$397)),0,1)</f>
        <v>0</v>
      </c>
      <c r="C396" t="str">
        <f ca="1">_xll.BDH($B$6,$C$6,$B$200,$B$201,"PER=CQ","Dts=S","DtFmt=FI", "rows=2","Dir=H","Points=12","Sort=R","Days=A","Fill=B","FX=USD" )</f>
        <v>#N/A Invalid Parameter: Invalid override field id specified</v>
      </c>
      <c r="R396" t="str">
        <f>""</f>
        <v/>
      </c>
      <c r="S396" t="str">
        <f>""</f>
        <v/>
      </c>
      <c r="T396" t="str">
        <f>""</f>
        <v/>
      </c>
      <c r="U396" t="str">
        <f>""</f>
        <v/>
      </c>
      <c r="V396" t="str">
        <f>""</f>
        <v/>
      </c>
      <c r="W396" t="str">
        <f>""</f>
        <v/>
      </c>
      <c r="X396" t="str">
        <f>""</f>
        <v/>
      </c>
      <c r="Y396" t="str">
        <f>""</f>
        <v/>
      </c>
      <c r="Z396" t="str">
        <f>""</f>
        <v/>
      </c>
      <c r="AA396" t="str">
        <f>""</f>
        <v/>
      </c>
      <c r="AB396" t="str">
        <f>""</f>
        <v/>
      </c>
      <c r="AC396" t="str">
        <f>""</f>
        <v/>
      </c>
    </row>
    <row r="397" spans="1:29" x14ac:dyDescent="0.25">
      <c r="A397" t="str">
        <f>"BDH dynamic result1"</f>
        <v>BDH dynamic result1</v>
      </c>
      <c r="R397" t="str">
        <f>""</f>
        <v/>
      </c>
      <c r="S397" t="str">
        <f>""</f>
        <v/>
      </c>
      <c r="T397" t="str">
        <f>""</f>
        <v/>
      </c>
      <c r="U397" t="str">
        <f>""</f>
        <v/>
      </c>
      <c r="V397" t="str">
        <f>""</f>
        <v/>
      </c>
      <c r="W397" t="str">
        <f>""</f>
        <v/>
      </c>
      <c r="X397" t="str">
        <f>""</f>
        <v/>
      </c>
      <c r="Y397" t="str">
        <f>""</f>
        <v/>
      </c>
      <c r="Z397" t="str">
        <f>""</f>
        <v/>
      </c>
      <c r="AA397" t="str">
        <f>""</f>
        <v/>
      </c>
      <c r="AB397" t="str">
        <f>""</f>
        <v/>
      </c>
      <c r="AC397" t="str">
        <f>""</f>
        <v/>
      </c>
    </row>
    <row r="398" spans="1:29" x14ac:dyDescent="0.25">
      <c r="A398" t="str">
        <f>"BDH dynamic header2"</f>
        <v>BDH dynamic header2</v>
      </c>
      <c r="B398">
        <f ca="1">IF(OR(ISERROR($C$398),ISBLANK($C$398),ISNUMBER(SEARCH("N/A",$C$398) ),ISERROR($C$399),ISBLANK($C$399)),0,1)</f>
        <v>0</v>
      </c>
      <c r="C398" t="str">
        <f ca="1">_xll.BDH($B$7,$C$7,$B$200,$B$201,"PER=CQ","Dts=S","DtFmt=FI", "rows=2","Dir=H","Points=12","Sort=R","Days=A","Fill=B","FX=USD" )</f>
        <v>#N/A Invalid Parameter: Invalid override field id specified</v>
      </c>
      <c r="R398" t="str">
        <f>""</f>
        <v/>
      </c>
      <c r="S398" t="str">
        <f>""</f>
        <v/>
      </c>
      <c r="T398" t="str">
        <f>""</f>
        <v/>
      </c>
      <c r="U398" t="str">
        <f>""</f>
        <v/>
      </c>
      <c r="V398" t="str">
        <f>""</f>
        <v/>
      </c>
      <c r="W398" t="str">
        <f>""</f>
        <v/>
      </c>
      <c r="X398" t="str">
        <f>""</f>
        <v/>
      </c>
      <c r="Y398" t="str">
        <f>""</f>
        <v/>
      </c>
      <c r="Z398" t="str">
        <f>""</f>
        <v/>
      </c>
      <c r="AA398" t="str">
        <f>""</f>
        <v/>
      </c>
      <c r="AB398" t="str">
        <f>""</f>
        <v/>
      </c>
      <c r="AC398" t="str">
        <f>""</f>
        <v/>
      </c>
    </row>
    <row r="399" spans="1:29" x14ac:dyDescent="0.25">
      <c r="A399" t="str">
        <f>"BDH dynamic result2"</f>
        <v>BDH dynamic result2</v>
      </c>
      <c r="R399" t="str">
        <f>""</f>
        <v/>
      </c>
      <c r="S399" t="str">
        <f>""</f>
        <v/>
      </c>
      <c r="T399" t="str">
        <f>""</f>
        <v/>
      </c>
      <c r="U399" t="str">
        <f>""</f>
        <v/>
      </c>
      <c r="V399" t="str">
        <f>""</f>
        <v/>
      </c>
      <c r="W399" t="str">
        <f>""</f>
        <v/>
      </c>
      <c r="X399" t="str">
        <f>""</f>
        <v/>
      </c>
      <c r="Y399" t="str">
        <f>""</f>
        <v/>
      </c>
      <c r="Z399" t="str">
        <f>""</f>
        <v/>
      </c>
      <c r="AA399" t="str">
        <f>""</f>
        <v/>
      </c>
      <c r="AB399" t="str">
        <f>""</f>
        <v/>
      </c>
      <c r="AC399" t="str">
        <f>""</f>
        <v/>
      </c>
    </row>
    <row r="400" spans="1:29" x14ac:dyDescent="0.25">
      <c r="A400" t="str">
        <f>"BDH dynamic"</f>
        <v>BDH dynamic</v>
      </c>
      <c r="B400">
        <f ca="1">IF($B$394&gt;=1,$B$394,IF($B$396&gt;=1,$B$396,IF($B$398&gt;=1,$B$398,$B$385)))</f>
        <v>2</v>
      </c>
      <c r="C400" t="str">
        <f ca="1">IF($B$394&gt;=1,$C$394,IF($B$396&gt;=1,$C$396,IF($B$398&gt;=1,$C$398,$C$385)))</f>
        <v>2020 Q1</v>
      </c>
      <c r="D400" t="str">
        <f ca="1">IF($B$394&gt;=1,$D$394,IF($B$396&gt;=1,$D$396,IF($B$398&gt;=1,$D$398,$D$385)))</f>
        <v>2019 Q4</v>
      </c>
      <c r="E400" t="str">
        <f ca="1">IF($B$394&gt;=1,$E$394,IF($B$396&gt;=1,$E$396,IF($B$398&gt;=1,$E$398,$E$385)))</f>
        <v>2019 Q3</v>
      </c>
      <c r="F400" t="str">
        <f ca="1">IF($B$394&gt;=1,$F$394,IF($B$396&gt;=1,$F$396,IF($B$398&gt;=1,$F$398,$F$385)))</f>
        <v>2019 Q2</v>
      </c>
      <c r="G400" t="str">
        <f ca="1">IF($B$394&gt;=1,$G$394,IF($B$396&gt;=1,$G$396,IF($B$398&gt;=1,$G$398,$G$385)))</f>
        <v>2019 Q1</v>
      </c>
      <c r="H400" t="str">
        <f ca="1">IF($B$394&gt;=1,$H$394,IF($B$396&gt;=1,$H$396,IF($B$398&gt;=1,$H$398,$H$385)))</f>
        <v>2018 Q4</v>
      </c>
      <c r="I400" t="str">
        <f ca="1">IF($B$394&gt;=1,$I$394,IF($B$396&gt;=1,$I$396,IF($B$398&gt;=1,$I$398,$I$385)))</f>
        <v>2018 Q3</v>
      </c>
      <c r="J400" t="str">
        <f ca="1">IF($B$394&gt;=1,$J$394,IF($B$396&gt;=1,$J$396,IF($B$398&gt;=1,$J$398,$J$385)))</f>
        <v>2018 Q2</v>
      </c>
      <c r="K400" t="str">
        <f ca="1">IF($B$394&gt;=1,$K$394,IF($B$396&gt;=1,$K$396,IF($B$398&gt;=1,$K$398,$K$385)))</f>
        <v>2018 Q1</v>
      </c>
      <c r="L400" t="str">
        <f ca="1">IF($B$394&gt;=1,$L$394,IF($B$396&gt;=1,$L$396,IF($B$398&gt;=1,$L$398,$L$385)))</f>
        <v>2017 Q4</v>
      </c>
      <c r="M400" t="str">
        <f ca="1">IF($B$394&gt;=1,$M$394,IF($B$396&gt;=1,$M$396,IF($B$398&gt;=1,$M$398,$M$385)))</f>
        <v>2017 Q3</v>
      </c>
      <c r="N400" t="str">
        <f ca="1">IF($B$394&gt;=1,$N$394,IF($B$396&gt;=1,$N$396,IF($B$398&gt;=1,$N$398,$N$385)))</f>
        <v>2017 Q2</v>
      </c>
      <c r="R400" t="str">
        <f>""</f>
        <v/>
      </c>
      <c r="S400" t="str">
        <f>""</f>
        <v/>
      </c>
      <c r="T400" t="str">
        <f>""</f>
        <v/>
      </c>
      <c r="U400" t="str">
        <f>""</f>
        <v/>
      </c>
      <c r="V400" t="str">
        <f>""</f>
        <v/>
      </c>
      <c r="W400" t="str">
        <f>""</f>
        <v/>
      </c>
      <c r="X400" t="str">
        <f>""</f>
        <v/>
      </c>
      <c r="Y400" t="str">
        <f>""</f>
        <v/>
      </c>
      <c r="Z400" t="str">
        <f>""</f>
        <v/>
      </c>
      <c r="AA400" t="str">
        <f>""</f>
        <v/>
      </c>
      <c r="AB400" t="str">
        <f>""</f>
        <v/>
      </c>
      <c r="AC400" t="str">
        <f>""</f>
        <v/>
      </c>
    </row>
    <row r="401" spans="1:29" x14ac:dyDescent="0.25">
      <c r="A401" t="str">
        <f>"BDH dynamic title"</f>
        <v>BDH dynamic title</v>
      </c>
      <c r="B401">
        <f ca="1">$B$400</f>
        <v>2</v>
      </c>
      <c r="C401" t="str">
        <f ca="1">IF(LEN($C$400)&lt;&gt;8,$C$400,RIGHT($C$400,4)&amp;" "&amp;MID($C$400,3,1)&amp;LEFT($C$400,1))</f>
        <v>2020 Q1</v>
      </c>
      <c r="D401" t="str">
        <f ca="1">IF(LEN($D$400)&lt;&gt;8,$D$400,RIGHT($D$400,4)&amp;" "&amp;MID($D$400,3,1)&amp;LEFT($D$400,1))</f>
        <v>2019 Q4</v>
      </c>
      <c r="E401" t="str">
        <f ca="1">IF(LEN($E$400)&lt;&gt;8,$E$400,RIGHT($E$400,4)&amp;" "&amp;MID($E$400,3,1)&amp;LEFT($E$400,1))</f>
        <v>2019 Q3</v>
      </c>
      <c r="F401" t="str">
        <f ca="1">IF(LEN($F$400)&lt;&gt;8,$F$400,RIGHT($F$400,4)&amp;" "&amp;MID($F$400,3,1)&amp;LEFT($F$400,1))</f>
        <v>2019 Q2</v>
      </c>
      <c r="G401" t="str">
        <f ca="1">IF(LEN($G$400)&lt;&gt;8,$G$400,RIGHT($G$400,4)&amp;" "&amp;MID($G$400,3,1)&amp;LEFT($G$400,1))</f>
        <v>2019 Q1</v>
      </c>
      <c r="H401" t="str">
        <f ca="1">IF(LEN($H$400)&lt;&gt;8,$H$400,RIGHT($H$400,4)&amp;" "&amp;MID($H$400,3,1)&amp;LEFT($H$400,1))</f>
        <v>2018 Q4</v>
      </c>
      <c r="I401" t="str">
        <f ca="1">IF(LEN($I$400)&lt;&gt;8,$I$400,RIGHT($I$400,4)&amp;" "&amp;MID($I$400,3,1)&amp;LEFT($I$400,1))</f>
        <v>2018 Q3</v>
      </c>
      <c r="J401" t="str">
        <f ca="1">IF(LEN($J$400)&lt;&gt;8,$J$400,RIGHT($J$400,4)&amp;" "&amp;MID($J$400,3,1)&amp;LEFT($J$400,1))</f>
        <v>2018 Q2</v>
      </c>
      <c r="K401" t="str">
        <f ca="1">IF(LEN($K$400)&lt;&gt;8,$K$400,RIGHT($K$400,4)&amp;" "&amp;MID($K$400,3,1)&amp;LEFT($K$400,1))</f>
        <v>2018 Q1</v>
      </c>
      <c r="L401" t="str">
        <f ca="1">IF(LEN($L$400)&lt;&gt;8,$L$400,RIGHT($L$400,4)&amp;" "&amp;MID($L$400,3,1)&amp;LEFT($L$400,1))</f>
        <v>2017 Q4</v>
      </c>
      <c r="M401" t="str">
        <f ca="1">IF(LEN($M$400)&lt;&gt;8,$M$400,RIGHT($M$400,4)&amp;" "&amp;MID($M$400,3,1)&amp;LEFT($M$400,1))</f>
        <v>2017 Q3</v>
      </c>
      <c r="N401" t="str">
        <f ca="1">IF(LEN($N$400)&lt;&gt;8,$N$400,RIGHT($N$400,4)&amp;" "&amp;MID($N$400,3,1)&amp;LEFT($N$400,1))</f>
        <v>2017 Q2</v>
      </c>
      <c r="R401" t="str">
        <f>""</f>
        <v/>
      </c>
      <c r="S401" t="str">
        <f>""</f>
        <v/>
      </c>
      <c r="T401" t="str">
        <f>""</f>
        <v/>
      </c>
      <c r="U401" t="str">
        <f>""</f>
        <v/>
      </c>
      <c r="V401" t="str">
        <f>""</f>
        <v/>
      </c>
      <c r="W401" t="str">
        <f>""</f>
        <v/>
      </c>
      <c r="X401" t="str">
        <f>""</f>
        <v/>
      </c>
      <c r="Y401" t="str">
        <f>""</f>
        <v/>
      </c>
      <c r="Z401" t="str">
        <f>""</f>
        <v/>
      </c>
      <c r="AA401" t="str">
        <f>""</f>
        <v/>
      </c>
      <c r="AB401" t="str">
        <f>""</f>
        <v/>
      </c>
      <c r="AC401" t="str">
        <f>""</f>
        <v/>
      </c>
    </row>
    <row r="402" spans="1:29" x14ac:dyDescent="0.25">
      <c r="A402" t="str">
        <f>"No error found"</f>
        <v>No error found</v>
      </c>
      <c r="B402" t="str">
        <f>""</f>
        <v/>
      </c>
      <c r="C402" t="str">
        <f>""</f>
        <v/>
      </c>
      <c r="D402" t="str">
        <f>""</f>
        <v/>
      </c>
      <c r="E402" t="str">
        <f>""</f>
        <v/>
      </c>
      <c r="R402" t="str">
        <f>""</f>
        <v/>
      </c>
      <c r="S402" t="str">
        <f>""</f>
        <v/>
      </c>
      <c r="T402" t="str">
        <f>""</f>
        <v/>
      </c>
      <c r="U402" t="str">
        <f>""</f>
        <v/>
      </c>
      <c r="V402" t="str">
        <f>""</f>
        <v/>
      </c>
      <c r="W402" t="str">
        <f>""</f>
        <v/>
      </c>
      <c r="X402" t="str">
        <f>""</f>
        <v/>
      </c>
      <c r="Y402" t="str">
        <f>""</f>
        <v/>
      </c>
      <c r="Z402" t="str">
        <f>""</f>
        <v/>
      </c>
      <c r="AA402" t="str">
        <f>""</f>
        <v/>
      </c>
      <c r="AB402" t="str">
        <f>""</f>
        <v/>
      </c>
      <c r="AC402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0487-47B6-476D-95BD-18119C946833}">
  <dimension ref="A2:AC402"/>
  <sheetViews>
    <sheetView tabSelected="1" workbookViewId="0">
      <selection sqref="A1:XFD1048576"/>
    </sheetView>
  </sheetViews>
  <sheetFormatPr defaultRowHeight="15" x14ac:dyDescent="0.25"/>
  <sheetData>
    <row r="2" spans="1:2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44</v>
      </c>
      <c r="G2" t="s">
        <v>43</v>
      </c>
      <c r="H2" t="s">
        <v>42</v>
      </c>
      <c r="I2" t="s">
        <v>41</v>
      </c>
      <c r="J2" t="s">
        <v>40</v>
      </c>
      <c r="K2" t="s">
        <v>39</v>
      </c>
      <c r="L2" t="s">
        <v>38</v>
      </c>
      <c r="M2" t="s">
        <v>37</v>
      </c>
      <c r="N2" t="s">
        <v>36</v>
      </c>
      <c r="O2" t="s">
        <v>35</v>
      </c>
      <c r="P2" t="s">
        <v>34</v>
      </c>
      <c r="Q2" t="s">
        <v>33</v>
      </c>
      <c r="R2" t="s">
        <v>44</v>
      </c>
      <c r="S2" t="s">
        <v>43</v>
      </c>
      <c r="T2" t="s">
        <v>42</v>
      </c>
      <c r="U2" t="s">
        <v>41</v>
      </c>
      <c r="V2" t="s">
        <v>40</v>
      </c>
      <c r="W2" t="s">
        <v>39</v>
      </c>
      <c r="X2" t="s">
        <v>38</v>
      </c>
      <c r="Y2" t="s">
        <v>37</v>
      </c>
      <c r="Z2" t="s">
        <v>36</v>
      </c>
      <c r="AA2" t="s">
        <v>35</v>
      </c>
      <c r="AB2" t="s">
        <v>34</v>
      </c>
      <c r="AC2" t="s">
        <v>33</v>
      </c>
    </row>
    <row r="3" spans="1:29" x14ac:dyDescent="0.25">
      <c r="A3" t="s">
        <v>45</v>
      </c>
      <c r="B3" t="s">
        <v>46</v>
      </c>
      <c r="E3" t="s">
        <v>47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</row>
    <row r="4" spans="1:29" x14ac:dyDescent="0.25">
      <c r="A4" t="s">
        <v>48</v>
      </c>
      <c r="B4" t="s">
        <v>49</v>
      </c>
      <c r="E4" t="s">
        <v>50</v>
      </c>
      <c r="F4">
        <v>0.82311241053333317</v>
      </c>
      <c r="G4">
        <v>0.77763008968750003</v>
      </c>
      <c r="H4">
        <v>0.80879871079999999</v>
      </c>
      <c r="I4">
        <v>0.89471657780000002</v>
      </c>
      <c r="J4">
        <v>0.91400741353333326</v>
      </c>
      <c r="K4">
        <v>0.95415577320000011</v>
      </c>
      <c r="L4">
        <v>0.93438412553333328</v>
      </c>
      <c r="M4">
        <v>0.97479307920000002</v>
      </c>
      <c r="N4">
        <v>0.98298611026666671</v>
      </c>
      <c r="O4">
        <v>1.0047671467999999</v>
      </c>
      <c r="P4">
        <v>1.0590876486666665</v>
      </c>
      <c r="Q4">
        <v>1.0537361824000002</v>
      </c>
      <c r="R4">
        <v>0.82311241099999999</v>
      </c>
      <c r="S4">
        <v>0.77763009000000005</v>
      </c>
      <c r="T4">
        <v>0.808798711</v>
      </c>
      <c r="U4">
        <v>0.89471657800000004</v>
      </c>
      <c r="V4">
        <v>0.91400741399999996</v>
      </c>
      <c r="W4">
        <v>0.95415577299999998</v>
      </c>
      <c r="X4">
        <v>0.93438412500000001</v>
      </c>
      <c r="Y4">
        <v>0.97479307900000001</v>
      </c>
      <c r="Z4">
        <v>0.98298611000000002</v>
      </c>
      <c r="AA4">
        <v>1.0047671469999999</v>
      </c>
      <c r="AB4">
        <v>1.0590876490000001</v>
      </c>
      <c r="AC4">
        <v>1.053736182</v>
      </c>
    </row>
    <row r="5" spans="1:29" x14ac:dyDescent="0.25">
      <c r="A5" t="s">
        <v>51</v>
      </c>
      <c r="B5" t="s">
        <v>52</v>
      </c>
      <c r="C5" t="s">
        <v>53</v>
      </c>
      <c r="D5" t="s">
        <v>54</v>
      </c>
      <c r="E5" t="s">
        <v>55</v>
      </c>
      <c r="F5">
        <v>0.48669760699999998</v>
      </c>
      <c r="G5">
        <v>0.51912029599999998</v>
      </c>
      <c r="H5">
        <v>0.55416955599999995</v>
      </c>
      <c r="I5">
        <v>0.45228410499999999</v>
      </c>
      <c r="J5">
        <v>0.437222681</v>
      </c>
      <c r="K5">
        <v>0.42912364800000002</v>
      </c>
      <c r="L5">
        <v>0.498884577</v>
      </c>
      <c r="M5">
        <v>0.41158386899999999</v>
      </c>
      <c r="N5">
        <v>0.384130103</v>
      </c>
      <c r="O5">
        <v>0.37335326899999999</v>
      </c>
      <c r="P5">
        <v>0.42037395300000002</v>
      </c>
      <c r="Q5">
        <v>0.36975385999999999</v>
      </c>
      <c r="R5">
        <v>0.48669760699999998</v>
      </c>
      <c r="S5">
        <v>0.51912029599999998</v>
      </c>
      <c r="T5">
        <v>0.55416955599999995</v>
      </c>
      <c r="U5">
        <v>0.45228410499999999</v>
      </c>
      <c r="V5">
        <v>0.437222681</v>
      </c>
      <c r="W5">
        <v>0.42912364800000002</v>
      </c>
      <c r="X5">
        <v>0.498884577</v>
      </c>
      <c r="Y5">
        <v>0.41158386899999999</v>
      </c>
      <c r="Z5">
        <v>0.384130103</v>
      </c>
      <c r="AA5">
        <v>0.37335326899999999</v>
      </c>
      <c r="AB5">
        <v>0.42037395300000002</v>
      </c>
      <c r="AC5">
        <v>0.36975385999999999</v>
      </c>
    </row>
    <row r="6" spans="1:29" x14ac:dyDescent="0.25">
      <c r="A6" t="s">
        <v>56</v>
      </c>
      <c r="B6" t="s">
        <v>57</v>
      </c>
      <c r="C6" t="s">
        <v>53</v>
      </c>
      <c r="D6" t="s">
        <v>54</v>
      </c>
      <c r="E6" t="s">
        <v>55</v>
      </c>
      <c r="F6">
        <v>0.48672798499999997</v>
      </c>
      <c r="G6">
        <v>0.38303536700000002</v>
      </c>
      <c r="H6">
        <v>0.39044646599999999</v>
      </c>
      <c r="I6">
        <v>0.38689447799999999</v>
      </c>
      <c r="J6">
        <v>0.37053522500000002</v>
      </c>
      <c r="K6">
        <v>0.36009349200000002</v>
      </c>
      <c r="L6">
        <v>0.40095230999999998</v>
      </c>
      <c r="M6">
        <v>0.42543167500000001</v>
      </c>
      <c r="N6">
        <v>0.47962067200000003</v>
      </c>
      <c r="O6">
        <v>0.79065332099999996</v>
      </c>
      <c r="P6">
        <v>0.83516888199999995</v>
      </c>
      <c r="Q6">
        <v>0.81809748599999998</v>
      </c>
      <c r="R6">
        <v>0.48672798499999997</v>
      </c>
      <c r="S6">
        <v>0.38303536700000002</v>
      </c>
      <c r="T6">
        <v>0.39044646599999999</v>
      </c>
      <c r="U6">
        <v>0.38689447799999999</v>
      </c>
      <c r="V6">
        <v>0.37053522500000002</v>
      </c>
      <c r="W6">
        <v>0.36009349200000002</v>
      </c>
      <c r="X6">
        <v>0.40095230999999998</v>
      </c>
      <c r="Y6">
        <v>0.42543167500000001</v>
      </c>
      <c r="Z6">
        <v>0.47962067200000003</v>
      </c>
      <c r="AA6">
        <v>0.79065332099999996</v>
      </c>
      <c r="AB6">
        <v>0.83516888199999995</v>
      </c>
      <c r="AC6">
        <v>0.81809748599999998</v>
      </c>
    </row>
    <row r="7" spans="1:29" x14ac:dyDescent="0.25">
      <c r="A7" t="s">
        <v>58</v>
      </c>
      <c r="B7" t="s">
        <v>59</v>
      </c>
      <c r="C7" t="s">
        <v>53</v>
      </c>
      <c r="D7" t="s">
        <v>54</v>
      </c>
      <c r="E7" t="s">
        <v>55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</row>
    <row r="8" spans="1:29" x14ac:dyDescent="0.25">
      <c r="A8" t="s">
        <v>60</v>
      </c>
      <c r="B8" t="s">
        <v>61</v>
      </c>
      <c r="C8" t="s">
        <v>53</v>
      </c>
      <c r="D8" t="s">
        <v>54</v>
      </c>
      <c r="E8" t="s">
        <v>55</v>
      </c>
      <c r="F8" t="s">
        <v>46</v>
      </c>
      <c r="G8">
        <v>0.52226562499999996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>
        <v>0.52226562499999996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</row>
    <row r="9" spans="1:29" x14ac:dyDescent="0.25">
      <c r="A9" t="s">
        <v>62</v>
      </c>
      <c r="B9" t="s">
        <v>63</v>
      </c>
      <c r="C9" t="s">
        <v>53</v>
      </c>
      <c r="D9" t="s">
        <v>54</v>
      </c>
      <c r="E9" t="s">
        <v>55</v>
      </c>
      <c r="F9">
        <v>8.7733261000000007E-2</v>
      </c>
      <c r="G9">
        <v>6.0729305999999997E-2</v>
      </c>
      <c r="H9">
        <v>7.4140734999999999E-2</v>
      </c>
      <c r="I9">
        <v>7.2395377999999996E-2</v>
      </c>
      <c r="J9">
        <v>0.173428676</v>
      </c>
      <c r="K9">
        <v>0.12434891100000001</v>
      </c>
      <c r="L9">
        <v>5.9009824000000002E-2</v>
      </c>
      <c r="M9">
        <v>5.2731338000000003E-2</v>
      </c>
      <c r="N9">
        <v>8.6017291999999995E-2</v>
      </c>
      <c r="O9">
        <v>7.4320510000000006E-2</v>
      </c>
      <c r="P9">
        <v>6.1398827000000003E-2</v>
      </c>
      <c r="Q9">
        <v>0.10768053399999999</v>
      </c>
      <c r="R9">
        <v>8.7733261000000007E-2</v>
      </c>
      <c r="S9">
        <v>6.0729305999999997E-2</v>
      </c>
      <c r="T9">
        <v>7.4140734999999999E-2</v>
      </c>
      <c r="U9">
        <v>7.2395377999999996E-2</v>
      </c>
      <c r="V9">
        <v>0.173428676</v>
      </c>
      <c r="W9">
        <v>0.12434891100000001</v>
      </c>
      <c r="X9">
        <v>5.9009824000000002E-2</v>
      </c>
      <c r="Y9">
        <v>5.2731338000000003E-2</v>
      </c>
      <c r="Z9">
        <v>8.6017291999999995E-2</v>
      </c>
      <c r="AA9">
        <v>7.4320510000000006E-2</v>
      </c>
      <c r="AB9">
        <v>6.1398827000000003E-2</v>
      </c>
      <c r="AC9">
        <v>0.10768053399999999</v>
      </c>
    </row>
    <row r="10" spans="1:29" x14ac:dyDescent="0.25">
      <c r="A10" t="s">
        <v>64</v>
      </c>
      <c r="B10" t="s">
        <v>65</v>
      </c>
      <c r="C10" t="s">
        <v>53</v>
      </c>
      <c r="D10" t="s">
        <v>54</v>
      </c>
      <c r="E10" t="s">
        <v>55</v>
      </c>
      <c r="F10">
        <v>1.490947075</v>
      </c>
      <c r="G10">
        <v>1.1478377470000001</v>
      </c>
      <c r="H10">
        <v>1.0541281259999999</v>
      </c>
      <c r="I10">
        <v>1.0633852690000001</v>
      </c>
      <c r="J10">
        <v>1.348529412</v>
      </c>
      <c r="K10">
        <v>1.6645756460000001</v>
      </c>
      <c r="L10">
        <v>1.7686594879999999</v>
      </c>
      <c r="M10">
        <v>1.674024438</v>
      </c>
      <c r="N10">
        <v>1.956257594</v>
      </c>
      <c r="O10">
        <v>1.780908771</v>
      </c>
      <c r="P10">
        <v>1.8126923079999999</v>
      </c>
      <c r="Q10">
        <v>1.812836439</v>
      </c>
      <c r="R10">
        <v>1.490947075</v>
      </c>
      <c r="S10">
        <v>1.1478377470000001</v>
      </c>
      <c r="T10">
        <v>1.0541281259999999</v>
      </c>
      <c r="U10">
        <v>1.0633852690000001</v>
      </c>
      <c r="V10">
        <v>1.348529412</v>
      </c>
      <c r="W10">
        <v>1.6645756460000001</v>
      </c>
      <c r="X10">
        <v>1.7686594879999999</v>
      </c>
      <c r="Y10">
        <v>1.674024438</v>
      </c>
      <c r="Z10">
        <v>1.956257594</v>
      </c>
      <c r="AA10">
        <v>1.780908771</v>
      </c>
      <c r="AB10">
        <v>1.8126923079999999</v>
      </c>
      <c r="AC10">
        <v>1.812836439</v>
      </c>
    </row>
    <row r="11" spans="1:29" x14ac:dyDescent="0.25">
      <c r="A11" t="s">
        <v>66</v>
      </c>
      <c r="B11" t="s">
        <v>67</v>
      </c>
      <c r="C11" t="s">
        <v>53</v>
      </c>
      <c r="D11" t="s">
        <v>54</v>
      </c>
      <c r="E11" t="s">
        <v>55</v>
      </c>
      <c r="F11">
        <v>0.38611925699999999</v>
      </c>
      <c r="G11">
        <v>0.42141036500000001</v>
      </c>
      <c r="H11">
        <v>0.203027605</v>
      </c>
      <c r="I11">
        <v>0.226787182</v>
      </c>
      <c r="J11">
        <v>0.36262203599999998</v>
      </c>
      <c r="K11">
        <v>0.63157894699999995</v>
      </c>
      <c r="L11">
        <v>0.46842526000000001</v>
      </c>
      <c r="M11">
        <v>0.75628332099999995</v>
      </c>
      <c r="N11">
        <v>0.40247452700000003</v>
      </c>
      <c r="O11">
        <v>0.48099415200000001</v>
      </c>
      <c r="P11">
        <v>0.38550247100000001</v>
      </c>
      <c r="Q11">
        <v>0.254950495</v>
      </c>
      <c r="R11">
        <v>0.38611925699999999</v>
      </c>
      <c r="S11">
        <v>0.42141036500000001</v>
      </c>
      <c r="T11">
        <v>0.203027605</v>
      </c>
      <c r="U11">
        <v>0.226787182</v>
      </c>
      <c r="V11">
        <v>0.36262203599999998</v>
      </c>
      <c r="W11">
        <v>0.63157894699999995</v>
      </c>
      <c r="X11">
        <v>0.46842526000000001</v>
      </c>
      <c r="Y11">
        <v>0.75628332099999995</v>
      </c>
      <c r="Z11">
        <v>0.40247452700000003</v>
      </c>
      <c r="AA11">
        <v>0.48099415200000001</v>
      </c>
      <c r="AB11">
        <v>0.38550247100000001</v>
      </c>
      <c r="AC11">
        <v>0.254950495</v>
      </c>
    </row>
    <row r="12" spans="1:29" x14ac:dyDescent="0.25">
      <c r="A12" t="s">
        <v>68</v>
      </c>
      <c r="B12" t="s">
        <v>69</v>
      </c>
      <c r="C12" t="s">
        <v>53</v>
      </c>
      <c r="D12" t="s">
        <v>54</v>
      </c>
      <c r="E12" t="s">
        <v>55</v>
      </c>
      <c r="F12">
        <v>0.46599113399999997</v>
      </c>
      <c r="G12">
        <v>0.29143898000000001</v>
      </c>
      <c r="H12">
        <v>0.32092712299999998</v>
      </c>
      <c r="I12">
        <v>0.200042836</v>
      </c>
      <c r="J12">
        <v>0.30667513000000002</v>
      </c>
      <c r="K12">
        <v>0.29042478300000002</v>
      </c>
      <c r="L12">
        <v>0.32652102399999999</v>
      </c>
      <c r="M12">
        <v>0.27689499699999998</v>
      </c>
      <c r="N12">
        <v>0.26319529000000003</v>
      </c>
      <c r="O12">
        <v>0.30358995599999999</v>
      </c>
      <c r="P12">
        <v>0.28303486300000003</v>
      </c>
      <c r="Q12">
        <v>0.31108639199999999</v>
      </c>
      <c r="R12">
        <v>0.46599113399999997</v>
      </c>
      <c r="S12">
        <v>0.29143898000000001</v>
      </c>
      <c r="T12">
        <v>0.32092712299999998</v>
      </c>
      <c r="U12">
        <v>0.200042836</v>
      </c>
      <c r="V12">
        <v>0.30667513000000002</v>
      </c>
      <c r="W12">
        <v>0.29042478300000002</v>
      </c>
      <c r="X12">
        <v>0.32652102399999999</v>
      </c>
      <c r="Y12">
        <v>0.27689499699999998</v>
      </c>
      <c r="Z12">
        <v>0.26319529000000003</v>
      </c>
      <c r="AA12">
        <v>0.30358995599999999</v>
      </c>
      <c r="AB12">
        <v>0.28303486300000003</v>
      </c>
      <c r="AC12">
        <v>0.31108639199999999</v>
      </c>
    </row>
    <row r="13" spans="1:29" x14ac:dyDescent="0.25">
      <c r="A13" t="s">
        <v>70</v>
      </c>
      <c r="B13" t="s">
        <v>71</v>
      </c>
      <c r="C13" t="s">
        <v>53</v>
      </c>
      <c r="D13" t="s">
        <v>54</v>
      </c>
      <c r="E13" t="s">
        <v>55</v>
      </c>
      <c r="F13">
        <v>2.3534641079999998</v>
      </c>
      <c r="G13">
        <v>2.4203562239999998</v>
      </c>
      <c r="H13">
        <v>2.7394002629999998</v>
      </c>
      <c r="I13">
        <v>2.8515226660000002</v>
      </c>
      <c r="J13">
        <v>2.698587233</v>
      </c>
      <c r="K13">
        <v>2.931792154</v>
      </c>
      <c r="L13">
        <v>3.1004149829999998</v>
      </c>
      <c r="M13">
        <v>3.219655919</v>
      </c>
      <c r="N13">
        <v>2.9785056810000001</v>
      </c>
      <c r="O13">
        <v>3.2192886000000001</v>
      </c>
      <c r="P13">
        <v>3.2235507980000002</v>
      </c>
      <c r="Q13">
        <v>3.405782522</v>
      </c>
      <c r="R13">
        <v>2.3534641079999998</v>
      </c>
      <c r="S13">
        <v>2.4203562239999998</v>
      </c>
      <c r="T13">
        <v>2.7394002629999998</v>
      </c>
      <c r="U13">
        <v>2.8515226660000002</v>
      </c>
      <c r="V13">
        <v>2.698587233</v>
      </c>
      <c r="W13">
        <v>2.931792154</v>
      </c>
      <c r="X13">
        <v>3.1004149829999998</v>
      </c>
      <c r="Y13">
        <v>3.219655919</v>
      </c>
      <c r="Z13">
        <v>2.9785056810000001</v>
      </c>
      <c r="AA13">
        <v>3.2192886000000001</v>
      </c>
      <c r="AB13">
        <v>3.2235507980000002</v>
      </c>
      <c r="AC13">
        <v>3.405782522</v>
      </c>
    </row>
    <row r="14" spans="1:29" x14ac:dyDescent="0.25">
      <c r="A14" t="s">
        <v>72</v>
      </c>
      <c r="B14" t="s">
        <v>73</v>
      </c>
      <c r="C14" t="s">
        <v>53</v>
      </c>
      <c r="D14" t="s">
        <v>54</v>
      </c>
      <c r="E14" t="s">
        <v>55</v>
      </c>
      <c r="F14">
        <v>0.425423465</v>
      </c>
      <c r="G14">
        <v>0.51317331899999996</v>
      </c>
      <c r="H14">
        <v>0.42931270100000002</v>
      </c>
      <c r="I14">
        <v>0.37684256900000002</v>
      </c>
      <c r="J14">
        <v>0.32158836699999999</v>
      </c>
      <c r="K14">
        <v>0.37733429499999999</v>
      </c>
      <c r="L14">
        <v>0.398762854</v>
      </c>
      <c r="M14">
        <v>0.41073258299999998</v>
      </c>
      <c r="N14">
        <v>0.48695003399999998</v>
      </c>
      <c r="O14">
        <v>0.60142778100000005</v>
      </c>
      <c r="P14">
        <v>0.53459684900000004</v>
      </c>
      <c r="Q14">
        <v>0.57571137699999997</v>
      </c>
      <c r="R14">
        <v>0.425423465</v>
      </c>
      <c r="S14">
        <v>0.51317331899999996</v>
      </c>
      <c r="T14">
        <v>0.42931270100000002</v>
      </c>
      <c r="U14">
        <v>0.37684256900000002</v>
      </c>
      <c r="V14">
        <v>0.32158836699999999</v>
      </c>
      <c r="W14">
        <v>0.37733429499999999</v>
      </c>
      <c r="X14">
        <v>0.398762854</v>
      </c>
      <c r="Y14">
        <v>0.41073258299999998</v>
      </c>
      <c r="Z14">
        <v>0.48695003399999998</v>
      </c>
      <c r="AA14">
        <v>0.60142778100000005</v>
      </c>
      <c r="AB14">
        <v>0.53459684900000004</v>
      </c>
      <c r="AC14">
        <v>0.57571137699999997</v>
      </c>
    </row>
    <row r="15" spans="1:29" x14ac:dyDescent="0.25">
      <c r="A15" t="s">
        <v>74</v>
      </c>
      <c r="B15" t="s">
        <v>75</v>
      </c>
      <c r="C15" t="s">
        <v>53</v>
      </c>
      <c r="D15" t="s">
        <v>54</v>
      </c>
      <c r="E15" t="s">
        <v>55</v>
      </c>
      <c r="F15">
        <v>0.64939076900000003</v>
      </c>
      <c r="G15">
        <v>0.60639878300000005</v>
      </c>
      <c r="H15">
        <v>0.38683171100000002</v>
      </c>
      <c r="I15">
        <v>1.021949405</v>
      </c>
      <c r="J15">
        <v>0.92918853700000004</v>
      </c>
      <c r="K15">
        <v>0.90467326999999997</v>
      </c>
      <c r="L15">
        <v>0.85136880199999998</v>
      </c>
      <c r="M15">
        <v>0.92070512400000004</v>
      </c>
      <c r="N15">
        <v>0.63025625799999996</v>
      </c>
      <c r="O15">
        <v>0.84818051400000005</v>
      </c>
      <c r="P15">
        <v>0.90797097000000004</v>
      </c>
      <c r="Q15">
        <v>1.054033574</v>
      </c>
      <c r="R15">
        <v>0.64939076900000003</v>
      </c>
      <c r="S15">
        <v>0.60639878300000005</v>
      </c>
      <c r="T15">
        <v>0.38683171100000002</v>
      </c>
      <c r="U15">
        <v>1.021949405</v>
      </c>
      <c r="V15">
        <v>0.92918853700000004</v>
      </c>
      <c r="W15">
        <v>0.90467326999999997</v>
      </c>
      <c r="X15">
        <v>0.85136880199999998</v>
      </c>
      <c r="Y15">
        <v>0.92070512400000004</v>
      </c>
      <c r="Z15">
        <v>0.63025625799999996</v>
      </c>
      <c r="AA15">
        <v>0.84818051400000005</v>
      </c>
      <c r="AB15">
        <v>0.90797097000000004</v>
      </c>
      <c r="AC15">
        <v>1.054033574</v>
      </c>
    </row>
    <row r="16" spans="1:29" x14ac:dyDescent="0.25">
      <c r="A16" t="s">
        <v>76</v>
      </c>
      <c r="B16" t="s">
        <v>77</v>
      </c>
      <c r="C16" t="s">
        <v>53</v>
      </c>
      <c r="D16" t="s">
        <v>54</v>
      </c>
      <c r="E16" t="s">
        <v>55</v>
      </c>
      <c r="F16">
        <v>0.44389715800000001</v>
      </c>
      <c r="G16">
        <v>0.45867266000000001</v>
      </c>
      <c r="H16">
        <v>0.435705224</v>
      </c>
      <c r="I16">
        <v>0.41989471</v>
      </c>
      <c r="J16">
        <v>0.48299671999999999</v>
      </c>
      <c r="K16">
        <v>0.50966266999999998</v>
      </c>
      <c r="L16">
        <v>0.47051078099999999</v>
      </c>
      <c r="M16">
        <v>0.49482621199999999</v>
      </c>
      <c r="N16">
        <v>0.38517761299999997</v>
      </c>
      <c r="O16">
        <v>0.35491521399999998</v>
      </c>
      <c r="P16">
        <v>0.36179737099999998</v>
      </c>
      <c r="Q16">
        <v>0.30481534199999999</v>
      </c>
      <c r="R16">
        <v>0.44389715800000001</v>
      </c>
      <c r="S16">
        <v>0.45867266000000001</v>
      </c>
      <c r="T16">
        <v>0.435705224</v>
      </c>
      <c r="U16">
        <v>0.41989471</v>
      </c>
      <c r="V16">
        <v>0.48299671999999999</v>
      </c>
      <c r="W16">
        <v>0.50966266999999998</v>
      </c>
      <c r="X16">
        <v>0.47051078099999999</v>
      </c>
      <c r="Y16">
        <v>0.49482621199999999</v>
      </c>
      <c r="Z16">
        <v>0.38517761299999997</v>
      </c>
      <c r="AA16">
        <v>0.35491521399999998</v>
      </c>
      <c r="AB16">
        <v>0.36179737099999998</v>
      </c>
      <c r="AC16">
        <v>0.30481534199999999</v>
      </c>
    </row>
    <row r="17" spans="1:29" x14ac:dyDescent="0.25">
      <c r="A17" t="s">
        <v>78</v>
      </c>
      <c r="B17" t="s">
        <v>79</v>
      </c>
      <c r="C17" t="s">
        <v>53</v>
      </c>
      <c r="D17" t="s">
        <v>54</v>
      </c>
      <c r="E17" t="s">
        <v>55</v>
      </c>
      <c r="F17">
        <v>1.1173762949999999</v>
      </c>
      <c r="G17">
        <v>1.018147278</v>
      </c>
      <c r="H17">
        <v>1.040601739</v>
      </c>
      <c r="I17">
        <v>0.87950950000000006</v>
      </c>
      <c r="J17">
        <v>1.4054619589999999</v>
      </c>
      <c r="K17">
        <v>1.563977374</v>
      </c>
      <c r="L17">
        <v>1.6100664769999999</v>
      </c>
      <c r="M17">
        <v>1.4141768480000001</v>
      </c>
      <c r="N17">
        <v>1.859269762</v>
      </c>
      <c r="O17">
        <v>1.642389758</v>
      </c>
      <c r="P17">
        <v>2.2463575320000002</v>
      </c>
      <c r="Q17">
        <v>2.0558998590000002</v>
      </c>
      <c r="R17">
        <v>1.1173762949999999</v>
      </c>
      <c r="S17">
        <v>1.018147278</v>
      </c>
      <c r="T17">
        <v>1.040601739</v>
      </c>
      <c r="U17">
        <v>0.87950950000000006</v>
      </c>
      <c r="V17">
        <v>1.4054619589999999</v>
      </c>
      <c r="W17">
        <v>1.563977374</v>
      </c>
      <c r="X17">
        <v>1.6100664769999999</v>
      </c>
      <c r="Y17">
        <v>1.4141768480000001</v>
      </c>
      <c r="Z17">
        <v>1.859269762</v>
      </c>
      <c r="AA17">
        <v>1.642389758</v>
      </c>
      <c r="AB17">
        <v>2.2463575320000002</v>
      </c>
      <c r="AC17">
        <v>2.0558998590000002</v>
      </c>
    </row>
    <row r="18" spans="1:29" x14ac:dyDescent="0.25">
      <c r="A18" t="s">
        <v>80</v>
      </c>
      <c r="B18" t="s">
        <v>81</v>
      </c>
      <c r="C18" t="s">
        <v>53</v>
      </c>
      <c r="D18" t="s">
        <v>54</v>
      </c>
      <c r="E18" t="s">
        <v>55</v>
      </c>
      <c r="F18">
        <v>0.29171686400000002</v>
      </c>
      <c r="G18">
        <v>0.235219225</v>
      </c>
      <c r="H18">
        <v>0.308560999</v>
      </c>
      <c r="I18">
        <v>1.0926070219999999</v>
      </c>
      <c r="J18">
        <v>0.46322451199999998</v>
      </c>
      <c r="K18">
        <v>0.31383577000000001</v>
      </c>
      <c r="L18">
        <v>0.39365053500000002</v>
      </c>
      <c r="M18">
        <v>0.330314316</v>
      </c>
      <c r="N18">
        <v>0.35938768100000001</v>
      </c>
      <c r="O18">
        <v>0.336696732</v>
      </c>
      <c r="P18">
        <v>0.36328359199999999</v>
      </c>
      <c r="Q18">
        <v>0.34185063700000001</v>
      </c>
      <c r="R18">
        <v>0.29171686400000002</v>
      </c>
      <c r="S18">
        <v>0.235219225</v>
      </c>
      <c r="T18">
        <v>0.308560999</v>
      </c>
      <c r="U18">
        <v>1.0926070219999999</v>
      </c>
      <c r="V18">
        <v>0.46322451199999998</v>
      </c>
      <c r="W18">
        <v>0.31383577000000001</v>
      </c>
      <c r="X18">
        <v>0.39365053500000002</v>
      </c>
      <c r="Y18">
        <v>0.330314316</v>
      </c>
      <c r="Z18">
        <v>0.35938768100000001</v>
      </c>
      <c r="AA18">
        <v>0.336696732</v>
      </c>
      <c r="AB18">
        <v>0.36328359199999999</v>
      </c>
      <c r="AC18">
        <v>0.34185063700000001</v>
      </c>
    </row>
    <row r="19" spans="1:29" x14ac:dyDescent="0.25">
      <c r="A19" t="s">
        <v>82</v>
      </c>
      <c r="B19" t="s">
        <v>83</v>
      </c>
      <c r="C19" t="s">
        <v>53</v>
      </c>
      <c r="D19" t="s">
        <v>54</v>
      </c>
      <c r="E19" t="s">
        <v>55</v>
      </c>
      <c r="F19">
        <v>1.3152623800000001</v>
      </c>
      <c r="G19">
        <v>1.4817131859999999</v>
      </c>
      <c r="H19">
        <v>1.9484899330000001</v>
      </c>
      <c r="I19">
        <v>1.738556735</v>
      </c>
      <c r="J19">
        <v>1.890191994</v>
      </c>
      <c r="K19">
        <v>1.7056543120000001</v>
      </c>
      <c r="L19">
        <v>1.502550228</v>
      </c>
      <c r="M19">
        <v>1.848975657</v>
      </c>
      <c r="N19">
        <v>2.3920798740000002</v>
      </c>
      <c r="O19">
        <v>2.272114314</v>
      </c>
      <c r="P19">
        <v>2.0546468170000001</v>
      </c>
      <c r="Q19">
        <v>2.1074473010000001</v>
      </c>
      <c r="R19">
        <v>1.3152623800000001</v>
      </c>
      <c r="S19">
        <v>1.4817131859999999</v>
      </c>
      <c r="T19">
        <v>1.9484899330000001</v>
      </c>
      <c r="U19">
        <v>1.738556735</v>
      </c>
      <c r="V19">
        <v>1.890191994</v>
      </c>
      <c r="W19">
        <v>1.7056543120000001</v>
      </c>
      <c r="X19">
        <v>1.502550228</v>
      </c>
      <c r="Y19">
        <v>1.848975657</v>
      </c>
      <c r="Z19">
        <v>2.3920798740000002</v>
      </c>
      <c r="AA19">
        <v>2.272114314</v>
      </c>
      <c r="AB19">
        <v>2.0546468170000001</v>
      </c>
      <c r="AC19">
        <v>2.1074473010000001</v>
      </c>
    </row>
    <row r="20" spans="1:29" x14ac:dyDescent="0.25">
      <c r="A20" t="s">
        <v>84</v>
      </c>
      <c r="B20" t="s">
        <v>85</v>
      </c>
      <c r="C20" t="s">
        <v>53</v>
      </c>
      <c r="D20" t="s">
        <v>54</v>
      </c>
      <c r="E20" t="s">
        <v>55</v>
      </c>
      <c r="F20">
        <v>0.80183155100000003</v>
      </c>
      <c r="G20">
        <v>0.73689187499999997</v>
      </c>
      <c r="H20">
        <v>0.71064744700000004</v>
      </c>
      <c r="I20">
        <v>0.75725462700000001</v>
      </c>
      <c r="J20">
        <v>0.75057950500000004</v>
      </c>
      <c r="K20">
        <v>0.66760319199999996</v>
      </c>
      <c r="L20">
        <v>0.59780237999999997</v>
      </c>
      <c r="M20">
        <v>0.76990267300000004</v>
      </c>
      <c r="N20">
        <v>0.70437625000000004</v>
      </c>
      <c r="O20">
        <v>0.68364427000000005</v>
      </c>
      <c r="P20">
        <v>0.69853900999999996</v>
      </c>
      <c r="Q20">
        <v>0.69855792699999997</v>
      </c>
      <c r="R20">
        <v>0.80183155100000003</v>
      </c>
      <c r="S20">
        <v>0.73689187499999997</v>
      </c>
      <c r="T20">
        <v>0.71064744700000004</v>
      </c>
      <c r="U20">
        <v>0.75725462700000001</v>
      </c>
      <c r="V20">
        <v>0.75057950500000004</v>
      </c>
      <c r="W20">
        <v>0.66760319199999996</v>
      </c>
      <c r="X20">
        <v>0.59780237999999997</v>
      </c>
      <c r="Y20">
        <v>0.76990267300000004</v>
      </c>
      <c r="Z20">
        <v>0.70437625000000004</v>
      </c>
      <c r="AA20">
        <v>0.68364427000000005</v>
      </c>
      <c r="AB20">
        <v>0.69853900999999996</v>
      </c>
      <c r="AC20">
        <v>0.69855792699999997</v>
      </c>
    </row>
    <row r="21" spans="1:29" x14ac:dyDescent="0.25">
      <c r="A21" t="s">
        <v>86</v>
      </c>
      <c r="B21" t="s">
        <v>87</v>
      </c>
      <c r="C21" t="s">
        <v>53</v>
      </c>
      <c r="D21" t="s">
        <v>54</v>
      </c>
      <c r="E21" t="s">
        <v>55</v>
      </c>
      <c r="F21">
        <v>1.5441072490000001</v>
      </c>
      <c r="G21">
        <v>1.6256711989999999</v>
      </c>
      <c r="H21">
        <v>1.5355910340000001</v>
      </c>
      <c r="I21">
        <v>1.880822185</v>
      </c>
      <c r="J21">
        <v>1.7692792159999999</v>
      </c>
      <c r="K21">
        <v>1.837658134</v>
      </c>
      <c r="L21">
        <v>1.56818236</v>
      </c>
      <c r="M21">
        <v>1.615657218</v>
      </c>
      <c r="N21">
        <v>1.377093023</v>
      </c>
      <c r="O21">
        <v>1.3090300399999999</v>
      </c>
      <c r="P21">
        <v>1.6974004869999999</v>
      </c>
      <c r="Q21">
        <v>1.587538991</v>
      </c>
      <c r="R21">
        <v>1.5441072490000001</v>
      </c>
      <c r="S21">
        <v>1.6256711989999999</v>
      </c>
      <c r="T21">
        <v>1.5355910340000001</v>
      </c>
      <c r="U21">
        <v>1.880822185</v>
      </c>
      <c r="V21">
        <v>1.7692792159999999</v>
      </c>
      <c r="W21">
        <v>1.837658134</v>
      </c>
      <c r="X21">
        <v>1.56818236</v>
      </c>
      <c r="Y21">
        <v>1.615657218</v>
      </c>
      <c r="Z21">
        <v>1.377093023</v>
      </c>
      <c r="AA21">
        <v>1.3090300399999999</v>
      </c>
      <c r="AB21">
        <v>1.6974004869999999</v>
      </c>
      <c r="AC21">
        <v>1.587538991</v>
      </c>
    </row>
    <row r="22" spans="1:29" x14ac:dyDescent="0.25">
      <c r="A22" t="s">
        <v>88</v>
      </c>
      <c r="B22" t="s">
        <v>49</v>
      </c>
      <c r="E22" t="s">
        <v>50</v>
      </c>
      <c r="F22">
        <v>1.5132853681333336</v>
      </c>
      <c r="G22">
        <v>1.5235376265624998</v>
      </c>
      <c r="H22">
        <v>1.5157634135999998</v>
      </c>
      <c r="I22">
        <v>1.6754828281333332</v>
      </c>
      <c r="J22">
        <v>1.6240141885333332</v>
      </c>
      <c r="K22">
        <v>1.7695045454666667</v>
      </c>
      <c r="L22">
        <v>1.6659432363333331</v>
      </c>
      <c r="M22">
        <v>1.7480236331999999</v>
      </c>
      <c r="N22">
        <v>1.7370836329333332</v>
      </c>
      <c r="O22">
        <v>1.8189541340666664</v>
      </c>
      <c r="P22">
        <v>1.8906498013999997</v>
      </c>
      <c r="Q22">
        <v>1.8939730153333332</v>
      </c>
      <c r="R22">
        <v>1.513285368</v>
      </c>
      <c r="S22">
        <v>1.523537626</v>
      </c>
      <c r="T22">
        <v>1.515763414</v>
      </c>
      <c r="U22">
        <v>1.675482828</v>
      </c>
      <c r="V22">
        <v>1.6240141889999999</v>
      </c>
      <c r="W22">
        <v>1.769504545</v>
      </c>
      <c r="X22">
        <v>1.6659432359999999</v>
      </c>
      <c r="Y22">
        <v>1.7480236330000001</v>
      </c>
      <c r="Z22">
        <v>1.7370836329999999</v>
      </c>
      <c r="AA22">
        <v>1.8189541339999999</v>
      </c>
      <c r="AB22">
        <v>1.8906498009999999</v>
      </c>
      <c r="AC22">
        <v>1.893973015</v>
      </c>
    </row>
    <row r="23" spans="1:29" x14ac:dyDescent="0.25">
      <c r="A23" t="s">
        <v>51</v>
      </c>
      <c r="B23" t="s">
        <v>52</v>
      </c>
      <c r="C23" t="s">
        <v>89</v>
      </c>
      <c r="D23" t="s">
        <v>90</v>
      </c>
      <c r="E23" t="s">
        <v>55</v>
      </c>
      <c r="F23">
        <v>1.2487545819999999</v>
      </c>
      <c r="G23">
        <v>1.2849988139999999</v>
      </c>
      <c r="H23">
        <v>1.285967342</v>
      </c>
      <c r="I23">
        <v>1.223148114</v>
      </c>
      <c r="J23">
        <v>1.2348909379999999</v>
      </c>
      <c r="K23">
        <v>1.217527037</v>
      </c>
      <c r="L23">
        <v>0.991061148</v>
      </c>
      <c r="M23">
        <v>0.93354983800000002</v>
      </c>
      <c r="N23">
        <v>0.92114390099999999</v>
      </c>
      <c r="O23">
        <v>0.87837921100000005</v>
      </c>
      <c r="P23">
        <v>0.88546803299999999</v>
      </c>
      <c r="Q23">
        <v>0.85852993</v>
      </c>
      <c r="R23">
        <v>1.2487545819999999</v>
      </c>
      <c r="S23">
        <v>1.2849988139999999</v>
      </c>
      <c r="T23">
        <v>1.285967342</v>
      </c>
      <c r="U23">
        <v>1.223148114</v>
      </c>
      <c r="V23">
        <v>1.2348909379999999</v>
      </c>
      <c r="W23">
        <v>1.217527037</v>
      </c>
      <c r="X23">
        <v>0.991061148</v>
      </c>
      <c r="Y23">
        <v>0.93354983800000002</v>
      </c>
      <c r="Z23">
        <v>0.92114390099999999</v>
      </c>
      <c r="AA23">
        <v>0.87837921100000005</v>
      </c>
      <c r="AB23">
        <v>0.88546803299999999</v>
      </c>
      <c r="AC23">
        <v>0.85852993</v>
      </c>
    </row>
    <row r="24" spans="1:29" x14ac:dyDescent="0.25">
      <c r="A24" t="s">
        <v>56</v>
      </c>
      <c r="B24" t="s">
        <v>57</v>
      </c>
      <c r="C24" t="s">
        <v>89</v>
      </c>
      <c r="D24" t="s">
        <v>90</v>
      </c>
      <c r="E24" t="s">
        <v>55</v>
      </c>
      <c r="F24">
        <v>0.96885485199999999</v>
      </c>
      <c r="G24">
        <v>1.1731615479999999</v>
      </c>
      <c r="H24">
        <v>1.2082571010000001</v>
      </c>
      <c r="I24">
        <v>1.1923623109999999</v>
      </c>
      <c r="J24">
        <v>1.0008116090000001</v>
      </c>
      <c r="K24">
        <v>1.15207777</v>
      </c>
      <c r="L24">
        <v>0.94730635799999996</v>
      </c>
      <c r="M24">
        <v>0.98146663899999997</v>
      </c>
      <c r="N24">
        <v>0.99956126300000003</v>
      </c>
      <c r="O24">
        <v>1.348593267</v>
      </c>
      <c r="P24">
        <v>1.3768587809999999</v>
      </c>
      <c r="Q24">
        <v>1.4284499509999999</v>
      </c>
      <c r="R24">
        <v>0.96885485199999999</v>
      </c>
      <c r="S24">
        <v>1.1731615479999999</v>
      </c>
      <c r="T24">
        <v>1.2082571010000001</v>
      </c>
      <c r="U24">
        <v>1.1923623109999999</v>
      </c>
      <c r="V24">
        <v>1.0008116090000001</v>
      </c>
      <c r="W24">
        <v>1.15207777</v>
      </c>
      <c r="X24">
        <v>0.94730635799999996</v>
      </c>
      <c r="Y24">
        <v>0.98146663899999997</v>
      </c>
      <c r="Z24">
        <v>0.99956126300000003</v>
      </c>
      <c r="AA24">
        <v>1.348593267</v>
      </c>
      <c r="AB24">
        <v>1.3768587809999999</v>
      </c>
      <c r="AC24">
        <v>1.4284499509999999</v>
      </c>
    </row>
    <row r="25" spans="1:29" x14ac:dyDescent="0.25">
      <c r="A25" t="s">
        <v>58</v>
      </c>
      <c r="B25" t="s">
        <v>59</v>
      </c>
      <c r="C25" t="s">
        <v>89</v>
      </c>
      <c r="D25" t="s">
        <v>90</v>
      </c>
      <c r="E25" t="s">
        <v>55</v>
      </c>
      <c r="F25" t="s">
        <v>46</v>
      </c>
      <c r="G25" t="s">
        <v>46</v>
      </c>
      <c r="H25" t="s">
        <v>46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</row>
    <row r="26" spans="1:29" x14ac:dyDescent="0.25">
      <c r="A26" t="s">
        <v>60</v>
      </c>
      <c r="B26" t="s">
        <v>61</v>
      </c>
      <c r="C26" t="s">
        <v>89</v>
      </c>
      <c r="D26" t="s">
        <v>90</v>
      </c>
      <c r="E26" t="s">
        <v>55</v>
      </c>
      <c r="F26" t="s">
        <v>46</v>
      </c>
      <c r="G26">
        <v>0.93652343800000004</v>
      </c>
      <c r="H26" t="s">
        <v>46</v>
      </c>
      <c r="I26" t="s">
        <v>46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>
        <v>0.93652343800000004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</row>
    <row r="27" spans="1:29" x14ac:dyDescent="0.25">
      <c r="A27" t="s">
        <v>62</v>
      </c>
      <c r="B27" t="s">
        <v>63</v>
      </c>
      <c r="C27" t="s">
        <v>89</v>
      </c>
      <c r="D27" t="s">
        <v>90</v>
      </c>
      <c r="E27" t="s">
        <v>55</v>
      </c>
      <c r="F27">
        <v>0.51987831100000004</v>
      </c>
      <c r="G27">
        <v>0.505156681</v>
      </c>
      <c r="H27">
        <v>0.41383775900000003</v>
      </c>
      <c r="I27">
        <v>0.54789697400000004</v>
      </c>
      <c r="J27">
        <v>0.639575271</v>
      </c>
      <c r="K27">
        <v>0.59092982800000005</v>
      </c>
      <c r="L27">
        <v>0.42019324499999999</v>
      </c>
      <c r="M27">
        <v>5.2731338000000003E-2</v>
      </c>
      <c r="N27">
        <v>0.48724634900000002</v>
      </c>
      <c r="O27">
        <v>0.52091852599999999</v>
      </c>
      <c r="P27">
        <v>0.406211989</v>
      </c>
      <c r="Q27">
        <v>0.55618716000000001</v>
      </c>
      <c r="R27">
        <v>0.51987831100000004</v>
      </c>
      <c r="S27">
        <v>0.505156681</v>
      </c>
      <c r="T27">
        <v>0.41383775900000003</v>
      </c>
      <c r="U27">
        <v>0.54789697400000004</v>
      </c>
      <c r="V27">
        <v>0.639575271</v>
      </c>
      <c r="W27">
        <v>0.59092982800000005</v>
      </c>
      <c r="X27">
        <v>0.42019324499999999</v>
      </c>
      <c r="Y27">
        <v>5.2731338000000003E-2</v>
      </c>
      <c r="Z27">
        <v>0.48724634900000002</v>
      </c>
      <c r="AA27">
        <v>0.52091852599999999</v>
      </c>
      <c r="AB27">
        <v>0.406211989</v>
      </c>
      <c r="AC27">
        <v>0.55618716000000001</v>
      </c>
    </row>
    <row r="28" spans="1:29" x14ac:dyDescent="0.25">
      <c r="A28" t="s">
        <v>64</v>
      </c>
      <c r="B28" t="s">
        <v>65</v>
      </c>
      <c r="C28" t="s">
        <v>89</v>
      </c>
      <c r="D28" t="s">
        <v>90</v>
      </c>
      <c r="E28" t="s">
        <v>55</v>
      </c>
      <c r="F28">
        <v>2.6121169919999998</v>
      </c>
      <c r="G28">
        <v>2.2393563529999998</v>
      </c>
      <c r="H28">
        <v>2.2319287430000001</v>
      </c>
      <c r="I28">
        <v>2.2623937679999999</v>
      </c>
      <c r="J28">
        <v>2.5900735290000001</v>
      </c>
      <c r="K28">
        <v>2.8416974169999998</v>
      </c>
      <c r="L28">
        <v>2.9520980319999999</v>
      </c>
      <c r="M28">
        <v>2.9369333860000002</v>
      </c>
      <c r="N28">
        <v>3.230052653</v>
      </c>
      <c r="O28">
        <v>2.7900669250000001</v>
      </c>
      <c r="P28">
        <v>2.923846154</v>
      </c>
      <c r="Q28">
        <v>2.9225672880000002</v>
      </c>
      <c r="R28">
        <v>2.6121169919999998</v>
      </c>
      <c r="S28">
        <v>2.2393563529999998</v>
      </c>
      <c r="T28">
        <v>2.2319287430000001</v>
      </c>
      <c r="U28">
        <v>2.2623937679999999</v>
      </c>
      <c r="V28">
        <v>2.5900735290000001</v>
      </c>
      <c r="W28">
        <v>2.8416974169999998</v>
      </c>
      <c r="X28">
        <v>2.9520980319999999</v>
      </c>
      <c r="Y28">
        <v>2.9369333860000002</v>
      </c>
      <c r="Z28">
        <v>3.230052653</v>
      </c>
      <c r="AA28">
        <v>2.7900669250000001</v>
      </c>
      <c r="AB28">
        <v>2.923846154</v>
      </c>
      <c r="AC28">
        <v>2.9225672880000002</v>
      </c>
    </row>
    <row r="29" spans="1:29" x14ac:dyDescent="0.25">
      <c r="A29" t="s">
        <v>66</v>
      </c>
      <c r="B29" t="s">
        <v>67</v>
      </c>
      <c r="C29" t="s">
        <v>89</v>
      </c>
      <c r="D29" t="s">
        <v>90</v>
      </c>
      <c r="E29" t="s">
        <v>55</v>
      </c>
      <c r="F29">
        <v>1.0606060610000001</v>
      </c>
      <c r="G29">
        <v>0.97536108799999999</v>
      </c>
      <c r="H29">
        <v>0.95102404299999999</v>
      </c>
      <c r="I29">
        <v>0.90386195599999997</v>
      </c>
      <c r="J29">
        <v>0.93444909300000001</v>
      </c>
      <c r="K29">
        <v>1.284878864</v>
      </c>
      <c r="L29">
        <v>1.228617106</v>
      </c>
      <c r="M29">
        <v>1.4645849200000001</v>
      </c>
      <c r="N29">
        <v>1.149199418</v>
      </c>
      <c r="O29">
        <v>1.2960526320000001</v>
      </c>
      <c r="P29">
        <v>1.5477759470000001</v>
      </c>
      <c r="Q29">
        <v>1.4207920789999999</v>
      </c>
      <c r="R29">
        <v>1.0606060610000001</v>
      </c>
      <c r="S29">
        <v>0.97536108799999999</v>
      </c>
      <c r="T29">
        <v>0.95102404299999999</v>
      </c>
      <c r="U29">
        <v>0.90386195599999997</v>
      </c>
      <c r="V29">
        <v>0.93444909300000001</v>
      </c>
      <c r="W29">
        <v>1.284878864</v>
      </c>
      <c r="X29">
        <v>1.228617106</v>
      </c>
      <c r="Y29">
        <v>1.4645849200000001</v>
      </c>
      <c r="Z29">
        <v>1.149199418</v>
      </c>
      <c r="AA29">
        <v>1.2960526320000001</v>
      </c>
      <c r="AB29">
        <v>1.5477759470000001</v>
      </c>
      <c r="AC29">
        <v>1.4207920789999999</v>
      </c>
    </row>
    <row r="30" spans="1:29" x14ac:dyDescent="0.25">
      <c r="A30" t="s">
        <v>68</v>
      </c>
      <c r="B30" t="s">
        <v>69</v>
      </c>
      <c r="C30" t="s">
        <v>89</v>
      </c>
      <c r="D30" t="s">
        <v>90</v>
      </c>
      <c r="E30" t="s">
        <v>55</v>
      </c>
      <c r="F30">
        <v>0.73122229299999997</v>
      </c>
      <c r="G30">
        <v>0.81728142100000001</v>
      </c>
      <c r="H30">
        <v>0.834744818</v>
      </c>
      <c r="I30">
        <v>0.76054829700000004</v>
      </c>
      <c r="J30">
        <v>0.57198772899999994</v>
      </c>
      <c r="K30">
        <v>0.88840647699999997</v>
      </c>
      <c r="L30">
        <v>0.90533239399999998</v>
      </c>
      <c r="M30">
        <v>0.84281726400000001</v>
      </c>
      <c r="N30">
        <v>0.57886723500000004</v>
      </c>
      <c r="O30">
        <v>0.88576468100000005</v>
      </c>
      <c r="P30">
        <v>0.88449719199999999</v>
      </c>
      <c r="Q30">
        <v>1.0249660119999999</v>
      </c>
      <c r="R30">
        <v>0.73122229299999997</v>
      </c>
      <c r="S30">
        <v>0.81728142100000001</v>
      </c>
      <c r="T30">
        <v>0.834744818</v>
      </c>
      <c r="U30">
        <v>0.76054829700000004</v>
      </c>
      <c r="V30">
        <v>0.57198772899999994</v>
      </c>
      <c r="W30">
        <v>0.88840647699999997</v>
      </c>
      <c r="X30">
        <v>0.90533239399999998</v>
      </c>
      <c r="Y30">
        <v>0.84281726400000001</v>
      </c>
      <c r="Z30">
        <v>0.57886723500000004</v>
      </c>
      <c r="AA30">
        <v>0.88576468100000005</v>
      </c>
      <c r="AB30">
        <v>0.88449719199999999</v>
      </c>
      <c r="AC30">
        <v>1.0249660119999999</v>
      </c>
    </row>
    <row r="31" spans="1:29" x14ac:dyDescent="0.25">
      <c r="A31" t="s">
        <v>70</v>
      </c>
      <c r="B31" t="s">
        <v>71</v>
      </c>
      <c r="C31" t="s">
        <v>89</v>
      </c>
      <c r="D31" t="s">
        <v>90</v>
      </c>
      <c r="E31" t="s">
        <v>55</v>
      </c>
      <c r="F31">
        <v>3.7474243619999998</v>
      </c>
      <c r="G31">
        <v>3.7066169100000002</v>
      </c>
      <c r="H31">
        <v>3.8281471730000001</v>
      </c>
      <c r="I31">
        <v>4.112881217</v>
      </c>
      <c r="J31">
        <v>3.7857739430000001</v>
      </c>
      <c r="K31">
        <v>4.0644106999999998</v>
      </c>
      <c r="L31">
        <v>4.3778380160000001</v>
      </c>
      <c r="M31">
        <v>4.7796550370000004</v>
      </c>
      <c r="N31">
        <v>4.4364452940000003</v>
      </c>
      <c r="O31">
        <v>4.6871750099999998</v>
      </c>
      <c r="P31">
        <v>4.6709857599999998</v>
      </c>
      <c r="Q31">
        <v>5.0051758560000001</v>
      </c>
      <c r="R31">
        <v>3.7474243619999998</v>
      </c>
      <c r="S31">
        <v>3.7066169100000002</v>
      </c>
      <c r="T31">
        <v>3.8281471730000001</v>
      </c>
      <c r="U31">
        <v>4.112881217</v>
      </c>
      <c r="V31">
        <v>3.7857739430000001</v>
      </c>
      <c r="W31">
        <v>4.0644106999999998</v>
      </c>
      <c r="X31">
        <v>4.3778380160000001</v>
      </c>
      <c r="Y31">
        <v>4.7796550370000004</v>
      </c>
      <c r="Z31">
        <v>4.4364452940000003</v>
      </c>
      <c r="AA31">
        <v>4.6871750099999998</v>
      </c>
      <c r="AB31">
        <v>4.6709857599999998</v>
      </c>
      <c r="AC31">
        <v>5.0051758560000001</v>
      </c>
    </row>
    <row r="32" spans="1:29" x14ac:dyDescent="0.25">
      <c r="A32" t="s">
        <v>72</v>
      </c>
      <c r="B32" t="s">
        <v>73</v>
      </c>
      <c r="C32" t="s">
        <v>89</v>
      </c>
      <c r="D32" t="s">
        <v>90</v>
      </c>
      <c r="E32" t="s">
        <v>55</v>
      </c>
      <c r="F32">
        <v>1.3903599040000001</v>
      </c>
      <c r="G32">
        <v>1.5176162449999999</v>
      </c>
      <c r="H32">
        <v>1.2404730719999999</v>
      </c>
      <c r="I32">
        <v>1.230753894</v>
      </c>
      <c r="J32">
        <v>1.150811292</v>
      </c>
      <c r="K32">
        <v>1.1703021170000001</v>
      </c>
      <c r="L32">
        <v>1.104441818</v>
      </c>
      <c r="M32">
        <v>1.261155429</v>
      </c>
      <c r="N32">
        <v>1.293968021</v>
      </c>
      <c r="O32">
        <v>1.427725135</v>
      </c>
      <c r="P32">
        <v>1.3493809779999999</v>
      </c>
      <c r="Q32">
        <v>1.4079739469999999</v>
      </c>
      <c r="R32">
        <v>1.3903599040000001</v>
      </c>
      <c r="S32">
        <v>1.5176162449999999</v>
      </c>
      <c r="T32">
        <v>1.2404730719999999</v>
      </c>
      <c r="U32">
        <v>1.230753894</v>
      </c>
      <c r="V32">
        <v>1.150811292</v>
      </c>
      <c r="W32">
        <v>1.1703021170000001</v>
      </c>
      <c r="X32">
        <v>1.104441818</v>
      </c>
      <c r="Y32">
        <v>1.261155429</v>
      </c>
      <c r="Z32">
        <v>1.293968021</v>
      </c>
      <c r="AA32">
        <v>1.427725135</v>
      </c>
      <c r="AB32">
        <v>1.3493809779999999</v>
      </c>
      <c r="AC32">
        <v>1.4079739469999999</v>
      </c>
    </row>
    <row r="33" spans="1:29" x14ac:dyDescent="0.25">
      <c r="A33" t="s">
        <v>74</v>
      </c>
      <c r="B33" t="s">
        <v>75</v>
      </c>
      <c r="C33" t="s">
        <v>89</v>
      </c>
      <c r="D33" t="s">
        <v>90</v>
      </c>
      <c r="E33" t="s">
        <v>55</v>
      </c>
      <c r="F33">
        <v>1.24639615</v>
      </c>
      <c r="G33">
        <v>1.280046378</v>
      </c>
      <c r="H33">
        <v>1.0726830300000001</v>
      </c>
      <c r="I33">
        <v>2.0719866069999999</v>
      </c>
      <c r="J33">
        <v>1.8839742690000001</v>
      </c>
      <c r="K33">
        <v>1.969155089</v>
      </c>
      <c r="L33">
        <v>1.816180269</v>
      </c>
      <c r="M33">
        <v>1.8715486189999999</v>
      </c>
      <c r="N33">
        <v>1.5839517169999999</v>
      </c>
      <c r="O33">
        <v>1.802334681</v>
      </c>
      <c r="P33">
        <v>1.738915655</v>
      </c>
      <c r="Q33">
        <v>1.824259734</v>
      </c>
      <c r="R33">
        <v>1.24639615</v>
      </c>
      <c r="S33">
        <v>1.280046378</v>
      </c>
      <c r="T33">
        <v>1.0726830300000001</v>
      </c>
      <c r="U33">
        <v>2.0719866069999999</v>
      </c>
      <c r="V33">
        <v>1.8839742690000001</v>
      </c>
      <c r="W33">
        <v>1.969155089</v>
      </c>
      <c r="X33">
        <v>1.816180269</v>
      </c>
      <c r="Y33">
        <v>1.8715486189999999</v>
      </c>
      <c r="Z33">
        <v>1.5839517169999999</v>
      </c>
      <c r="AA33">
        <v>1.802334681</v>
      </c>
      <c r="AB33">
        <v>1.738915655</v>
      </c>
      <c r="AC33">
        <v>1.824259734</v>
      </c>
    </row>
    <row r="34" spans="1:29" x14ac:dyDescent="0.25">
      <c r="A34" t="s">
        <v>76</v>
      </c>
      <c r="B34" t="s">
        <v>77</v>
      </c>
      <c r="C34" t="s">
        <v>89</v>
      </c>
      <c r="D34" t="s">
        <v>90</v>
      </c>
      <c r="E34" t="s">
        <v>55</v>
      </c>
      <c r="F34">
        <v>0.44389715800000001</v>
      </c>
      <c r="G34">
        <v>1.0091132389999999</v>
      </c>
      <c r="H34">
        <v>0.435705224</v>
      </c>
      <c r="I34">
        <v>1.048172839</v>
      </c>
      <c r="J34">
        <v>0.48299671999999999</v>
      </c>
      <c r="K34">
        <v>1.041017898</v>
      </c>
      <c r="L34">
        <v>0.47051078099999999</v>
      </c>
      <c r="M34">
        <v>1.0024260469999999</v>
      </c>
      <c r="N34">
        <v>0.38517761299999997</v>
      </c>
      <c r="O34">
        <v>0.97021997299999996</v>
      </c>
      <c r="P34">
        <v>1.159451496</v>
      </c>
      <c r="Q34">
        <v>1.080401851</v>
      </c>
      <c r="R34">
        <v>0.44389715800000001</v>
      </c>
      <c r="S34">
        <v>1.0091132389999999</v>
      </c>
      <c r="T34">
        <v>0.435705224</v>
      </c>
      <c r="U34">
        <v>1.048172839</v>
      </c>
      <c r="V34">
        <v>0.48299671999999999</v>
      </c>
      <c r="W34">
        <v>1.041017898</v>
      </c>
      <c r="X34">
        <v>0.47051078099999999</v>
      </c>
      <c r="Y34">
        <v>1.0024260469999999</v>
      </c>
      <c r="Z34">
        <v>0.38517761299999997</v>
      </c>
      <c r="AA34">
        <v>0.97021997299999996</v>
      </c>
      <c r="AB34">
        <v>1.159451496</v>
      </c>
      <c r="AC34">
        <v>1.080401851</v>
      </c>
    </row>
    <row r="35" spans="1:29" x14ac:dyDescent="0.25">
      <c r="A35" t="s">
        <v>78</v>
      </c>
      <c r="B35" t="s">
        <v>79</v>
      </c>
      <c r="C35" t="s">
        <v>89</v>
      </c>
      <c r="D35" t="s">
        <v>90</v>
      </c>
      <c r="E35" t="s">
        <v>55</v>
      </c>
      <c r="F35">
        <v>2.0037878789999999</v>
      </c>
      <c r="G35">
        <v>1.920761886</v>
      </c>
      <c r="H35">
        <v>1.8763208579999999</v>
      </c>
      <c r="I35">
        <v>1.540888926</v>
      </c>
      <c r="J35">
        <v>2.20098723</v>
      </c>
      <c r="K35">
        <v>2.4488240550000002</v>
      </c>
      <c r="L35">
        <v>2.5458689460000001</v>
      </c>
      <c r="M35">
        <v>2.2427119869999999</v>
      </c>
      <c r="N35">
        <v>2.7909961010000002</v>
      </c>
      <c r="O35">
        <v>2.5771692750000001</v>
      </c>
      <c r="P35">
        <v>3.0966679340000001</v>
      </c>
      <c r="Q35">
        <v>2.8221758609999998</v>
      </c>
      <c r="R35">
        <v>2.0037878789999999</v>
      </c>
      <c r="S35">
        <v>1.920761886</v>
      </c>
      <c r="T35">
        <v>1.8763208579999999</v>
      </c>
      <c r="U35">
        <v>1.540888926</v>
      </c>
      <c r="V35">
        <v>2.20098723</v>
      </c>
      <c r="W35">
        <v>2.4488240550000002</v>
      </c>
      <c r="X35">
        <v>2.5458689460000001</v>
      </c>
      <c r="Y35">
        <v>2.2427119869999999</v>
      </c>
      <c r="Z35">
        <v>2.7909961010000002</v>
      </c>
      <c r="AA35">
        <v>2.5771692750000001</v>
      </c>
      <c r="AB35">
        <v>3.0966679340000001</v>
      </c>
      <c r="AC35">
        <v>2.8221758609999998</v>
      </c>
    </row>
    <row r="36" spans="1:29" x14ac:dyDescent="0.25">
      <c r="A36" t="s">
        <v>80</v>
      </c>
      <c r="B36" t="s">
        <v>81</v>
      </c>
      <c r="C36" t="s">
        <v>89</v>
      </c>
      <c r="D36" t="s">
        <v>90</v>
      </c>
      <c r="E36" t="s">
        <v>55</v>
      </c>
      <c r="F36">
        <v>0.76016030300000004</v>
      </c>
      <c r="G36">
        <v>0.82040264200000002</v>
      </c>
      <c r="H36">
        <v>0.85276336100000005</v>
      </c>
      <c r="I36">
        <v>1.6346721449999999</v>
      </c>
      <c r="J36">
        <v>1.1648787009999999</v>
      </c>
      <c r="K36">
        <v>1.0939126800000001</v>
      </c>
      <c r="L36">
        <v>1.1084406060000001</v>
      </c>
      <c r="M36">
        <v>1.0992043339999999</v>
      </c>
      <c r="N36">
        <v>1.1436207430000001</v>
      </c>
      <c r="O36">
        <v>1.157000241</v>
      </c>
      <c r="P36">
        <v>1.1898602389999999</v>
      </c>
      <c r="Q36">
        <v>1.063754657</v>
      </c>
      <c r="R36">
        <v>0.76016030300000004</v>
      </c>
      <c r="S36">
        <v>0.82040264200000002</v>
      </c>
      <c r="T36">
        <v>0.85276336100000005</v>
      </c>
      <c r="U36">
        <v>1.6346721449999999</v>
      </c>
      <c r="V36">
        <v>1.1648787009999999</v>
      </c>
      <c r="W36">
        <v>1.0939126800000001</v>
      </c>
      <c r="X36">
        <v>1.1084406060000001</v>
      </c>
      <c r="Y36">
        <v>1.0992043339999999</v>
      </c>
      <c r="Z36">
        <v>1.1436207430000001</v>
      </c>
      <c r="AA36">
        <v>1.157000241</v>
      </c>
      <c r="AB36">
        <v>1.1898602389999999</v>
      </c>
      <c r="AC36">
        <v>1.063754657</v>
      </c>
    </row>
    <row r="37" spans="1:29" x14ac:dyDescent="0.25">
      <c r="A37" t="s">
        <v>82</v>
      </c>
      <c r="B37" t="s">
        <v>83</v>
      </c>
      <c r="C37" t="s">
        <v>89</v>
      </c>
      <c r="D37" t="s">
        <v>90</v>
      </c>
      <c r="E37" t="s">
        <v>55</v>
      </c>
      <c r="F37">
        <v>2.4435698449999999</v>
      </c>
      <c r="G37">
        <v>2.650024062</v>
      </c>
      <c r="H37">
        <v>3.1084312079999998</v>
      </c>
      <c r="I37">
        <v>2.8882104659999999</v>
      </c>
      <c r="J37">
        <v>3.1284640459999999</v>
      </c>
      <c r="K37">
        <v>2.9952250380000001</v>
      </c>
      <c r="L37">
        <v>2.7716325899999998</v>
      </c>
      <c r="M37">
        <v>3.1618703300000002</v>
      </c>
      <c r="N37">
        <v>3.7911711910000001</v>
      </c>
      <c r="O37">
        <v>3.7718050230000002</v>
      </c>
      <c r="P37">
        <v>3.570483367</v>
      </c>
      <c r="Q37">
        <v>3.607149937</v>
      </c>
      <c r="R37">
        <v>2.4435698449999999</v>
      </c>
      <c r="S37">
        <v>2.650024062</v>
      </c>
      <c r="T37">
        <v>3.1084312079999998</v>
      </c>
      <c r="U37">
        <v>2.8882104659999999</v>
      </c>
      <c r="V37">
        <v>3.1284640459999999</v>
      </c>
      <c r="W37">
        <v>2.9952250380000001</v>
      </c>
      <c r="X37">
        <v>2.7716325899999998</v>
      </c>
      <c r="Y37">
        <v>3.1618703300000002</v>
      </c>
      <c r="Z37">
        <v>3.7911711910000001</v>
      </c>
      <c r="AA37">
        <v>3.7718050230000002</v>
      </c>
      <c r="AB37">
        <v>3.570483367</v>
      </c>
      <c r="AC37">
        <v>3.607149937</v>
      </c>
    </row>
    <row r="38" spans="1:29" x14ac:dyDescent="0.25">
      <c r="A38" t="s">
        <v>84</v>
      </c>
      <c r="B38" t="s">
        <v>85</v>
      </c>
      <c r="C38" t="s">
        <v>89</v>
      </c>
      <c r="D38" t="s">
        <v>90</v>
      </c>
      <c r="E38" t="s">
        <v>55</v>
      </c>
      <c r="F38">
        <v>1.495347078</v>
      </c>
      <c r="G38">
        <v>1.4483330029999999</v>
      </c>
      <c r="H38">
        <v>1.4044961359999999</v>
      </c>
      <c r="I38">
        <v>1.408351336</v>
      </c>
      <c r="J38">
        <v>1.3524512179999999</v>
      </c>
      <c r="K38">
        <v>1.428480338</v>
      </c>
      <c r="L38">
        <v>1.273807554</v>
      </c>
      <c r="M38">
        <v>1.4833943190000001</v>
      </c>
      <c r="N38">
        <v>1.4147544030000001</v>
      </c>
      <c r="O38">
        <v>1.4096705869999999</v>
      </c>
      <c r="P38">
        <v>1.420948589</v>
      </c>
      <c r="Q38">
        <v>1.381684973</v>
      </c>
      <c r="R38">
        <v>1.495347078</v>
      </c>
      <c r="S38">
        <v>1.4483330029999999</v>
      </c>
      <c r="T38">
        <v>1.4044961359999999</v>
      </c>
      <c r="U38">
        <v>1.408351336</v>
      </c>
      <c r="V38">
        <v>1.3524512179999999</v>
      </c>
      <c r="W38">
        <v>1.428480338</v>
      </c>
      <c r="X38">
        <v>1.273807554</v>
      </c>
      <c r="Y38">
        <v>1.4833943190000001</v>
      </c>
      <c r="Z38">
        <v>1.4147544030000001</v>
      </c>
      <c r="AA38">
        <v>1.4096705869999999</v>
      </c>
      <c r="AB38">
        <v>1.420948589</v>
      </c>
      <c r="AC38">
        <v>1.381684973</v>
      </c>
    </row>
    <row r="39" spans="1:29" x14ac:dyDescent="0.25">
      <c r="A39" t="s">
        <v>86</v>
      </c>
      <c r="B39" t="s">
        <v>87</v>
      </c>
      <c r="C39" t="s">
        <v>89</v>
      </c>
      <c r="D39" t="s">
        <v>90</v>
      </c>
      <c r="E39" t="s">
        <v>55</v>
      </c>
      <c r="F39">
        <v>2.0269047520000001</v>
      </c>
      <c r="G39">
        <v>2.0918483170000002</v>
      </c>
      <c r="H39">
        <v>1.991671336</v>
      </c>
      <c r="I39">
        <v>2.3061135720000001</v>
      </c>
      <c r="J39">
        <v>2.23808724</v>
      </c>
      <c r="K39">
        <v>2.355722874</v>
      </c>
      <c r="L39">
        <v>2.0758196820000001</v>
      </c>
      <c r="M39">
        <v>2.1063050109999999</v>
      </c>
      <c r="N39">
        <v>1.8500985919999999</v>
      </c>
      <c r="O39">
        <v>1.7614368439999999</v>
      </c>
      <c r="P39">
        <v>2.1383949069999999</v>
      </c>
      <c r="Q39">
        <v>2.0055259940000001</v>
      </c>
      <c r="R39">
        <v>2.0269047520000001</v>
      </c>
      <c r="S39">
        <v>2.0918483170000002</v>
      </c>
      <c r="T39">
        <v>1.991671336</v>
      </c>
      <c r="U39">
        <v>2.3061135720000001</v>
      </c>
      <c r="V39">
        <v>2.23808724</v>
      </c>
      <c r="W39">
        <v>2.355722874</v>
      </c>
      <c r="X39">
        <v>2.0758196820000001</v>
      </c>
      <c r="Y39">
        <v>2.1063050109999999</v>
      </c>
      <c r="Z39">
        <v>1.8500985919999999</v>
      </c>
      <c r="AA39">
        <v>1.7614368439999999</v>
      </c>
      <c r="AB39">
        <v>2.1383949069999999</v>
      </c>
      <c r="AC39">
        <v>2.0055259940000001</v>
      </c>
    </row>
    <row r="40" spans="1:29" x14ac:dyDescent="0.25">
      <c r="A40" t="s">
        <v>91</v>
      </c>
      <c r="B40" t="s">
        <v>49</v>
      </c>
      <c r="E40" t="s">
        <v>50</v>
      </c>
      <c r="F40">
        <v>1.9378423554666664</v>
      </c>
      <c r="G40">
        <v>1.8749159817499998</v>
      </c>
      <c r="H40">
        <v>1.983575180133333</v>
      </c>
      <c r="I40">
        <v>2.0822920179333333</v>
      </c>
      <c r="J40">
        <v>2.0957559264000003</v>
      </c>
      <c r="K40">
        <v>2.1725120379333331</v>
      </c>
      <c r="L40">
        <v>2.1387585617333333</v>
      </c>
      <c r="M40">
        <v>2.2435002324000006</v>
      </c>
      <c r="N40">
        <v>2.2948624799333337</v>
      </c>
      <c r="O40">
        <v>2.2568276800000002</v>
      </c>
      <c r="P40">
        <v>2.3193315231999998</v>
      </c>
      <c r="Q40">
        <v>2.3338728808666662</v>
      </c>
      <c r="R40">
        <v>1.937842356</v>
      </c>
      <c r="S40">
        <v>1.8749159820000001</v>
      </c>
      <c r="T40">
        <v>1.9835751800000001</v>
      </c>
      <c r="U40">
        <v>2.082292018</v>
      </c>
      <c r="V40">
        <v>2.0957559259999998</v>
      </c>
      <c r="W40">
        <v>2.1725120379999998</v>
      </c>
      <c r="X40">
        <v>2.138758562</v>
      </c>
      <c r="Y40">
        <v>2.2435002320000001</v>
      </c>
      <c r="Z40">
        <v>2.2948624799999999</v>
      </c>
      <c r="AA40">
        <v>2.2568276799999998</v>
      </c>
      <c r="AB40">
        <v>2.3193315229999998</v>
      </c>
      <c r="AC40">
        <v>2.333872881</v>
      </c>
    </row>
    <row r="41" spans="1:29" x14ac:dyDescent="0.25">
      <c r="A41" t="s">
        <v>51</v>
      </c>
      <c r="B41" t="s">
        <v>52</v>
      </c>
      <c r="C41" t="s">
        <v>92</v>
      </c>
      <c r="D41" t="s">
        <v>93</v>
      </c>
      <c r="E41" t="s">
        <v>55</v>
      </c>
      <c r="F41">
        <v>1.37823213</v>
      </c>
      <c r="G41">
        <v>1.3934757980000001</v>
      </c>
      <c r="H41">
        <v>1.396740758</v>
      </c>
      <c r="I41">
        <v>1.3401892929999999</v>
      </c>
      <c r="J41">
        <v>1.3536778229999999</v>
      </c>
      <c r="K41">
        <v>1.3305780519999999</v>
      </c>
      <c r="L41">
        <v>1.3382478550000001</v>
      </c>
      <c r="M41">
        <v>1.2913328129999999</v>
      </c>
      <c r="N41">
        <v>1.311385931</v>
      </c>
      <c r="O41">
        <v>1.247471212</v>
      </c>
      <c r="P41">
        <v>1.2313665970000001</v>
      </c>
      <c r="Q41">
        <v>1.224091891</v>
      </c>
      <c r="R41">
        <v>1.37823213</v>
      </c>
      <c r="S41">
        <v>1.3934757980000001</v>
      </c>
      <c r="T41">
        <v>1.396740758</v>
      </c>
      <c r="U41">
        <v>1.3401892929999999</v>
      </c>
      <c r="V41">
        <v>1.3536778229999999</v>
      </c>
      <c r="W41">
        <v>1.3305780519999999</v>
      </c>
      <c r="X41">
        <v>1.3382478550000001</v>
      </c>
      <c r="Y41">
        <v>1.2913328129999999</v>
      </c>
      <c r="Z41">
        <v>1.311385931</v>
      </c>
      <c r="AA41">
        <v>1.247471212</v>
      </c>
      <c r="AB41">
        <v>1.2313665970000001</v>
      </c>
      <c r="AC41">
        <v>1.224091891</v>
      </c>
    </row>
    <row r="42" spans="1:29" x14ac:dyDescent="0.25">
      <c r="A42" t="s">
        <v>56</v>
      </c>
      <c r="B42" t="s">
        <v>57</v>
      </c>
      <c r="C42" t="s">
        <v>92</v>
      </c>
      <c r="D42" t="s">
        <v>93</v>
      </c>
      <c r="E42" t="s">
        <v>55</v>
      </c>
      <c r="F42">
        <v>1.245368086</v>
      </c>
      <c r="G42">
        <v>1.3492651870000001</v>
      </c>
      <c r="H42">
        <v>1.3871449499999999</v>
      </c>
      <c r="I42">
        <v>1.3915494820000001</v>
      </c>
      <c r="J42">
        <v>1.3502285279999999</v>
      </c>
      <c r="K42">
        <v>1.320089472</v>
      </c>
      <c r="L42">
        <v>1.328783118</v>
      </c>
      <c r="M42">
        <v>1.3499393749999999</v>
      </c>
      <c r="N42">
        <v>1.3384689519999999</v>
      </c>
      <c r="O42">
        <v>1.713325574</v>
      </c>
      <c r="P42">
        <v>1.7464452749999999</v>
      </c>
      <c r="Q42">
        <v>1.7712291099999999</v>
      </c>
      <c r="R42">
        <v>1.245368086</v>
      </c>
      <c r="S42">
        <v>1.3492651870000001</v>
      </c>
      <c r="T42">
        <v>1.3871449499999999</v>
      </c>
      <c r="U42">
        <v>1.3915494820000001</v>
      </c>
      <c r="V42">
        <v>1.3502285279999999</v>
      </c>
      <c r="W42">
        <v>1.320089472</v>
      </c>
      <c r="X42">
        <v>1.328783118</v>
      </c>
      <c r="Y42">
        <v>1.3499393749999999</v>
      </c>
      <c r="Z42">
        <v>1.3384689519999999</v>
      </c>
      <c r="AA42">
        <v>1.713325574</v>
      </c>
      <c r="AB42">
        <v>1.7464452749999999</v>
      </c>
      <c r="AC42">
        <v>1.7712291099999999</v>
      </c>
    </row>
    <row r="43" spans="1:29" x14ac:dyDescent="0.25">
      <c r="A43" t="s">
        <v>58</v>
      </c>
      <c r="B43" t="s">
        <v>59</v>
      </c>
      <c r="C43" t="s">
        <v>92</v>
      </c>
      <c r="D43" t="s">
        <v>93</v>
      </c>
      <c r="E43" t="s">
        <v>55</v>
      </c>
      <c r="F43" t="s">
        <v>46</v>
      </c>
      <c r="G43" t="s">
        <v>46</v>
      </c>
      <c r="H43" t="s">
        <v>46</v>
      </c>
      <c r="I43" t="s">
        <v>46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</row>
    <row r="44" spans="1:29" x14ac:dyDescent="0.25">
      <c r="A44" t="s">
        <v>60</v>
      </c>
      <c r="B44" t="s">
        <v>61</v>
      </c>
      <c r="C44" t="s">
        <v>92</v>
      </c>
      <c r="D44" t="s">
        <v>93</v>
      </c>
      <c r="E44" t="s">
        <v>55</v>
      </c>
      <c r="F44" t="s">
        <v>46</v>
      </c>
      <c r="G44">
        <v>1.281835938</v>
      </c>
      <c r="H44" t="s">
        <v>46</v>
      </c>
      <c r="I44" t="s">
        <v>46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46</v>
      </c>
      <c r="Q44" t="s">
        <v>46</v>
      </c>
      <c r="R44" t="s">
        <v>46</v>
      </c>
      <c r="S44">
        <v>1.281835938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</row>
    <row r="45" spans="1:29" x14ac:dyDescent="0.25">
      <c r="A45" t="s">
        <v>62</v>
      </c>
      <c r="B45" t="s">
        <v>63</v>
      </c>
      <c r="C45" t="s">
        <v>92</v>
      </c>
      <c r="D45" t="s">
        <v>93</v>
      </c>
      <c r="E45" t="s">
        <v>55</v>
      </c>
      <c r="F45">
        <v>1.081997434</v>
      </c>
      <c r="G45">
        <v>1.043104303</v>
      </c>
      <c r="H45">
        <v>1.129418891</v>
      </c>
      <c r="I45">
        <v>1.0901579699999999</v>
      </c>
      <c r="J45">
        <v>1.1642292320000001</v>
      </c>
      <c r="K45">
        <v>1.143106328</v>
      </c>
      <c r="L45">
        <v>0.99511646600000003</v>
      </c>
      <c r="M45">
        <v>0.98514581099999998</v>
      </c>
      <c r="N45">
        <v>0.98651973199999998</v>
      </c>
      <c r="O45">
        <v>0.99314343500000002</v>
      </c>
      <c r="P45">
        <v>1.0597690209999999</v>
      </c>
      <c r="Q45">
        <v>1.1384999220000001</v>
      </c>
      <c r="R45">
        <v>1.081997434</v>
      </c>
      <c r="S45">
        <v>1.043104303</v>
      </c>
      <c r="T45">
        <v>1.129418891</v>
      </c>
      <c r="U45">
        <v>1.0901579699999999</v>
      </c>
      <c r="V45">
        <v>1.1642292320000001</v>
      </c>
      <c r="W45">
        <v>1.143106328</v>
      </c>
      <c r="X45">
        <v>0.99511646600000003</v>
      </c>
      <c r="Y45">
        <v>0.98514581099999998</v>
      </c>
      <c r="Z45">
        <v>0.98651973199999998</v>
      </c>
      <c r="AA45">
        <v>0.99314343500000002</v>
      </c>
      <c r="AB45">
        <v>1.0597690209999999</v>
      </c>
      <c r="AC45">
        <v>1.1384999220000001</v>
      </c>
    </row>
    <row r="46" spans="1:29" x14ac:dyDescent="0.25">
      <c r="A46" t="s">
        <v>64</v>
      </c>
      <c r="B46" t="s">
        <v>65</v>
      </c>
      <c r="C46" t="s">
        <v>92</v>
      </c>
      <c r="D46" t="s">
        <v>93</v>
      </c>
      <c r="E46" t="s">
        <v>55</v>
      </c>
      <c r="F46">
        <v>2.89867688</v>
      </c>
      <c r="G46">
        <v>2.5514582629999998</v>
      </c>
      <c r="H46">
        <v>2.5320315180000001</v>
      </c>
      <c r="I46">
        <v>2.551699717</v>
      </c>
      <c r="J46">
        <v>2.8981617649999998</v>
      </c>
      <c r="K46">
        <v>3.1771217709999999</v>
      </c>
      <c r="L46">
        <v>3.24062384</v>
      </c>
      <c r="M46">
        <v>3.2727631060000002</v>
      </c>
      <c r="N46">
        <v>3.6411502630000001</v>
      </c>
      <c r="O46">
        <v>3.209228602</v>
      </c>
      <c r="P46">
        <v>3.2911538459999998</v>
      </c>
      <c r="Q46">
        <v>3.3536231879999998</v>
      </c>
      <c r="R46">
        <v>2.89867688</v>
      </c>
      <c r="S46">
        <v>2.5514582629999998</v>
      </c>
      <c r="T46">
        <v>2.5320315180000001</v>
      </c>
      <c r="U46">
        <v>2.551699717</v>
      </c>
      <c r="V46">
        <v>2.8981617649999998</v>
      </c>
      <c r="W46">
        <v>3.1771217709999999</v>
      </c>
      <c r="X46">
        <v>3.24062384</v>
      </c>
      <c r="Y46">
        <v>3.2727631060000002</v>
      </c>
      <c r="Z46">
        <v>3.6411502630000001</v>
      </c>
      <c r="AA46">
        <v>3.209228602</v>
      </c>
      <c r="AB46">
        <v>3.2911538459999998</v>
      </c>
      <c r="AC46">
        <v>3.3536231879999998</v>
      </c>
    </row>
    <row r="47" spans="1:29" x14ac:dyDescent="0.25">
      <c r="A47" t="s">
        <v>66</v>
      </c>
      <c r="B47" t="s">
        <v>67</v>
      </c>
      <c r="C47" t="s">
        <v>92</v>
      </c>
      <c r="D47" t="s">
        <v>93</v>
      </c>
      <c r="E47" t="s">
        <v>55</v>
      </c>
      <c r="F47">
        <v>1.536656891</v>
      </c>
      <c r="G47">
        <v>1.3474936280000001</v>
      </c>
      <c r="H47">
        <v>1.3766696350000001</v>
      </c>
      <c r="I47">
        <v>1.320460148</v>
      </c>
      <c r="J47">
        <v>1.2768479779999999</v>
      </c>
      <c r="K47">
        <v>1.640768588</v>
      </c>
      <c r="L47">
        <v>1.5931255</v>
      </c>
      <c r="M47">
        <v>2.0266565120000002</v>
      </c>
      <c r="N47">
        <v>1.9068413390000001</v>
      </c>
      <c r="O47">
        <v>1.9809941520000001</v>
      </c>
      <c r="P47">
        <v>1.7397034600000001</v>
      </c>
      <c r="Q47">
        <v>1.6386138610000001</v>
      </c>
      <c r="R47">
        <v>1.536656891</v>
      </c>
      <c r="S47">
        <v>1.3474936280000001</v>
      </c>
      <c r="T47">
        <v>1.3766696350000001</v>
      </c>
      <c r="U47">
        <v>1.320460148</v>
      </c>
      <c r="V47">
        <v>1.2768479779999999</v>
      </c>
      <c r="W47">
        <v>1.640768588</v>
      </c>
      <c r="X47">
        <v>1.5931255</v>
      </c>
      <c r="Y47">
        <v>2.0266565120000002</v>
      </c>
      <c r="Z47">
        <v>1.9068413390000001</v>
      </c>
      <c r="AA47">
        <v>1.9809941520000001</v>
      </c>
      <c r="AB47">
        <v>1.7397034600000001</v>
      </c>
      <c r="AC47">
        <v>1.6386138610000001</v>
      </c>
    </row>
    <row r="48" spans="1:29" x14ac:dyDescent="0.25">
      <c r="A48" t="s">
        <v>68</v>
      </c>
      <c r="B48" t="s">
        <v>69</v>
      </c>
      <c r="C48" t="s">
        <v>92</v>
      </c>
      <c r="D48" t="s">
        <v>93</v>
      </c>
      <c r="E48" t="s">
        <v>55</v>
      </c>
      <c r="F48">
        <v>1.138315389</v>
      </c>
      <c r="G48">
        <v>0.93158014600000005</v>
      </c>
      <c r="H48">
        <v>0.94606641400000002</v>
      </c>
      <c r="I48">
        <v>0.87706146900000004</v>
      </c>
      <c r="J48">
        <v>0.95906061600000003</v>
      </c>
      <c r="K48">
        <v>1</v>
      </c>
      <c r="L48">
        <v>1.035353535</v>
      </c>
      <c r="M48">
        <v>0.94653210200000004</v>
      </c>
      <c r="N48">
        <v>0.97645148199999998</v>
      </c>
      <c r="O48">
        <v>0.987860552</v>
      </c>
      <c r="P48">
        <v>1.000317898</v>
      </c>
      <c r="Q48">
        <v>1.18341367</v>
      </c>
      <c r="R48">
        <v>1.138315389</v>
      </c>
      <c r="S48">
        <v>0.93158014600000005</v>
      </c>
      <c r="T48">
        <v>0.94606641400000002</v>
      </c>
      <c r="U48">
        <v>0.87706146900000004</v>
      </c>
      <c r="V48">
        <v>0.95906061600000003</v>
      </c>
      <c r="W48">
        <v>1</v>
      </c>
      <c r="X48">
        <v>1.035353535</v>
      </c>
      <c r="Y48">
        <v>0.94653210200000004</v>
      </c>
      <c r="Z48">
        <v>0.97645148199999998</v>
      </c>
      <c r="AA48">
        <v>0.987860552</v>
      </c>
      <c r="AB48">
        <v>1.000317898</v>
      </c>
      <c r="AC48">
        <v>1.18341367</v>
      </c>
    </row>
    <row r="49" spans="1:29" x14ac:dyDescent="0.25">
      <c r="A49" t="s">
        <v>70</v>
      </c>
      <c r="B49" t="s">
        <v>71</v>
      </c>
      <c r="C49" t="s">
        <v>92</v>
      </c>
      <c r="D49" t="s">
        <v>93</v>
      </c>
      <c r="E49" t="s">
        <v>55</v>
      </c>
      <c r="F49">
        <v>3.872734838</v>
      </c>
      <c r="G49">
        <v>3.8098426660000002</v>
      </c>
      <c r="H49">
        <v>4.381455678</v>
      </c>
      <c r="I49">
        <v>4.7166433129999996</v>
      </c>
      <c r="J49">
        <v>4.4051549019999996</v>
      </c>
      <c r="K49">
        <v>4.562160188</v>
      </c>
      <c r="L49">
        <v>5.1092305390000003</v>
      </c>
      <c r="M49">
        <v>5.6475020809999998</v>
      </c>
      <c r="N49">
        <v>5.39264513</v>
      </c>
      <c r="O49">
        <v>5.3050169370000004</v>
      </c>
      <c r="P49">
        <v>5.5586851509999997</v>
      </c>
      <c r="Q49">
        <v>6.0549915529999998</v>
      </c>
      <c r="R49">
        <v>3.872734838</v>
      </c>
      <c r="S49">
        <v>3.8098426660000002</v>
      </c>
      <c r="T49">
        <v>4.381455678</v>
      </c>
      <c r="U49">
        <v>4.7166433129999996</v>
      </c>
      <c r="V49">
        <v>4.4051549019999996</v>
      </c>
      <c r="W49">
        <v>4.562160188</v>
      </c>
      <c r="X49">
        <v>5.1092305390000003</v>
      </c>
      <c r="Y49">
        <v>5.6475020809999998</v>
      </c>
      <c r="Z49">
        <v>5.39264513</v>
      </c>
      <c r="AA49">
        <v>5.3050169370000004</v>
      </c>
      <c r="AB49">
        <v>5.5586851509999997</v>
      </c>
      <c r="AC49">
        <v>6.0549915529999998</v>
      </c>
    </row>
    <row r="50" spans="1:29" x14ac:dyDescent="0.25">
      <c r="A50" t="s">
        <v>72</v>
      </c>
      <c r="B50" t="s">
        <v>73</v>
      </c>
      <c r="C50" t="s">
        <v>92</v>
      </c>
      <c r="D50" t="s">
        <v>93</v>
      </c>
      <c r="E50" t="s">
        <v>55</v>
      </c>
      <c r="F50">
        <v>1.5665759589999999</v>
      </c>
      <c r="G50">
        <v>1.704743186</v>
      </c>
      <c r="H50">
        <v>1.462952244</v>
      </c>
      <c r="I50">
        <v>1.455209634</v>
      </c>
      <c r="J50">
        <v>1.3783061750000001</v>
      </c>
      <c r="K50">
        <v>1.3879343900000001</v>
      </c>
      <c r="L50">
        <v>1.3131565009999999</v>
      </c>
      <c r="M50">
        <v>1.516196053</v>
      </c>
      <c r="N50">
        <v>1.522629966</v>
      </c>
      <c r="O50">
        <v>1.7094925510000001</v>
      </c>
      <c r="P50">
        <v>1.645640604</v>
      </c>
      <c r="Q50">
        <v>1.729434031</v>
      </c>
      <c r="R50">
        <v>1.5665759589999999</v>
      </c>
      <c r="S50">
        <v>1.704743186</v>
      </c>
      <c r="T50">
        <v>1.462952244</v>
      </c>
      <c r="U50">
        <v>1.455209634</v>
      </c>
      <c r="V50">
        <v>1.3783061750000001</v>
      </c>
      <c r="W50">
        <v>1.3879343900000001</v>
      </c>
      <c r="X50">
        <v>1.3131565009999999</v>
      </c>
      <c r="Y50">
        <v>1.516196053</v>
      </c>
      <c r="Z50">
        <v>1.522629966</v>
      </c>
      <c r="AA50">
        <v>1.7094925510000001</v>
      </c>
      <c r="AB50">
        <v>1.645640604</v>
      </c>
      <c r="AC50">
        <v>1.729434031</v>
      </c>
    </row>
    <row r="51" spans="1:29" x14ac:dyDescent="0.25">
      <c r="A51" t="s">
        <v>74</v>
      </c>
      <c r="B51" t="s">
        <v>75</v>
      </c>
      <c r="C51" t="s">
        <v>92</v>
      </c>
      <c r="D51" t="s">
        <v>93</v>
      </c>
      <c r="E51" t="s">
        <v>55</v>
      </c>
      <c r="F51">
        <v>1.6230432299999999</v>
      </c>
      <c r="G51">
        <v>1.7269828620000001</v>
      </c>
      <c r="H51">
        <v>1.584356045</v>
      </c>
      <c r="I51">
        <v>2.665798611</v>
      </c>
      <c r="J51">
        <v>2.4239362689999999</v>
      </c>
      <c r="K51">
        <v>2.5671076249999998</v>
      </c>
      <c r="L51">
        <v>2.4616477269999999</v>
      </c>
      <c r="M51">
        <v>2.374423454</v>
      </c>
      <c r="N51">
        <v>2.4298011279999998</v>
      </c>
      <c r="O51">
        <v>2.3360506060000001</v>
      </c>
      <c r="P51">
        <v>2.265658352</v>
      </c>
      <c r="Q51">
        <v>2.3064816970000002</v>
      </c>
      <c r="R51">
        <v>1.6230432299999999</v>
      </c>
      <c r="S51">
        <v>1.7269828620000001</v>
      </c>
      <c r="T51">
        <v>1.584356045</v>
      </c>
      <c r="U51">
        <v>2.665798611</v>
      </c>
      <c r="V51">
        <v>2.4239362689999999</v>
      </c>
      <c r="W51">
        <v>2.5671076249999998</v>
      </c>
      <c r="X51">
        <v>2.4616477269999999</v>
      </c>
      <c r="Y51">
        <v>2.374423454</v>
      </c>
      <c r="Z51">
        <v>2.4298011279999998</v>
      </c>
      <c r="AA51">
        <v>2.3360506060000001</v>
      </c>
      <c r="AB51">
        <v>2.265658352</v>
      </c>
      <c r="AC51">
        <v>2.3064816970000002</v>
      </c>
    </row>
    <row r="52" spans="1:29" x14ac:dyDescent="0.25">
      <c r="A52" t="s">
        <v>76</v>
      </c>
      <c r="B52" t="s">
        <v>77</v>
      </c>
      <c r="C52" t="s">
        <v>92</v>
      </c>
      <c r="D52" t="s">
        <v>93</v>
      </c>
      <c r="E52" t="s">
        <v>55</v>
      </c>
      <c r="F52">
        <v>1.2941271990000001</v>
      </c>
      <c r="G52">
        <v>1.3105704549999999</v>
      </c>
      <c r="H52">
        <v>1.3746972669999999</v>
      </c>
      <c r="I52">
        <v>1.349363176</v>
      </c>
      <c r="J52">
        <v>1.328499914</v>
      </c>
      <c r="K52">
        <v>1.297386565</v>
      </c>
      <c r="L52">
        <v>1.276458002</v>
      </c>
      <c r="M52">
        <v>1.2604124379999999</v>
      </c>
      <c r="N52">
        <v>1.0901098899999999</v>
      </c>
      <c r="O52">
        <v>1.118784196</v>
      </c>
      <c r="P52">
        <v>1.269945603</v>
      </c>
      <c r="Q52">
        <v>1.2254369009999999</v>
      </c>
      <c r="R52">
        <v>1.2941271990000001</v>
      </c>
      <c r="S52">
        <v>1.3105704549999999</v>
      </c>
      <c r="T52">
        <v>1.3746972669999999</v>
      </c>
      <c r="U52">
        <v>1.349363176</v>
      </c>
      <c r="V52">
        <v>1.328499914</v>
      </c>
      <c r="W52">
        <v>1.297386565</v>
      </c>
      <c r="X52">
        <v>1.276458002</v>
      </c>
      <c r="Y52">
        <v>1.2604124379999999</v>
      </c>
      <c r="Z52">
        <v>1.0901098899999999</v>
      </c>
      <c r="AA52">
        <v>1.118784196</v>
      </c>
      <c r="AB52">
        <v>1.269945603</v>
      </c>
      <c r="AC52">
        <v>1.2254369009999999</v>
      </c>
    </row>
    <row r="53" spans="1:29" x14ac:dyDescent="0.25">
      <c r="A53" t="s">
        <v>78</v>
      </c>
      <c r="B53" t="s">
        <v>79</v>
      </c>
      <c r="C53" t="s">
        <v>92</v>
      </c>
      <c r="D53" t="s">
        <v>93</v>
      </c>
      <c r="E53" t="s">
        <v>55</v>
      </c>
      <c r="F53">
        <v>2.6168009209999998</v>
      </c>
      <c r="G53">
        <v>2.5416187570000002</v>
      </c>
      <c r="H53">
        <v>2.5427619589999999</v>
      </c>
      <c r="I53">
        <v>2.0835356159999998</v>
      </c>
      <c r="J53">
        <v>2.8371069860000002</v>
      </c>
      <c r="K53">
        <v>3.0819886869999999</v>
      </c>
      <c r="L53">
        <v>3.303133903</v>
      </c>
      <c r="M53">
        <v>2.9321398329999999</v>
      </c>
      <c r="N53">
        <v>3.5460475009999999</v>
      </c>
      <c r="O53">
        <v>3.2868421049999998</v>
      </c>
      <c r="P53">
        <v>3.689028253</v>
      </c>
      <c r="Q53">
        <v>3.3916671780000001</v>
      </c>
      <c r="R53">
        <v>2.6168009209999998</v>
      </c>
      <c r="S53">
        <v>2.5416187570000002</v>
      </c>
      <c r="T53">
        <v>2.5427619589999999</v>
      </c>
      <c r="U53">
        <v>2.0835356159999998</v>
      </c>
      <c r="V53">
        <v>2.8371069860000002</v>
      </c>
      <c r="W53">
        <v>3.0819886869999999</v>
      </c>
      <c r="X53">
        <v>3.303133903</v>
      </c>
      <c r="Y53">
        <v>2.9321398329999999</v>
      </c>
      <c r="Z53">
        <v>3.5460475009999999</v>
      </c>
      <c r="AA53">
        <v>3.2868421049999998</v>
      </c>
      <c r="AB53">
        <v>3.689028253</v>
      </c>
      <c r="AC53">
        <v>3.3916671780000001</v>
      </c>
    </row>
    <row r="54" spans="1:29" x14ac:dyDescent="0.25">
      <c r="A54" t="s">
        <v>80</v>
      </c>
      <c r="B54" t="s">
        <v>81</v>
      </c>
      <c r="C54" t="s">
        <v>92</v>
      </c>
      <c r="D54" t="s">
        <v>93</v>
      </c>
      <c r="E54" t="s">
        <v>55</v>
      </c>
      <c r="F54">
        <v>0.95717060499999995</v>
      </c>
      <c r="G54">
        <v>1.019071112</v>
      </c>
      <c r="H54">
        <v>1.0871214279999999</v>
      </c>
      <c r="I54">
        <v>1.830346391</v>
      </c>
      <c r="J54">
        <v>1.3558951400000001</v>
      </c>
      <c r="K54">
        <v>1.285635807</v>
      </c>
      <c r="L54">
        <v>1.310548042</v>
      </c>
      <c r="M54">
        <v>1.3203261669999999</v>
      </c>
      <c r="N54">
        <v>1.3746956589999999</v>
      </c>
      <c r="O54">
        <v>1.331129727</v>
      </c>
      <c r="P54">
        <v>1.411553144</v>
      </c>
      <c r="Q54">
        <v>1.2515431239999999</v>
      </c>
      <c r="R54">
        <v>0.95717060499999995</v>
      </c>
      <c r="S54">
        <v>1.019071112</v>
      </c>
      <c r="T54">
        <v>1.0871214279999999</v>
      </c>
      <c r="U54">
        <v>1.830346391</v>
      </c>
      <c r="V54">
        <v>1.3558951400000001</v>
      </c>
      <c r="W54">
        <v>1.285635807</v>
      </c>
      <c r="X54">
        <v>1.310548042</v>
      </c>
      <c r="Y54">
        <v>1.3203261669999999</v>
      </c>
      <c r="Z54">
        <v>1.3746956589999999</v>
      </c>
      <c r="AA54">
        <v>1.331129727</v>
      </c>
      <c r="AB54">
        <v>1.411553144</v>
      </c>
      <c r="AC54">
        <v>1.2515431239999999</v>
      </c>
    </row>
    <row r="55" spans="1:29" x14ac:dyDescent="0.25">
      <c r="A55" t="s">
        <v>82</v>
      </c>
      <c r="B55" t="s">
        <v>83</v>
      </c>
      <c r="C55" t="s">
        <v>92</v>
      </c>
      <c r="D55" t="s">
        <v>93</v>
      </c>
      <c r="E55" t="s">
        <v>55</v>
      </c>
      <c r="F55">
        <v>3.3347006650000002</v>
      </c>
      <c r="G55">
        <v>3.52470324</v>
      </c>
      <c r="H55">
        <v>4.131208054</v>
      </c>
      <c r="I55">
        <v>3.8044092940000001</v>
      </c>
      <c r="J55">
        <v>4.1718438689999999</v>
      </c>
      <c r="K55">
        <v>4.0242530260000002</v>
      </c>
      <c r="L55">
        <v>3.4470217769999998</v>
      </c>
      <c r="M55">
        <v>4.119016631</v>
      </c>
      <c r="N55">
        <v>4.5559793580000001</v>
      </c>
      <c r="O55">
        <v>4.5432388960000001</v>
      </c>
      <c r="P55">
        <v>4.3382956559999997</v>
      </c>
      <c r="Q55">
        <v>4.2875173459999996</v>
      </c>
      <c r="R55">
        <v>3.3347006650000002</v>
      </c>
      <c r="S55">
        <v>3.52470324</v>
      </c>
      <c r="T55">
        <v>4.131208054</v>
      </c>
      <c r="U55">
        <v>3.8044092940000001</v>
      </c>
      <c r="V55">
        <v>4.1718438689999999</v>
      </c>
      <c r="W55">
        <v>4.0242530260000002</v>
      </c>
      <c r="X55">
        <v>3.4470217769999998</v>
      </c>
      <c r="Y55">
        <v>4.119016631</v>
      </c>
      <c r="Z55">
        <v>4.5559793580000001</v>
      </c>
      <c r="AA55">
        <v>4.5432388960000001</v>
      </c>
      <c r="AB55">
        <v>4.3382956559999997</v>
      </c>
      <c r="AC55">
        <v>4.2875173459999996</v>
      </c>
    </row>
    <row r="56" spans="1:29" x14ac:dyDescent="0.25">
      <c r="A56" t="s">
        <v>84</v>
      </c>
      <c r="B56" t="s">
        <v>85</v>
      </c>
      <c r="C56" t="s">
        <v>92</v>
      </c>
      <c r="D56" t="s">
        <v>93</v>
      </c>
      <c r="E56" t="s">
        <v>55</v>
      </c>
      <c r="F56">
        <v>2.1208884490000002</v>
      </c>
      <c r="G56">
        <v>2.011419514</v>
      </c>
      <c r="H56">
        <v>2.0236610659999998</v>
      </c>
      <c r="I56">
        <v>2.045405889</v>
      </c>
      <c r="J56">
        <v>1.8652954610000001</v>
      </c>
      <c r="K56">
        <v>1.977383906</v>
      </c>
      <c r="L56">
        <v>1.822902408</v>
      </c>
      <c r="M56">
        <v>2.0766919549999998</v>
      </c>
      <c r="N56">
        <v>1.9795344969999999</v>
      </c>
      <c r="O56">
        <v>1.93391465</v>
      </c>
      <c r="P56">
        <v>2.0117085430000001</v>
      </c>
      <c r="Q56">
        <v>2.0394770449999999</v>
      </c>
      <c r="R56">
        <v>2.1208884490000002</v>
      </c>
      <c r="S56">
        <v>2.011419514</v>
      </c>
      <c r="T56">
        <v>2.0236610659999998</v>
      </c>
      <c r="U56">
        <v>2.045405889</v>
      </c>
      <c r="V56">
        <v>1.8652954610000001</v>
      </c>
      <c r="W56">
        <v>1.977383906</v>
      </c>
      <c r="X56">
        <v>1.822902408</v>
      </c>
      <c r="Y56">
        <v>2.0766919549999998</v>
      </c>
      <c r="Z56">
        <v>1.9795344969999999</v>
      </c>
      <c r="AA56">
        <v>1.93391465</v>
      </c>
      <c r="AB56">
        <v>2.0117085430000001</v>
      </c>
      <c r="AC56">
        <v>2.0394770449999999</v>
      </c>
    </row>
    <row r="57" spans="1:29" x14ac:dyDescent="0.25">
      <c r="A57" t="s">
        <v>86</v>
      </c>
      <c r="B57" t="s">
        <v>87</v>
      </c>
      <c r="C57" t="s">
        <v>92</v>
      </c>
      <c r="D57" t="s">
        <v>93</v>
      </c>
      <c r="E57" t="s">
        <v>55</v>
      </c>
      <c r="F57">
        <v>2.4023466560000002</v>
      </c>
      <c r="G57">
        <v>2.451490653</v>
      </c>
      <c r="H57">
        <v>2.397341795</v>
      </c>
      <c r="I57">
        <v>2.712550266</v>
      </c>
      <c r="J57">
        <v>2.6680942380000001</v>
      </c>
      <c r="K57">
        <v>2.7921661640000002</v>
      </c>
      <c r="L57">
        <v>2.5060292130000001</v>
      </c>
      <c r="M57">
        <v>2.5334251550000002</v>
      </c>
      <c r="N57">
        <v>2.3706763710000001</v>
      </c>
      <c r="O57">
        <v>2.1559220049999999</v>
      </c>
      <c r="P57">
        <v>2.530701445</v>
      </c>
      <c r="Q57">
        <v>2.4120726960000001</v>
      </c>
      <c r="R57">
        <v>2.4023466560000002</v>
      </c>
      <c r="S57">
        <v>2.451490653</v>
      </c>
      <c r="T57">
        <v>2.397341795</v>
      </c>
      <c r="U57">
        <v>2.712550266</v>
      </c>
      <c r="V57">
        <v>2.6680942380000001</v>
      </c>
      <c r="W57">
        <v>2.7921661640000002</v>
      </c>
      <c r="X57">
        <v>2.5060292130000001</v>
      </c>
      <c r="Y57">
        <v>2.5334251550000002</v>
      </c>
      <c r="Z57">
        <v>2.3706763710000001</v>
      </c>
      <c r="AA57">
        <v>2.1559220049999999</v>
      </c>
      <c r="AB57">
        <v>2.530701445</v>
      </c>
      <c r="AC57">
        <v>2.4120726960000001</v>
      </c>
    </row>
    <row r="58" spans="1:29" x14ac:dyDescent="0.25">
      <c r="A58" t="s">
        <v>94</v>
      </c>
      <c r="B58" t="s">
        <v>46</v>
      </c>
      <c r="E58" t="s">
        <v>50</v>
      </c>
      <c r="F58">
        <v>32.893045374499998</v>
      </c>
      <c r="G58">
        <v>51.761481334300001</v>
      </c>
      <c r="H58">
        <v>42.036963175200007</v>
      </c>
      <c r="I58">
        <v>58.078860307090913</v>
      </c>
      <c r="J58">
        <v>75.454987601499994</v>
      </c>
      <c r="K58">
        <v>117.13399262820001</v>
      </c>
      <c r="L58">
        <v>61.031221338777783</v>
      </c>
      <c r="M58">
        <v>107.0915890428889</v>
      </c>
      <c r="N58">
        <v>122.64611301990909</v>
      </c>
      <c r="O58">
        <v>186.13474840429998</v>
      </c>
      <c r="P58">
        <v>172.28184002133332</v>
      </c>
      <c r="Q58">
        <v>74.594574178000002</v>
      </c>
      <c r="R58">
        <v>32.893045370000003</v>
      </c>
      <c r="S58">
        <v>51.761481340000003</v>
      </c>
      <c r="T58">
        <v>42.03696317</v>
      </c>
      <c r="U58">
        <v>58.078860310000003</v>
      </c>
      <c r="V58">
        <v>75.454987599999995</v>
      </c>
      <c r="W58">
        <v>117.1339926</v>
      </c>
      <c r="X58">
        <v>61.031221330000001</v>
      </c>
      <c r="Y58">
        <v>107.091589</v>
      </c>
      <c r="Z58">
        <v>122.646113</v>
      </c>
      <c r="AA58">
        <v>186.13474840000001</v>
      </c>
      <c r="AB58">
        <v>172.28184010000001</v>
      </c>
      <c r="AC58">
        <v>74.594574170000001</v>
      </c>
    </row>
    <row r="59" spans="1:29" x14ac:dyDescent="0.25">
      <c r="A59" t="s">
        <v>51</v>
      </c>
      <c r="B59" t="s">
        <v>52</v>
      </c>
      <c r="C59" t="s">
        <v>95</v>
      </c>
      <c r="D59" t="s">
        <v>96</v>
      </c>
      <c r="E59" t="s">
        <v>55</v>
      </c>
      <c r="F59">
        <v>173.8000467</v>
      </c>
      <c r="G59">
        <v>322.84672999999998</v>
      </c>
      <c r="H59">
        <v>209.78414100000001</v>
      </c>
      <c r="I59">
        <v>321.23092739999998</v>
      </c>
      <c r="J59">
        <v>246.77451500000001</v>
      </c>
      <c r="K59">
        <v>361.60088789999998</v>
      </c>
      <c r="L59">
        <v>285.2093926</v>
      </c>
      <c r="M59">
        <v>279.99229320000001</v>
      </c>
      <c r="N59">
        <v>337.51145830000002</v>
      </c>
      <c r="O59">
        <v>318.28680689999999</v>
      </c>
      <c r="P59">
        <v>264.17318660000001</v>
      </c>
      <c r="Q59">
        <v>239.53362859999999</v>
      </c>
      <c r="R59">
        <v>173.8000467</v>
      </c>
      <c r="S59">
        <v>322.84672999999998</v>
      </c>
      <c r="T59">
        <v>209.78414100000001</v>
      </c>
      <c r="U59">
        <v>321.23092739999998</v>
      </c>
      <c r="V59">
        <v>246.77451500000001</v>
      </c>
      <c r="W59">
        <v>361.60088789999998</v>
      </c>
      <c r="X59">
        <v>285.2093926</v>
      </c>
      <c r="Y59">
        <v>279.99229320000001</v>
      </c>
      <c r="Z59">
        <v>337.51145830000002</v>
      </c>
      <c r="AA59">
        <v>318.28680689999999</v>
      </c>
      <c r="AB59">
        <v>264.17318660000001</v>
      </c>
      <c r="AC59">
        <v>239.53362859999999</v>
      </c>
    </row>
    <row r="60" spans="1:29" x14ac:dyDescent="0.25">
      <c r="A60" t="s">
        <v>56</v>
      </c>
      <c r="B60" t="s">
        <v>57</v>
      </c>
      <c r="C60" t="s">
        <v>95</v>
      </c>
      <c r="D60" t="s">
        <v>96</v>
      </c>
      <c r="E60" t="s">
        <v>55</v>
      </c>
      <c r="F60" t="s">
        <v>46</v>
      </c>
      <c r="G60" t="s">
        <v>46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</row>
    <row r="61" spans="1:29" x14ac:dyDescent="0.25">
      <c r="A61" t="s">
        <v>58</v>
      </c>
      <c r="B61" t="s">
        <v>59</v>
      </c>
      <c r="C61" t="s">
        <v>95</v>
      </c>
      <c r="D61" t="s">
        <v>96</v>
      </c>
      <c r="E61" t="s">
        <v>55</v>
      </c>
      <c r="F61" t="s">
        <v>46</v>
      </c>
      <c r="G61" t="s">
        <v>46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t="s">
        <v>46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</row>
    <row r="62" spans="1:29" x14ac:dyDescent="0.25">
      <c r="A62" t="s">
        <v>60</v>
      </c>
      <c r="B62" t="s">
        <v>61</v>
      </c>
      <c r="C62" t="s">
        <v>95</v>
      </c>
      <c r="D62" t="s">
        <v>96</v>
      </c>
      <c r="E62" t="s">
        <v>55</v>
      </c>
      <c r="F62" t="s">
        <v>46</v>
      </c>
      <c r="G62" t="s">
        <v>46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</row>
    <row r="63" spans="1:29" x14ac:dyDescent="0.25">
      <c r="A63" t="s">
        <v>62</v>
      </c>
      <c r="B63" t="s">
        <v>63</v>
      </c>
      <c r="C63" t="s">
        <v>95</v>
      </c>
      <c r="D63" t="s">
        <v>96</v>
      </c>
      <c r="E63" t="s">
        <v>55</v>
      </c>
      <c r="F63">
        <v>17.049759649999999</v>
      </c>
      <c r="G63">
        <v>15.850647410000001</v>
      </c>
      <c r="H63">
        <v>24.122643629999999</v>
      </c>
      <c r="I63">
        <v>22.575379860000002</v>
      </c>
      <c r="J63">
        <v>23.898088489999999</v>
      </c>
      <c r="K63">
        <v>29.618001370000002</v>
      </c>
      <c r="L63" t="s">
        <v>46</v>
      </c>
      <c r="M63" t="s">
        <v>46</v>
      </c>
      <c r="N63">
        <v>22.27898111</v>
      </c>
      <c r="O63">
        <v>20.87918758</v>
      </c>
      <c r="P63" t="s">
        <v>46</v>
      </c>
      <c r="Q63" t="s">
        <v>46</v>
      </c>
      <c r="R63">
        <v>17.049759649999999</v>
      </c>
      <c r="S63">
        <v>15.850647410000001</v>
      </c>
      <c r="T63">
        <v>24.122643629999999</v>
      </c>
      <c r="U63">
        <v>22.575379860000002</v>
      </c>
      <c r="V63">
        <v>23.898088489999999</v>
      </c>
      <c r="W63">
        <v>29.618001370000002</v>
      </c>
      <c r="X63" t="s">
        <v>46</v>
      </c>
      <c r="Y63" t="s">
        <v>46</v>
      </c>
      <c r="Z63">
        <v>22.27898111</v>
      </c>
      <c r="AA63">
        <v>20.87918758</v>
      </c>
      <c r="AB63" t="s">
        <v>46</v>
      </c>
      <c r="AC63" t="s">
        <v>46</v>
      </c>
    </row>
    <row r="64" spans="1:29" x14ac:dyDescent="0.25">
      <c r="A64" t="s">
        <v>64</v>
      </c>
      <c r="B64" t="s">
        <v>65</v>
      </c>
      <c r="C64" t="s">
        <v>95</v>
      </c>
      <c r="D64" t="s">
        <v>96</v>
      </c>
      <c r="E64" t="s">
        <v>55</v>
      </c>
      <c r="F64">
        <v>96.5</v>
      </c>
      <c r="G64">
        <v>104.33333330000001</v>
      </c>
      <c r="H64">
        <v>95.571428569999995</v>
      </c>
      <c r="I64">
        <v>103.16666669999999</v>
      </c>
      <c r="J64">
        <v>77</v>
      </c>
      <c r="K64">
        <v>86.625</v>
      </c>
      <c r="L64">
        <v>124.16666669999999</v>
      </c>
      <c r="M64">
        <v>95.714285709999999</v>
      </c>
      <c r="N64">
        <v>115.5</v>
      </c>
      <c r="O64">
        <v>131.4</v>
      </c>
      <c r="P64">
        <v>108</v>
      </c>
      <c r="Q64">
        <v>101</v>
      </c>
      <c r="R64">
        <v>96.5</v>
      </c>
      <c r="S64">
        <v>104.33333330000001</v>
      </c>
      <c r="T64">
        <v>95.571428569999995</v>
      </c>
      <c r="U64">
        <v>103.16666669999999</v>
      </c>
      <c r="V64">
        <v>77</v>
      </c>
      <c r="W64">
        <v>86.625</v>
      </c>
      <c r="X64">
        <v>124.16666669999999</v>
      </c>
      <c r="Y64">
        <v>95.714285709999999</v>
      </c>
      <c r="Z64">
        <v>115.5</v>
      </c>
      <c r="AA64">
        <v>131.4</v>
      </c>
      <c r="AB64">
        <v>108</v>
      </c>
      <c r="AC64">
        <v>101</v>
      </c>
    </row>
    <row r="65" spans="1:29" x14ac:dyDescent="0.25">
      <c r="A65" t="s">
        <v>66</v>
      </c>
      <c r="B65" t="s">
        <v>67</v>
      </c>
      <c r="C65" t="s">
        <v>95</v>
      </c>
      <c r="D65" t="s">
        <v>96</v>
      </c>
      <c r="E65" t="s">
        <v>55</v>
      </c>
      <c r="F65">
        <v>-2</v>
      </c>
      <c r="G65">
        <v>-34.277777780000001</v>
      </c>
      <c r="H65">
        <v>0.3</v>
      </c>
      <c r="I65">
        <v>-54.9</v>
      </c>
      <c r="J65">
        <v>-15.95</v>
      </c>
      <c r="K65">
        <v>-5.95</v>
      </c>
      <c r="L65">
        <v>-10.454545449999999</v>
      </c>
      <c r="M65">
        <v>2.4054054050000002</v>
      </c>
      <c r="N65">
        <v>-0.66666666699999999</v>
      </c>
      <c r="O65">
        <v>1.21875</v>
      </c>
      <c r="P65">
        <v>1.371428571</v>
      </c>
      <c r="Q65">
        <v>0.382352941</v>
      </c>
      <c r="R65">
        <v>-2</v>
      </c>
      <c r="S65">
        <v>-34.277777780000001</v>
      </c>
      <c r="T65">
        <v>0.3</v>
      </c>
      <c r="U65">
        <v>-54.9</v>
      </c>
      <c r="V65">
        <v>-15.95</v>
      </c>
      <c r="W65">
        <v>-5.95</v>
      </c>
      <c r="X65">
        <v>-10.454545449999999</v>
      </c>
      <c r="Y65">
        <v>2.4054054050000002</v>
      </c>
      <c r="Z65">
        <v>-0.66666666699999999</v>
      </c>
      <c r="AA65">
        <v>1.21875</v>
      </c>
      <c r="AB65">
        <v>1.371428571</v>
      </c>
      <c r="AC65">
        <v>0.382352941</v>
      </c>
    </row>
    <row r="66" spans="1:29" x14ac:dyDescent="0.25">
      <c r="A66" t="s">
        <v>68</v>
      </c>
      <c r="B66" t="s">
        <v>69</v>
      </c>
      <c r="C66" t="s">
        <v>95</v>
      </c>
      <c r="D66" t="s">
        <v>96</v>
      </c>
      <c r="E66" t="s">
        <v>55</v>
      </c>
      <c r="F66">
        <v>-40.821052629999997</v>
      </c>
      <c r="G66">
        <v>0.75268817200000004</v>
      </c>
      <c r="H66">
        <v>-19.91346154</v>
      </c>
      <c r="I66">
        <v>1.6373626370000001</v>
      </c>
      <c r="J66">
        <v>4.7411764710000002</v>
      </c>
      <c r="K66">
        <v>4.6666666670000003</v>
      </c>
      <c r="L66">
        <v>3.4337349399999999</v>
      </c>
      <c r="M66">
        <v>3.7529411760000002</v>
      </c>
      <c r="N66">
        <v>6.58</v>
      </c>
      <c r="O66">
        <v>4.2739726029999998</v>
      </c>
      <c r="P66">
        <v>3.6849315069999999</v>
      </c>
      <c r="Q66">
        <v>6.7567567999999995E-2</v>
      </c>
      <c r="R66">
        <v>-40.821052629999997</v>
      </c>
      <c r="S66">
        <v>0.75268817200000004</v>
      </c>
      <c r="T66">
        <v>-19.91346154</v>
      </c>
      <c r="U66">
        <v>1.6373626370000001</v>
      </c>
      <c r="V66">
        <v>4.7411764710000002</v>
      </c>
      <c r="W66">
        <v>4.6666666670000003</v>
      </c>
      <c r="X66">
        <v>3.4337349399999999</v>
      </c>
      <c r="Y66">
        <v>3.7529411760000002</v>
      </c>
      <c r="Z66">
        <v>6.58</v>
      </c>
      <c r="AA66">
        <v>4.2739726029999998</v>
      </c>
      <c r="AB66">
        <v>3.6849315069999999</v>
      </c>
      <c r="AC66">
        <v>6.7567567999999995E-2</v>
      </c>
    </row>
    <row r="67" spans="1:29" x14ac:dyDescent="0.25">
      <c r="A67" t="s">
        <v>70</v>
      </c>
      <c r="B67" t="s">
        <v>71</v>
      </c>
      <c r="C67" t="s">
        <v>95</v>
      </c>
      <c r="D67" t="s">
        <v>96</v>
      </c>
      <c r="E67" t="s">
        <v>55</v>
      </c>
      <c r="F67" t="s">
        <v>46</v>
      </c>
      <c r="G67" t="s">
        <v>46</v>
      </c>
      <c r="H67" t="s">
        <v>46</v>
      </c>
      <c r="I67" t="s">
        <v>46</v>
      </c>
      <c r="J67" t="s">
        <v>46</v>
      </c>
      <c r="K67" t="s">
        <v>46</v>
      </c>
      <c r="L67" t="s">
        <v>46</v>
      </c>
      <c r="M67" t="s">
        <v>46</v>
      </c>
      <c r="N67" t="s">
        <v>46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</row>
    <row r="68" spans="1:29" x14ac:dyDescent="0.25">
      <c r="A68" t="s">
        <v>72</v>
      </c>
      <c r="B68" t="s">
        <v>73</v>
      </c>
      <c r="C68" t="s">
        <v>95</v>
      </c>
      <c r="D68" t="s">
        <v>96</v>
      </c>
      <c r="E68" t="s">
        <v>55</v>
      </c>
      <c r="F68">
        <v>7.9211166789999998</v>
      </c>
      <c r="G68">
        <v>9.5355034310000004</v>
      </c>
      <c r="H68">
        <v>9.3185659199999993</v>
      </c>
      <c r="I68">
        <v>8.0645455239999997</v>
      </c>
      <c r="J68">
        <v>6.9893691320000002</v>
      </c>
      <c r="K68">
        <v>8.9467269349999992</v>
      </c>
      <c r="L68">
        <v>7.5421512789999996</v>
      </c>
      <c r="M68">
        <v>6.5283638450000003</v>
      </c>
      <c r="N68">
        <v>5.5589363560000002</v>
      </c>
      <c r="O68">
        <v>6.4831520300000003</v>
      </c>
      <c r="P68">
        <v>8.6861527540000001</v>
      </c>
      <c r="Q68">
        <v>7.5570801830000001</v>
      </c>
      <c r="R68">
        <v>7.9211166789999998</v>
      </c>
      <c r="S68">
        <v>9.5355034310000004</v>
      </c>
      <c r="T68">
        <v>9.3185659199999993</v>
      </c>
      <c r="U68">
        <v>8.0645455239999997</v>
      </c>
      <c r="V68">
        <v>6.9893691320000002</v>
      </c>
      <c r="W68">
        <v>8.9467269349999992</v>
      </c>
      <c r="X68">
        <v>7.5421512789999996</v>
      </c>
      <c r="Y68">
        <v>6.5283638450000003</v>
      </c>
      <c r="Z68">
        <v>5.5589363560000002</v>
      </c>
      <c r="AA68">
        <v>6.4831520300000003</v>
      </c>
      <c r="AB68">
        <v>8.6861527540000001</v>
      </c>
      <c r="AC68">
        <v>7.5570801830000001</v>
      </c>
    </row>
    <row r="69" spans="1:29" x14ac:dyDescent="0.25">
      <c r="A69" t="s">
        <v>74</v>
      </c>
      <c r="B69" t="s">
        <v>75</v>
      </c>
      <c r="C69" t="s">
        <v>95</v>
      </c>
      <c r="D69" t="s">
        <v>96</v>
      </c>
      <c r="E69" t="s">
        <v>55</v>
      </c>
      <c r="F69" t="s">
        <v>46</v>
      </c>
      <c r="G69" t="s">
        <v>46</v>
      </c>
      <c r="H69" t="s">
        <v>46</v>
      </c>
      <c r="I69" t="s">
        <v>46</v>
      </c>
      <c r="J69" t="s">
        <v>46</v>
      </c>
      <c r="K69" t="s">
        <v>46</v>
      </c>
      <c r="L69" t="s">
        <v>46</v>
      </c>
      <c r="M69" t="s">
        <v>46</v>
      </c>
      <c r="N69">
        <v>136.47368420000001</v>
      </c>
      <c r="O69" t="s">
        <v>46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>
        <v>136.47368420000001</v>
      </c>
      <c r="AA69" t="s">
        <v>46</v>
      </c>
      <c r="AB69" t="s">
        <v>46</v>
      </c>
      <c r="AC69" t="s">
        <v>46</v>
      </c>
    </row>
    <row r="70" spans="1:29" x14ac:dyDescent="0.25">
      <c r="A70" t="s">
        <v>76</v>
      </c>
      <c r="B70" t="s">
        <v>77</v>
      </c>
      <c r="C70" t="s">
        <v>95</v>
      </c>
      <c r="D70" t="s">
        <v>96</v>
      </c>
      <c r="E70" t="s">
        <v>55</v>
      </c>
      <c r="F70" t="s">
        <v>46</v>
      </c>
      <c r="G70" t="s">
        <v>46</v>
      </c>
      <c r="H70" t="s">
        <v>46</v>
      </c>
      <c r="I70" t="s">
        <v>46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46</v>
      </c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</row>
    <row r="71" spans="1:29" x14ac:dyDescent="0.25">
      <c r="A71" t="s">
        <v>78</v>
      </c>
      <c r="B71" t="s">
        <v>79</v>
      </c>
      <c r="C71" t="s">
        <v>95</v>
      </c>
      <c r="D71" t="s">
        <v>96</v>
      </c>
      <c r="E71" t="s">
        <v>55</v>
      </c>
      <c r="F71" t="s">
        <v>46</v>
      </c>
      <c r="G71" t="s">
        <v>46</v>
      </c>
      <c r="H71" t="s">
        <v>46</v>
      </c>
      <c r="I71">
        <v>111.77500000000001</v>
      </c>
      <c r="J71" t="s">
        <v>46</v>
      </c>
      <c r="K71" t="s">
        <v>46</v>
      </c>
      <c r="L71" t="s">
        <v>46</v>
      </c>
      <c r="M71" t="s">
        <v>46</v>
      </c>
      <c r="N71" t="s">
        <v>46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>
        <v>111.77500000000001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</row>
    <row r="72" spans="1:29" x14ac:dyDescent="0.25">
      <c r="A72" t="s">
        <v>80</v>
      </c>
      <c r="B72" t="s">
        <v>81</v>
      </c>
      <c r="C72" t="s">
        <v>95</v>
      </c>
      <c r="D72" t="s">
        <v>96</v>
      </c>
      <c r="E72" t="s">
        <v>55</v>
      </c>
      <c r="F72">
        <v>1.0362537759999999</v>
      </c>
      <c r="G72">
        <v>11.5</v>
      </c>
      <c r="H72">
        <v>4.0529953919999997</v>
      </c>
      <c r="I72">
        <v>6.1168091169999999</v>
      </c>
      <c r="J72">
        <v>9.0518867919999995</v>
      </c>
      <c r="K72">
        <v>23.979274610000001</v>
      </c>
      <c r="L72">
        <v>16.691099479999998</v>
      </c>
      <c r="M72">
        <v>16.920454549999999</v>
      </c>
      <c r="N72">
        <v>8.31547619</v>
      </c>
      <c r="O72">
        <v>27.4</v>
      </c>
      <c r="P72">
        <v>16.72619048</v>
      </c>
      <c r="Q72">
        <v>16.885135139999999</v>
      </c>
      <c r="R72">
        <v>1.0362537759999999</v>
      </c>
      <c r="S72">
        <v>11.5</v>
      </c>
      <c r="T72">
        <v>4.0529953919999997</v>
      </c>
      <c r="U72">
        <v>6.1168091169999999</v>
      </c>
      <c r="V72">
        <v>9.0518867919999995</v>
      </c>
      <c r="W72">
        <v>23.979274610000001</v>
      </c>
      <c r="X72">
        <v>16.691099479999998</v>
      </c>
      <c r="Y72">
        <v>16.920454549999999</v>
      </c>
      <c r="Z72">
        <v>8.31547619</v>
      </c>
      <c r="AA72">
        <v>27.4</v>
      </c>
      <c r="AB72">
        <v>16.72619048</v>
      </c>
      <c r="AC72">
        <v>16.885135139999999</v>
      </c>
    </row>
    <row r="73" spans="1:29" x14ac:dyDescent="0.25">
      <c r="A73" t="s">
        <v>82</v>
      </c>
      <c r="B73" t="s">
        <v>83</v>
      </c>
      <c r="C73" t="s">
        <v>95</v>
      </c>
      <c r="D73" t="s">
        <v>96</v>
      </c>
      <c r="E73" t="s">
        <v>55</v>
      </c>
      <c r="F73">
        <v>39.940239040000002</v>
      </c>
      <c r="G73">
        <v>44.726457400000001</v>
      </c>
      <c r="H73">
        <v>48.502590669999996</v>
      </c>
      <c r="I73">
        <v>78.135593220000004</v>
      </c>
      <c r="J73">
        <v>340.60714289999999</v>
      </c>
      <c r="K73">
        <v>597.75</v>
      </c>
      <c r="L73">
        <v>71.321167880000004</v>
      </c>
      <c r="M73">
        <v>504.58823530000001</v>
      </c>
      <c r="N73">
        <v>678.91666669999995</v>
      </c>
      <c r="O73">
        <v>1296.833333</v>
      </c>
      <c r="P73">
        <v>1094.2857140000001</v>
      </c>
      <c r="Q73">
        <v>256.07407410000002</v>
      </c>
      <c r="R73">
        <v>39.940239040000002</v>
      </c>
      <c r="S73">
        <v>44.726457400000001</v>
      </c>
      <c r="T73">
        <v>48.502590669999996</v>
      </c>
      <c r="U73">
        <v>78.135593220000004</v>
      </c>
      <c r="V73">
        <v>340.60714289999999</v>
      </c>
      <c r="W73">
        <v>597.75</v>
      </c>
      <c r="X73">
        <v>71.321167880000004</v>
      </c>
      <c r="Y73">
        <v>504.58823530000001</v>
      </c>
      <c r="Z73">
        <v>678.91666669999995</v>
      </c>
      <c r="AA73">
        <v>1296.833333</v>
      </c>
      <c r="AB73">
        <v>1094.2857140000001</v>
      </c>
      <c r="AC73">
        <v>256.07407410000002</v>
      </c>
    </row>
    <row r="74" spans="1:29" x14ac:dyDescent="0.25">
      <c r="A74" t="s">
        <v>84</v>
      </c>
      <c r="B74" t="s">
        <v>85</v>
      </c>
      <c r="C74" t="s">
        <v>95</v>
      </c>
      <c r="D74" t="s">
        <v>96</v>
      </c>
      <c r="E74" t="s">
        <v>55</v>
      </c>
      <c r="F74">
        <v>13.76093985</v>
      </c>
      <c r="G74">
        <v>21.426947269999999</v>
      </c>
      <c r="H74">
        <v>30.271177550000001</v>
      </c>
      <c r="I74">
        <v>21.86784141</v>
      </c>
      <c r="J74">
        <v>48.693950180000002</v>
      </c>
      <c r="K74">
        <v>40.195530730000002</v>
      </c>
      <c r="L74">
        <v>34.158369870000001</v>
      </c>
      <c r="M74">
        <v>35.282950820000003</v>
      </c>
      <c r="N74">
        <v>21.12428843</v>
      </c>
      <c r="O74">
        <v>29.052801410000001</v>
      </c>
      <c r="P74">
        <v>21.75</v>
      </c>
      <c r="Q74">
        <v>18.615696889999999</v>
      </c>
      <c r="R74">
        <v>13.76093985</v>
      </c>
      <c r="S74">
        <v>21.426947269999999</v>
      </c>
      <c r="T74">
        <v>30.271177550000001</v>
      </c>
      <c r="U74">
        <v>21.86784141</v>
      </c>
      <c r="V74">
        <v>48.693950180000002</v>
      </c>
      <c r="W74">
        <v>40.195530730000002</v>
      </c>
      <c r="X74">
        <v>34.158369870000001</v>
      </c>
      <c r="Y74">
        <v>35.282950820000003</v>
      </c>
      <c r="Z74">
        <v>21.12428843</v>
      </c>
      <c r="AA74">
        <v>29.052801410000001</v>
      </c>
      <c r="AB74">
        <v>21.75</v>
      </c>
      <c r="AC74">
        <v>18.615696889999999</v>
      </c>
    </row>
    <row r="75" spans="1:29" x14ac:dyDescent="0.25">
      <c r="A75" t="s">
        <v>86</v>
      </c>
      <c r="B75" t="s">
        <v>87</v>
      </c>
      <c r="C75" t="s">
        <v>95</v>
      </c>
      <c r="D75" t="s">
        <v>96</v>
      </c>
      <c r="E75" t="s">
        <v>55</v>
      </c>
      <c r="F75">
        <v>21.743150679999999</v>
      </c>
      <c r="G75">
        <v>20.92028414</v>
      </c>
      <c r="H75">
        <v>18.359550559999999</v>
      </c>
      <c r="I75">
        <v>19.197337510000001</v>
      </c>
      <c r="J75">
        <v>12.74374705</v>
      </c>
      <c r="K75">
        <v>23.90783807</v>
      </c>
      <c r="L75">
        <v>17.212954750000002</v>
      </c>
      <c r="M75">
        <v>18.63937138</v>
      </c>
      <c r="N75">
        <v>17.514418599999999</v>
      </c>
      <c r="O75">
        <v>25.519480519999998</v>
      </c>
      <c r="P75">
        <v>31.858956280000001</v>
      </c>
      <c r="Q75">
        <v>31.23563218</v>
      </c>
      <c r="R75">
        <v>21.743150679999999</v>
      </c>
      <c r="S75">
        <v>20.92028414</v>
      </c>
      <c r="T75">
        <v>18.359550559999999</v>
      </c>
      <c r="U75">
        <v>19.197337510000001</v>
      </c>
      <c r="V75">
        <v>12.74374705</v>
      </c>
      <c r="W75">
        <v>23.90783807</v>
      </c>
      <c r="X75">
        <v>17.212954750000002</v>
      </c>
      <c r="Y75">
        <v>18.63937138</v>
      </c>
      <c r="Z75">
        <v>17.514418599999999</v>
      </c>
      <c r="AA75">
        <v>25.519480519999998</v>
      </c>
      <c r="AB75">
        <v>31.858956280000001</v>
      </c>
      <c r="AC75">
        <v>31.23563218</v>
      </c>
    </row>
    <row r="76" spans="1:29" x14ac:dyDescent="0.25">
      <c r="A76" t="s">
        <v>97</v>
      </c>
      <c r="B76" t="s">
        <v>46</v>
      </c>
      <c r="E76" t="s">
        <v>47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</row>
    <row r="77" spans="1:29" x14ac:dyDescent="0.25">
      <c r="A77" t="s">
        <v>98</v>
      </c>
      <c r="B77" t="s">
        <v>49</v>
      </c>
      <c r="E77" t="s">
        <v>50</v>
      </c>
      <c r="F77">
        <v>0.27227157260000001</v>
      </c>
      <c r="G77">
        <v>0.19365825718750002</v>
      </c>
      <c r="H77">
        <v>0.19256333140000004</v>
      </c>
      <c r="I77">
        <v>0.17609335793333333</v>
      </c>
      <c r="J77">
        <v>0.14527151648</v>
      </c>
      <c r="K77">
        <v>0.15934025162666662</v>
      </c>
      <c r="L77">
        <v>0.12028296848000002</v>
      </c>
      <c r="M77">
        <v>0.13379184633999996</v>
      </c>
      <c r="N77">
        <v>0.12223318386666668</v>
      </c>
      <c r="O77">
        <v>0.1230273462</v>
      </c>
      <c r="P77">
        <v>0.12156729659999997</v>
      </c>
      <c r="Q77">
        <v>0.1232660054</v>
      </c>
      <c r="R77">
        <v>0.27227157299999999</v>
      </c>
      <c r="S77">
        <v>0.193658257</v>
      </c>
      <c r="T77">
        <v>0.192563331</v>
      </c>
      <c r="U77">
        <v>0.17609335800000001</v>
      </c>
      <c r="V77">
        <v>0.14527151699999999</v>
      </c>
      <c r="W77">
        <v>0.15934025199999999</v>
      </c>
      <c r="X77">
        <v>0.120282969</v>
      </c>
      <c r="Y77">
        <v>0.13379184599999999</v>
      </c>
      <c r="Z77">
        <v>0.12223318399999999</v>
      </c>
      <c r="AA77">
        <v>0.123027346</v>
      </c>
      <c r="AB77">
        <v>0.121567297</v>
      </c>
      <c r="AC77">
        <v>0.123266005</v>
      </c>
    </row>
    <row r="78" spans="1:29" x14ac:dyDescent="0.25">
      <c r="A78" t="s">
        <v>51</v>
      </c>
      <c r="B78" t="s">
        <v>52</v>
      </c>
      <c r="C78" t="s">
        <v>99</v>
      </c>
      <c r="D78" t="s">
        <v>100</v>
      </c>
      <c r="E78" t="s">
        <v>55</v>
      </c>
      <c r="F78">
        <v>3.0019443999999999E-2</v>
      </c>
      <c r="G78">
        <v>2.687223E-2</v>
      </c>
      <c r="H78">
        <v>1.8814E-4</v>
      </c>
      <c r="I78">
        <v>2.1963399999999999E-4</v>
      </c>
      <c r="J78">
        <v>2.43618E-4</v>
      </c>
      <c r="K78">
        <v>2.4378600000000001E-4</v>
      </c>
      <c r="L78">
        <v>2.4171899999999999E-4</v>
      </c>
      <c r="M78">
        <v>2.9883500000000001E-4</v>
      </c>
      <c r="N78">
        <v>2.8887100000000001E-4</v>
      </c>
      <c r="O78">
        <v>2.7648700000000001E-4</v>
      </c>
      <c r="P78">
        <v>3.14018E-4</v>
      </c>
      <c r="Q78">
        <v>3.60074E-4</v>
      </c>
      <c r="R78">
        <v>3.0019443999999999E-2</v>
      </c>
      <c r="S78">
        <v>2.687223E-2</v>
      </c>
      <c r="T78">
        <v>1.8814E-4</v>
      </c>
      <c r="U78">
        <v>2.1963399999999999E-4</v>
      </c>
      <c r="V78">
        <v>2.43618E-4</v>
      </c>
      <c r="W78">
        <v>2.4378600000000001E-4</v>
      </c>
      <c r="X78">
        <v>2.4171899999999999E-4</v>
      </c>
      <c r="Y78">
        <v>2.9883500000000001E-4</v>
      </c>
      <c r="Z78">
        <v>2.8887100000000001E-4</v>
      </c>
      <c r="AA78">
        <v>2.7648700000000001E-4</v>
      </c>
      <c r="AB78">
        <v>3.14018E-4</v>
      </c>
      <c r="AC78">
        <v>3.60074E-4</v>
      </c>
    </row>
    <row r="79" spans="1:29" x14ac:dyDescent="0.25">
      <c r="A79" t="s">
        <v>56</v>
      </c>
      <c r="B79" t="s">
        <v>57</v>
      </c>
      <c r="C79" t="s">
        <v>99</v>
      </c>
      <c r="D79" t="s">
        <v>100</v>
      </c>
      <c r="E79" t="s">
        <v>55</v>
      </c>
      <c r="F79">
        <v>8.5979226000000006E-2</v>
      </c>
      <c r="G79">
        <v>2.9414320000000001E-2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1.3236994E-2</v>
      </c>
      <c r="O79">
        <v>0</v>
      </c>
      <c r="P79">
        <v>0</v>
      </c>
      <c r="Q79">
        <v>0</v>
      </c>
      <c r="R79">
        <v>8.5979226000000006E-2</v>
      </c>
      <c r="S79">
        <v>2.9414320000000001E-2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1.3236994E-2</v>
      </c>
      <c r="AA79">
        <v>0</v>
      </c>
      <c r="AB79">
        <v>0</v>
      </c>
      <c r="AC79">
        <v>0</v>
      </c>
    </row>
    <row r="80" spans="1:29" x14ac:dyDescent="0.25">
      <c r="A80" t="s">
        <v>58</v>
      </c>
      <c r="B80" t="s">
        <v>59</v>
      </c>
      <c r="C80" t="s">
        <v>99</v>
      </c>
      <c r="D80" t="s">
        <v>100</v>
      </c>
      <c r="E80" t="s">
        <v>55</v>
      </c>
      <c r="F80" t="s">
        <v>46</v>
      </c>
      <c r="G80" t="s">
        <v>46</v>
      </c>
      <c r="H80" t="s">
        <v>46</v>
      </c>
      <c r="I80" t="s">
        <v>46</v>
      </c>
      <c r="J80" t="s">
        <v>46</v>
      </c>
      <c r="K80" t="s">
        <v>46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</row>
    <row r="81" spans="1:29" x14ac:dyDescent="0.25">
      <c r="A81" t="s">
        <v>60</v>
      </c>
      <c r="B81" t="s">
        <v>61</v>
      </c>
      <c r="C81" t="s">
        <v>99</v>
      </c>
      <c r="D81" t="s">
        <v>100</v>
      </c>
      <c r="E81" t="s">
        <v>55</v>
      </c>
      <c r="F81" t="s">
        <v>46</v>
      </c>
      <c r="G81">
        <v>0.206177002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>
        <v>0.206177002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</row>
    <row r="82" spans="1:29" x14ac:dyDescent="0.25">
      <c r="A82" t="s">
        <v>62</v>
      </c>
      <c r="B82" t="s">
        <v>63</v>
      </c>
      <c r="C82" t="s">
        <v>99</v>
      </c>
      <c r="D82" t="s">
        <v>100</v>
      </c>
      <c r="E82" t="s">
        <v>55</v>
      </c>
      <c r="F82">
        <v>0.17650228200000001</v>
      </c>
      <c r="G82">
        <v>9.3793082999999999E-2</v>
      </c>
      <c r="H82">
        <v>7.6995471999999995E-2</v>
      </c>
      <c r="I82">
        <v>8.6064033999999998E-2</v>
      </c>
      <c r="J82">
        <v>7.9838332999999997E-2</v>
      </c>
      <c r="K82">
        <v>8.8207483000000003E-2</v>
      </c>
      <c r="L82">
        <v>7.2375002999999993E-2</v>
      </c>
      <c r="M82">
        <v>7.3326369000000002E-2</v>
      </c>
      <c r="N82">
        <v>7.8446331999999994E-2</v>
      </c>
      <c r="O82">
        <v>8.5818288000000006E-2</v>
      </c>
      <c r="P82">
        <v>9.1894432999999998E-2</v>
      </c>
      <c r="Q82">
        <v>8.2261904999999996E-2</v>
      </c>
      <c r="R82">
        <v>0.17650228200000001</v>
      </c>
      <c r="S82">
        <v>9.3793082999999999E-2</v>
      </c>
      <c r="T82">
        <v>7.6995471999999995E-2</v>
      </c>
      <c r="U82">
        <v>8.6064033999999998E-2</v>
      </c>
      <c r="V82">
        <v>7.9838332999999997E-2</v>
      </c>
      <c r="W82">
        <v>8.8207483000000003E-2</v>
      </c>
      <c r="X82">
        <v>7.2375002999999993E-2</v>
      </c>
      <c r="Y82">
        <v>7.3326369000000002E-2</v>
      </c>
      <c r="Z82">
        <v>7.8446331999999994E-2</v>
      </c>
      <c r="AA82">
        <v>8.5818288000000006E-2</v>
      </c>
      <c r="AB82">
        <v>9.1894432999999998E-2</v>
      </c>
      <c r="AC82">
        <v>8.2261904999999996E-2</v>
      </c>
    </row>
    <row r="83" spans="1:29" x14ac:dyDescent="0.25">
      <c r="A83" t="s">
        <v>64</v>
      </c>
      <c r="B83" t="s">
        <v>65</v>
      </c>
      <c r="C83" t="s">
        <v>99</v>
      </c>
      <c r="D83" t="s">
        <v>100</v>
      </c>
      <c r="E83" t="s">
        <v>55</v>
      </c>
      <c r="F83">
        <v>0.140122941</v>
      </c>
      <c r="G83">
        <v>5.3014876000000002E-2</v>
      </c>
      <c r="H83">
        <v>5.3511705999999999E-2</v>
      </c>
      <c r="I83">
        <v>4.9164325000000002E-2</v>
      </c>
      <c r="J83">
        <v>4.1131512000000002E-2</v>
      </c>
      <c r="K83">
        <v>2.2670589000000001E-2</v>
      </c>
      <c r="L83">
        <v>1.7785202E-2</v>
      </c>
      <c r="M83">
        <v>1.7700077000000002E-2</v>
      </c>
      <c r="N83">
        <v>1.7928379000000001E-2</v>
      </c>
      <c r="O83">
        <v>2.3232445000000001E-2</v>
      </c>
      <c r="P83">
        <v>2.1152135999999998E-2</v>
      </c>
      <c r="Q83">
        <v>2.7690072E-2</v>
      </c>
      <c r="R83">
        <v>0.140122941</v>
      </c>
      <c r="S83">
        <v>5.3014876000000002E-2</v>
      </c>
      <c r="T83">
        <v>5.3511705999999999E-2</v>
      </c>
      <c r="U83">
        <v>4.9164325000000002E-2</v>
      </c>
      <c r="V83">
        <v>4.1131512000000002E-2</v>
      </c>
      <c r="W83">
        <v>2.2670589000000001E-2</v>
      </c>
      <c r="X83">
        <v>1.7785202E-2</v>
      </c>
      <c r="Y83">
        <v>1.7700077000000002E-2</v>
      </c>
      <c r="Z83">
        <v>1.7928379000000001E-2</v>
      </c>
      <c r="AA83">
        <v>2.3232445000000001E-2</v>
      </c>
      <c r="AB83">
        <v>2.1152135999999998E-2</v>
      </c>
      <c r="AC83">
        <v>2.7690072E-2</v>
      </c>
    </row>
    <row r="84" spans="1:29" x14ac:dyDescent="0.25">
      <c r="A84" t="s">
        <v>66</v>
      </c>
      <c r="B84" t="s">
        <v>67</v>
      </c>
      <c r="C84" t="s">
        <v>99</v>
      </c>
      <c r="D84" t="s">
        <v>100</v>
      </c>
      <c r="E84" t="s">
        <v>55</v>
      </c>
      <c r="F84">
        <v>0.89239045900000002</v>
      </c>
      <c r="G84">
        <v>0.66309648700000001</v>
      </c>
      <c r="H84">
        <v>0.60309771700000003</v>
      </c>
      <c r="I84">
        <v>0.50343986100000004</v>
      </c>
      <c r="J84">
        <v>0.43470030799999998</v>
      </c>
      <c r="K84">
        <v>0.48981258900000002</v>
      </c>
      <c r="L84">
        <v>0.26870187000000001</v>
      </c>
      <c r="M84">
        <v>0.409103247</v>
      </c>
      <c r="N84">
        <v>0.37033642</v>
      </c>
      <c r="O84">
        <v>0.41858676299999997</v>
      </c>
      <c r="P84">
        <v>0.41153337299999998</v>
      </c>
      <c r="Q84">
        <v>0.40355288</v>
      </c>
      <c r="R84">
        <v>0.89239045900000002</v>
      </c>
      <c r="S84">
        <v>0.66309648700000001</v>
      </c>
      <c r="T84">
        <v>0.60309771700000003</v>
      </c>
      <c r="U84">
        <v>0.50343986100000004</v>
      </c>
      <c r="V84">
        <v>0.43470030799999998</v>
      </c>
      <c r="W84">
        <v>0.48981258900000002</v>
      </c>
      <c r="X84">
        <v>0.26870187000000001</v>
      </c>
      <c r="Y84">
        <v>0.409103247</v>
      </c>
      <c r="Z84">
        <v>0.37033642</v>
      </c>
      <c r="AA84">
        <v>0.41858676299999997</v>
      </c>
      <c r="AB84">
        <v>0.41153337299999998</v>
      </c>
      <c r="AC84">
        <v>0.40355288</v>
      </c>
    </row>
    <row r="85" spans="1:29" x14ac:dyDescent="0.25">
      <c r="A85" t="s">
        <v>68</v>
      </c>
      <c r="B85" t="s">
        <v>69</v>
      </c>
      <c r="C85" t="s">
        <v>99</v>
      </c>
      <c r="D85" t="s">
        <v>100</v>
      </c>
      <c r="E85" t="s">
        <v>55</v>
      </c>
      <c r="F85">
        <v>1.0023105919999999</v>
      </c>
      <c r="G85">
        <v>0.58901663699999995</v>
      </c>
      <c r="H85">
        <v>0.68433149100000001</v>
      </c>
      <c r="I85">
        <v>0.46351375099999997</v>
      </c>
      <c r="J85">
        <v>0.33540849299999997</v>
      </c>
      <c r="K85">
        <v>0.38242933400000001</v>
      </c>
      <c r="L85">
        <v>0.227491004</v>
      </c>
      <c r="M85">
        <v>0.25620721800000001</v>
      </c>
      <c r="N85">
        <v>0.232471278</v>
      </c>
      <c r="O85">
        <v>0.258177816</v>
      </c>
      <c r="P85">
        <v>0.27698585100000001</v>
      </c>
      <c r="Q85">
        <v>0.27432883699999999</v>
      </c>
      <c r="R85">
        <v>1.0023105919999999</v>
      </c>
      <c r="S85">
        <v>0.58901663699999995</v>
      </c>
      <c r="T85">
        <v>0.68433149100000001</v>
      </c>
      <c r="U85">
        <v>0.46351375099999997</v>
      </c>
      <c r="V85">
        <v>0.33540849299999997</v>
      </c>
      <c r="W85">
        <v>0.38242933400000001</v>
      </c>
      <c r="X85">
        <v>0.227491004</v>
      </c>
      <c r="Y85">
        <v>0.25620721800000001</v>
      </c>
      <c r="Z85">
        <v>0.232471278</v>
      </c>
      <c r="AA85">
        <v>0.258177816</v>
      </c>
      <c r="AB85">
        <v>0.27698585100000001</v>
      </c>
      <c r="AC85">
        <v>0.27432883699999999</v>
      </c>
    </row>
    <row r="86" spans="1:29" x14ac:dyDescent="0.25">
      <c r="A86" t="s">
        <v>70</v>
      </c>
      <c r="B86" t="s">
        <v>71</v>
      </c>
      <c r="C86" t="s">
        <v>99</v>
      </c>
      <c r="D86" t="s">
        <v>100</v>
      </c>
      <c r="E86" t="s">
        <v>55</v>
      </c>
      <c r="F86">
        <v>2.8357191E-2</v>
      </c>
      <c r="G86">
        <v>2.3874144999999999E-2</v>
      </c>
      <c r="H86">
        <v>2.4522848999999999E-2</v>
      </c>
      <c r="I86">
        <v>2.5912393999999998E-2</v>
      </c>
      <c r="J86">
        <v>2.2265435E-2</v>
      </c>
      <c r="K86">
        <v>4.5277820000000002E-3</v>
      </c>
      <c r="L86">
        <v>3.6943900000000001E-3</v>
      </c>
      <c r="M86">
        <v>4.0911580000000001E-3</v>
      </c>
      <c r="N86">
        <v>4.4736350000000001E-3</v>
      </c>
      <c r="O86">
        <v>4.8754640000000004E-3</v>
      </c>
      <c r="P86">
        <v>6.03551E-3</v>
      </c>
      <c r="Q86">
        <v>6.2743740000000001E-3</v>
      </c>
      <c r="R86">
        <v>2.8357191E-2</v>
      </c>
      <c r="S86">
        <v>2.3874144999999999E-2</v>
      </c>
      <c r="T86">
        <v>2.4522848999999999E-2</v>
      </c>
      <c r="U86">
        <v>2.5912393999999998E-2</v>
      </c>
      <c r="V86">
        <v>2.2265435E-2</v>
      </c>
      <c r="W86">
        <v>4.5277820000000002E-3</v>
      </c>
      <c r="X86">
        <v>3.6943900000000001E-3</v>
      </c>
      <c r="Y86">
        <v>4.0911580000000001E-3</v>
      </c>
      <c r="Z86">
        <v>4.4736350000000001E-3</v>
      </c>
      <c r="AA86">
        <v>4.8754640000000004E-3</v>
      </c>
      <c r="AB86">
        <v>6.03551E-3</v>
      </c>
      <c r="AC86">
        <v>6.2743740000000001E-3</v>
      </c>
    </row>
    <row r="87" spans="1:29" x14ac:dyDescent="0.25">
      <c r="A87" t="s">
        <v>72</v>
      </c>
      <c r="B87" t="s">
        <v>73</v>
      </c>
      <c r="C87" t="s">
        <v>99</v>
      </c>
      <c r="D87" t="s">
        <v>100</v>
      </c>
      <c r="E87" t="s">
        <v>55</v>
      </c>
      <c r="F87">
        <v>0.273500929</v>
      </c>
      <c r="G87">
        <v>0.195395181</v>
      </c>
      <c r="H87">
        <v>0.18688553099999999</v>
      </c>
      <c r="I87">
        <v>0.19298269400000001</v>
      </c>
      <c r="J87">
        <v>0.20627763099999999</v>
      </c>
      <c r="K87">
        <v>0.215694421</v>
      </c>
      <c r="L87">
        <v>0.19920575700000001</v>
      </c>
      <c r="M87">
        <v>0.19141923399999999</v>
      </c>
      <c r="N87">
        <v>0.18584624199999999</v>
      </c>
      <c r="O87">
        <v>0.177856923</v>
      </c>
      <c r="P87">
        <v>0.19206432400000001</v>
      </c>
      <c r="Q87">
        <v>0.204834249</v>
      </c>
      <c r="R87">
        <v>0.273500929</v>
      </c>
      <c r="S87">
        <v>0.195395181</v>
      </c>
      <c r="T87">
        <v>0.18688553099999999</v>
      </c>
      <c r="U87">
        <v>0.19298269400000001</v>
      </c>
      <c r="V87">
        <v>0.20627763099999999</v>
      </c>
      <c r="W87">
        <v>0.215694421</v>
      </c>
      <c r="X87">
        <v>0.19920575700000001</v>
      </c>
      <c r="Y87">
        <v>0.19141923399999999</v>
      </c>
      <c r="Z87">
        <v>0.18584624199999999</v>
      </c>
      <c r="AA87">
        <v>0.177856923</v>
      </c>
      <c r="AB87">
        <v>0.19206432400000001</v>
      </c>
      <c r="AC87">
        <v>0.204834249</v>
      </c>
    </row>
    <row r="88" spans="1:29" x14ac:dyDescent="0.25">
      <c r="A88" t="s">
        <v>74</v>
      </c>
      <c r="B88" t="s">
        <v>75</v>
      </c>
      <c r="C88" t="s">
        <v>99</v>
      </c>
      <c r="D88" t="s">
        <v>100</v>
      </c>
      <c r="E88" t="s">
        <v>55</v>
      </c>
      <c r="F88">
        <v>7.1272872000000001E-2</v>
      </c>
      <c r="G88">
        <v>4.2738181E-2</v>
      </c>
      <c r="H88">
        <v>4.4392156000000002E-2</v>
      </c>
      <c r="I88">
        <v>2.8915264999999999E-2</v>
      </c>
      <c r="J88">
        <v>2.9892279000000001E-2</v>
      </c>
      <c r="K88">
        <v>3.0062866000000001E-2</v>
      </c>
      <c r="L88">
        <v>2.1213480999999999E-2</v>
      </c>
      <c r="M88">
        <v>3.000581E-3</v>
      </c>
      <c r="N88">
        <v>3.8533109999999999E-3</v>
      </c>
      <c r="O88">
        <v>4.277108E-3</v>
      </c>
      <c r="P88">
        <v>6.2849200000000003E-3</v>
      </c>
      <c r="Q88">
        <v>5.1677429999999998E-3</v>
      </c>
      <c r="R88">
        <v>7.1272872000000001E-2</v>
      </c>
      <c r="S88">
        <v>4.2738181E-2</v>
      </c>
      <c r="T88">
        <v>4.4392156000000002E-2</v>
      </c>
      <c r="U88">
        <v>2.8915264999999999E-2</v>
      </c>
      <c r="V88">
        <v>2.9892279000000001E-2</v>
      </c>
      <c r="W88">
        <v>3.0062866000000001E-2</v>
      </c>
      <c r="X88">
        <v>2.1213480999999999E-2</v>
      </c>
      <c r="Y88">
        <v>3.000581E-3</v>
      </c>
      <c r="Z88">
        <v>3.8533109999999999E-3</v>
      </c>
      <c r="AA88">
        <v>4.277108E-3</v>
      </c>
      <c r="AB88">
        <v>6.2849200000000003E-3</v>
      </c>
      <c r="AC88">
        <v>5.1677429999999998E-3</v>
      </c>
    </row>
    <row r="89" spans="1:29" x14ac:dyDescent="0.25">
      <c r="A89" t="s">
        <v>76</v>
      </c>
      <c r="B89" t="s">
        <v>77</v>
      </c>
      <c r="C89" t="s">
        <v>99</v>
      </c>
      <c r="D89" t="s">
        <v>100</v>
      </c>
      <c r="E89" t="s">
        <v>55</v>
      </c>
      <c r="F89">
        <v>0.74292644799999996</v>
      </c>
      <c r="G89">
        <v>0.62238852499999997</v>
      </c>
      <c r="H89">
        <v>0.69751346700000005</v>
      </c>
      <c r="I89">
        <v>0.65849457899999997</v>
      </c>
      <c r="J89">
        <v>0.60609644200000001</v>
      </c>
      <c r="K89">
        <v>0.71523900299999998</v>
      </c>
      <c r="L89">
        <v>0.62949987500000004</v>
      </c>
      <c r="M89">
        <v>0.64552399299999996</v>
      </c>
      <c r="N89">
        <v>0.52066267200000005</v>
      </c>
      <c r="O89">
        <v>0.49152152700000001</v>
      </c>
      <c r="P89">
        <v>0.43125461900000001</v>
      </c>
      <c r="Q89">
        <v>0.44450788200000002</v>
      </c>
      <c r="R89">
        <v>0.74292644799999996</v>
      </c>
      <c r="S89">
        <v>0.62238852499999997</v>
      </c>
      <c r="T89">
        <v>0.69751346700000005</v>
      </c>
      <c r="U89">
        <v>0.65849457899999997</v>
      </c>
      <c r="V89">
        <v>0.60609644200000001</v>
      </c>
      <c r="W89">
        <v>0.71523900299999998</v>
      </c>
      <c r="X89">
        <v>0.62949987500000004</v>
      </c>
      <c r="Y89">
        <v>0.64552399299999996</v>
      </c>
      <c r="Z89">
        <v>0.52066267200000005</v>
      </c>
      <c r="AA89">
        <v>0.49152152700000001</v>
      </c>
      <c r="AB89">
        <v>0.43125461900000001</v>
      </c>
      <c r="AC89">
        <v>0.44450788200000002</v>
      </c>
    </row>
    <row r="90" spans="1:29" x14ac:dyDescent="0.25">
      <c r="A90" t="s">
        <v>78</v>
      </c>
      <c r="B90" t="s">
        <v>79</v>
      </c>
      <c r="C90" t="s">
        <v>99</v>
      </c>
      <c r="D90" t="s">
        <v>100</v>
      </c>
      <c r="E90" t="s">
        <v>55</v>
      </c>
      <c r="F90">
        <v>1.8256881999999999E-2</v>
      </c>
      <c r="G90">
        <v>1.4085009000000001E-2</v>
      </c>
      <c r="H90">
        <v>1.2506138E-2</v>
      </c>
      <c r="I90">
        <v>1.2952082E-2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1.8256881999999999E-2</v>
      </c>
      <c r="S90">
        <v>1.4085009000000001E-2</v>
      </c>
      <c r="T90">
        <v>1.2506138E-2</v>
      </c>
      <c r="U90">
        <v>1.2952082E-2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 t="s">
        <v>80</v>
      </c>
      <c r="B91" t="s">
        <v>81</v>
      </c>
      <c r="C91" t="s">
        <v>99</v>
      </c>
      <c r="D91" t="s">
        <v>100</v>
      </c>
      <c r="E91" t="s">
        <v>55</v>
      </c>
      <c r="F91">
        <v>0.44461058799999997</v>
      </c>
      <c r="G91">
        <v>0.38217199400000001</v>
      </c>
      <c r="H91">
        <v>0.35650267699999999</v>
      </c>
      <c r="I91">
        <v>0.48655542899999998</v>
      </c>
      <c r="J91">
        <v>0.31235107600000001</v>
      </c>
      <c r="K91">
        <v>0.33377948000000002</v>
      </c>
      <c r="L91">
        <v>0.24820278400000001</v>
      </c>
      <c r="M91">
        <v>0.25241374799999999</v>
      </c>
      <c r="N91">
        <v>0.23653195399999999</v>
      </c>
      <c r="O91">
        <v>0.23823068999999999</v>
      </c>
      <c r="P91">
        <v>0.21744166000000001</v>
      </c>
      <c r="Q91">
        <v>0.210554344</v>
      </c>
      <c r="R91">
        <v>0.44461058799999997</v>
      </c>
      <c r="S91">
        <v>0.38217199400000001</v>
      </c>
      <c r="T91">
        <v>0.35650267699999999</v>
      </c>
      <c r="U91">
        <v>0.48655542899999998</v>
      </c>
      <c r="V91">
        <v>0.31235107600000001</v>
      </c>
      <c r="W91">
        <v>0.33377948000000002</v>
      </c>
      <c r="X91">
        <v>0.24820278400000001</v>
      </c>
      <c r="Y91">
        <v>0.25241374799999999</v>
      </c>
      <c r="Z91">
        <v>0.23653195399999999</v>
      </c>
      <c r="AA91">
        <v>0.23823068999999999</v>
      </c>
      <c r="AB91">
        <v>0.21744166000000001</v>
      </c>
      <c r="AC91">
        <v>0.210554344</v>
      </c>
    </row>
    <row r="92" spans="1:29" x14ac:dyDescent="0.25">
      <c r="A92" t="s">
        <v>82</v>
      </c>
      <c r="B92" t="s">
        <v>83</v>
      </c>
      <c r="C92" t="s">
        <v>99</v>
      </c>
      <c r="D92" t="s">
        <v>100</v>
      </c>
      <c r="E92" t="s">
        <v>55</v>
      </c>
      <c r="F92">
        <v>1.2414399E-2</v>
      </c>
      <c r="G92">
        <v>9.0390959999999999E-3</v>
      </c>
      <c r="H92">
        <v>9.0622840000000003E-3</v>
      </c>
      <c r="I92">
        <v>8.5504980000000001E-3</v>
      </c>
      <c r="J92">
        <v>8.7340200000000001E-5</v>
      </c>
      <c r="K92">
        <v>9.3366400000000001E-5</v>
      </c>
      <c r="L92">
        <v>8.0151199999999999E-5</v>
      </c>
      <c r="M92">
        <v>9.7085100000000003E-5</v>
      </c>
      <c r="N92">
        <v>4.9065199999999995E-4</v>
      </c>
      <c r="O92">
        <v>1.5807000000000001E-4</v>
      </c>
      <c r="P92">
        <v>1.8236000000000001E-4</v>
      </c>
      <c r="Q92">
        <v>1.97264E-4</v>
      </c>
      <c r="R92">
        <v>1.2414399E-2</v>
      </c>
      <c r="S92">
        <v>9.0390959999999999E-3</v>
      </c>
      <c r="T92">
        <v>9.0622840000000003E-3</v>
      </c>
      <c r="U92">
        <v>8.5504980000000001E-3</v>
      </c>
      <c r="V92">
        <v>8.7340200000000001E-5</v>
      </c>
      <c r="W92">
        <v>9.3366400000000001E-5</v>
      </c>
      <c r="X92">
        <v>8.0151199999999999E-5</v>
      </c>
      <c r="Y92">
        <v>9.7085100000000003E-5</v>
      </c>
      <c r="Z92">
        <v>4.9065199999999995E-4</v>
      </c>
      <c r="AA92">
        <v>1.5807000000000001E-4</v>
      </c>
      <c r="AB92">
        <v>1.8236000000000001E-4</v>
      </c>
      <c r="AC92">
        <v>1.97264E-4</v>
      </c>
    </row>
    <row r="93" spans="1:29" x14ac:dyDescent="0.25">
      <c r="A93" t="s">
        <v>84</v>
      </c>
      <c r="B93" t="s">
        <v>85</v>
      </c>
      <c r="C93" t="s">
        <v>99</v>
      </c>
      <c r="D93" t="s">
        <v>100</v>
      </c>
      <c r="E93" t="s">
        <v>55</v>
      </c>
      <c r="F93">
        <v>5.6003197999999997E-2</v>
      </c>
      <c r="G93">
        <v>5.1710954000000003E-2</v>
      </c>
      <c r="H93">
        <v>5.4111815000000001E-2</v>
      </c>
      <c r="I93">
        <v>3.7438952999999997E-2</v>
      </c>
      <c r="J93">
        <v>3.1857366999999998E-2</v>
      </c>
      <c r="K93">
        <v>2.4175094000000001E-2</v>
      </c>
      <c r="L93">
        <v>2.4042075E-2</v>
      </c>
      <c r="M93">
        <v>3.3750451000000001E-2</v>
      </c>
      <c r="N93">
        <v>4.5321259000000003E-2</v>
      </c>
      <c r="O93">
        <v>3.8223557999999998E-2</v>
      </c>
      <c r="P93">
        <v>3.9411092000000002E-2</v>
      </c>
      <c r="Q93">
        <v>4.7837658999999998E-2</v>
      </c>
      <c r="R93">
        <v>5.6003197999999997E-2</v>
      </c>
      <c r="S93">
        <v>5.1710954000000003E-2</v>
      </c>
      <c r="T93">
        <v>5.4111815000000001E-2</v>
      </c>
      <c r="U93">
        <v>3.7438952999999997E-2</v>
      </c>
      <c r="V93">
        <v>3.1857366999999998E-2</v>
      </c>
      <c r="W93">
        <v>2.4175094000000001E-2</v>
      </c>
      <c r="X93">
        <v>2.4042075E-2</v>
      </c>
      <c r="Y93">
        <v>3.3750451000000001E-2</v>
      </c>
      <c r="Z93">
        <v>4.5321259000000003E-2</v>
      </c>
      <c r="AA93">
        <v>3.8223557999999998E-2</v>
      </c>
      <c r="AB93">
        <v>3.9411092000000002E-2</v>
      </c>
      <c r="AC93">
        <v>4.7837658999999998E-2</v>
      </c>
    </row>
    <row r="94" spans="1:29" x14ac:dyDescent="0.25">
      <c r="A94" t="s">
        <v>86</v>
      </c>
      <c r="B94" t="s">
        <v>87</v>
      </c>
      <c r="C94" t="s">
        <v>99</v>
      </c>
      <c r="D94" t="s">
        <v>100</v>
      </c>
      <c r="E94" t="s">
        <v>55</v>
      </c>
      <c r="F94">
        <v>0.109406138</v>
      </c>
      <c r="G94">
        <v>9.5744394999999996E-2</v>
      </c>
      <c r="H94">
        <v>8.4828528E-2</v>
      </c>
      <c r="I94">
        <v>8.7196869999999996E-2</v>
      </c>
      <c r="J94">
        <v>7.8922912999999997E-2</v>
      </c>
      <c r="K94">
        <v>8.3167981000000002E-2</v>
      </c>
      <c r="L94">
        <v>9.1711215999999998E-2</v>
      </c>
      <c r="M94">
        <v>0.119945699</v>
      </c>
      <c r="N94">
        <v>0.123609759</v>
      </c>
      <c r="O94">
        <v>0.104175054</v>
      </c>
      <c r="P94">
        <v>0.12895515299999999</v>
      </c>
      <c r="Q94">
        <v>0.14142279799999999</v>
      </c>
      <c r="R94">
        <v>0.109406138</v>
      </c>
      <c r="S94">
        <v>9.5744394999999996E-2</v>
      </c>
      <c r="T94">
        <v>8.4828528E-2</v>
      </c>
      <c r="U94">
        <v>8.7196869999999996E-2</v>
      </c>
      <c r="V94">
        <v>7.8922912999999997E-2</v>
      </c>
      <c r="W94">
        <v>8.3167981000000002E-2</v>
      </c>
      <c r="X94">
        <v>9.1711215999999998E-2</v>
      </c>
      <c r="Y94">
        <v>0.119945699</v>
      </c>
      <c r="Z94">
        <v>0.123609759</v>
      </c>
      <c r="AA94">
        <v>0.104175054</v>
      </c>
      <c r="AB94">
        <v>0.12895515299999999</v>
      </c>
      <c r="AC94">
        <v>0.14142279799999999</v>
      </c>
    </row>
    <row r="95" spans="1:29" x14ac:dyDescent="0.25">
      <c r="A95" t="s">
        <v>101</v>
      </c>
      <c r="B95" t="s">
        <v>49</v>
      </c>
      <c r="E95" t="s">
        <v>50</v>
      </c>
      <c r="F95">
        <v>1.4543590546153846</v>
      </c>
      <c r="G95">
        <v>1.8737500219285714</v>
      </c>
      <c r="H95">
        <v>1.6234766228571427</v>
      </c>
      <c r="I95">
        <v>1.3663718945714287</v>
      </c>
      <c r="J95">
        <v>1.1240654794285714</v>
      </c>
      <c r="K95">
        <v>1.5960887612666665</v>
      </c>
      <c r="L95">
        <v>1.3677990543333334</v>
      </c>
      <c r="M95">
        <v>1.2589032960666666</v>
      </c>
      <c r="N95">
        <v>1.3318217153999998</v>
      </c>
      <c r="O95">
        <v>1.1872210210714285</v>
      </c>
      <c r="P95">
        <v>1.0225831850769229</v>
      </c>
      <c r="Q95">
        <v>1.0794048243076924</v>
      </c>
      <c r="R95">
        <v>1.4543590550000001</v>
      </c>
      <c r="S95">
        <v>1.8737500220000001</v>
      </c>
      <c r="T95">
        <v>1.623476623</v>
      </c>
      <c r="U95">
        <v>1.3663718949999999</v>
      </c>
      <c r="V95">
        <v>1.124065479</v>
      </c>
      <c r="W95">
        <v>1.5960887610000001</v>
      </c>
      <c r="X95">
        <v>1.367799054</v>
      </c>
      <c r="Y95">
        <v>1.2589032959999999</v>
      </c>
      <c r="Z95">
        <v>1.331821715</v>
      </c>
      <c r="AA95">
        <v>1.187221021</v>
      </c>
      <c r="AB95">
        <v>1.022583185</v>
      </c>
      <c r="AC95">
        <v>1.079404824</v>
      </c>
    </row>
    <row r="96" spans="1:29" x14ac:dyDescent="0.25">
      <c r="A96" t="s">
        <v>51</v>
      </c>
      <c r="B96" t="s">
        <v>52</v>
      </c>
      <c r="C96" t="s">
        <v>102</v>
      </c>
      <c r="D96" t="s">
        <v>103</v>
      </c>
      <c r="E96" t="s">
        <v>55</v>
      </c>
      <c r="F96">
        <v>0.39732855500000003</v>
      </c>
      <c r="G96">
        <v>0.40998790600000001</v>
      </c>
      <c r="H96">
        <v>3.1360569999999998E-3</v>
      </c>
      <c r="I96">
        <v>3.3463519999999999E-3</v>
      </c>
      <c r="J96">
        <v>3.3951749999999998E-3</v>
      </c>
      <c r="K96">
        <v>3.5105029999999999E-3</v>
      </c>
      <c r="L96">
        <v>3.6228639999999999E-3</v>
      </c>
      <c r="M96">
        <v>4.330909E-3</v>
      </c>
      <c r="N96">
        <v>4.9411739999999996E-3</v>
      </c>
      <c r="O96">
        <v>4.4643690000000001E-3</v>
      </c>
      <c r="P96">
        <v>4.6132059999999999E-3</v>
      </c>
      <c r="Q96">
        <v>5.2270520000000003E-3</v>
      </c>
      <c r="R96">
        <v>0.39732855500000003</v>
      </c>
      <c r="S96">
        <v>0.40998790600000001</v>
      </c>
      <c r="T96">
        <v>3.1360569999999998E-3</v>
      </c>
      <c r="U96">
        <v>3.3463519999999999E-3</v>
      </c>
      <c r="V96">
        <v>3.3951749999999998E-3</v>
      </c>
      <c r="W96">
        <v>3.5105029999999999E-3</v>
      </c>
      <c r="X96">
        <v>3.6228639999999999E-3</v>
      </c>
      <c r="Y96">
        <v>4.330909E-3</v>
      </c>
      <c r="Z96">
        <v>4.9411739999999996E-3</v>
      </c>
      <c r="AA96">
        <v>4.4643690000000001E-3</v>
      </c>
      <c r="AB96">
        <v>4.6132059999999999E-3</v>
      </c>
      <c r="AC96">
        <v>5.2270520000000003E-3</v>
      </c>
    </row>
    <row r="97" spans="1:29" x14ac:dyDescent="0.25">
      <c r="A97" t="s">
        <v>56</v>
      </c>
      <c r="B97" t="s">
        <v>57</v>
      </c>
      <c r="C97" t="s">
        <v>102</v>
      </c>
      <c r="D97" t="s">
        <v>103</v>
      </c>
      <c r="E97" t="s">
        <v>55</v>
      </c>
      <c r="F97">
        <v>0.79635745400000002</v>
      </c>
      <c r="G97">
        <v>0.359168879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0.165591244</v>
      </c>
      <c r="O97">
        <v>0</v>
      </c>
      <c r="P97">
        <v>0</v>
      </c>
      <c r="Q97">
        <v>0</v>
      </c>
      <c r="R97">
        <v>0.79635745400000002</v>
      </c>
      <c r="S97">
        <v>0.359168879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0.165591244</v>
      </c>
      <c r="AA97">
        <v>0</v>
      </c>
      <c r="AB97">
        <v>0</v>
      </c>
      <c r="AC97">
        <v>0</v>
      </c>
    </row>
    <row r="98" spans="1:29" x14ac:dyDescent="0.25">
      <c r="A98" t="s">
        <v>58</v>
      </c>
      <c r="B98" t="s">
        <v>59</v>
      </c>
      <c r="C98" t="s">
        <v>102</v>
      </c>
      <c r="D98" t="s">
        <v>103</v>
      </c>
      <c r="E98" t="s">
        <v>55</v>
      </c>
      <c r="F98" t="s">
        <v>46</v>
      </c>
      <c r="G98" t="s">
        <v>46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</row>
    <row r="99" spans="1:29" x14ac:dyDescent="0.25">
      <c r="A99" t="s">
        <v>60</v>
      </c>
      <c r="B99" t="s">
        <v>61</v>
      </c>
      <c r="C99" t="s">
        <v>102</v>
      </c>
      <c r="D99" t="s">
        <v>103</v>
      </c>
      <c r="E99" t="s">
        <v>55</v>
      </c>
      <c r="F99" t="s">
        <v>46</v>
      </c>
      <c r="G99" t="s">
        <v>46</v>
      </c>
      <c r="H99" t="s">
        <v>46</v>
      </c>
      <c r="I99" t="s">
        <v>46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46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</row>
    <row r="100" spans="1:29" x14ac:dyDescent="0.25">
      <c r="A100" t="s">
        <v>62</v>
      </c>
      <c r="B100" t="s">
        <v>63</v>
      </c>
      <c r="C100" t="s">
        <v>102</v>
      </c>
      <c r="D100" t="s">
        <v>103</v>
      </c>
      <c r="E100" t="s">
        <v>55</v>
      </c>
      <c r="F100">
        <v>1.8872556949999999</v>
      </c>
      <c r="G100">
        <v>1.385215308</v>
      </c>
      <c r="H100">
        <v>1.088274521</v>
      </c>
      <c r="I100">
        <v>1.187936184</v>
      </c>
      <c r="J100">
        <v>1.017501419</v>
      </c>
      <c r="K100">
        <v>1.0731779749999999</v>
      </c>
      <c r="L100">
        <v>0.91889797100000004</v>
      </c>
      <c r="M100">
        <v>0.99888706900000002</v>
      </c>
      <c r="N100">
        <v>0.97508433999999999</v>
      </c>
      <c r="O100">
        <v>0.99530980899999999</v>
      </c>
      <c r="P100">
        <v>0.99803074199999997</v>
      </c>
      <c r="Q100">
        <v>0.88328928900000003</v>
      </c>
      <c r="R100">
        <v>1.8872556949999999</v>
      </c>
      <c r="S100">
        <v>1.385215308</v>
      </c>
      <c r="T100">
        <v>1.088274521</v>
      </c>
      <c r="U100">
        <v>1.187936184</v>
      </c>
      <c r="V100">
        <v>1.017501419</v>
      </c>
      <c r="W100">
        <v>1.0731779749999999</v>
      </c>
      <c r="X100">
        <v>0.91889797100000004</v>
      </c>
      <c r="Y100">
        <v>0.99888706900000002</v>
      </c>
      <c r="Z100">
        <v>0.97508433999999999</v>
      </c>
      <c r="AA100">
        <v>0.99530980899999999</v>
      </c>
      <c r="AB100">
        <v>0.99803074199999997</v>
      </c>
      <c r="AC100">
        <v>0.88328928900000003</v>
      </c>
    </row>
    <row r="101" spans="1:29" x14ac:dyDescent="0.25">
      <c r="A101" t="s">
        <v>64</v>
      </c>
      <c r="B101" t="s">
        <v>65</v>
      </c>
      <c r="C101" t="s">
        <v>102</v>
      </c>
      <c r="D101" t="s">
        <v>103</v>
      </c>
      <c r="E101" t="s">
        <v>55</v>
      </c>
      <c r="F101">
        <v>1.0595386529999999</v>
      </c>
      <c r="G101">
        <v>0.54060031600000003</v>
      </c>
      <c r="H101">
        <v>0.52904564300000001</v>
      </c>
      <c r="I101">
        <v>0.50923645299999998</v>
      </c>
      <c r="J101">
        <v>0.50964884499999996</v>
      </c>
      <c r="K101">
        <v>0.22582600799999999</v>
      </c>
      <c r="L101">
        <v>0.22249538999999999</v>
      </c>
      <c r="M101">
        <v>0.23823155200000001</v>
      </c>
      <c r="N101">
        <v>0.244310999</v>
      </c>
      <c r="O101">
        <v>0.288309115</v>
      </c>
      <c r="P101">
        <v>0.28272071500000001</v>
      </c>
      <c r="Q101">
        <v>0.35030045900000001</v>
      </c>
      <c r="R101">
        <v>1.0595386529999999</v>
      </c>
      <c r="S101">
        <v>0.54060031600000003</v>
      </c>
      <c r="T101">
        <v>0.52904564300000001</v>
      </c>
      <c r="U101">
        <v>0.50923645299999998</v>
      </c>
      <c r="V101">
        <v>0.50964884499999996</v>
      </c>
      <c r="W101">
        <v>0.22582600799999999</v>
      </c>
      <c r="X101">
        <v>0.22249538999999999</v>
      </c>
      <c r="Y101">
        <v>0.23823155200000001</v>
      </c>
      <c r="Z101">
        <v>0.244310999</v>
      </c>
      <c r="AA101">
        <v>0.288309115</v>
      </c>
      <c r="AB101">
        <v>0.28272071500000001</v>
      </c>
      <c r="AC101">
        <v>0.35030045900000001</v>
      </c>
    </row>
    <row r="102" spans="1:29" x14ac:dyDescent="0.25">
      <c r="A102" t="s">
        <v>66</v>
      </c>
      <c r="B102" t="s">
        <v>67</v>
      </c>
      <c r="C102" t="s">
        <v>102</v>
      </c>
      <c r="D102" t="s">
        <v>103</v>
      </c>
      <c r="E102" t="s">
        <v>55</v>
      </c>
      <c r="F102" t="s">
        <v>46</v>
      </c>
      <c r="G102" t="s">
        <v>46</v>
      </c>
      <c r="H102" t="s">
        <v>46</v>
      </c>
      <c r="I102" t="s">
        <v>46</v>
      </c>
      <c r="J102" t="s">
        <v>46</v>
      </c>
      <c r="K102">
        <v>8.8033707870000004</v>
      </c>
      <c r="L102">
        <v>4.6656804730000001</v>
      </c>
      <c r="M102">
        <v>3.2651757190000001</v>
      </c>
      <c r="N102">
        <v>3.6336283190000001</v>
      </c>
      <c r="O102">
        <v>3.3898026319999999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>
        <v>8.8033707870000004</v>
      </c>
      <c r="X102">
        <v>4.6656804730000001</v>
      </c>
      <c r="Y102">
        <v>3.2651757190000001</v>
      </c>
      <c r="Z102">
        <v>3.6336283190000001</v>
      </c>
      <c r="AA102">
        <v>3.3898026319999999</v>
      </c>
      <c r="AB102" t="s">
        <v>46</v>
      </c>
      <c r="AC102" t="s">
        <v>46</v>
      </c>
    </row>
    <row r="103" spans="1:29" x14ac:dyDescent="0.25">
      <c r="A103" t="s">
        <v>68</v>
      </c>
      <c r="B103" t="s">
        <v>69</v>
      </c>
      <c r="C103" t="s">
        <v>102</v>
      </c>
      <c r="D103" t="s">
        <v>103</v>
      </c>
      <c r="E103" t="s">
        <v>55</v>
      </c>
      <c r="F103" t="s">
        <v>46</v>
      </c>
      <c r="G103">
        <v>9.3142941700000002</v>
      </c>
      <c r="H103">
        <v>7.3549046320000002</v>
      </c>
      <c r="I103">
        <v>2.8723843969999998</v>
      </c>
      <c r="J103">
        <v>2.1748826289999998</v>
      </c>
      <c r="K103">
        <v>1.9994710389999999</v>
      </c>
      <c r="L103">
        <v>1.9064026039999999</v>
      </c>
      <c r="M103">
        <v>1.7284979170000001</v>
      </c>
      <c r="N103">
        <v>2.2120961060000002</v>
      </c>
      <c r="O103" t="s">
        <v>46</v>
      </c>
      <c r="P103" t="s">
        <v>46</v>
      </c>
      <c r="Q103" t="s">
        <v>46</v>
      </c>
      <c r="R103" t="s">
        <v>46</v>
      </c>
      <c r="S103">
        <v>9.3142941700000002</v>
      </c>
      <c r="T103">
        <v>7.3549046320000002</v>
      </c>
      <c r="U103">
        <v>2.8723843969999998</v>
      </c>
      <c r="V103">
        <v>2.1748826289999998</v>
      </c>
      <c r="W103">
        <v>1.9994710389999999</v>
      </c>
      <c r="X103">
        <v>1.9064026039999999</v>
      </c>
      <c r="Y103">
        <v>1.7284979170000001</v>
      </c>
      <c r="Z103">
        <v>2.2120961060000002</v>
      </c>
      <c r="AA103" t="s">
        <v>46</v>
      </c>
      <c r="AB103" t="s">
        <v>46</v>
      </c>
      <c r="AC103" t="s">
        <v>46</v>
      </c>
    </row>
    <row r="104" spans="1:29" x14ac:dyDescent="0.25">
      <c r="A104" t="s">
        <v>70</v>
      </c>
      <c r="B104" t="s">
        <v>71</v>
      </c>
      <c r="C104" t="s">
        <v>102</v>
      </c>
      <c r="D104" t="s">
        <v>103</v>
      </c>
      <c r="E104" t="s">
        <v>55</v>
      </c>
      <c r="F104">
        <v>0.62026074499999995</v>
      </c>
      <c r="G104">
        <v>0.64367681300000001</v>
      </c>
      <c r="H104">
        <v>0.58043338600000005</v>
      </c>
      <c r="I104">
        <v>0.61412590899999997</v>
      </c>
      <c r="J104">
        <v>0.54546251899999998</v>
      </c>
      <c r="K104">
        <v>8.8635430000000001E-2</v>
      </c>
      <c r="L104">
        <v>9.8653117999999998E-2</v>
      </c>
      <c r="M104">
        <v>0.105909245</v>
      </c>
      <c r="N104">
        <v>0.113367128</v>
      </c>
      <c r="O104">
        <v>0.124228319</v>
      </c>
      <c r="P104">
        <v>0.13507783900000001</v>
      </c>
      <c r="Q104">
        <v>0.14831118500000001</v>
      </c>
      <c r="R104">
        <v>0.62026074499999995</v>
      </c>
      <c r="S104">
        <v>0.64367681300000001</v>
      </c>
      <c r="T104">
        <v>0.58043338600000005</v>
      </c>
      <c r="U104">
        <v>0.61412590899999997</v>
      </c>
      <c r="V104">
        <v>0.54546251899999998</v>
      </c>
      <c r="W104">
        <v>8.8635430000000001E-2</v>
      </c>
      <c r="X104">
        <v>9.8653117999999998E-2</v>
      </c>
      <c r="Y104">
        <v>0.105909245</v>
      </c>
      <c r="Z104">
        <v>0.113367128</v>
      </c>
      <c r="AA104">
        <v>0.124228319</v>
      </c>
      <c r="AB104">
        <v>0.13507783900000001</v>
      </c>
      <c r="AC104">
        <v>0.14831118500000001</v>
      </c>
    </row>
    <row r="105" spans="1:29" x14ac:dyDescent="0.25">
      <c r="A105" t="s">
        <v>72</v>
      </c>
      <c r="B105" t="s">
        <v>73</v>
      </c>
      <c r="C105" t="s">
        <v>102</v>
      </c>
      <c r="D105" t="s">
        <v>103</v>
      </c>
      <c r="E105" t="s">
        <v>55</v>
      </c>
      <c r="F105">
        <v>2.9941495100000002</v>
      </c>
      <c r="G105">
        <v>2.8987534089999998</v>
      </c>
      <c r="H105">
        <v>2.6084972749999999</v>
      </c>
      <c r="I105">
        <v>2.8362987300000002</v>
      </c>
      <c r="J105">
        <v>3.05335702</v>
      </c>
      <c r="K105">
        <v>2.8860690020000002</v>
      </c>
      <c r="L105">
        <v>3.2527171159999999</v>
      </c>
      <c r="M105">
        <v>2.9712700070000002</v>
      </c>
      <c r="N105">
        <v>3.1577025889999999</v>
      </c>
      <c r="O105">
        <v>2.852956635</v>
      </c>
      <c r="P105">
        <v>2.727292104</v>
      </c>
      <c r="Q105">
        <v>2.951999163</v>
      </c>
      <c r="R105">
        <v>2.9941495100000002</v>
      </c>
      <c r="S105">
        <v>2.8987534089999998</v>
      </c>
      <c r="T105">
        <v>2.6084972749999999</v>
      </c>
      <c r="U105">
        <v>2.8362987300000002</v>
      </c>
      <c r="V105">
        <v>3.05335702</v>
      </c>
      <c r="W105">
        <v>2.8860690020000002</v>
      </c>
      <c r="X105">
        <v>3.2527171159999999</v>
      </c>
      <c r="Y105">
        <v>2.9712700070000002</v>
      </c>
      <c r="Z105">
        <v>3.1577025889999999</v>
      </c>
      <c r="AA105">
        <v>2.852956635</v>
      </c>
      <c r="AB105">
        <v>2.727292104</v>
      </c>
      <c r="AC105">
        <v>2.951999163</v>
      </c>
    </row>
    <row r="106" spans="1:29" x14ac:dyDescent="0.25">
      <c r="A106" t="s">
        <v>74</v>
      </c>
      <c r="B106" t="s">
        <v>75</v>
      </c>
      <c r="C106" t="s">
        <v>102</v>
      </c>
      <c r="D106" t="s">
        <v>103</v>
      </c>
      <c r="E106" t="s">
        <v>55</v>
      </c>
      <c r="F106">
        <v>0.450200879</v>
      </c>
      <c r="G106">
        <v>0.40505183099999997</v>
      </c>
      <c r="H106">
        <v>0.43781379999999998</v>
      </c>
      <c r="I106">
        <v>0.28809071800000002</v>
      </c>
      <c r="J106">
        <v>0.30492914599999998</v>
      </c>
      <c r="K106">
        <v>0.285810385</v>
      </c>
      <c r="L106">
        <v>0.22327580299999999</v>
      </c>
      <c r="M106">
        <v>2.8505330999999998E-2</v>
      </c>
      <c r="N106">
        <v>4.3479642999999998E-2</v>
      </c>
      <c r="O106">
        <v>4.6616787999999999E-2</v>
      </c>
      <c r="P106">
        <v>6.7878260999999995E-2</v>
      </c>
      <c r="Q106">
        <v>5.5511029000000003E-2</v>
      </c>
      <c r="R106">
        <v>0.450200879</v>
      </c>
      <c r="S106">
        <v>0.40505183099999997</v>
      </c>
      <c r="T106">
        <v>0.43781379999999998</v>
      </c>
      <c r="U106">
        <v>0.28809071800000002</v>
      </c>
      <c r="V106">
        <v>0.30492914599999998</v>
      </c>
      <c r="W106">
        <v>0.285810385</v>
      </c>
      <c r="X106">
        <v>0.22327580299999999</v>
      </c>
      <c r="Y106">
        <v>2.8505330999999998E-2</v>
      </c>
      <c r="Z106">
        <v>4.3479642999999998E-2</v>
      </c>
      <c r="AA106">
        <v>4.6616787999999999E-2</v>
      </c>
      <c r="AB106">
        <v>6.7878260999999995E-2</v>
      </c>
      <c r="AC106">
        <v>5.5511029000000003E-2</v>
      </c>
    </row>
    <row r="107" spans="1:29" x14ac:dyDescent="0.25">
      <c r="A107" t="s">
        <v>76</v>
      </c>
      <c r="B107" t="s">
        <v>77</v>
      </c>
      <c r="C107" t="s">
        <v>102</v>
      </c>
      <c r="D107" t="s">
        <v>103</v>
      </c>
      <c r="E107" t="s">
        <v>55</v>
      </c>
      <c r="F107">
        <v>4.6769170530000004</v>
      </c>
      <c r="G107">
        <v>4.6041347799999999</v>
      </c>
      <c r="H107">
        <v>4.6575013150000002</v>
      </c>
      <c r="I107">
        <v>5.1692380130000002</v>
      </c>
      <c r="J107">
        <v>4.540798691</v>
      </c>
      <c r="K107">
        <v>4.7808941410000001</v>
      </c>
      <c r="L107">
        <v>5.5363830729999997</v>
      </c>
      <c r="M107">
        <v>5.8263690620000004</v>
      </c>
      <c r="N107">
        <v>5.0877298360000003</v>
      </c>
      <c r="O107">
        <v>4.8362047590000001</v>
      </c>
      <c r="P107">
        <v>5.2902646139999998</v>
      </c>
      <c r="Q107">
        <v>5.7805899150000002</v>
      </c>
      <c r="R107">
        <v>4.6769170530000004</v>
      </c>
      <c r="S107">
        <v>4.6041347799999999</v>
      </c>
      <c r="T107">
        <v>4.6575013150000002</v>
      </c>
      <c r="U107">
        <v>5.1692380130000002</v>
      </c>
      <c r="V107">
        <v>4.540798691</v>
      </c>
      <c r="W107">
        <v>4.7808941410000001</v>
      </c>
      <c r="X107">
        <v>5.5363830729999997</v>
      </c>
      <c r="Y107">
        <v>5.8263690620000004</v>
      </c>
      <c r="Z107">
        <v>5.0877298360000003</v>
      </c>
      <c r="AA107">
        <v>4.8362047590000001</v>
      </c>
      <c r="AB107">
        <v>5.2902646139999998</v>
      </c>
      <c r="AC107">
        <v>5.7805899150000002</v>
      </c>
    </row>
    <row r="108" spans="1:29" x14ac:dyDescent="0.25">
      <c r="A108" t="s">
        <v>78</v>
      </c>
      <c r="B108" t="s">
        <v>79</v>
      </c>
      <c r="C108" t="s">
        <v>102</v>
      </c>
      <c r="D108" t="s">
        <v>103</v>
      </c>
      <c r="E108" t="s">
        <v>55</v>
      </c>
      <c r="F108">
        <v>0.20806574799999999</v>
      </c>
      <c r="G108">
        <v>0.19057037700000001</v>
      </c>
      <c r="H108">
        <v>0.190960187</v>
      </c>
      <c r="I108">
        <v>0.18187858900000001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0.20806574799999999</v>
      </c>
      <c r="S108">
        <v>0.19057037700000001</v>
      </c>
      <c r="T108">
        <v>0.190960187</v>
      </c>
      <c r="U108">
        <v>0.18187858900000001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 t="s">
        <v>80</v>
      </c>
      <c r="B109" t="s">
        <v>81</v>
      </c>
      <c r="C109" t="s">
        <v>102</v>
      </c>
      <c r="D109" t="s">
        <v>103</v>
      </c>
      <c r="E109" t="s">
        <v>55</v>
      </c>
      <c r="F109">
        <v>4.3938128680000004</v>
      </c>
      <c r="G109">
        <v>3.8772398890000002</v>
      </c>
      <c r="H109">
        <v>3.7156025819999998</v>
      </c>
      <c r="I109">
        <v>3.895052717</v>
      </c>
      <c r="J109">
        <v>2.4142460589999999</v>
      </c>
      <c r="K109">
        <v>2.5760233920000002</v>
      </c>
      <c r="L109">
        <v>2.2757674209999998</v>
      </c>
      <c r="M109">
        <v>2.2352672450000002</v>
      </c>
      <c r="N109">
        <v>2.4934045230000002</v>
      </c>
      <c r="O109">
        <v>2.5313970270000001</v>
      </c>
      <c r="P109">
        <v>2.1691115769999998</v>
      </c>
      <c r="Q109">
        <v>2.2184884610000002</v>
      </c>
      <c r="R109">
        <v>4.3938128680000004</v>
      </c>
      <c r="S109">
        <v>3.8772398890000002</v>
      </c>
      <c r="T109">
        <v>3.7156025819999998</v>
      </c>
      <c r="U109">
        <v>3.895052717</v>
      </c>
      <c r="V109">
        <v>2.4142460589999999</v>
      </c>
      <c r="W109">
        <v>2.5760233920000002</v>
      </c>
      <c r="X109">
        <v>2.2757674209999998</v>
      </c>
      <c r="Y109">
        <v>2.2352672450000002</v>
      </c>
      <c r="Z109">
        <v>2.4934045230000002</v>
      </c>
      <c r="AA109">
        <v>2.5313970270000001</v>
      </c>
      <c r="AB109">
        <v>2.1691115769999998</v>
      </c>
      <c r="AC109">
        <v>2.2184884610000002</v>
      </c>
    </row>
    <row r="110" spans="1:29" x14ac:dyDescent="0.25">
      <c r="A110" t="s">
        <v>82</v>
      </c>
      <c r="B110" t="s">
        <v>83</v>
      </c>
      <c r="C110" t="s">
        <v>102</v>
      </c>
      <c r="D110" t="s">
        <v>103</v>
      </c>
      <c r="E110" t="s">
        <v>55</v>
      </c>
      <c r="F110">
        <v>0.19411527200000001</v>
      </c>
      <c r="G110">
        <v>0.17149998799999999</v>
      </c>
      <c r="H110">
        <v>0.16784185700000001</v>
      </c>
      <c r="I110">
        <v>0.16915398300000001</v>
      </c>
      <c r="J110">
        <v>1.569382E-3</v>
      </c>
      <c r="K110">
        <v>1.6542379999999999E-3</v>
      </c>
      <c r="L110">
        <v>1.736111E-3</v>
      </c>
      <c r="M110">
        <v>1.902031E-3</v>
      </c>
      <c r="N110">
        <v>7.5962599999999996E-3</v>
      </c>
      <c r="O110">
        <v>2.3752970000000002E-3</v>
      </c>
      <c r="P110">
        <v>2.473542E-3</v>
      </c>
      <c r="Q110">
        <v>2.6030229999999999E-3</v>
      </c>
      <c r="R110">
        <v>0.19411527200000001</v>
      </c>
      <c r="S110">
        <v>0.17149998799999999</v>
      </c>
      <c r="T110">
        <v>0.16784185700000001</v>
      </c>
      <c r="U110">
        <v>0.16915398300000001</v>
      </c>
      <c r="V110">
        <v>1.569382E-3</v>
      </c>
      <c r="W110">
        <v>1.6542379999999999E-3</v>
      </c>
      <c r="X110">
        <v>1.736111E-3</v>
      </c>
      <c r="Y110">
        <v>1.902031E-3</v>
      </c>
      <c r="Z110">
        <v>7.5962599999999996E-3</v>
      </c>
      <c r="AA110">
        <v>2.3752970000000002E-3</v>
      </c>
      <c r="AB110">
        <v>2.473542E-3</v>
      </c>
      <c r="AC110">
        <v>2.6030229999999999E-3</v>
      </c>
    </row>
    <row r="111" spans="1:29" x14ac:dyDescent="0.25">
      <c r="A111" t="s">
        <v>84</v>
      </c>
      <c r="B111" t="s">
        <v>85</v>
      </c>
      <c r="C111" t="s">
        <v>102</v>
      </c>
      <c r="D111" t="s">
        <v>103</v>
      </c>
      <c r="E111" t="s">
        <v>55</v>
      </c>
      <c r="F111">
        <v>0.44080564100000003</v>
      </c>
      <c r="G111">
        <v>0.53221155499999995</v>
      </c>
      <c r="H111">
        <v>0.51140765600000004</v>
      </c>
      <c r="I111">
        <v>0.385010136</v>
      </c>
      <c r="J111">
        <v>0.314899123</v>
      </c>
      <c r="K111">
        <v>0.26267552599999999</v>
      </c>
      <c r="L111">
        <v>0.26194178899999998</v>
      </c>
      <c r="M111">
        <v>0.34849714300000001</v>
      </c>
      <c r="N111">
        <v>0.50808470800000005</v>
      </c>
      <c r="O111">
        <v>0.36793864399999998</v>
      </c>
      <c r="P111">
        <v>0.34784442399999999</v>
      </c>
      <c r="Q111">
        <v>0.34631230200000002</v>
      </c>
      <c r="R111">
        <v>0.44080564100000003</v>
      </c>
      <c r="S111">
        <v>0.53221155499999995</v>
      </c>
      <c r="T111">
        <v>0.51140765600000004</v>
      </c>
      <c r="U111">
        <v>0.385010136</v>
      </c>
      <c r="V111">
        <v>0.314899123</v>
      </c>
      <c r="W111">
        <v>0.26267552599999999</v>
      </c>
      <c r="X111">
        <v>0.26194178899999998</v>
      </c>
      <c r="Y111">
        <v>0.34849714300000001</v>
      </c>
      <c r="Z111">
        <v>0.50808470800000005</v>
      </c>
      <c r="AA111">
        <v>0.36793864399999998</v>
      </c>
      <c r="AB111">
        <v>0.34784442399999999</v>
      </c>
      <c r="AC111">
        <v>0.34631230200000002</v>
      </c>
    </row>
    <row r="112" spans="1:29" x14ac:dyDescent="0.25">
      <c r="A112" t="s">
        <v>86</v>
      </c>
      <c r="B112" t="s">
        <v>87</v>
      </c>
      <c r="C112" t="s">
        <v>102</v>
      </c>
      <c r="D112" t="s">
        <v>103</v>
      </c>
      <c r="E112" t="s">
        <v>55</v>
      </c>
      <c r="F112">
        <v>0.78785963699999995</v>
      </c>
      <c r="G112">
        <v>0.90009508599999999</v>
      </c>
      <c r="H112">
        <v>0.88325380899999995</v>
      </c>
      <c r="I112">
        <v>1.017454343</v>
      </c>
      <c r="J112">
        <v>0.85622670400000001</v>
      </c>
      <c r="K112">
        <v>0.95421299299999995</v>
      </c>
      <c r="L112">
        <v>1.149412082</v>
      </c>
      <c r="M112">
        <v>1.1307062109999999</v>
      </c>
      <c r="N112">
        <v>1.3303088620000001</v>
      </c>
      <c r="O112">
        <v>1.1814909010000001</v>
      </c>
      <c r="P112">
        <v>1.268274382</v>
      </c>
      <c r="Q112">
        <v>1.2896308379999999</v>
      </c>
      <c r="R112">
        <v>0.78785963699999995</v>
      </c>
      <c r="S112">
        <v>0.90009508599999999</v>
      </c>
      <c r="T112">
        <v>0.88325380899999995</v>
      </c>
      <c r="U112">
        <v>1.017454343</v>
      </c>
      <c r="V112">
        <v>0.85622670400000001</v>
      </c>
      <c r="W112">
        <v>0.95421299299999995</v>
      </c>
      <c r="X112">
        <v>1.149412082</v>
      </c>
      <c r="Y112">
        <v>1.1307062109999999</v>
      </c>
      <c r="Z112">
        <v>1.3303088620000001</v>
      </c>
      <c r="AA112">
        <v>1.1814909010000001</v>
      </c>
      <c r="AB112">
        <v>1.268274382</v>
      </c>
      <c r="AC112">
        <v>1.2896308379999999</v>
      </c>
    </row>
    <row r="113" spans="1:29" x14ac:dyDescent="0.25">
      <c r="A113" t="s">
        <v>104</v>
      </c>
      <c r="B113" t="s">
        <v>49</v>
      </c>
      <c r="E113" t="s">
        <v>50</v>
      </c>
      <c r="F113">
        <v>32.576093182333331</v>
      </c>
      <c r="G113">
        <v>29.677301961125</v>
      </c>
      <c r="H113">
        <v>27.128031955999994</v>
      </c>
      <c r="I113">
        <v>26.858464896133334</v>
      </c>
      <c r="J113">
        <v>23.54110566473333</v>
      </c>
      <c r="K113">
        <v>21.625727965133329</v>
      </c>
      <c r="L113">
        <v>21.306559935266662</v>
      </c>
      <c r="M113">
        <v>21.407421583866665</v>
      </c>
      <c r="N113">
        <v>21.839086394133336</v>
      </c>
      <c r="O113">
        <v>21.364268956466667</v>
      </c>
      <c r="P113">
        <v>21.405039078533331</v>
      </c>
      <c r="Q113">
        <v>21.662922903066665</v>
      </c>
      <c r="R113">
        <v>32.576093180000001</v>
      </c>
      <c r="S113">
        <v>29.677301960000001</v>
      </c>
      <c r="T113">
        <v>27.128031960000001</v>
      </c>
      <c r="U113">
        <v>26.858464900000001</v>
      </c>
      <c r="V113">
        <v>23.541105659999999</v>
      </c>
      <c r="W113">
        <v>21.625727959999999</v>
      </c>
      <c r="X113">
        <v>21.306559929999999</v>
      </c>
      <c r="Y113">
        <v>21.407421580000001</v>
      </c>
      <c r="Z113">
        <v>21.839086389999999</v>
      </c>
      <c r="AA113">
        <v>21.36426896</v>
      </c>
      <c r="AB113">
        <v>21.405039080000002</v>
      </c>
      <c r="AC113">
        <v>21.662922900000002</v>
      </c>
    </row>
    <row r="114" spans="1:29" x14ac:dyDescent="0.25">
      <c r="A114" t="s">
        <v>51</v>
      </c>
      <c r="B114" t="s">
        <v>52</v>
      </c>
      <c r="C114" t="s">
        <v>105</v>
      </c>
      <c r="D114" t="s">
        <v>106</v>
      </c>
      <c r="E114" t="s">
        <v>55</v>
      </c>
      <c r="F114">
        <v>17.641127480000002</v>
      </c>
      <c r="G114">
        <v>17.816052750000001</v>
      </c>
      <c r="H114">
        <v>0.15257553900000001</v>
      </c>
      <c r="I114">
        <v>0.169351907</v>
      </c>
      <c r="J114">
        <v>0.175369672</v>
      </c>
      <c r="K114">
        <v>0.18824648699999999</v>
      </c>
      <c r="L114">
        <v>0.23268770599999999</v>
      </c>
      <c r="M114">
        <v>0.28284539400000003</v>
      </c>
      <c r="N114">
        <v>0.275497043</v>
      </c>
      <c r="O114">
        <v>0.254117449</v>
      </c>
      <c r="P114">
        <v>0.25751725399999997</v>
      </c>
      <c r="Q114">
        <v>0.31079247500000001</v>
      </c>
      <c r="R114">
        <v>17.641127480000002</v>
      </c>
      <c r="S114">
        <v>17.816052750000001</v>
      </c>
      <c r="T114">
        <v>0.15257553900000001</v>
      </c>
      <c r="U114">
        <v>0.169351907</v>
      </c>
      <c r="V114">
        <v>0.175369672</v>
      </c>
      <c r="W114">
        <v>0.18824648699999999</v>
      </c>
      <c r="X114">
        <v>0.23268770599999999</v>
      </c>
      <c r="Y114">
        <v>0.28284539400000003</v>
      </c>
      <c r="Z114">
        <v>0.275497043</v>
      </c>
      <c r="AA114">
        <v>0.254117449</v>
      </c>
      <c r="AB114">
        <v>0.25751725399999997</v>
      </c>
      <c r="AC114">
        <v>0.31079247500000001</v>
      </c>
    </row>
    <row r="115" spans="1:29" x14ac:dyDescent="0.25">
      <c r="A115" t="s">
        <v>56</v>
      </c>
      <c r="B115" t="s">
        <v>57</v>
      </c>
      <c r="C115" t="s">
        <v>105</v>
      </c>
      <c r="D115" t="s">
        <v>106</v>
      </c>
      <c r="E115" t="s">
        <v>55</v>
      </c>
      <c r="F115">
        <v>14.931363899999999</v>
      </c>
      <c r="G115">
        <v>7.2844932470000003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3.2204243610000001</v>
      </c>
      <c r="O115">
        <v>0</v>
      </c>
      <c r="P115">
        <v>0</v>
      </c>
      <c r="Q115">
        <v>0</v>
      </c>
      <c r="R115">
        <v>14.931363899999999</v>
      </c>
      <c r="S115">
        <v>7.2844932470000003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3.2204243610000001</v>
      </c>
      <c r="AA115">
        <v>0</v>
      </c>
      <c r="AB115">
        <v>0</v>
      </c>
      <c r="AC115">
        <v>0</v>
      </c>
    </row>
    <row r="116" spans="1:29" x14ac:dyDescent="0.25">
      <c r="A116" t="s">
        <v>58</v>
      </c>
      <c r="B116" t="s">
        <v>59</v>
      </c>
      <c r="C116" t="s">
        <v>105</v>
      </c>
      <c r="D116" t="s">
        <v>106</v>
      </c>
      <c r="E116" t="s">
        <v>55</v>
      </c>
      <c r="F116" t="s">
        <v>46</v>
      </c>
      <c r="G116" t="s">
        <v>46</v>
      </c>
      <c r="H116" t="s">
        <v>46</v>
      </c>
      <c r="I116" t="s">
        <v>46</v>
      </c>
      <c r="J116" t="s">
        <v>46</v>
      </c>
      <c r="K116" t="s">
        <v>46</v>
      </c>
      <c r="L116" t="s">
        <v>46</v>
      </c>
      <c r="M116" t="s">
        <v>46</v>
      </c>
      <c r="N116" t="s">
        <v>46</v>
      </c>
      <c r="O116" t="s">
        <v>46</v>
      </c>
      <c r="P116" t="s">
        <v>46</v>
      </c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46</v>
      </c>
      <c r="W116" t="s">
        <v>46</v>
      </c>
      <c r="X116" t="s">
        <v>46</v>
      </c>
      <c r="Y116" t="s">
        <v>46</v>
      </c>
      <c r="Z116" t="s">
        <v>46</v>
      </c>
      <c r="AA116" t="s">
        <v>46</v>
      </c>
      <c r="AB116" t="s">
        <v>46</v>
      </c>
      <c r="AC116" t="s">
        <v>46</v>
      </c>
    </row>
    <row r="117" spans="1:29" x14ac:dyDescent="0.25">
      <c r="A117" t="s">
        <v>60</v>
      </c>
      <c r="B117" t="s">
        <v>61</v>
      </c>
      <c r="C117" t="s">
        <v>105</v>
      </c>
      <c r="D117" t="s">
        <v>106</v>
      </c>
      <c r="E117" t="s">
        <v>55</v>
      </c>
      <c r="F117" t="s">
        <v>46</v>
      </c>
      <c r="G117">
        <v>32.717973309999998</v>
      </c>
      <c r="H117" t="s">
        <v>46</v>
      </c>
      <c r="I117" t="s">
        <v>46</v>
      </c>
      <c r="J117" t="s">
        <v>46</v>
      </c>
      <c r="K117" t="s">
        <v>46</v>
      </c>
      <c r="L117" t="s">
        <v>46</v>
      </c>
      <c r="M117" t="s">
        <v>46</v>
      </c>
      <c r="N117" t="s">
        <v>46</v>
      </c>
      <c r="O117" t="s">
        <v>46</v>
      </c>
      <c r="P117" t="s">
        <v>46</v>
      </c>
      <c r="Q117" t="s">
        <v>46</v>
      </c>
      <c r="R117" t="s">
        <v>46</v>
      </c>
      <c r="S117">
        <v>32.717973309999998</v>
      </c>
      <c r="T117" t="s">
        <v>46</v>
      </c>
      <c r="U117" t="s">
        <v>46</v>
      </c>
      <c r="V117" t="s">
        <v>46</v>
      </c>
      <c r="W117" t="s">
        <v>46</v>
      </c>
      <c r="X117" t="s">
        <v>46</v>
      </c>
      <c r="Y117" t="s">
        <v>46</v>
      </c>
      <c r="Z117" t="s">
        <v>46</v>
      </c>
      <c r="AA117" t="s">
        <v>46</v>
      </c>
      <c r="AB117" t="s">
        <v>46</v>
      </c>
      <c r="AC117" t="s">
        <v>46</v>
      </c>
    </row>
    <row r="118" spans="1:29" x14ac:dyDescent="0.25">
      <c r="A118" t="s">
        <v>62</v>
      </c>
      <c r="B118" t="s">
        <v>63</v>
      </c>
      <c r="C118" t="s">
        <v>105</v>
      </c>
      <c r="D118" t="s">
        <v>106</v>
      </c>
      <c r="E118" t="s">
        <v>55</v>
      </c>
      <c r="F118">
        <v>38.131801369999998</v>
      </c>
      <c r="G118">
        <v>29.78544149</v>
      </c>
      <c r="H118">
        <v>25.297108829999999</v>
      </c>
      <c r="I118">
        <v>27.515903860000002</v>
      </c>
      <c r="J118">
        <v>23.442201959999998</v>
      </c>
      <c r="K118">
        <v>23.977143519999998</v>
      </c>
      <c r="L118">
        <v>21.22268051</v>
      </c>
      <c r="M118">
        <v>21.495589420000002</v>
      </c>
      <c r="N118">
        <v>20.616473760000002</v>
      </c>
      <c r="O118">
        <v>21.763348780000001</v>
      </c>
      <c r="P118">
        <v>23.088514050000001</v>
      </c>
      <c r="Q118">
        <v>20.658139039999998</v>
      </c>
      <c r="R118">
        <v>38.131801369999998</v>
      </c>
      <c r="S118">
        <v>29.78544149</v>
      </c>
      <c r="T118">
        <v>25.297108829999999</v>
      </c>
      <c r="U118">
        <v>27.515903860000002</v>
      </c>
      <c r="V118">
        <v>23.442201959999998</v>
      </c>
      <c r="W118">
        <v>23.977143519999998</v>
      </c>
      <c r="X118">
        <v>21.22268051</v>
      </c>
      <c r="Y118">
        <v>21.495589420000002</v>
      </c>
      <c r="Z118">
        <v>20.616473760000002</v>
      </c>
      <c r="AA118">
        <v>21.763348780000001</v>
      </c>
      <c r="AB118">
        <v>23.088514050000001</v>
      </c>
      <c r="AC118">
        <v>20.658139039999998</v>
      </c>
    </row>
    <row r="119" spans="1:29" x14ac:dyDescent="0.25">
      <c r="A119" t="s">
        <v>64</v>
      </c>
      <c r="B119" t="s">
        <v>65</v>
      </c>
      <c r="C119" t="s">
        <v>105</v>
      </c>
      <c r="D119" t="s">
        <v>106</v>
      </c>
      <c r="E119" t="s">
        <v>55</v>
      </c>
      <c r="F119">
        <v>24.25777905</v>
      </c>
      <c r="G119">
        <v>13.43752454</v>
      </c>
      <c r="H119">
        <v>13.70746654</v>
      </c>
      <c r="I119">
        <v>13.5451642</v>
      </c>
      <c r="J119">
        <v>12.63826783</v>
      </c>
      <c r="K119">
        <v>6.1221135670000004</v>
      </c>
      <c r="L119">
        <v>6.186976585</v>
      </c>
      <c r="M119">
        <v>6.5719048869999996</v>
      </c>
      <c r="N119">
        <v>6.5725703600000003</v>
      </c>
      <c r="O119">
        <v>7.5636804709999996</v>
      </c>
      <c r="P119">
        <v>6.9733943399999996</v>
      </c>
      <c r="Q119">
        <v>8.6369182500000008</v>
      </c>
      <c r="R119">
        <v>24.25777905</v>
      </c>
      <c r="S119">
        <v>13.43752454</v>
      </c>
      <c r="T119">
        <v>13.70746654</v>
      </c>
      <c r="U119">
        <v>13.5451642</v>
      </c>
      <c r="V119">
        <v>12.63826783</v>
      </c>
      <c r="W119">
        <v>6.1221135670000004</v>
      </c>
      <c r="X119">
        <v>6.186976585</v>
      </c>
      <c r="Y119">
        <v>6.5719048869999996</v>
      </c>
      <c r="Z119">
        <v>6.5725703600000003</v>
      </c>
      <c r="AA119">
        <v>7.5636804709999996</v>
      </c>
      <c r="AB119">
        <v>6.9733943399999996</v>
      </c>
      <c r="AC119">
        <v>8.6369182500000008</v>
      </c>
    </row>
    <row r="120" spans="1:29" x14ac:dyDescent="0.25">
      <c r="A120" t="s">
        <v>66</v>
      </c>
      <c r="B120" t="s">
        <v>67</v>
      </c>
      <c r="C120" t="s">
        <v>105</v>
      </c>
      <c r="D120" t="s">
        <v>106</v>
      </c>
      <c r="E120" t="s">
        <v>55</v>
      </c>
      <c r="F120">
        <v>57.988895739999997</v>
      </c>
      <c r="G120">
        <v>56.076759060000001</v>
      </c>
      <c r="H120">
        <v>48.15579056</v>
      </c>
      <c r="I120">
        <v>48.317733369999999</v>
      </c>
      <c r="J120">
        <v>38.766959300000003</v>
      </c>
      <c r="K120">
        <v>31.77854391</v>
      </c>
      <c r="L120">
        <v>31.055533669999999</v>
      </c>
      <c r="M120">
        <v>35.95426561</v>
      </c>
      <c r="N120">
        <v>35.985977210000001</v>
      </c>
      <c r="O120">
        <v>35.95603629</v>
      </c>
      <c r="P120">
        <v>37.382160990000003</v>
      </c>
      <c r="Q120">
        <v>38.110574339999999</v>
      </c>
      <c r="R120">
        <v>57.988895739999997</v>
      </c>
      <c r="S120">
        <v>56.076759060000001</v>
      </c>
      <c r="T120">
        <v>48.15579056</v>
      </c>
      <c r="U120">
        <v>48.317733369999999</v>
      </c>
      <c r="V120">
        <v>38.766959300000003</v>
      </c>
      <c r="W120">
        <v>31.77854391</v>
      </c>
      <c r="X120">
        <v>31.055533669999999</v>
      </c>
      <c r="Y120">
        <v>35.95426561</v>
      </c>
      <c r="Z120">
        <v>35.985977210000001</v>
      </c>
      <c r="AA120">
        <v>35.95603629</v>
      </c>
      <c r="AB120">
        <v>37.382160990000003</v>
      </c>
      <c r="AC120">
        <v>38.110574339999999</v>
      </c>
    </row>
    <row r="121" spans="1:29" x14ac:dyDescent="0.25">
      <c r="A121" t="s">
        <v>68</v>
      </c>
      <c r="B121" t="s">
        <v>69</v>
      </c>
      <c r="C121" t="s">
        <v>105</v>
      </c>
      <c r="D121" t="s">
        <v>106</v>
      </c>
      <c r="E121" t="s">
        <v>55</v>
      </c>
      <c r="F121">
        <v>69.143304049999998</v>
      </c>
      <c r="G121">
        <v>53.547366269999998</v>
      </c>
      <c r="H121">
        <v>54.899069509999997</v>
      </c>
      <c r="I121">
        <v>49.780623210000002</v>
      </c>
      <c r="J121">
        <v>38.731253590000001</v>
      </c>
      <c r="K121">
        <v>39.966166209999997</v>
      </c>
      <c r="L121">
        <v>37.250848179999998</v>
      </c>
      <c r="M121">
        <v>37.38605046</v>
      </c>
      <c r="N121">
        <v>36.664072869999998</v>
      </c>
      <c r="O121">
        <v>39.278815199999997</v>
      </c>
      <c r="P121">
        <v>40.533472799999998</v>
      </c>
      <c r="Q121">
        <v>37.642066980000003</v>
      </c>
      <c r="R121">
        <v>69.143304049999998</v>
      </c>
      <c r="S121">
        <v>53.547366269999998</v>
      </c>
      <c r="T121">
        <v>54.899069509999997</v>
      </c>
      <c r="U121">
        <v>49.780623210000002</v>
      </c>
      <c r="V121">
        <v>38.731253590000001</v>
      </c>
      <c r="W121">
        <v>39.966166209999997</v>
      </c>
      <c r="X121">
        <v>37.250848179999998</v>
      </c>
      <c r="Y121">
        <v>37.38605046</v>
      </c>
      <c r="Z121">
        <v>36.664072869999998</v>
      </c>
      <c r="AA121">
        <v>39.278815199999997</v>
      </c>
      <c r="AB121">
        <v>40.533472799999998</v>
      </c>
      <c r="AC121">
        <v>37.642066980000003</v>
      </c>
    </row>
    <row r="122" spans="1:29" x14ac:dyDescent="0.25">
      <c r="A122" t="s">
        <v>70</v>
      </c>
      <c r="B122" t="s">
        <v>71</v>
      </c>
      <c r="C122" t="s">
        <v>105</v>
      </c>
      <c r="D122" t="s">
        <v>106</v>
      </c>
      <c r="E122" t="s">
        <v>55</v>
      </c>
      <c r="F122">
        <v>14.28061529</v>
      </c>
      <c r="G122">
        <v>14.16770945</v>
      </c>
      <c r="H122">
        <v>13.37597626</v>
      </c>
      <c r="I122">
        <v>14.00194581</v>
      </c>
      <c r="J122">
        <v>12.592356970000001</v>
      </c>
      <c r="K122">
        <v>1.943963586</v>
      </c>
      <c r="L122">
        <v>2.049857367</v>
      </c>
      <c r="M122">
        <v>2.1989360379999998</v>
      </c>
      <c r="N122">
        <v>2.316329638</v>
      </c>
      <c r="O122">
        <v>2.503350067</v>
      </c>
      <c r="P122">
        <v>2.47885043</v>
      </c>
      <c r="Q122">
        <v>2.6497265379999999</v>
      </c>
      <c r="R122">
        <v>14.28061529</v>
      </c>
      <c r="S122">
        <v>14.16770945</v>
      </c>
      <c r="T122">
        <v>13.37597626</v>
      </c>
      <c r="U122">
        <v>14.00194581</v>
      </c>
      <c r="V122">
        <v>12.592356970000001</v>
      </c>
      <c r="W122">
        <v>1.943963586</v>
      </c>
      <c r="X122">
        <v>2.049857367</v>
      </c>
      <c r="Y122">
        <v>2.1989360379999998</v>
      </c>
      <c r="Z122">
        <v>2.316329638</v>
      </c>
      <c r="AA122">
        <v>2.503350067</v>
      </c>
      <c r="AB122">
        <v>2.47885043</v>
      </c>
      <c r="AC122">
        <v>2.6497265379999999</v>
      </c>
    </row>
    <row r="123" spans="1:29" x14ac:dyDescent="0.25">
      <c r="A123" t="s">
        <v>72</v>
      </c>
      <c r="B123" t="s">
        <v>73</v>
      </c>
      <c r="C123" t="s">
        <v>105</v>
      </c>
      <c r="D123" t="s">
        <v>106</v>
      </c>
      <c r="E123" t="s">
        <v>55</v>
      </c>
      <c r="F123">
        <v>55.217586619999999</v>
      </c>
      <c r="G123">
        <v>52.049036180000002</v>
      </c>
      <c r="H123">
        <v>49.726194929999998</v>
      </c>
      <c r="I123">
        <v>50.949067100000001</v>
      </c>
      <c r="J123">
        <v>52.409857909999999</v>
      </c>
      <c r="K123">
        <v>48.152833319999999</v>
      </c>
      <c r="L123">
        <v>51.184138449999999</v>
      </c>
      <c r="M123">
        <v>48.919183230000002</v>
      </c>
      <c r="N123">
        <v>48.977283640000003</v>
      </c>
      <c r="O123">
        <v>45.975338669999999</v>
      </c>
      <c r="P123">
        <v>47.975421769999997</v>
      </c>
      <c r="Q123">
        <v>50.141314299999998</v>
      </c>
      <c r="R123">
        <v>55.217586619999999</v>
      </c>
      <c r="S123">
        <v>52.049036180000002</v>
      </c>
      <c r="T123">
        <v>49.726194929999998</v>
      </c>
      <c r="U123">
        <v>50.949067100000001</v>
      </c>
      <c r="V123">
        <v>52.409857909999999</v>
      </c>
      <c r="W123">
        <v>48.152833319999999</v>
      </c>
      <c r="X123">
        <v>51.184138449999999</v>
      </c>
      <c r="Y123">
        <v>48.919183230000002</v>
      </c>
      <c r="Z123">
        <v>48.977283640000003</v>
      </c>
      <c r="AA123">
        <v>45.975338669999999</v>
      </c>
      <c r="AB123">
        <v>47.975421769999997</v>
      </c>
      <c r="AC123">
        <v>50.141314299999998</v>
      </c>
    </row>
    <row r="124" spans="1:29" x14ac:dyDescent="0.25">
      <c r="A124" t="s">
        <v>74</v>
      </c>
      <c r="B124" t="s">
        <v>75</v>
      </c>
      <c r="C124" t="s">
        <v>105</v>
      </c>
      <c r="D124" t="s">
        <v>106</v>
      </c>
      <c r="E124" t="s">
        <v>55</v>
      </c>
      <c r="F124">
        <v>13.26729428</v>
      </c>
      <c r="G124">
        <v>11.4150125</v>
      </c>
      <c r="H124">
        <v>12.241787329999999</v>
      </c>
      <c r="I124">
        <v>8.6257441139999997</v>
      </c>
      <c r="J124">
        <v>9.0353708380000004</v>
      </c>
      <c r="K124">
        <v>8.8731003279999996</v>
      </c>
      <c r="L124">
        <v>6.8418675179999999</v>
      </c>
      <c r="M124">
        <v>0.91272403599999996</v>
      </c>
      <c r="N124">
        <v>1.3475042699999999</v>
      </c>
      <c r="O124">
        <v>1.448067129</v>
      </c>
      <c r="P124">
        <v>2.1558230439999999</v>
      </c>
      <c r="Q124">
        <v>1.614467976</v>
      </c>
      <c r="R124">
        <v>13.26729428</v>
      </c>
      <c r="S124">
        <v>11.4150125</v>
      </c>
      <c r="T124">
        <v>12.241787329999999</v>
      </c>
      <c r="U124">
        <v>8.6257441139999997</v>
      </c>
      <c r="V124">
        <v>9.0353708380000004</v>
      </c>
      <c r="W124">
        <v>8.8731003279999996</v>
      </c>
      <c r="X124">
        <v>6.8418675179999999</v>
      </c>
      <c r="Y124">
        <v>0.91272403599999996</v>
      </c>
      <c r="Z124">
        <v>1.3475042699999999</v>
      </c>
      <c r="AA124">
        <v>1.448067129</v>
      </c>
      <c r="AB124">
        <v>2.1558230439999999</v>
      </c>
      <c r="AC124">
        <v>1.614467976</v>
      </c>
    </row>
    <row r="125" spans="1:29" x14ac:dyDescent="0.25">
      <c r="A125" t="s">
        <v>76</v>
      </c>
      <c r="B125" t="s">
        <v>77</v>
      </c>
      <c r="C125" t="s">
        <v>105</v>
      </c>
      <c r="D125" t="s">
        <v>106</v>
      </c>
      <c r="E125" t="s">
        <v>55</v>
      </c>
      <c r="F125">
        <v>66.408930979999994</v>
      </c>
      <c r="G125">
        <v>66.566781430000006</v>
      </c>
      <c r="H125">
        <v>67.663494279999995</v>
      </c>
      <c r="I125">
        <v>69.592340570000005</v>
      </c>
      <c r="J125">
        <v>67.074198989999999</v>
      </c>
      <c r="K125">
        <v>67.398283050000003</v>
      </c>
      <c r="L125">
        <v>71.419316030000005</v>
      </c>
      <c r="M125">
        <v>72.625663880000005</v>
      </c>
      <c r="N125">
        <v>69.681233930000005</v>
      </c>
      <c r="O125">
        <v>66.485561039999993</v>
      </c>
      <c r="P125">
        <v>68.785855850000004</v>
      </c>
      <c r="Q125">
        <v>71.135069999999999</v>
      </c>
      <c r="R125">
        <v>66.408930979999994</v>
      </c>
      <c r="S125">
        <v>66.566781430000006</v>
      </c>
      <c r="T125">
        <v>67.663494279999995</v>
      </c>
      <c r="U125">
        <v>69.592340570000005</v>
      </c>
      <c r="V125">
        <v>67.074198989999999</v>
      </c>
      <c r="W125">
        <v>67.398283050000003</v>
      </c>
      <c r="X125">
        <v>71.419316030000005</v>
      </c>
      <c r="Y125">
        <v>72.625663880000005</v>
      </c>
      <c r="Z125">
        <v>69.681233930000005</v>
      </c>
      <c r="AA125">
        <v>66.485561039999993</v>
      </c>
      <c r="AB125">
        <v>68.785855850000004</v>
      </c>
      <c r="AC125">
        <v>71.135069999999999</v>
      </c>
    </row>
    <row r="126" spans="1:29" x14ac:dyDescent="0.25">
      <c r="A126" t="s">
        <v>78</v>
      </c>
      <c r="B126" t="s">
        <v>79</v>
      </c>
      <c r="C126" t="s">
        <v>105</v>
      </c>
      <c r="D126" t="s">
        <v>106</v>
      </c>
      <c r="E126" t="s">
        <v>55</v>
      </c>
      <c r="F126">
        <v>6.5737758419999999</v>
      </c>
      <c r="G126">
        <v>6.3373818340000003</v>
      </c>
      <c r="H126">
        <v>6.2763631889999996</v>
      </c>
      <c r="I126">
        <v>6.3142631160000002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6.5737758419999999</v>
      </c>
      <c r="S126">
        <v>6.3373818340000003</v>
      </c>
      <c r="T126">
        <v>6.2763631889999996</v>
      </c>
      <c r="U126">
        <v>6.3142631160000002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80</v>
      </c>
      <c r="B127" t="s">
        <v>81</v>
      </c>
      <c r="C127" t="s">
        <v>105</v>
      </c>
      <c r="D127" t="s">
        <v>106</v>
      </c>
      <c r="E127" t="s">
        <v>55</v>
      </c>
      <c r="F127">
        <v>77.530949640000003</v>
      </c>
      <c r="G127">
        <v>76.460030059999994</v>
      </c>
      <c r="H127">
        <v>78.335667849999993</v>
      </c>
      <c r="I127">
        <v>80.208205759999998</v>
      </c>
      <c r="J127">
        <v>74.573961510000004</v>
      </c>
      <c r="K127">
        <v>73.016480189999996</v>
      </c>
      <c r="L127">
        <v>67.101047140000006</v>
      </c>
      <c r="M127">
        <v>67.732558139999995</v>
      </c>
      <c r="N127">
        <v>68.457359659999995</v>
      </c>
      <c r="O127">
        <v>69.480698369999999</v>
      </c>
      <c r="P127">
        <v>63.354601770000002</v>
      </c>
      <c r="Q127">
        <v>65.36033175</v>
      </c>
      <c r="R127">
        <v>77.530949640000003</v>
      </c>
      <c r="S127">
        <v>76.460030059999994</v>
      </c>
      <c r="T127">
        <v>78.335667849999993</v>
      </c>
      <c r="U127">
        <v>80.208205759999998</v>
      </c>
      <c r="V127">
        <v>74.573961510000004</v>
      </c>
      <c r="W127">
        <v>73.016480189999996</v>
      </c>
      <c r="X127">
        <v>67.101047140000006</v>
      </c>
      <c r="Y127">
        <v>67.732558139999995</v>
      </c>
      <c r="Z127">
        <v>68.457359659999995</v>
      </c>
      <c r="AA127">
        <v>69.480698369999999</v>
      </c>
      <c r="AB127">
        <v>63.354601770000002</v>
      </c>
      <c r="AC127">
        <v>65.36033175</v>
      </c>
    </row>
    <row r="128" spans="1:29" x14ac:dyDescent="0.25">
      <c r="A128" t="s">
        <v>82</v>
      </c>
      <c r="B128" t="s">
        <v>83</v>
      </c>
      <c r="C128" t="s">
        <v>105</v>
      </c>
      <c r="D128" t="s">
        <v>106</v>
      </c>
      <c r="E128" t="s">
        <v>55</v>
      </c>
      <c r="F128">
        <v>8.6008607169999998</v>
      </c>
      <c r="G128">
        <v>7.6141530370000003</v>
      </c>
      <c r="H128">
        <v>6.4949736720000004</v>
      </c>
      <c r="I128">
        <v>6.9303422650000002</v>
      </c>
      <c r="J128">
        <v>6.7339336E-2</v>
      </c>
      <c r="K128">
        <v>7.3413739000000006E-2</v>
      </c>
      <c r="L128">
        <v>8.0002032000000001E-2</v>
      </c>
      <c r="M128">
        <v>7.3652722000000004E-2</v>
      </c>
      <c r="N128">
        <v>0.28103310999999997</v>
      </c>
      <c r="O128">
        <v>9.2652419E-2</v>
      </c>
      <c r="P128">
        <v>0.101805436</v>
      </c>
      <c r="Q128">
        <v>0.114081506</v>
      </c>
      <c r="R128">
        <v>8.6008607169999998</v>
      </c>
      <c r="S128">
        <v>7.6141530370000003</v>
      </c>
      <c r="T128">
        <v>6.4949736720000004</v>
      </c>
      <c r="U128">
        <v>6.9303422650000002</v>
      </c>
      <c r="V128">
        <v>6.7339336E-2</v>
      </c>
      <c r="W128">
        <v>7.3413739000000006E-2</v>
      </c>
      <c r="X128">
        <v>8.0002032000000001E-2</v>
      </c>
      <c r="Y128">
        <v>7.3652722000000004E-2</v>
      </c>
      <c r="Z128">
        <v>0.28103310999999997</v>
      </c>
      <c r="AA128">
        <v>9.2652419E-2</v>
      </c>
      <c r="AB128">
        <v>0.101805436</v>
      </c>
      <c r="AC128">
        <v>0.114081506</v>
      </c>
    </row>
    <row r="129" spans="1:29" x14ac:dyDescent="0.25">
      <c r="A129" t="s">
        <v>84</v>
      </c>
      <c r="B129" t="s">
        <v>85</v>
      </c>
      <c r="C129" t="s">
        <v>105</v>
      </c>
      <c r="D129" t="s">
        <v>106</v>
      </c>
      <c r="E129" t="s">
        <v>55</v>
      </c>
      <c r="F129">
        <v>9.8568784259999997</v>
      </c>
      <c r="G129">
        <v>12.453720990000001</v>
      </c>
      <c r="H129">
        <v>12.866275290000001</v>
      </c>
      <c r="I129">
        <v>10.06132371</v>
      </c>
      <c r="J129">
        <v>8.7684993149999997</v>
      </c>
      <c r="K129">
        <v>7.0053685999999997</v>
      </c>
      <c r="L129">
        <v>6.9501689009999996</v>
      </c>
      <c r="M129">
        <v>7.9558629510000003</v>
      </c>
      <c r="N129">
        <v>11.019610549999999</v>
      </c>
      <c r="O129">
        <v>7.8476439820000001</v>
      </c>
      <c r="P129">
        <v>7.5220554740000001</v>
      </c>
      <c r="Q129">
        <v>7.3622438109999999</v>
      </c>
      <c r="R129">
        <v>9.8568784259999997</v>
      </c>
      <c r="S129">
        <v>12.453720990000001</v>
      </c>
      <c r="T129">
        <v>12.866275290000001</v>
      </c>
      <c r="U129">
        <v>10.06132371</v>
      </c>
      <c r="V129">
        <v>8.7684993149999997</v>
      </c>
      <c r="W129">
        <v>7.0053685999999997</v>
      </c>
      <c r="X129">
        <v>6.9501689009999996</v>
      </c>
      <c r="Y129">
        <v>7.9558629510000003</v>
      </c>
      <c r="Z129">
        <v>11.019610549999999</v>
      </c>
      <c r="AA129">
        <v>7.8476439820000001</v>
      </c>
      <c r="AB129">
        <v>7.5220554740000001</v>
      </c>
      <c r="AC129">
        <v>7.3622438109999999</v>
      </c>
    </row>
    <row r="130" spans="1:29" x14ac:dyDescent="0.25">
      <c r="A130" t="s">
        <v>86</v>
      </c>
      <c r="B130" t="s">
        <v>87</v>
      </c>
      <c r="C130" t="s">
        <v>105</v>
      </c>
      <c r="D130" t="s">
        <v>106</v>
      </c>
      <c r="E130" t="s">
        <v>55</v>
      </c>
      <c r="F130">
        <v>14.81023435</v>
      </c>
      <c r="G130">
        <v>17.107395230000002</v>
      </c>
      <c r="H130">
        <v>17.727735559999999</v>
      </c>
      <c r="I130">
        <v>16.864964449999999</v>
      </c>
      <c r="J130">
        <v>14.84094775</v>
      </c>
      <c r="K130">
        <v>15.89026297</v>
      </c>
      <c r="L130">
        <v>18.02327494</v>
      </c>
      <c r="M130">
        <v>19.002086989999999</v>
      </c>
      <c r="N130">
        <v>22.17092551</v>
      </c>
      <c r="O130">
        <v>21.814724479999999</v>
      </c>
      <c r="P130">
        <v>20.466112970000001</v>
      </c>
      <c r="Q130">
        <v>21.208116579999999</v>
      </c>
      <c r="R130">
        <v>14.81023435</v>
      </c>
      <c r="S130">
        <v>17.107395230000002</v>
      </c>
      <c r="T130">
        <v>17.727735559999999</v>
      </c>
      <c r="U130">
        <v>16.864964449999999</v>
      </c>
      <c r="V130">
        <v>14.84094775</v>
      </c>
      <c r="W130">
        <v>15.89026297</v>
      </c>
      <c r="X130">
        <v>18.02327494</v>
      </c>
      <c r="Y130">
        <v>19.002086989999999</v>
      </c>
      <c r="Z130">
        <v>22.17092551</v>
      </c>
      <c r="AA130">
        <v>21.814724479999999</v>
      </c>
      <c r="AB130">
        <v>20.466112970000001</v>
      </c>
      <c r="AC130">
        <v>21.208116579999999</v>
      </c>
    </row>
    <row r="131" spans="1:29" x14ac:dyDescent="0.25">
      <c r="A131" t="s">
        <v>107</v>
      </c>
      <c r="B131" t="s">
        <v>49</v>
      </c>
      <c r="E131" t="s">
        <v>50</v>
      </c>
      <c r="F131">
        <v>82.501547412866657</v>
      </c>
      <c r="G131">
        <v>68.173320599437488</v>
      </c>
      <c r="H131">
        <v>67.573745607399985</v>
      </c>
      <c r="I131">
        <v>70.38598300533333</v>
      </c>
      <c r="J131">
        <v>55.358136335533331</v>
      </c>
      <c r="K131">
        <v>50.65502875466666</v>
      </c>
      <c r="L131">
        <v>49.056585171533335</v>
      </c>
      <c r="M131">
        <v>50.458463454333334</v>
      </c>
      <c r="N131">
        <v>49.230304807333333</v>
      </c>
      <c r="O131">
        <v>47.25150462780001</v>
      </c>
      <c r="P131">
        <v>45.987877925333336</v>
      </c>
      <c r="Q131">
        <v>48.852028775000001</v>
      </c>
      <c r="R131">
        <v>82.501547419999994</v>
      </c>
      <c r="S131">
        <v>68.173320599999997</v>
      </c>
      <c r="T131">
        <v>67.573745610000003</v>
      </c>
      <c r="U131">
        <v>70.385982999999996</v>
      </c>
      <c r="V131">
        <v>55.358136340000001</v>
      </c>
      <c r="W131">
        <v>50.65502876</v>
      </c>
      <c r="X131">
        <v>49.056585169999998</v>
      </c>
      <c r="Y131">
        <v>50.458463450000004</v>
      </c>
      <c r="Z131">
        <v>49.230304799999999</v>
      </c>
      <c r="AA131">
        <v>47.251504629999999</v>
      </c>
      <c r="AB131">
        <v>45.987877930000003</v>
      </c>
      <c r="AC131">
        <v>48.852028769999997</v>
      </c>
    </row>
    <row r="132" spans="1:29" x14ac:dyDescent="0.25">
      <c r="A132" t="s">
        <v>51</v>
      </c>
      <c r="B132" t="s">
        <v>52</v>
      </c>
      <c r="C132" t="s">
        <v>108</v>
      </c>
      <c r="D132" t="s">
        <v>109</v>
      </c>
      <c r="E132" t="s">
        <v>55</v>
      </c>
      <c r="F132">
        <v>21.419826359999998</v>
      </c>
      <c r="G132">
        <v>21.67826363</v>
      </c>
      <c r="H132">
        <v>0.152808688</v>
      </c>
      <c r="I132">
        <v>0.16963919399999999</v>
      </c>
      <c r="J132">
        <v>0.17567775799999999</v>
      </c>
      <c r="K132">
        <v>0.18860152199999999</v>
      </c>
      <c r="L132">
        <v>0.233230405</v>
      </c>
      <c r="M132">
        <v>0.28364767899999999</v>
      </c>
      <c r="N132">
        <v>0.27625812599999999</v>
      </c>
      <c r="O132">
        <v>0.25476485100000001</v>
      </c>
      <c r="P132">
        <v>0.25818211800000002</v>
      </c>
      <c r="Q132">
        <v>0.31176140600000002</v>
      </c>
      <c r="R132">
        <v>21.419826359999998</v>
      </c>
      <c r="S132">
        <v>21.67826363</v>
      </c>
      <c r="T132">
        <v>0.152808688</v>
      </c>
      <c r="U132">
        <v>0.16963919399999999</v>
      </c>
      <c r="V132">
        <v>0.17567775799999999</v>
      </c>
      <c r="W132">
        <v>0.18860152199999999</v>
      </c>
      <c r="X132">
        <v>0.233230405</v>
      </c>
      <c r="Y132">
        <v>0.28364767899999999</v>
      </c>
      <c r="Z132">
        <v>0.27625812599999999</v>
      </c>
      <c r="AA132">
        <v>0.25476485100000001</v>
      </c>
      <c r="AB132">
        <v>0.25818211800000002</v>
      </c>
      <c r="AC132">
        <v>0.31176140600000002</v>
      </c>
    </row>
    <row r="133" spans="1:29" x14ac:dyDescent="0.25">
      <c r="A133" t="s">
        <v>56</v>
      </c>
      <c r="B133" t="s">
        <v>57</v>
      </c>
      <c r="C133" t="s">
        <v>108</v>
      </c>
      <c r="D133" t="s">
        <v>109</v>
      </c>
      <c r="E133" t="s">
        <v>55</v>
      </c>
      <c r="F133">
        <v>17.55213741</v>
      </c>
      <c r="G133">
        <v>7.8568229860000001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3.327586776</v>
      </c>
      <c r="O133">
        <v>0</v>
      </c>
      <c r="P133">
        <v>0</v>
      </c>
      <c r="Q133">
        <v>0</v>
      </c>
      <c r="R133">
        <v>17.55213741</v>
      </c>
      <c r="S133">
        <v>7.8568229860000001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3.327586776</v>
      </c>
      <c r="AA133">
        <v>0</v>
      </c>
      <c r="AB133">
        <v>0</v>
      </c>
      <c r="AC133">
        <v>0</v>
      </c>
    </row>
    <row r="134" spans="1:29" x14ac:dyDescent="0.25">
      <c r="A134" t="s">
        <v>58</v>
      </c>
      <c r="B134" t="s">
        <v>59</v>
      </c>
      <c r="C134" t="s">
        <v>108</v>
      </c>
      <c r="D134" t="s">
        <v>109</v>
      </c>
      <c r="E134" t="s">
        <v>55</v>
      </c>
      <c r="F134" t="s">
        <v>46</v>
      </c>
      <c r="G134" t="s">
        <v>46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46</v>
      </c>
      <c r="W134" t="s">
        <v>46</v>
      </c>
      <c r="X134" t="s">
        <v>46</v>
      </c>
      <c r="Y134" t="s">
        <v>46</v>
      </c>
      <c r="Z134" t="s">
        <v>46</v>
      </c>
      <c r="AA134" t="s">
        <v>46</v>
      </c>
      <c r="AB134" t="s">
        <v>46</v>
      </c>
      <c r="AC134" t="s">
        <v>46</v>
      </c>
    </row>
    <row r="135" spans="1:29" x14ac:dyDescent="0.25">
      <c r="A135" t="s">
        <v>60</v>
      </c>
      <c r="B135" t="s">
        <v>61</v>
      </c>
      <c r="C135" t="s">
        <v>108</v>
      </c>
      <c r="D135" t="s">
        <v>109</v>
      </c>
      <c r="E135" t="s">
        <v>55</v>
      </c>
      <c r="F135" t="s">
        <v>46</v>
      </c>
      <c r="G135">
        <v>48.628103099999997</v>
      </c>
      <c r="H135" t="s">
        <v>46</v>
      </c>
      <c r="I135" t="s">
        <v>46</v>
      </c>
      <c r="J135" t="s">
        <v>46</v>
      </c>
      <c r="K135" t="s">
        <v>46</v>
      </c>
      <c r="L135" t="s">
        <v>46</v>
      </c>
      <c r="M135" t="s">
        <v>46</v>
      </c>
      <c r="N135" t="s">
        <v>46</v>
      </c>
      <c r="O135" t="s">
        <v>46</v>
      </c>
      <c r="P135" t="s">
        <v>46</v>
      </c>
      <c r="Q135" t="s">
        <v>46</v>
      </c>
      <c r="R135" t="s">
        <v>46</v>
      </c>
      <c r="S135">
        <v>48.628103099999997</v>
      </c>
      <c r="T135" t="s">
        <v>46</v>
      </c>
      <c r="U135" t="s">
        <v>46</v>
      </c>
      <c r="V135" t="s">
        <v>46</v>
      </c>
      <c r="W135" t="s">
        <v>46</v>
      </c>
      <c r="X135" t="s">
        <v>46</v>
      </c>
      <c r="Y135" t="s">
        <v>46</v>
      </c>
      <c r="Z135" t="s">
        <v>46</v>
      </c>
      <c r="AA135" t="s">
        <v>46</v>
      </c>
      <c r="AB135" t="s">
        <v>46</v>
      </c>
      <c r="AC135" t="s">
        <v>46</v>
      </c>
    </row>
    <row r="136" spans="1:29" x14ac:dyDescent="0.25">
      <c r="A136" t="s">
        <v>62</v>
      </c>
      <c r="B136" t="s">
        <v>63</v>
      </c>
      <c r="C136" t="s">
        <v>108</v>
      </c>
      <c r="D136" t="s">
        <v>109</v>
      </c>
      <c r="E136" t="s">
        <v>55</v>
      </c>
      <c r="F136">
        <v>61.633928589999996</v>
      </c>
      <c r="G136">
        <v>42.420606380000002</v>
      </c>
      <c r="H136">
        <v>33.863627549999997</v>
      </c>
      <c r="I136">
        <v>37.961298159999998</v>
      </c>
      <c r="J136">
        <v>30.620266730000001</v>
      </c>
      <c r="K136">
        <v>31.539387789999999</v>
      </c>
      <c r="L136">
        <v>26.940089669999999</v>
      </c>
      <c r="M136">
        <v>27.381378009999999</v>
      </c>
      <c r="N136">
        <v>25.970720549999999</v>
      </c>
      <c r="O136">
        <v>27.8173317</v>
      </c>
      <c r="P136">
        <v>30.019591699999999</v>
      </c>
      <c r="Q136">
        <v>26.036872330000001</v>
      </c>
      <c r="R136">
        <v>61.633928589999996</v>
      </c>
      <c r="S136">
        <v>42.420606380000002</v>
      </c>
      <c r="T136">
        <v>33.863627549999997</v>
      </c>
      <c r="U136">
        <v>37.961298159999998</v>
      </c>
      <c r="V136">
        <v>30.620266730000001</v>
      </c>
      <c r="W136">
        <v>31.539387789999999</v>
      </c>
      <c r="X136">
        <v>26.940089669999999</v>
      </c>
      <c r="Y136">
        <v>27.381378009999999</v>
      </c>
      <c r="Z136">
        <v>25.970720549999999</v>
      </c>
      <c r="AA136">
        <v>27.8173317</v>
      </c>
      <c r="AB136">
        <v>30.019591699999999</v>
      </c>
      <c r="AC136">
        <v>26.036872330000001</v>
      </c>
    </row>
    <row r="137" spans="1:29" x14ac:dyDescent="0.25">
      <c r="A137" t="s">
        <v>64</v>
      </c>
      <c r="B137" t="s">
        <v>65</v>
      </c>
      <c r="C137" t="s">
        <v>108</v>
      </c>
      <c r="D137" t="s">
        <v>109</v>
      </c>
      <c r="E137" t="s">
        <v>55</v>
      </c>
      <c r="F137">
        <v>32.026759630000001</v>
      </c>
      <c r="G137">
        <v>15.523498460000001</v>
      </c>
      <c r="H137">
        <v>15.884881330000001</v>
      </c>
      <c r="I137">
        <v>15.667329730000001</v>
      </c>
      <c r="J137">
        <v>14.46659483</v>
      </c>
      <c r="K137">
        <v>6.5213585429999998</v>
      </c>
      <c r="L137">
        <v>6.5950081980000004</v>
      </c>
      <c r="M137">
        <v>7.0341848230000004</v>
      </c>
      <c r="N137">
        <v>7.0349472149999999</v>
      </c>
      <c r="O137">
        <v>8.1825850599999992</v>
      </c>
      <c r="P137">
        <v>7.4961289730000003</v>
      </c>
      <c r="Q137">
        <v>9.4534007439999996</v>
      </c>
      <c r="R137">
        <v>32.026759630000001</v>
      </c>
      <c r="S137">
        <v>15.523498460000001</v>
      </c>
      <c r="T137">
        <v>15.884881330000001</v>
      </c>
      <c r="U137">
        <v>15.667329730000001</v>
      </c>
      <c r="V137">
        <v>14.46659483</v>
      </c>
      <c r="W137">
        <v>6.5213585429999998</v>
      </c>
      <c r="X137">
        <v>6.5950081980000004</v>
      </c>
      <c r="Y137">
        <v>7.0341848230000004</v>
      </c>
      <c r="Z137">
        <v>7.0349472149999999</v>
      </c>
      <c r="AA137">
        <v>8.1825850599999992</v>
      </c>
      <c r="AB137">
        <v>7.4961289730000003</v>
      </c>
      <c r="AC137">
        <v>9.4534007439999996</v>
      </c>
    </row>
    <row r="138" spans="1:29" x14ac:dyDescent="0.25">
      <c r="A138" t="s">
        <v>66</v>
      </c>
      <c r="B138" t="s">
        <v>67</v>
      </c>
      <c r="C138" t="s">
        <v>108</v>
      </c>
      <c r="D138" t="s">
        <v>109</v>
      </c>
      <c r="E138" t="s">
        <v>55</v>
      </c>
      <c r="F138">
        <v>138.03230540000001</v>
      </c>
      <c r="G138">
        <v>127.6699029</v>
      </c>
      <c r="H138">
        <v>92.885572139999994</v>
      </c>
      <c r="I138">
        <v>93.489965740000002</v>
      </c>
      <c r="J138">
        <v>63.310524600000001</v>
      </c>
      <c r="K138">
        <v>46.581450650000001</v>
      </c>
      <c r="L138">
        <v>45.044273060000002</v>
      </c>
      <c r="M138">
        <v>56.138423510000003</v>
      </c>
      <c r="N138">
        <v>56.215772180000002</v>
      </c>
      <c r="O138">
        <v>56.142740400000001</v>
      </c>
      <c r="P138">
        <v>59.698899830000002</v>
      </c>
      <c r="Q138">
        <v>61.578490889999998</v>
      </c>
      <c r="R138">
        <v>138.03230540000001</v>
      </c>
      <c r="S138">
        <v>127.6699029</v>
      </c>
      <c r="T138">
        <v>92.885572139999994</v>
      </c>
      <c r="U138">
        <v>93.489965740000002</v>
      </c>
      <c r="V138">
        <v>63.310524600000001</v>
      </c>
      <c r="W138">
        <v>46.581450650000001</v>
      </c>
      <c r="X138">
        <v>45.044273060000002</v>
      </c>
      <c r="Y138">
        <v>56.138423510000003</v>
      </c>
      <c r="Z138">
        <v>56.215772180000002</v>
      </c>
      <c r="AA138">
        <v>56.142740400000001</v>
      </c>
      <c r="AB138">
        <v>59.698899830000002</v>
      </c>
      <c r="AC138">
        <v>61.578490889999998</v>
      </c>
    </row>
    <row r="139" spans="1:29" x14ac:dyDescent="0.25">
      <c r="A139" t="s">
        <v>68</v>
      </c>
      <c r="B139" t="s">
        <v>69</v>
      </c>
      <c r="C139" t="s">
        <v>108</v>
      </c>
      <c r="D139" t="s">
        <v>109</v>
      </c>
      <c r="E139" t="s">
        <v>55</v>
      </c>
      <c r="F139">
        <v>224.07876780000001</v>
      </c>
      <c r="G139">
        <v>115.2730469</v>
      </c>
      <c r="H139">
        <v>121.7249154</v>
      </c>
      <c r="I139">
        <v>99.126326109999994</v>
      </c>
      <c r="J139">
        <v>63.215351810000001</v>
      </c>
      <c r="K139">
        <v>66.572736879999994</v>
      </c>
      <c r="L139">
        <v>59.364703890000001</v>
      </c>
      <c r="M139">
        <v>59.708820039999999</v>
      </c>
      <c r="N139">
        <v>57.888270579999997</v>
      </c>
      <c r="O139">
        <v>64.687168610000001</v>
      </c>
      <c r="P139">
        <v>68.16182938</v>
      </c>
      <c r="Q139">
        <v>60.364520050000003</v>
      </c>
      <c r="R139">
        <v>224.07876780000001</v>
      </c>
      <c r="S139">
        <v>115.2730469</v>
      </c>
      <c r="T139">
        <v>121.7249154</v>
      </c>
      <c r="U139">
        <v>99.126326109999994</v>
      </c>
      <c r="V139">
        <v>63.215351810000001</v>
      </c>
      <c r="W139">
        <v>66.572736879999994</v>
      </c>
      <c r="X139">
        <v>59.364703890000001</v>
      </c>
      <c r="Y139">
        <v>59.708820039999999</v>
      </c>
      <c r="Z139">
        <v>57.888270579999997</v>
      </c>
      <c r="AA139">
        <v>64.687168610000001</v>
      </c>
      <c r="AB139">
        <v>68.16182938</v>
      </c>
      <c r="AC139">
        <v>60.364520050000003</v>
      </c>
    </row>
    <row r="140" spans="1:29" x14ac:dyDescent="0.25">
      <c r="A140" t="s">
        <v>70</v>
      </c>
      <c r="B140" t="s">
        <v>71</v>
      </c>
      <c r="C140" t="s">
        <v>108</v>
      </c>
      <c r="D140" t="s">
        <v>109</v>
      </c>
      <c r="E140" t="s">
        <v>55</v>
      </c>
      <c r="F140">
        <v>16.65972678</v>
      </c>
      <c r="G140">
        <v>16.506269790000001</v>
      </c>
      <c r="H140">
        <v>15.441416459999999</v>
      </c>
      <c r="I140">
        <v>16.28170072</v>
      </c>
      <c r="J140">
        <v>14.40647126</v>
      </c>
      <c r="K140">
        <v>1.982502717</v>
      </c>
      <c r="L140">
        <v>2.0927558770000001</v>
      </c>
      <c r="M140">
        <v>2.2483763969999999</v>
      </c>
      <c r="N140">
        <v>2.3712557369999998</v>
      </c>
      <c r="O140">
        <v>2.5676267529999999</v>
      </c>
      <c r="P140">
        <v>2.5418593199999999</v>
      </c>
      <c r="Q140">
        <v>2.721848069</v>
      </c>
      <c r="R140">
        <v>16.65972678</v>
      </c>
      <c r="S140">
        <v>16.506269790000001</v>
      </c>
      <c r="T140">
        <v>15.441416459999999</v>
      </c>
      <c r="U140">
        <v>16.28170072</v>
      </c>
      <c r="V140">
        <v>14.40647126</v>
      </c>
      <c r="W140">
        <v>1.982502717</v>
      </c>
      <c r="X140">
        <v>2.0927558770000001</v>
      </c>
      <c r="Y140">
        <v>2.2483763969999999</v>
      </c>
      <c r="Z140">
        <v>2.3712557369999998</v>
      </c>
      <c r="AA140">
        <v>2.5676267529999999</v>
      </c>
      <c r="AB140">
        <v>2.5418593199999999</v>
      </c>
      <c r="AC140">
        <v>2.721848069</v>
      </c>
    </row>
    <row r="141" spans="1:29" x14ac:dyDescent="0.25">
      <c r="A141" t="s">
        <v>72</v>
      </c>
      <c r="B141" t="s">
        <v>73</v>
      </c>
      <c r="C141" t="s">
        <v>108</v>
      </c>
      <c r="D141" t="s">
        <v>109</v>
      </c>
      <c r="E141" t="s">
        <v>55</v>
      </c>
      <c r="F141">
        <v>123.3019448</v>
      </c>
      <c r="G141">
        <v>108.5463816</v>
      </c>
      <c r="H141">
        <v>98.910744579999999</v>
      </c>
      <c r="I141">
        <v>103.8697209</v>
      </c>
      <c r="J141">
        <v>110.12755079999999</v>
      </c>
      <c r="K141">
        <v>92.874570390000002</v>
      </c>
      <c r="L141">
        <v>104.8514496</v>
      </c>
      <c r="M141">
        <v>95.768208729999998</v>
      </c>
      <c r="N141">
        <v>95.991133219999995</v>
      </c>
      <c r="O141">
        <v>85.100651319999997</v>
      </c>
      <c r="P141">
        <v>92.216839429999993</v>
      </c>
      <c r="Q141">
        <v>100.5668593</v>
      </c>
      <c r="R141">
        <v>123.3019448</v>
      </c>
      <c r="S141">
        <v>108.5463816</v>
      </c>
      <c r="T141">
        <v>98.910744579999999</v>
      </c>
      <c r="U141">
        <v>103.8697209</v>
      </c>
      <c r="V141">
        <v>110.12755079999999</v>
      </c>
      <c r="W141">
        <v>92.874570390000002</v>
      </c>
      <c r="X141">
        <v>104.8514496</v>
      </c>
      <c r="Y141">
        <v>95.768208729999998</v>
      </c>
      <c r="Z141">
        <v>95.991133219999995</v>
      </c>
      <c r="AA141">
        <v>85.100651319999997</v>
      </c>
      <c r="AB141">
        <v>92.216839429999993</v>
      </c>
      <c r="AC141">
        <v>100.5668593</v>
      </c>
    </row>
    <row r="142" spans="1:29" x14ac:dyDescent="0.25">
      <c r="A142" t="s">
        <v>74</v>
      </c>
      <c r="B142" t="s">
        <v>75</v>
      </c>
      <c r="C142" t="s">
        <v>108</v>
      </c>
      <c r="D142" t="s">
        <v>109</v>
      </c>
      <c r="E142" t="s">
        <v>55</v>
      </c>
      <c r="F142">
        <v>15.29676051</v>
      </c>
      <c r="G142">
        <v>12.8859447</v>
      </c>
      <c r="H142">
        <v>13.94944924</v>
      </c>
      <c r="I142">
        <v>9.4400157139999994</v>
      </c>
      <c r="J142">
        <v>9.9328397430000006</v>
      </c>
      <c r="K142">
        <v>9.737081323</v>
      </c>
      <c r="L142">
        <v>7.344358819</v>
      </c>
      <c r="M142">
        <v>0.92113142400000003</v>
      </c>
      <c r="N142">
        <v>1.3659099649999999</v>
      </c>
      <c r="O142">
        <v>1.46934422</v>
      </c>
      <c r="P142">
        <v>2.2033227850000001</v>
      </c>
      <c r="Q142">
        <v>1.640960762</v>
      </c>
      <c r="R142">
        <v>15.29676051</v>
      </c>
      <c r="S142">
        <v>12.8859447</v>
      </c>
      <c r="T142">
        <v>13.94944924</v>
      </c>
      <c r="U142">
        <v>9.4400157139999994</v>
      </c>
      <c r="V142">
        <v>9.9328397430000006</v>
      </c>
      <c r="W142">
        <v>9.737081323</v>
      </c>
      <c r="X142">
        <v>7.344358819</v>
      </c>
      <c r="Y142">
        <v>0.92113142400000003</v>
      </c>
      <c r="Z142">
        <v>1.3659099649999999</v>
      </c>
      <c r="AA142">
        <v>1.46934422</v>
      </c>
      <c r="AB142">
        <v>2.2033227850000001</v>
      </c>
      <c r="AC142">
        <v>1.640960762</v>
      </c>
    </row>
    <row r="143" spans="1:29" x14ac:dyDescent="0.25">
      <c r="A143" t="s">
        <v>76</v>
      </c>
      <c r="B143" t="s">
        <v>77</v>
      </c>
      <c r="C143" t="s">
        <v>108</v>
      </c>
      <c r="D143" t="s">
        <v>109</v>
      </c>
      <c r="E143" t="s">
        <v>55</v>
      </c>
      <c r="F143">
        <v>197.69817660000001</v>
      </c>
      <c r="G143">
        <v>199.10371860000001</v>
      </c>
      <c r="H143">
        <v>209.24800859999999</v>
      </c>
      <c r="I143">
        <v>228.8645094</v>
      </c>
      <c r="J143">
        <v>203.71318819999999</v>
      </c>
      <c r="K143">
        <v>206.73231150000001</v>
      </c>
      <c r="L143">
        <v>249.88665800000001</v>
      </c>
      <c r="M143">
        <v>265.30566279999999</v>
      </c>
      <c r="N143">
        <v>229.82872649999999</v>
      </c>
      <c r="O143">
        <v>198.37885729999999</v>
      </c>
      <c r="P143">
        <v>220.36758560000001</v>
      </c>
      <c r="Q143">
        <v>246.44116579999999</v>
      </c>
      <c r="R143">
        <v>197.69817660000001</v>
      </c>
      <c r="S143">
        <v>199.10371860000001</v>
      </c>
      <c r="T143">
        <v>209.24800859999999</v>
      </c>
      <c r="U143">
        <v>228.8645094</v>
      </c>
      <c r="V143">
        <v>203.71318819999999</v>
      </c>
      <c r="W143">
        <v>206.73231150000001</v>
      </c>
      <c r="X143">
        <v>249.88665800000001</v>
      </c>
      <c r="Y143">
        <v>265.30566279999999</v>
      </c>
      <c r="Z143">
        <v>229.82872649999999</v>
      </c>
      <c r="AA143">
        <v>198.37885729999999</v>
      </c>
      <c r="AB143">
        <v>220.36758560000001</v>
      </c>
      <c r="AC143">
        <v>246.44116579999999</v>
      </c>
    </row>
    <row r="144" spans="1:29" x14ac:dyDescent="0.25">
      <c r="A144" t="s">
        <v>78</v>
      </c>
      <c r="B144" t="s">
        <v>79</v>
      </c>
      <c r="C144" t="s">
        <v>108</v>
      </c>
      <c r="D144" t="s">
        <v>109</v>
      </c>
      <c r="E144" t="s">
        <v>55</v>
      </c>
      <c r="F144">
        <v>7.0363282910000002</v>
      </c>
      <c r="G144">
        <v>6.7661805289999997</v>
      </c>
      <c r="H144">
        <v>6.6966705539999998</v>
      </c>
      <c r="I144">
        <v>6.739833967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7.0363282910000002</v>
      </c>
      <c r="S144">
        <v>6.7661805289999997</v>
      </c>
      <c r="T144">
        <v>6.6966705539999998</v>
      </c>
      <c r="U144">
        <v>6.739833967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25">
      <c r="A145" t="s">
        <v>80</v>
      </c>
      <c r="B145" t="s">
        <v>81</v>
      </c>
      <c r="C145" t="s">
        <v>108</v>
      </c>
      <c r="D145" t="s">
        <v>109</v>
      </c>
      <c r="E145" t="s">
        <v>55</v>
      </c>
      <c r="F145">
        <v>345.05663750000002</v>
      </c>
      <c r="G145">
        <v>324.8093786</v>
      </c>
      <c r="H145">
        <v>361.58819629999999</v>
      </c>
      <c r="I145">
        <v>405.25990100000001</v>
      </c>
      <c r="J145">
        <v>293.29760329999999</v>
      </c>
      <c r="K145">
        <v>270.5965741</v>
      </c>
      <c r="L145">
        <v>203.96104220000001</v>
      </c>
      <c r="M145">
        <v>209.9099099</v>
      </c>
      <c r="N145">
        <v>217.03116460000001</v>
      </c>
      <c r="O145">
        <v>227.6614951</v>
      </c>
      <c r="P145">
        <v>172.8855595</v>
      </c>
      <c r="Q145">
        <v>188.68636760000001</v>
      </c>
      <c r="R145">
        <v>345.05663750000002</v>
      </c>
      <c r="S145">
        <v>324.8093786</v>
      </c>
      <c r="T145">
        <v>361.58819629999999</v>
      </c>
      <c r="U145">
        <v>405.25990100000001</v>
      </c>
      <c r="V145">
        <v>293.29760329999999</v>
      </c>
      <c r="W145">
        <v>270.5965741</v>
      </c>
      <c r="X145">
        <v>203.96104220000001</v>
      </c>
      <c r="Y145">
        <v>209.9099099</v>
      </c>
      <c r="Z145">
        <v>217.03116460000001</v>
      </c>
      <c r="AA145">
        <v>227.6614951</v>
      </c>
      <c r="AB145">
        <v>172.8855595</v>
      </c>
      <c r="AC145">
        <v>188.68636760000001</v>
      </c>
    </row>
    <row r="146" spans="1:29" x14ac:dyDescent="0.25">
      <c r="A146" t="s">
        <v>82</v>
      </c>
      <c r="B146" t="s">
        <v>83</v>
      </c>
      <c r="C146" t="s">
        <v>108</v>
      </c>
      <c r="D146" t="s">
        <v>109</v>
      </c>
      <c r="E146" t="s">
        <v>55</v>
      </c>
      <c r="F146">
        <v>9.4102206919999993</v>
      </c>
      <c r="G146">
        <v>8.2416877559999993</v>
      </c>
      <c r="H146">
        <v>6.9461224990000003</v>
      </c>
      <c r="I146">
        <v>7.4464035150000001</v>
      </c>
      <c r="J146">
        <v>6.7384711999999999E-2</v>
      </c>
      <c r="K146">
        <v>7.3467673999999997E-2</v>
      </c>
      <c r="L146">
        <v>8.0066085999999995E-2</v>
      </c>
      <c r="M146">
        <v>7.3707009000000004E-2</v>
      </c>
      <c r="N146">
        <v>0.28182513100000001</v>
      </c>
      <c r="O146">
        <v>9.2738344E-2</v>
      </c>
      <c r="P146">
        <v>0.101909185</v>
      </c>
      <c r="Q146">
        <v>0.114211801</v>
      </c>
      <c r="R146">
        <v>9.4102206919999993</v>
      </c>
      <c r="S146">
        <v>8.2416877559999993</v>
      </c>
      <c r="T146">
        <v>6.9461224990000003</v>
      </c>
      <c r="U146">
        <v>7.4464035150000001</v>
      </c>
      <c r="V146">
        <v>6.7384711999999999E-2</v>
      </c>
      <c r="W146">
        <v>7.3467673999999997E-2</v>
      </c>
      <c r="X146">
        <v>8.0066085999999995E-2</v>
      </c>
      <c r="Y146">
        <v>7.3707009000000004E-2</v>
      </c>
      <c r="Z146">
        <v>0.28182513100000001</v>
      </c>
      <c r="AA146">
        <v>9.2738344E-2</v>
      </c>
      <c r="AB146">
        <v>0.101909185</v>
      </c>
      <c r="AC146">
        <v>0.114211801</v>
      </c>
    </row>
    <row r="147" spans="1:29" x14ac:dyDescent="0.25">
      <c r="A147" t="s">
        <v>84</v>
      </c>
      <c r="B147" t="s">
        <v>85</v>
      </c>
      <c r="C147" t="s">
        <v>108</v>
      </c>
      <c r="D147" t="s">
        <v>109</v>
      </c>
      <c r="E147" t="s">
        <v>55</v>
      </c>
      <c r="F147">
        <v>10.93469835</v>
      </c>
      <c r="G147">
        <v>14.22530018</v>
      </c>
      <c r="H147">
        <v>14.766125669999999</v>
      </c>
      <c r="I147">
        <v>11.18687102</v>
      </c>
      <c r="J147">
        <v>9.6112628299999994</v>
      </c>
      <c r="K147">
        <v>7.5330892709999997</v>
      </c>
      <c r="L147">
        <v>7.469297708</v>
      </c>
      <c r="M147">
        <v>8.6435303829999999</v>
      </c>
      <c r="N147">
        <v>12.38431368</v>
      </c>
      <c r="O147">
        <v>8.5159450289999992</v>
      </c>
      <c r="P147">
        <v>8.1338912889999992</v>
      </c>
      <c r="Q147">
        <v>7.9473468629999999</v>
      </c>
      <c r="R147">
        <v>10.93469835</v>
      </c>
      <c r="S147">
        <v>14.22530018</v>
      </c>
      <c r="T147">
        <v>14.766125669999999</v>
      </c>
      <c r="U147">
        <v>11.18687102</v>
      </c>
      <c r="V147">
        <v>9.6112628299999994</v>
      </c>
      <c r="W147">
        <v>7.5330892709999997</v>
      </c>
      <c r="X147">
        <v>7.469297708</v>
      </c>
      <c r="Y147">
        <v>8.6435303829999999</v>
      </c>
      <c r="Z147">
        <v>12.38431368</v>
      </c>
      <c r="AA147">
        <v>8.5159450289999992</v>
      </c>
      <c r="AB147">
        <v>8.1338912889999992</v>
      </c>
      <c r="AC147">
        <v>7.9473468629999999</v>
      </c>
    </row>
    <row r="148" spans="1:29" x14ac:dyDescent="0.25">
      <c r="A148" t="s">
        <v>86</v>
      </c>
      <c r="B148" t="s">
        <v>87</v>
      </c>
      <c r="C148" t="s">
        <v>108</v>
      </c>
      <c r="D148" t="s">
        <v>109</v>
      </c>
      <c r="E148" t="s">
        <v>55</v>
      </c>
      <c r="F148">
        <v>17.384992480000001</v>
      </c>
      <c r="G148">
        <v>20.638023480000001</v>
      </c>
      <c r="H148">
        <v>21.5476451</v>
      </c>
      <c r="I148">
        <v>20.286229909999999</v>
      </c>
      <c r="J148">
        <v>17.427328459999998</v>
      </c>
      <c r="K148">
        <v>18.892298960000002</v>
      </c>
      <c r="L148">
        <v>21.985844060000002</v>
      </c>
      <c r="M148">
        <v>23.459971110000001</v>
      </c>
      <c r="N148">
        <v>28.486687849999999</v>
      </c>
      <c r="O148">
        <v>27.901320729999998</v>
      </c>
      <c r="P148">
        <v>25.732569770000001</v>
      </c>
      <c r="Q148">
        <v>26.916626010000002</v>
      </c>
      <c r="R148">
        <v>17.384992480000001</v>
      </c>
      <c r="S148">
        <v>20.638023480000001</v>
      </c>
      <c r="T148">
        <v>21.5476451</v>
      </c>
      <c r="U148">
        <v>20.286229909999999</v>
      </c>
      <c r="V148">
        <v>17.427328459999998</v>
      </c>
      <c r="W148">
        <v>18.892298960000002</v>
      </c>
      <c r="X148">
        <v>21.985844060000002</v>
      </c>
      <c r="Y148">
        <v>23.459971110000001</v>
      </c>
      <c r="Z148">
        <v>28.486687849999999</v>
      </c>
      <c r="AA148">
        <v>27.901320729999998</v>
      </c>
      <c r="AB148">
        <v>25.732569770000001</v>
      </c>
      <c r="AC148">
        <v>26.916626010000002</v>
      </c>
    </row>
    <row r="149" spans="1:29" x14ac:dyDescent="0.25">
      <c r="A149" t="s">
        <v>110</v>
      </c>
      <c r="B149" t="s">
        <v>46</v>
      </c>
      <c r="E149" t="s">
        <v>47</v>
      </c>
      <c r="R149" t="s">
        <v>46</v>
      </c>
      <c r="S149" t="s">
        <v>46</v>
      </c>
      <c r="T149" t="s">
        <v>46</v>
      </c>
      <c r="U149" t="s">
        <v>46</v>
      </c>
      <c r="V149" t="s">
        <v>46</v>
      </c>
      <c r="W149" t="s">
        <v>46</v>
      </c>
      <c r="X149" t="s">
        <v>46</v>
      </c>
      <c r="Y149" t="s">
        <v>46</v>
      </c>
      <c r="Z149" t="s">
        <v>46</v>
      </c>
      <c r="AA149" t="s">
        <v>46</v>
      </c>
      <c r="AB149" t="s">
        <v>46</v>
      </c>
      <c r="AC149" t="s">
        <v>46</v>
      </c>
    </row>
    <row r="150" spans="1:29" x14ac:dyDescent="0.25">
      <c r="A150" t="s">
        <v>111</v>
      </c>
      <c r="B150" t="s">
        <v>49</v>
      </c>
      <c r="E150" t="s">
        <v>50</v>
      </c>
      <c r="F150">
        <v>7.9496140269166666</v>
      </c>
      <c r="G150">
        <v>7.727719598666666</v>
      </c>
      <c r="H150">
        <v>6.7941866293333328</v>
      </c>
      <c r="I150">
        <v>4.8173539748333329</v>
      </c>
      <c r="J150">
        <v>3.4536503439166668</v>
      </c>
      <c r="K150">
        <v>2.9593221442500002</v>
      </c>
      <c r="L150">
        <v>2.0661834653333337</v>
      </c>
      <c r="M150">
        <v>2.5144924496666672</v>
      </c>
      <c r="N150">
        <v>2.9356023767500008</v>
      </c>
      <c r="O150">
        <v>2.5297473626666664</v>
      </c>
      <c r="P150">
        <v>2.4484528634166662</v>
      </c>
      <c r="Q150">
        <v>2.6195755395833333</v>
      </c>
      <c r="R150">
        <v>7.9496140259999999</v>
      </c>
      <c r="S150">
        <v>7.7277195980000002</v>
      </c>
      <c r="T150">
        <v>6.7941866299999996</v>
      </c>
      <c r="U150">
        <v>4.8173539749999996</v>
      </c>
      <c r="V150">
        <v>3.4536503430000001</v>
      </c>
      <c r="W150">
        <v>2.9593221440000002</v>
      </c>
      <c r="X150">
        <v>2.066183466</v>
      </c>
      <c r="Y150">
        <v>2.5144924500000001</v>
      </c>
      <c r="Z150">
        <v>2.9356023759999998</v>
      </c>
      <c r="AA150">
        <v>2.5297473629999998</v>
      </c>
      <c r="AB150">
        <v>2.4484528640000001</v>
      </c>
      <c r="AC150">
        <v>2.61957554</v>
      </c>
    </row>
    <row r="151" spans="1:29" x14ac:dyDescent="0.25">
      <c r="A151" t="s">
        <v>51</v>
      </c>
      <c r="B151" t="s">
        <v>52</v>
      </c>
      <c r="C151" t="s">
        <v>112</v>
      </c>
      <c r="D151" t="s">
        <v>113</v>
      </c>
      <c r="E151" t="s">
        <v>55</v>
      </c>
      <c r="F151">
        <v>-3.1285203539999999</v>
      </c>
      <c r="G151">
        <v>-3.744700538</v>
      </c>
      <c r="H151">
        <v>-9.3886059139999993</v>
      </c>
      <c r="I151">
        <v>-7.3132923090000004</v>
      </c>
      <c r="J151">
        <v>-6.8454753220000004</v>
      </c>
      <c r="K151">
        <v>-6.658396604</v>
      </c>
      <c r="L151">
        <v>-7.7061796019999997</v>
      </c>
      <c r="M151">
        <v>-5.962890078</v>
      </c>
      <c r="N151">
        <v>-5.4405696370000003</v>
      </c>
      <c r="O151">
        <v>-5.5692815390000003</v>
      </c>
      <c r="P151">
        <v>-6.2346590710000003</v>
      </c>
      <c r="Q151">
        <v>-5.0961197900000004</v>
      </c>
      <c r="R151">
        <v>-3.1285203539999999</v>
      </c>
      <c r="S151">
        <v>-3.744700538</v>
      </c>
      <c r="T151">
        <v>-9.3886059139999993</v>
      </c>
      <c r="U151">
        <v>-7.3132923090000004</v>
      </c>
      <c r="V151">
        <v>-6.8454753220000004</v>
      </c>
      <c r="W151">
        <v>-6.658396604</v>
      </c>
      <c r="X151">
        <v>-7.7061796019999997</v>
      </c>
      <c r="Y151">
        <v>-5.962890078</v>
      </c>
      <c r="Z151">
        <v>-5.4405696370000003</v>
      </c>
      <c r="AA151">
        <v>-5.5692815390000003</v>
      </c>
      <c r="AB151">
        <v>-6.2346590710000003</v>
      </c>
      <c r="AC151">
        <v>-5.0961197900000004</v>
      </c>
    </row>
    <row r="152" spans="1:29" x14ac:dyDescent="0.25">
      <c r="A152" t="s">
        <v>56</v>
      </c>
      <c r="B152" t="s">
        <v>57</v>
      </c>
      <c r="C152" t="s">
        <v>112</v>
      </c>
      <c r="D152" t="s">
        <v>113</v>
      </c>
      <c r="E152" t="s">
        <v>55</v>
      </c>
      <c r="F152">
        <v>-0.99544643499999996</v>
      </c>
      <c r="G152">
        <v>-1.5076207260000001</v>
      </c>
      <c r="H152">
        <v>-3.4640362539999998</v>
      </c>
      <c r="I152">
        <v>-3.338928525</v>
      </c>
      <c r="J152">
        <v>-3.2422673720000001</v>
      </c>
      <c r="K152">
        <v>-3.2865414099999999</v>
      </c>
      <c r="L152">
        <v>-3.6597496330000001</v>
      </c>
      <c r="M152">
        <v>-3.9469070749999999</v>
      </c>
      <c r="N152">
        <v>-3.7872636609999999</v>
      </c>
      <c r="O152">
        <v>-6.6457831660000002</v>
      </c>
      <c r="P152">
        <v>-6.7031702260000001</v>
      </c>
      <c r="Q152">
        <v>-6.5397632740000002</v>
      </c>
      <c r="R152">
        <v>-0.99544643499999996</v>
      </c>
      <c r="S152">
        <v>-1.5076207260000001</v>
      </c>
      <c r="T152">
        <v>-3.4640362539999998</v>
      </c>
      <c r="U152">
        <v>-3.338928525</v>
      </c>
      <c r="V152">
        <v>-3.2422673720000001</v>
      </c>
      <c r="W152">
        <v>-3.2865414099999999</v>
      </c>
      <c r="X152">
        <v>-3.6597496330000001</v>
      </c>
      <c r="Y152">
        <v>-3.9469070749999999</v>
      </c>
      <c r="Z152">
        <v>-3.7872636609999999</v>
      </c>
      <c r="AA152">
        <v>-6.6457831660000002</v>
      </c>
      <c r="AB152">
        <v>-6.7031702260000001</v>
      </c>
      <c r="AC152">
        <v>-6.5397632740000002</v>
      </c>
    </row>
    <row r="153" spans="1:29" x14ac:dyDescent="0.25">
      <c r="A153" t="s">
        <v>58</v>
      </c>
      <c r="B153" t="s">
        <v>59</v>
      </c>
      <c r="C153" t="s">
        <v>112</v>
      </c>
      <c r="D153" t="s">
        <v>113</v>
      </c>
      <c r="E153" t="s">
        <v>55</v>
      </c>
      <c r="F153" t="s">
        <v>46</v>
      </c>
      <c r="G153" t="s">
        <v>46</v>
      </c>
      <c r="H153" t="s">
        <v>46</v>
      </c>
      <c r="I153" t="s">
        <v>46</v>
      </c>
      <c r="J153" t="s">
        <v>46</v>
      </c>
      <c r="K153" t="s">
        <v>46</v>
      </c>
      <c r="L153" t="s">
        <v>46</v>
      </c>
      <c r="M153" t="s">
        <v>46</v>
      </c>
      <c r="N153" t="s">
        <v>46</v>
      </c>
      <c r="O153" t="s">
        <v>46</v>
      </c>
      <c r="P153" t="s">
        <v>46</v>
      </c>
      <c r="Q153" t="s">
        <v>46</v>
      </c>
      <c r="R153" t="s">
        <v>46</v>
      </c>
      <c r="S153" t="s">
        <v>46</v>
      </c>
      <c r="T153" t="s">
        <v>46</v>
      </c>
      <c r="U153" t="s">
        <v>46</v>
      </c>
      <c r="V153" t="s">
        <v>46</v>
      </c>
      <c r="W153" t="s">
        <v>46</v>
      </c>
      <c r="X153" t="s">
        <v>46</v>
      </c>
      <c r="Y153" t="s">
        <v>46</v>
      </c>
      <c r="Z153" t="s">
        <v>46</v>
      </c>
      <c r="AA153" t="s">
        <v>46</v>
      </c>
      <c r="AB153" t="s">
        <v>46</v>
      </c>
      <c r="AC153" t="s">
        <v>46</v>
      </c>
    </row>
    <row r="154" spans="1:29" x14ac:dyDescent="0.25">
      <c r="A154" t="s">
        <v>60</v>
      </c>
      <c r="B154" t="s">
        <v>61</v>
      </c>
      <c r="C154" t="s">
        <v>112</v>
      </c>
      <c r="D154" t="s">
        <v>113</v>
      </c>
      <c r="E154" t="s">
        <v>55</v>
      </c>
      <c r="F154" t="s">
        <v>46</v>
      </c>
      <c r="G154" t="s">
        <v>46</v>
      </c>
      <c r="H154" t="s">
        <v>46</v>
      </c>
      <c r="I154" t="s">
        <v>46</v>
      </c>
      <c r="J154" t="s">
        <v>46</v>
      </c>
      <c r="K154" t="s">
        <v>46</v>
      </c>
      <c r="L154" t="s">
        <v>46</v>
      </c>
      <c r="M154" t="s">
        <v>46</v>
      </c>
      <c r="N154" t="s">
        <v>46</v>
      </c>
      <c r="O154" t="s">
        <v>46</v>
      </c>
      <c r="P154" t="s">
        <v>46</v>
      </c>
      <c r="Q154" t="s">
        <v>46</v>
      </c>
      <c r="R154" t="s">
        <v>46</v>
      </c>
      <c r="S154" t="s">
        <v>46</v>
      </c>
      <c r="T154" t="s">
        <v>46</v>
      </c>
      <c r="U154" t="s">
        <v>46</v>
      </c>
      <c r="V154" t="s">
        <v>46</v>
      </c>
      <c r="W154" t="s">
        <v>46</v>
      </c>
      <c r="X154" t="s">
        <v>46</v>
      </c>
      <c r="Y154" t="s">
        <v>46</v>
      </c>
      <c r="Z154" t="s">
        <v>46</v>
      </c>
      <c r="AA154" t="s">
        <v>46</v>
      </c>
      <c r="AB154" t="s">
        <v>46</v>
      </c>
      <c r="AC154" t="s">
        <v>46</v>
      </c>
    </row>
    <row r="155" spans="1:29" x14ac:dyDescent="0.25">
      <c r="A155" t="s">
        <v>62</v>
      </c>
      <c r="B155" t="s">
        <v>63</v>
      </c>
      <c r="C155" t="s">
        <v>112</v>
      </c>
      <c r="D155" t="s">
        <v>113</v>
      </c>
      <c r="E155" t="s">
        <v>55</v>
      </c>
      <c r="F155" t="s">
        <v>46</v>
      </c>
      <c r="G155" t="s">
        <v>46</v>
      </c>
      <c r="H155" t="s">
        <v>46</v>
      </c>
      <c r="I155" t="s">
        <v>46</v>
      </c>
      <c r="J155" t="s">
        <v>46</v>
      </c>
      <c r="K155" t="s">
        <v>46</v>
      </c>
      <c r="L155" t="s">
        <v>46</v>
      </c>
      <c r="M155" t="s">
        <v>46</v>
      </c>
      <c r="N155" t="s">
        <v>46</v>
      </c>
      <c r="O155" t="s">
        <v>46</v>
      </c>
      <c r="P155" t="s">
        <v>46</v>
      </c>
      <c r="Q155" t="s">
        <v>46</v>
      </c>
      <c r="R155" t="s">
        <v>46</v>
      </c>
      <c r="S155" t="s">
        <v>46</v>
      </c>
      <c r="T155" t="s">
        <v>46</v>
      </c>
      <c r="U155" t="s">
        <v>46</v>
      </c>
      <c r="V155" t="s">
        <v>46</v>
      </c>
      <c r="W155" t="s">
        <v>46</v>
      </c>
      <c r="X155" t="s">
        <v>46</v>
      </c>
      <c r="Y155" t="s">
        <v>46</v>
      </c>
      <c r="Z155" t="s">
        <v>46</v>
      </c>
      <c r="AA155" t="s">
        <v>46</v>
      </c>
      <c r="AB155" t="s">
        <v>46</v>
      </c>
      <c r="AC155" t="s">
        <v>46</v>
      </c>
    </row>
    <row r="156" spans="1:29" x14ac:dyDescent="0.25">
      <c r="A156" t="s">
        <v>64</v>
      </c>
      <c r="B156" t="s">
        <v>65</v>
      </c>
      <c r="C156" t="s">
        <v>112</v>
      </c>
      <c r="D156" t="s">
        <v>113</v>
      </c>
      <c r="E156" t="s">
        <v>55</v>
      </c>
      <c r="F156">
        <v>-1.6172161169999999</v>
      </c>
      <c r="G156">
        <v>-3.1259124090000001</v>
      </c>
      <c r="H156">
        <v>-2.4990925590000002</v>
      </c>
      <c r="I156">
        <v>-2.3918439720000002</v>
      </c>
      <c r="J156">
        <v>-3.5773913039999998</v>
      </c>
      <c r="K156">
        <v>-6.5043177889999999</v>
      </c>
      <c r="L156">
        <v>-6.9637931030000004</v>
      </c>
      <c r="M156">
        <v>-5.9692832759999996</v>
      </c>
      <c r="N156">
        <v>-6.8879456709999998</v>
      </c>
      <c r="O156">
        <v>-7.1018675719999997</v>
      </c>
      <c r="P156">
        <v>-6.5709459460000001</v>
      </c>
      <c r="Q156">
        <v>-5.7309644669999997</v>
      </c>
      <c r="R156">
        <v>-1.6172161169999999</v>
      </c>
      <c r="S156">
        <v>-3.1259124090000001</v>
      </c>
      <c r="T156">
        <v>-2.4990925590000002</v>
      </c>
      <c r="U156">
        <v>-2.3918439720000002</v>
      </c>
      <c r="V156">
        <v>-3.5773913039999998</v>
      </c>
      <c r="W156">
        <v>-6.5043177889999999</v>
      </c>
      <c r="X156">
        <v>-6.9637931030000004</v>
      </c>
      <c r="Y156">
        <v>-5.9692832759999996</v>
      </c>
      <c r="Z156">
        <v>-6.8879456709999998</v>
      </c>
      <c r="AA156">
        <v>-7.1018675719999997</v>
      </c>
      <c r="AB156">
        <v>-6.5709459460000001</v>
      </c>
      <c r="AC156">
        <v>-5.7309644669999997</v>
      </c>
    </row>
    <row r="157" spans="1:29" x14ac:dyDescent="0.25">
      <c r="A157" t="s">
        <v>66</v>
      </c>
      <c r="B157" t="s">
        <v>67</v>
      </c>
      <c r="C157" t="s">
        <v>112</v>
      </c>
      <c r="D157" t="s">
        <v>113</v>
      </c>
      <c r="E157" t="s">
        <v>55</v>
      </c>
      <c r="F157">
        <v>7.4469546600000003</v>
      </c>
      <c r="G157">
        <v>6.3686727589999999</v>
      </c>
      <c r="H157">
        <v>7.8186866129999997</v>
      </c>
      <c r="I157">
        <v>7.8370808070000004</v>
      </c>
      <c r="J157">
        <v>6.8431885509999999</v>
      </c>
      <c r="K157">
        <v>3.9970724280000001</v>
      </c>
      <c r="L157">
        <v>4.796592532</v>
      </c>
      <c r="M157">
        <v>5.0313803019999996</v>
      </c>
      <c r="N157">
        <v>7.3137552230000002</v>
      </c>
      <c r="O157">
        <v>6.6102884619999998</v>
      </c>
      <c r="P157">
        <v>7.8001135269999997</v>
      </c>
      <c r="Q157">
        <v>8.9408021679999994</v>
      </c>
      <c r="R157">
        <v>7.4469546600000003</v>
      </c>
      <c r="S157">
        <v>6.3686727589999999</v>
      </c>
      <c r="T157">
        <v>7.8186866129999997</v>
      </c>
      <c r="U157">
        <v>7.8370808070000004</v>
      </c>
      <c r="V157">
        <v>6.8431885509999999</v>
      </c>
      <c r="W157">
        <v>3.9970724280000001</v>
      </c>
      <c r="X157">
        <v>4.796592532</v>
      </c>
      <c r="Y157">
        <v>5.0313803019999996</v>
      </c>
      <c r="Z157">
        <v>7.3137552230000002</v>
      </c>
      <c r="AA157">
        <v>6.6102884619999998</v>
      </c>
      <c r="AB157">
        <v>7.8001135269999997</v>
      </c>
      <c r="AC157">
        <v>8.9408021679999994</v>
      </c>
    </row>
    <row r="158" spans="1:29" x14ac:dyDescent="0.25">
      <c r="A158" t="s">
        <v>68</v>
      </c>
      <c r="B158" t="s">
        <v>69</v>
      </c>
      <c r="C158" t="s">
        <v>112</v>
      </c>
      <c r="D158" t="s">
        <v>113</v>
      </c>
      <c r="E158" t="s">
        <v>55</v>
      </c>
      <c r="F158">
        <v>30.82324169</v>
      </c>
      <c r="G158">
        <v>30.974419059999999</v>
      </c>
      <c r="H158">
        <v>30.601832170000002</v>
      </c>
      <c r="I158">
        <v>34.394170350000003</v>
      </c>
      <c r="J158">
        <v>16.66420501</v>
      </c>
      <c r="K158">
        <v>18.226459729999998</v>
      </c>
      <c r="L158">
        <v>14.861081950000001</v>
      </c>
      <c r="M158">
        <v>15.46837193</v>
      </c>
      <c r="N158">
        <v>18.666436940000001</v>
      </c>
      <c r="O158">
        <v>19.373986259999999</v>
      </c>
      <c r="P158">
        <v>20.235749590000001</v>
      </c>
      <c r="Q158">
        <v>17.048398800000001</v>
      </c>
      <c r="R158">
        <v>30.82324169</v>
      </c>
      <c r="S158">
        <v>30.974419059999999</v>
      </c>
      <c r="T158">
        <v>30.601832170000002</v>
      </c>
      <c r="U158">
        <v>34.394170350000003</v>
      </c>
      <c r="V158">
        <v>16.66420501</v>
      </c>
      <c r="W158">
        <v>18.226459729999998</v>
      </c>
      <c r="X158">
        <v>14.861081950000001</v>
      </c>
      <c r="Y158">
        <v>15.46837193</v>
      </c>
      <c r="Z158">
        <v>18.666436940000001</v>
      </c>
      <c r="AA158">
        <v>19.373986259999999</v>
      </c>
      <c r="AB158">
        <v>20.235749590000001</v>
      </c>
      <c r="AC158">
        <v>17.048398800000001</v>
      </c>
    </row>
    <row r="159" spans="1:29" x14ac:dyDescent="0.25">
      <c r="A159" t="s">
        <v>70</v>
      </c>
      <c r="B159" t="s">
        <v>71</v>
      </c>
      <c r="C159" t="s">
        <v>112</v>
      </c>
      <c r="D159" t="s">
        <v>113</v>
      </c>
      <c r="E159" t="s">
        <v>55</v>
      </c>
      <c r="F159">
        <v>-11.03816016</v>
      </c>
      <c r="G159">
        <v>-11.611972740000001</v>
      </c>
      <c r="H159">
        <v>-10.767463830000001</v>
      </c>
      <c r="I159">
        <v>-9.4733278300000006</v>
      </c>
      <c r="J159">
        <v>-9.95411541</v>
      </c>
      <c r="K159">
        <v>-13.105437090000001</v>
      </c>
      <c r="L159">
        <v>-11.587899889999999</v>
      </c>
      <c r="M159">
        <v>-9.8796704379999998</v>
      </c>
      <c r="N159">
        <v>-9.0829854959999992</v>
      </c>
      <c r="O159">
        <v>-10.54392103</v>
      </c>
      <c r="P159">
        <v>-8.8260153179999996</v>
      </c>
      <c r="Q159">
        <v>-7.6827413939999998</v>
      </c>
      <c r="R159">
        <v>-11.03816016</v>
      </c>
      <c r="S159">
        <v>-11.611972740000001</v>
      </c>
      <c r="T159">
        <v>-10.767463830000001</v>
      </c>
      <c r="U159">
        <v>-9.4733278300000006</v>
      </c>
      <c r="V159">
        <v>-9.95411541</v>
      </c>
      <c r="W159">
        <v>-13.105437090000001</v>
      </c>
      <c r="X159">
        <v>-11.587899889999999</v>
      </c>
      <c r="Y159">
        <v>-9.8796704379999998</v>
      </c>
      <c r="Z159">
        <v>-9.0829854959999992</v>
      </c>
      <c r="AA159">
        <v>-10.54392103</v>
      </c>
      <c r="AB159">
        <v>-8.8260153179999996</v>
      </c>
      <c r="AC159">
        <v>-7.6827413939999998</v>
      </c>
    </row>
    <row r="160" spans="1:29" x14ac:dyDescent="0.25">
      <c r="A160" t="s">
        <v>72</v>
      </c>
      <c r="B160" t="s">
        <v>73</v>
      </c>
      <c r="C160" t="s">
        <v>112</v>
      </c>
      <c r="D160" t="s">
        <v>113</v>
      </c>
      <c r="E160" t="s">
        <v>55</v>
      </c>
      <c r="F160">
        <v>7.8257433159999996</v>
      </c>
      <c r="G160">
        <v>6.9506172230000001</v>
      </c>
      <c r="H160">
        <v>5.7752674610000003</v>
      </c>
      <c r="I160">
        <v>6.5032484850000003</v>
      </c>
      <c r="J160">
        <v>6.8317247639999996</v>
      </c>
      <c r="K160">
        <v>4.844591222</v>
      </c>
      <c r="L160">
        <v>4.8992891930000004</v>
      </c>
      <c r="M160">
        <v>4.6940006099999998</v>
      </c>
      <c r="N160">
        <v>4.5189080779999999</v>
      </c>
      <c r="O160">
        <v>3.6139244389999998</v>
      </c>
      <c r="P160">
        <v>3.9781951979999999</v>
      </c>
      <c r="Q160">
        <v>4.2801099569999996</v>
      </c>
      <c r="R160">
        <v>7.8257433159999996</v>
      </c>
      <c r="S160">
        <v>6.9506172230000001</v>
      </c>
      <c r="T160">
        <v>5.7752674610000003</v>
      </c>
      <c r="U160">
        <v>6.5032484850000003</v>
      </c>
      <c r="V160">
        <v>6.8317247639999996</v>
      </c>
      <c r="W160">
        <v>4.844591222</v>
      </c>
      <c r="X160">
        <v>4.8992891930000004</v>
      </c>
      <c r="Y160">
        <v>4.6940006099999998</v>
      </c>
      <c r="Z160">
        <v>4.5189080779999999</v>
      </c>
      <c r="AA160">
        <v>3.6139244389999998</v>
      </c>
      <c r="AB160">
        <v>3.9781951979999999</v>
      </c>
      <c r="AC160">
        <v>4.2801099569999996</v>
      </c>
    </row>
    <row r="161" spans="1:29" x14ac:dyDescent="0.25">
      <c r="A161" t="s">
        <v>74</v>
      </c>
      <c r="B161" t="s">
        <v>75</v>
      </c>
      <c r="C161" t="s">
        <v>112</v>
      </c>
      <c r="D161" t="s">
        <v>113</v>
      </c>
      <c r="E161" t="s">
        <v>55</v>
      </c>
      <c r="F161">
        <v>-0.35977984200000002</v>
      </c>
      <c r="G161">
        <v>-0.286991936</v>
      </c>
      <c r="H161">
        <v>-6.6814787E-2</v>
      </c>
      <c r="I161">
        <v>-0.39487107700000001</v>
      </c>
      <c r="J161">
        <v>-0.38374621599999997</v>
      </c>
      <c r="K161">
        <v>-0.29540703099999999</v>
      </c>
      <c r="L161">
        <v>-0.32035125599999997</v>
      </c>
      <c r="M161">
        <v>-0.50425608600000005</v>
      </c>
      <c r="N161">
        <v>-0.32393538900000002</v>
      </c>
      <c r="O161">
        <v>-0.43744768299999998</v>
      </c>
      <c r="P161">
        <v>-0.48264051299999999</v>
      </c>
      <c r="Q161">
        <v>-0.59956318600000003</v>
      </c>
      <c r="R161">
        <v>-0.35977984200000002</v>
      </c>
      <c r="S161">
        <v>-0.286991936</v>
      </c>
      <c r="T161">
        <v>-6.6814787E-2</v>
      </c>
      <c r="U161">
        <v>-0.39487107700000001</v>
      </c>
      <c r="V161">
        <v>-0.38374621599999997</v>
      </c>
      <c r="W161">
        <v>-0.29540703099999999</v>
      </c>
      <c r="X161">
        <v>-0.32035125599999997</v>
      </c>
      <c r="Y161">
        <v>-0.50425608600000005</v>
      </c>
      <c r="Z161">
        <v>-0.32393538900000002</v>
      </c>
      <c r="AA161">
        <v>-0.43744768299999998</v>
      </c>
      <c r="AB161">
        <v>-0.48264051299999999</v>
      </c>
      <c r="AC161">
        <v>-0.59956318600000003</v>
      </c>
    </row>
    <row r="162" spans="1:29" x14ac:dyDescent="0.25">
      <c r="A162" t="s">
        <v>76</v>
      </c>
      <c r="B162" t="s">
        <v>77</v>
      </c>
      <c r="C162" t="s">
        <v>112</v>
      </c>
      <c r="D162" t="s">
        <v>113</v>
      </c>
      <c r="E162" t="s">
        <v>55</v>
      </c>
      <c r="F162">
        <v>4.0189078189999998</v>
      </c>
      <c r="G162">
        <v>4.2945572030000001</v>
      </c>
      <c r="H162">
        <v>4.4778209709999999</v>
      </c>
      <c r="I162">
        <v>5.3196159319999996</v>
      </c>
      <c r="J162">
        <v>3.4378443079999998</v>
      </c>
      <c r="K162">
        <v>3.1322724669999999</v>
      </c>
      <c r="L162">
        <v>3.894048331</v>
      </c>
      <c r="M162">
        <v>3.7433060629999999</v>
      </c>
      <c r="N162">
        <v>3.6307157619999999</v>
      </c>
      <c r="O162">
        <v>3.4543949839999999</v>
      </c>
      <c r="P162">
        <v>4.0379957989999999</v>
      </c>
      <c r="Q162">
        <v>4.7198558650000004</v>
      </c>
      <c r="R162">
        <v>4.0189078189999998</v>
      </c>
      <c r="S162">
        <v>4.2945572030000001</v>
      </c>
      <c r="T162">
        <v>4.4778209709999999</v>
      </c>
      <c r="U162">
        <v>5.3196159319999996</v>
      </c>
      <c r="V162">
        <v>3.4378443079999998</v>
      </c>
      <c r="W162">
        <v>3.1322724669999999</v>
      </c>
      <c r="X162">
        <v>3.894048331</v>
      </c>
      <c r="Y162">
        <v>3.7433060629999999</v>
      </c>
      <c r="Z162">
        <v>3.6307157619999999</v>
      </c>
      <c r="AA162">
        <v>3.4543949839999999</v>
      </c>
      <c r="AB162">
        <v>4.0379957989999999</v>
      </c>
      <c r="AC162">
        <v>4.7198558650000004</v>
      </c>
    </row>
    <row r="163" spans="1:29" x14ac:dyDescent="0.25">
      <c r="A163" t="s">
        <v>78</v>
      </c>
      <c r="B163" t="s">
        <v>79</v>
      </c>
      <c r="C163" t="s">
        <v>112</v>
      </c>
      <c r="D163" t="s">
        <v>113</v>
      </c>
      <c r="E163" t="s">
        <v>55</v>
      </c>
      <c r="F163" t="s">
        <v>46</v>
      </c>
      <c r="G163" t="s">
        <v>46</v>
      </c>
      <c r="H163" t="s">
        <v>46</v>
      </c>
      <c r="I163" t="s">
        <v>46</v>
      </c>
      <c r="J163" t="s">
        <v>46</v>
      </c>
      <c r="K163" t="s">
        <v>46</v>
      </c>
      <c r="L163" t="s">
        <v>46</v>
      </c>
      <c r="M163" t="s">
        <v>46</v>
      </c>
      <c r="N163" t="s">
        <v>46</v>
      </c>
      <c r="O163" t="s">
        <v>46</v>
      </c>
      <c r="P163" t="s">
        <v>46</v>
      </c>
      <c r="Q163" t="s">
        <v>46</v>
      </c>
      <c r="R163" t="s">
        <v>46</v>
      </c>
      <c r="S163" t="s">
        <v>46</v>
      </c>
      <c r="T163" t="s">
        <v>46</v>
      </c>
      <c r="U163" t="s">
        <v>46</v>
      </c>
      <c r="V163" t="s">
        <v>46</v>
      </c>
      <c r="W163" t="s">
        <v>46</v>
      </c>
      <c r="X163" t="s">
        <v>46</v>
      </c>
      <c r="Y163" t="s">
        <v>46</v>
      </c>
      <c r="Z163" t="s">
        <v>46</v>
      </c>
      <c r="AA163" t="s">
        <v>46</v>
      </c>
      <c r="AB163" t="s">
        <v>46</v>
      </c>
      <c r="AC163" t="s">
        <v>46</v>
      </c>
    </row>
    <row r="164" spans="1:29" x14ac:dyDescent="0.25">
      <c r="A164" t="s">
        <v>80</v>
      </c>
      <c r="B164" t="s">
        <v>81</v>
      </c>
      <c r="C164" t="s">
        <v>112</v>
      </c>
      <c r="D164" t="s">
        <v>113</v>
      </c>
      <c r="E164" t="s">
        <v>55</v>
      </c>
      <c r="F164">
        <v>64.344134080000003</v>
      </c>
      <c r="G164">
        <v>66.342172989999995</v>
      </c>
      <c r="H164">
        <v>61.170474910000003</v>
      </c>
      <c r="I164">
        <v>28.92456219</v>
      </c>
      <c r="J164">
        <v>34.342767649999999</v>
      </c>
      <c r="K164">
        <v>37.356385330000002</v>
      </c>
      <c r="L164">
        <v>28.55332168</v>
      </c>
      <c r="M164">
        <v>29.842288450000002</v>
      </c>
      <c r="N164">
        <v>29.017722070000001</v>
      </c>
      <c r="O164">
        <v>29.898805039999999</v>
      </c>
      <c r="P164">
        <v>24.262751819999998</v>
      </c>
      <c r="Q164">
        <v>24.15389527</v>
      </c>
      <c r="R164">
        <v>64.344134080000003</v>
      </c>
      <c r="S164">
        <v>66.342172989999995</v>
      </c>
      <c r="T164">
        <v>61.170474910000003</v>
      </c>
      <c r="U164">
        <v>28.92456219</v>
      </c>
      <c r="V164">
        <v>34.342767649999999</v>
      </c>
      <c r="W164">
        <v>37.356385330000002</v>
      </c>
      <c r="X164">
        <v>28.55332168</v>
      </c>
      <c r="Y164">
        <v>29.842288450000002</v>
      </c>
      <c r="Z164">
        <v>29.017722070000001</v>
      </c>
      <c r="AA164">
        <v>29.898805039999999</v>
      </c>
      <c r="AB164">
        <v>24.262751819999998</v>
      </c>
      <c r="AC164">
        <v>24.15389527</v>
      </c>
    </row>
    <row r="165" spans="1:29" x14ac:dyDescent="0.25">
      <c r="A165" t="s">
        <v>82</v>
      </c>
      <c r="B165" t="s">
        <v>83</v>
      </c>
      <c r="C165" t="s">
        <v>112</v>
      </c>
      <c r="D165" t="s">
        <v>113</v>
      </c>
      <c r="E165" t="s">
        <v>55</v>
      </c>
      <c r="F165">
        <v>-0.96937706499999998</v>
      </c>
      <c r="G165">
        <v>-1.118042625</v>
      </c>
      <c r="H165">
        <v>-1.4959155420000001</v>
      </c>
      <c r="I165">
        <v>-1.375655979</v>
      </c>
      <c r="J165">
        <v>-1.602161825</v>
      </c>
      <c r="K165">
        <v>-1.3772272189999999</v>
      </c>
      <c r="L165">
        <v>-1.218466853</v>
      </c>
      <c r="M165">
        <v>-1.4606253360000001</v>
      </c>
      <c r="N165">
        <v>-1.700185751</v>
      </c>
      <c r="O165">
        <v>-1.4994256640000001</v>
      </c>
      <c r="P165">
        <v>-1.337304128</v>
      </c>
      <c r="Q165">
        <v>-1.258545416</v>
      </c>
      <c r="R165">
        <v>-0.96937706499999998</v>
      </c>
      <c r="S165">
        <v>-1.118042625</v>
      </c>
      <c r="T165">
        <v>-1.4959155420000001</v>
      </c>
      <c r="U165">
        <v>-1.375655979</v>
      </c>
      <c r="V165">
        <v>-1.602161825</v>
      </c>
      <c r="W165">
        <v>-1.3772272189999999</v>
      </c>
      <c r="X165">
        <v>-1.218466853</v>
      </c>
      <c r="Y165">
        <v>-1.4606253360000001</v>
      </c>
      <c r="Z165">
        <v>-1.700185751</v>
      </c>
      <c r="AA165">
        <v>-1.4994256640000001</v>
      </c>
      <c r="AB165">
        <v>-1.337304128</v>
      </c>
      <c r="AC165">
        <v>-1.258545416</v>
      </c>
    </row>
    <row r="166" spans="1:29" x14ac:dyDescent="0.25">
      <c r="A166" t="s">
        <v>84</v>
      </c>
      <c r="B166" t="s">
        <v>85</v>
      </c>
      <c r="C166" t="s">
        <v>112</v>
      </c>
      <c r="D166" t="s">
        <v>113</v>
      </c>
      <c r="E166" t="s">
        <v>55</v>
      </c>
      <c r="F166">
        <v>-0.95511326900000004</v>
      </c>
      <c r="G166">
        <v>-0.80256307699999996</v>
      </c>
      <c r="H166">
        <v>-0.63191368699999995</v>
      </c>
      <c r="I166">
        <v>-0.88251037399999999</v>
      </c>
      <c r="J166">
        <v>-1.070768707</v>
      </c>
      <c r="K166">
        <v>-0.81758830299999996</v>
      </c>
      <c r="L166">
        <v>-0.75369176500000001</v>
      </c>
      <c r="M166">
        <v>-0.88180566999999999</v>
      </c>
      <c r="N166">
        <v>-0.69742394699999999</v>
      </c>
      <c r="O166">
        <v>-0.79670417900000001</v>
      </c>
      <c r="P166">
        <v>-0.77863637100000005</v>
      </c>
      <c r="Q166">
        <v>-0.80045805800000003</v>
      </c>
      <c r="R166">
        <v>-0.95511326900000004</v>
      </c>
      <c r="S166">
        <v>-0.80256307699999996</v>
      </c>
      <c r="T166">
        <v>-0.63191368699999995</v>
      </c>
      <c r="U166">
        <v>-0.88251037399999999</v>
      </c>
      <c r="V166">
        <v>-1.070768707</v>
      </c>
      <c r="W166">
        <v>-0.81758830299999996</v>
      </c>
      <c r="X166">
        <v>-0.75369176500000001</v>
      </c>
      <c r="Y166">
        <v>-0.88180566999999999</v>
      </c>
      <c r="Z166">
        <v>-0.69742394699999999</v>
      </c>
      <c r="AA166">
        <v>-0.79670417900000001</v>
      </c>
      <c r="AB166">
        <v>-0.77863637100000005</v>
      </c>
      <c r="AC166">
        <v>-0.80045805800000003</v>
      </c>
    </row>
    <row r="167" spans="1:29" x14ac:dyDescent="0.25">
      <c r="A167" t="s">
        <v>86</v>
      </c>
      <c r="B167" t="s">
        <v>87</v>
      </c>
      <c r="C167" t="s">
        <v>112</v>
      </c>
      <c r="D167" t="s">
        <v>113</v>
      </c>
      <c r="E167" t="s">
        <v>55</v>
      </c>
      <c r="F167" t="s">
        <v>46</v>
      </c>
      <c r="G167" t="s">
        <v>46</v>
      </c>
      <c r="H167" t="s">
        <v>46</v>
      </c>
      <c r="I167" t="s">
        <v>46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46</v>
      </c>
      <c r="Q167" t="s">
        <v>46</v>
      </c>
      <c r="R167" t="s">
        <v>46</v>
      </c>
      <c r="S167" t="s">
        <v>46</v>
      </c>
      <c r="T167" t="s">
        <v>46</v>
      </c>
      <c r="U167" t="s">
        <v>46</v>
      </c>
      <c r="V167" t="s">
        <v>46</v>
      </c>
      <c r="W167" t="s">
        <v>46</v>
      </c>
      <c r="X167" t="s">
        <v>46</v>
      </c>
      <c r="Y167" t="s">
        <v>46</v>
      </c>
      <c r="Z167" t="s">
        <v>46</v>
      </c>
      <c r="AA167" t="s">
        <v>46</v>
      </c>
      <c r="AB167" t="s">
        <v>46</v>
      </c>
      <c r="AC167" t="s">
        <v>46</v>
      </c>
    </row>
    <row r="168" spans="1:29" x14ac:dyDescent="0.25">
      <c r="A168" t="s">
        <v>114</v>
      </c>
      <c r="B168" t="s">
        <v>49</v>
      </c>
      <c r="E168" t="s">
        <v>50</v>
      </c>
      <c r="F168">
        <v>68.158053110714292</v>
      </c>
      <c r="G168">
        <v>76.388777544666667</v>
      </c>
      <c r="H168">
        <v>69.374222860714298</v>
      </c>
      <c r="I168">
        <v>76.308592542857141</v>
      </c>
      <c r="J168">
        <v>68.217110570714297</v>
      </c>
      <c r="K168">
        <v>76.967329567333323</v>
      </c>
      <c r="L168">
        <v>70.046178062142857</v>
      </c>
      <c r="M168">
        <v>77.291455777142872</v>
      </c>
      <c r="N168">
        <v>68.547704112857133</v>
      </c>
      <c r="O168">
        <v>78.24429062416668</v>
      </c>
      <c r="P168">
        <v>68.813116104615375</v>
      </c>
      <c r="Q168">
        <v>69.610422522500002</v>
      </c>
      <c r="R168">
        <v>68.158053109999997</v>
      </c>
      <c r="S168">
        <v>76.38877755</v>
      </c>
      <c r="T168">
        <v>69.374222860000003</v>
      </c>
      <c r="U168">
        <v>76.308592540000006</v>
      </c>
      <c r="V168">
        <v>68.217110570000003</v>
      </c>
      <c r="W168">
        <v>76.967329559999996</v>
      </c>
      <c r="X168">
        <v>70.046178060000003</v>
      </c>
      <c r="Y168">
        <v>77.291455780000007</v>
      </c>
      <c r="Z168">
        <v>68.547704109999998</v>
      </c>
      <c r="AA168">
        <v>78.244290629999995</v>
      </c>
      <c r="AB168">
        <v>68.813116109999996</v>
      </c>
      <c r="AC168">
        <v>69.61042252</v>
      </c>
    </row>
    <row r="169" spans="1:29" x14ac:dyDescent="0.25">
      <c r="A169" t="s">
        <v>51</v>
      </c>
      <c r="B169" t="s">
        <v>52</v>
      </c>
      <c r="C169" t="s">
        <v>115</v>
      </c>
      <c r="D169" t="s">
        <v>116</v>
      </c>
      <c r="E169" t="s">
        <v>55</v>
      </c>
      <c r="F169">
        <v>68.311234189999993</v>
      </c>
      <c r="G169">
        <v>68.903556300000005</v>
      </c>
      <c r="H169">
        <v>55.286418920000003</v>
      </c>
      <c r="I169">
        <v>56.126530559999999</v>
      </c>
      <c r="J169">
        <v>56.928804800000002</v>
      </c>
      <c r="K169">
        <v>56.893824350000003</v>
      </c>
      <c r="L169">
        <v>42.58664297</v>
      </c>
      <c r="M169">
        <v>43.026869249999997</v>
      </c>
      <c r="N169">
        <v>44.614149910000002</v>
      </c>
      <c r="O169">
        <v>44.988173009999997</v>
      </c>
      <c r="P169">
        <v>42.894978950000002</v>
      </c>
      <c r="Q169">
        <v>44.388713090000003</v>
      </c>
      <c r="R169">
        <v>68.311234189999993</v>
      </c>
      <c r="S169">
        <v>68.903556300000005</v>
      </c>
      <c r="T169">
        <v>55.286418920000003</v>
      </c>
      <c r="U169">
        <v>56.126530559999999</v>
      </c>
      <c r="V169">
        <v>56.928804800000002</v>
      </c>
      <c r="W169">
        <v>56.893824350000003</v>
      </c>
      <c r="X169">
        <v>42.58664297</v>
      </c>
      <c r="Y169">
        <v>43.026869249999997</v>
      </c>
      <c r="Z169">
        <v>44.614149910000002</v>
      </c>
      <c r="AA169">
        <v>44.988173009999997</v>
      </c>
      <c r="AB169">
        <v>42.894978950000002</v>
      </c>
      <c r="AC169">
        <v>44.388713090000003</v>
      </c>
    </row>
    <row r="170" spans="1:29" x14ac:dyDescent="0.25">
      <c r="A170" t="s">
        <v>56</v>
      </c>
      <c r="B170" t="s">
        <v>57</v>
      </c>
      <c r="C170" t="s">
        <v>115</v>
      </c>
      <c r="D170" t="s">
        <v>116</v>
      </c>
      <c r="E170" t="s">
        <v>55</v>
      </c>
      <c r="F170">
        <v>67.124007950000006</v>
      </c>
      <c r="G170">
        <v>89.154223259999995</v>
      </c>
      <c r="H170">
        <v>75.710498569999999</v>
      </c>
      <c r="I170">
        <v>75.813006099999996</v>
      </c>
      <c r="J170">
        <v>67.268452749999994</v>
      </c>
      <c r="K170">
        <v>76.947020480000006</v>
      </c>
      <c r="L170">
        <v>61.656675479999997</v>
      </c>
      <c r="M170">
        <v>67.041639070000002</v>
      </c>
      <c r="N170">
        <v>66.010799899999995</v>
      </c>
      <c r="O170">
        <v>65.456939329999997</v>
      </c>
      <c r="P170">
        <v>62.283568930000001</v>
      </c>
      <c r="Q170">
        <v>64.106435540000007</v>
      </c>
      <c r="R170">
        <v>67.124007950000006</v>
      </c>
      <c r="S170">
        <v>89.154223259999995</v>
      </c>
      <c r="T170">
        <v>75.710498569999999</v>
      </c>
      <c r="U170">
        <v>75.813006099999996</v>
      </c>
      <c r="V170">
        <v>67.268452749999994</v>
      </c>
      <c r="W170">
        <v>76.947020480000006</v>
      </c>
      <c r="X170">
        <v>61.656675479999997</v>
      </c>
      <c r="Y170">
        <v>67.041639070000002</v>
      </c>
      <c r="Z170">
        <v>66.010799899999995</v>
      </c>
      <c r="AA170">
        <v>65.456939329999997</v>
      </c>
      <c r="AB170">
        <v>62.283568930000001</v>
      </c>
      <c r="AC170">
        <v>64.106435540000007</v>
      </c>
    </row>
    <row r="171" spans="1:29" x14ac:dyDescent="0.25">
      <c r="A171" t="s">
        <v>58</v>
      </c>
      <c r="B171" t="s">
        <v>59</v>
      </c>
      <c r="C171" t="s">
        <v>115</v>
      </c>
      <c r="D171" t="s">
        <v>116</v>
      </c>
      <c r="E171" t="s">
        <v>55</v>
      </c>
      <c r="F171" t="s">
        <v>46</v>
      </c>
      <c r="G171" t="s">
        <v>46</v>
      </c>
      <c r="H171" t="s">
        <v>46</v>
      </c>
      <c r="I171" t="s">
        <v>46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46</v>
      </c>
      <c r="Q171" t="s">
        <v>46</v>
      </c>
      <c r="R171" t="s">
        <v>46</v>
      </c>
      <c r="S171" t="s">
        <v>46</v>
      </c>
      <c r="T171" t="s">
        <v>46</v>
      </c>
      <c r="U171" t="s">
        <v>46</v>
      </c>
      <c r="V171" t="s">
        <v>46</v>
      </c>
      <c r="W171" t="s">
        <v>46</v>
      </c>
      <c r="X171" t="s">
        <v>46</v>
      </c>
      <c r="Y171" t="s">
        <v>46</v>
      </c>
      <c r="Z171" t="s">
        <v>46</v>
      </c>
      <c r="AA171" t="s">
        <v>46</v>
      </c>
      <c r="AB171" t="s">
        <v>46</v>
      </c>
      <c r="AC171" t="s">
        <v>46</v>
      </c>
    </row>
    <row r="172" spans="1:29" x14ac:dyDescent="0.25">
      <c r="A172" t="s">
        <v>60</v>
      </c>
      <c r="B172" t="s">
        <v>61</v>
      </c>
      <c r="C172" t="s">
        <v>115</v>
      </c>
      <c r="D172" t="s">
        <v>116</v>
      </c>
      <c r="E172" t="s">
        <v>55</v>
      </c>
      <c r="F172" t="s">
        <v>46</v>
      </c>
      <c r="G172" t="s">
        <v>46</v>
      </c>
      <c r="H172" t="s">
        <v>46</v>
      </c>
      <c r="I172" t="s">
        <v>46</v>
      </c>
      <c r="J172" t="s">
        <v>46</v>
      </c>
      <c r="K172" t="s">
        <v>46</v>
      </c>
      <c r="L172" t="s">
        <v>46</v>
      </c>
      <c r="M172" t="s">
        <v>46</v>
      </c>
      <c r="N172" t="s">
        <v>46</v>
      </c>
      <c r="O172" t="s">
        <v>46</v>
      </c>
      <c r="P172" t="s">
        <v>46</v>
      </c>
      <c r="Q172" t="s">
        <v>46</v>
      </c>
      <c r="R172" t="s">
        <v>46</v>
      </c>
      <c r="S172" t="s">
        <v>46</v>
      </c>
      <c r="T172" t="s">
        <v>46</v>
      </c>
      <c r="U172" t="s">
        <v>46</v>
      </c>
      <c r="V172" t="s">
        <v>46</v>
      </c>
      <c r="W172" t="s">
        <v>46</v>
      </c>
      <c r="X172" t="s">
        <v>46</v>
      </c>
      <c r="Y172" t="s">
        <v>46</v>
      </c>
      <c r="Z172" t="s">
        <v>46</v>
      </c>
      <c r="AA172" t="s">
        <v>46</v>
      </c>
      <c r="AB172" t="s">
        <v>46</v>
      </c>
      <c r="AC172" t="s">
        <v>46</v>
      </c>
    </row>
    <row r="173" spans="1:29" x14ac:dyDescent="0.25">
      <c r="A173" t="s">
        <v>62</v>
      </c>
      <c r="B173" t="s">
        <v>63</v>
      </c>
      <c r="C173" t="s">
        <v>115</v>
      </c>
      <c r="D173" t="s">
        <v>116</v>
      </c>
      <c r="E173" t="s">
        <v>55</v>
      </c>
      <c r="F173">
        <v>44.045891150000003</v>
      </c>
      <c r="G173">
        <v>46.114328700000002</v>
      </c>
      <c r="H173">
        <v>31.742115340000002</v>
      </c>
      <c r="I173" t="s">
        <v>46</v>
      </c>
      <c r="J173">
        <v>43.460135430000001</v>
      </c>
      <c r="K173">
        <v>46.349088279999997</v>
      </c>
      <c r="L173">
        <v>32.644983740000001</v>
      </c>
      <c r="M173" t="s">
        <v>46</v>
      </c>
      <c r="N173">
        <v>41.101784379999998</v>
      </c>
      <c r="O173">
        <v>44.192848429999998</v>
      </c>
      <c r="P173">
        <v>29.422203379999999</v>
      </c>
      <c r="Q173">
        <v>40.742852470000003</v>
      </c>
      <c r="R173">
        <v>44.045891150000003</v>
      </c>
      <c r="S173">
        <v>46.114328700000002</v>
      </c>
      <c r="T173">
        <v>31.742115340000002</v>
      </c>
      <c r="U173" t="s">
        <v>46</v>
      </c>
      <c r="V173">
        <v>43.460135430000001</v>
      </c>
      <c r="W173">
        <v>46.349088279999997</v>
      </c>
      <c r="X173">
        <v>32.644983740000001</v>
      </c>
      <c r="Y173" t="s">
        <v>46</v>
      </c>
      <c r="Z173">
        <v>41.101784379999998</v>
      </c>
      <c r="AA173">
        <v>44.192848429999998</v>
      </c>
      <c r="AB173">
        <v>29.422203379999999</v>
      </c>
      <c r="AC173">
        <v>40.742852470000003</v>
      </c>
    </row>
    <row r="174" spans="1:29" x14ac:dyDescent="0.25">
      <c r="A174" t="s">
        <v>64</v>
      </c>
      <c r="B174" t="s">
        <v>65</v>
      </c>
      <c r="C174" t="s">
        <v>115</v>
      </c>
      <c r="D174" t="s">
        <v>116</v>
      </c>
      <c r="E174" t="s">
        <v>55</v>
      </c>
      <c r="F174">
        <v>71.443425259999998</v>
      </c>
      <c r="G174">
        <v>70.094440800000001</v>
      </c>
      <c r="H174">
        <v>72.712442870000004</v>
      </c>
      <c r="I174">
        <v>73.075404059999997</v>
      </c>
      <c r="J174">
        <v>72.91950009</v>
      </c>
      <c r="K174">
        <v>68.529457359999995</v>
      </c>
      <c r="L174">
        <v>70.075202219999994</v>
      </c>
      <c r="M174">
        <v>69.225760699999995</v>
      </c>
      <c r="N174">
        <v>69.616005540000003</v>
      </c>
      <c r="O174">
        <v>66.801654290000002</v>
      </c>
      <c r="P174">
        <v>67.99022085</v>
      </c>
      <c r="Q174">
        <v>65.961396930000006</v>
      </c>
      <c r="R174">
        <v>71.443425259999998</v>
      </c>
      <c r="S174">
        <v>70.094440800000001</v>
      </c>
      <c r="T174">
        <v>72.712442870000004</v>
      </c>
      <c r="U174">
        <v>73.075404059999997</v>
      </c>
      <c r="V174">
        <v>72.91950009</v>
      </c>
      <c r="W174">
        <v>68.529457359999995</v>
      </c>
      <c r="X174">
        <v>70.075202219999994</v>
      </c>
      <c r="Y174">
        <v>69.225760699999995</v>
      </c>
      <c r="Z174">
        <v>69.616005540000003</v>
      </c>
      <c r="AA174">
        <v>66.801654290000002</v>
      </c>
      <c r="AB174">
        <v>67.99022085</v>
      </c>
      <c r="AC174">
        <v>65.961396930000006</v>
      </c>
    </row>
    <row r="175" spans="1:29" x14ac:dyDescent="0.25">
      <c r="A175" t="s">
        <v>66</v>
      </c>
      <c r="B175" t="s">
        <v>67</v>
      </c>
      <c r="C175" t="s">
        <v>115</v>
      </c>
      <c r="D175" t="s">
        <v>116</v>
      </c>
      <c r="E175" t="s">
        <v>55</v>
      </c>
      <c r="F175">
        <v>63.37844037</v>
      </c>
      <c r="G175">
        <v>58.586299529999998</v>
      </c>
      <c r="H175">
        <v>70.291935480000006</v>
      </c>
      <c r="I175">
        <v>65.919481050000002</v>
      </c>
      <c r="J175">
        <v>65.658740989999998</v>
      </c>
      <c r="K175">
        <v>64.194789540000002</v>
      </c>
      <c r="L175">
        <v>76.920949320000005</v>
      </c>
      <c r="M175">
        <v>73.978806230000004</v>
      </c>
      <c r="N175">
        <v>75.429614540000003</v>
      </c>
      <c r="O175">
        <v>72.763616740000003</v>
      </c>
      <c r="P175">
        <v>85.496855870000005</v>
      </c>
      <c r="Q175">
        <v>82.819857119999995</v>
      </c>
      <c r="R175">
        <v>63.37844037</v>
      </c>
      <c r="S175">
        <v>58.586299529999998</v>
      </c>
      <c r="T175">
        <v>70.291935480000006</v>
      </c>
      <c r="U175">
        <v>65.919481050000002</v>
      </c>
      <c r="V175">
        <v>65.658740989999998</v>
      </c>
      <c r="W175">
        <v>64.194789540000002</v>
      </c>
      <c r="X175">
        <v>76.920949320000005</v>
      </c>
      <c r="Y175">
        <v>73.978806230000004</v>
      </c>
      <c r="Z175">
        <v>75.429614540000003</v>
      </c>
      <c r="AA175">
        <v>72.763616740000003</v>
      </c>
      <c r="AB175">
        <v>85.496855870000005</v>
      </c>
      <c r="AC175">
        <v>82.819857119999995</v>
      </c>
    </row>
    <row r="176" spans="1:29" x14ac:dyDescent="0.25">
      <c r="A176" t="s">
        <v>68</v>
      </c>
      <c r="B176" t="s">
        <v>69</v>
      </c>
      <c r="C176" t="s">
        <v>115</v>
      </c>
      <c r="D176" t="s">
        <v>116</v>
      </c>
      <c r="E176" t="s">
        <v>55</v>
      </c>
      <c r="F176">
        <v>43.018133519999999</v>
      </c>
      <c r="G176">
        <v>88.463601440000005</v>
      </c>
      <c r="H176">
        <v>86.185826030000001</v>
      </c>
      <c r="I176">
        <v>94.158562939999996</v>
      </c>
      <c r="J176">
        <v>49.40418253</v>
      </c>
      <c r="K176">
        <v>92.797050859999999</v>
      </c>
      <c r="L176">
        <v>90.689816769999993</v>
      </c>
      <c r="M176">
        <v>92.569792000000007</v>
      </c>
      <c r="N176">
        <v>68.992775960000003</v>
      </c>
      <c r="O176" t="s">
        <v>46</v>
      </c>
      <c r="P176" t="s">
        <v>46</v>
      </c>
      <c r="Q176" t="s">
        <v>46</v>
      </c>
      <c r="R176">
        <v>43.018133519999999</v>
      </c>
      <c r="S176">
        <v>88.463601440000005</v>
      </c>
      <c r="T176">
        <v>86.185826030000001</v>
      </c>
      <c r="U176">
        <v>94.158562939999996</v>
      </c>
      <c r="V176">
        <v>49.40418253</v>
      </c>
      <c r="W176">
        <v>92.797050859999999</v>
      </c>
      <c r="X176">
        <v>90.689816769999993</v>
      </c>
      <c r="Y176">
        <v>92.569792000000007</v>
      </c>
      <c r="Z176">
        <v>68.992775960000003</v>
      </c>
      <c r="AA176" t="s">
        <v>46</v>
      </c>
      <c r="AB176" t="s">
        <v>46</v>
      </c>
      <c r="AC176" t="s">
        <v>46</v>
      </c>
    </row>
    <row r="177" spans="1:29" x14ac:dyDescent="0.25">
      <c r="A177" t="s">
        <v>70</v>
      </c>
      <c r="B177" t="s">
        <v>71</v>
      </c>
      <c r="C177" t="s">
        <v>115</v>
      </c>
      <c r="D177" t="s">
        <v>116</v>
      </c>
      <c r="E177" t="s">
        <v>55</v>
      </c>
      <c r="F177">
        <v>64.167901630000003</v>
      </c>
      <c r="G177">
        <v>63.283986859999999</v>
      </c>
      <c r="H177">
        <v>52.357210729999998</v>
      </c>
      <c r="I177">
        <v>55.91436641</v>
      </c>
      <c r="J177">
        <v>53.571137159999999</v>
      </c>
      <c r="K177">
        <v>55.784882840000002</v>
      </c>
      <c r="L177">
        <v>53.826783910000003</v>
      </c>
      <c r="M177">
        <v>54.449585970000001</v>
      </c>
      <c r="N177">
        <v>51.688306679999997</v>
      </c>
      <c r="O177">
        <v>58.585921380000002</v>
      </c>
      <c r="P177">
        <v>55.893296280000001</v>
      </c>
      <c r="Q177">
        <v>54.953761180000001</v>
      </c>
      <c r="R177">
        <v>64.167901630000003</v>
      </c>
      <c r="S177">
        <v>63.283986859999999</v>
      </c>
      <c r="T177">
        <v>52.357210729999998</v>
      </c>
      <c r="U177">
        <v>55.91436641</v>
      </c>
      <c r="V177">
        <v>53.571137159999999</v>
      </c>
      <c r="W177">
        <v>55.784882840000002</v>
      </c>
      <c r="X177">
        <v>53.826783910000003</v>
      </c>
      <c r="Y177">
        <v>54.449585970000001</v>
      </c>
      <c r="Z177">
        <v>51.688306679999997</v>
      </c>
      <c r="AA177">
        <v>58.585921380000002</v>
      </c>
      <c r="AB177">
        <v>55.893296280000001</v>
      </c>
      <c r="AC177">
        <v>54.953761180000001</v>
      </c>
    </row>
    <row r="178" spans="1:29" x14ac:dyDescent="0.25">
      <c r="A178" t="s">
        <v>72</v>
      </c>
      <c r="B178" t="s">
        <v>73</v>
      </c>
      <c r="C178" t="s">
        <v>115</v>
      </c>
      <c r="D178" t="s">
        <v>116</v>
      </c>
      <c r="E178" t="s">
        <v>55</v>
      </c>
      <c r="F178">
        <v>88.110536740000001</v>
      </c>
      <c r="G178">
        <v>87.526304179999997</v>
      </c>
      <c r="H178">
        <v>84.073508050000001</v>
      </c>
      <c r="I178">
        <v>86.277614880000002</v>
      </c>
      <c r="J178">
        <v>90.169179999999997</v>
      </c>
      <c r="K178">
        <v>89.235365520000002</v>
      </c>
      <c r="L178">
        <v>86.895282850000001</v>
      </c>
      <c r="M178">
        <v>84.781470330000005</v>
      </c>
      <c r="N178">
        <v>85.032678390000001</v>
      </c>
      <c r="O178">
        <v>87.241530560000001</v>
      </c>
      <c r="P178">
        <v>87.040299329999996</v>
      </c>
      <c r="Q178">
        <v>85.945847000000001</v>
      </c>
      <c r="R178">
        <v>88.110536740000001</v>
      </c>
      <c r="S178">
        <v>87.526304179999997</v>
      </c>
      <c r="T178">
        <v>84.073508050000001</v>
      </c>
      <c r="U178">
        <v>86.277614880000002</v>
      </c>
      <c r="V178">
        <v>90.169179999999997</v>
      </c>
      <c r="W178">
        <v>89.235365520000002</v>
      </c>
      <c r="X178">
        <v>86.895282850000001</v>
      </c>
      <c r="Y178">
        <v>84.781470330000005</v>
      </c>
      <c r="Z178">
        <v>85.032678390000001</v>
      </c>
      <c r="AA178">
        <v>87.241530560000001</v>
      </c>
      <c r="AB178">
        <v>87.040299329999996</v>
      </c>
      <c r="AC178">
        <v>85.945847000000001</v>
      </c>
    </row>
    <row r="179" spans="1:29" x14ac:dyDescent="0.25">
      <c r="A179" t="s">
        <v>74</v>
      </c>
      <c r="B179" t="s">
        <v>75</v>
      </c>
      <c r="C179" t="s">
        <v>115</v>
      </c>
      <c r="D179" t="s">
        <v>116</v>
      </c>
      <c r="E179" t="s">
        <v>55</v>
      </c>
      <c r="F179">
        <v>65.595443840000002</v>
      </c>
      <c r="G179">
        <v>65.306631580000001</v>
      </c>
      <c r="H179">
        <v>67.281529719999995</v>
      </c>
      <c r="I179">
        <v>65.280769449999994</v>
      </c>
      <c r="J179">
        <v>67.086549969999993</v>
      </c>
      <c r="K179">
        <v>66.564257299999994</v>
      </c>
      <c r="L179">
        <v>63.676725329999996</v>
      </c>
      <c r="M179">
        <v>64.337437879999996</v>
      </c>
      <c r="N179">
        <v>64.715116550000005</v>
      </c>
      <c r="O179" t="s">
        <v>46</v>
      </c>
      <c r="P179">
        <v>61.85449363</v>
      </c>
      <c r="Q179" t="s">
        <v>46</v>
      </c>
      <c r="R179">
        <v>65.595443840000002</v>
      </c>
      <c r="S179">
        <v>65.306631580000001</v>
      </c>
      <c r="T179">
        <v>67.281529719999995</v>
      </c>
      <c r="U179">
        <v>65.280769449999994</v>
      </c>
      <c r="V179">
        <v>67.086549969999993</v>
      </c>
      <c r="W179">
        <v>66.564257299999994</v>
      </c>
      <c r="X179">
        <v>63.676725329999996</v>
      </c>
      <c r="Y179">
        <v>64.337437879999996</v>
      </c>
      <c r="Z179">
        <v>64.715116550000005</v>
      </c>
      <c r="AA179" t="s">
        <v>46</v>
      </c>
      <c r="AB179">
        <v>61.85449363</v>
      </c>
      <c r="AC179" t="s">
        <v>46</v>
      </c>
    </row>
    <row r="180" spans="1:29" x14ac:dyDescent="0.25">
      <c r="A180" t="s">
        <v>76</v>
      </c>
      <c r="B180" t="s">
        <v>77</v>
      </c>
      <c r="C180" t="s">
        <v>115</v>
      </c>
      <c r="D180" t="s">
        <v>116</v>
      </c>
      <c r="E180" t="s">
        <v>55</v>
      </c>
      <c r="F180" t="s">
        <v>46</v>
      </c>
      <c r="G180">
        <v>112.9156717</v>
      </c>
      <c r="H180" t="s">
        <v>46</v>
      </c>
      <c r="I180">
        <v>119.0543134</v>
      </c>
      <c r="J180" t="s">
        <v>46</v>
      </c>
      <c r="K180">
        <v>127.678697</v>
      </c>
      <c r="L180" t="s">
        <v>46</v>
      </c>
      <c r="M180">
        <v>138.0613492</v>
      </c>
      <c r="N180" t="s">
        <v>46</v>
      </c>
      <c r="O180">
        <v>145.70975240000001</v>
      </c>
      <c r="P180" t="s">
        <v>46</v>
      </c>
      <c r="Q180" t="s">
        <v>46</v>
      </c>
      <c r="R180" t="s">
        <v>46</v>
      </c>
      <c r="S180">
        <v>112.9156717</v>
      </c>
      <c r="T180" t="s">
        <v>46</v>
      </c>
      <c r="U180">
        <v>119.0543134</v>
      </c>
      <c r="V180" t="s">
        <v>46</v>
      </c>
      <c r="W180">
        <v>127.678697</v>
      </c>
      <c r="X180" t="s">
        <v>46</v>
      </c>
      <c r="Y180">
        <v>138.0613492</v>
      </c>
      <c r="Z180" t="s">
        <v>46</v>
      </c>
      <c r="AA180">
        <v>145.70975240000001</v>
      </c>
      <c r="AB180" t="s">
        <v>46</v>
      </c>
      <c r="AC180" t="s">
        <v>46</v>
      </c>
    </row>
    <row r="181" spans="1:29" x14ac:dyDescent="0.25">
      <c r="A181" t="s">
        <v>78</v>
      </c>
      <c r="B181" t="s">
        <v>79</v>
      </c>
      <c r="C181" t="s">
        <v>115</v>
      </c>
      <c r="D181" t="s">
        <v>116</v>
      </c>
      <c r="E181" t="s">
        <v>55</v>
      </c>
      <c r="F181">
        <v>67.148307650000007</v>
      </c>
      <c r="G181">
        <v>67.448547660000003</v>
      </c>
      <c r="H181">
        <v>64.41004452</v>
      </c>
      <c r="I181">
        <v>63.082037700000001</v>
      </c>
      <c r="J181">
        <v>61.739108080000001</v>
      </c>
      <c r="K181">
        <v>64.513127999999995</v>
      </c>
      <c r="L181">
        <v>68.072446900000003</v>
      </c>
      <c r="M181">
        <v>65.853600560000004</v>
      </c>
      <c r="N181">
        <v>65.896883239999994</v>
      </c>
      <c r="O181">
        <v>68.438483880000007</v>
      </c>
      <c r="P181">
        <v>66.070931950000002</v>
      </c>
      <c r="Q181">
        <v>64.687568909999996</v>
      </c>
      <c r="R181">
        <v>67.148307650000007</v>
      </c>
      <c r="S181">
        <v>67.448547660000003</v>
      </c>
      <c r="T181">
        <v>64.41004452</v>
      </c>
      <c r="U181">
        <v>63.082037700000001</v>
      </c>
      <c r="V181">
        <v>61.739108080000001</v>
      </c>
      <c r="W181">
        <v>64.513127999999995</v>
      </c>
      <c r="X181">
        <v>68.072446900000003</v>
      </c>
      <c r="Y181">
        <v>65.853600560000004</v>
      </c>
      <c r="Z181">
        <v>65.896883239999994</v>
      </c>
      <c r="AA181">
        <v>68.438483880000007</v>
      </c>
      <c r="AB181">
        <v>66.070931950000002</v>
      </c>
      <c r="AC181">
        <v>64.687568909999996</v>
      </c>
    </row>
    <row r="182" spans="1:29" x14ac:dyDescent="0.25">
      <c r="A182" t="s">
        <v>80</v>
      </c>
      <c r="B182" t="s">
        <v>81</v>
      </c>
      <c r="C182" t="s">
        <v>115</v>
      </c>
      <c r="D182" t="s">
        <v>116</v>
      </c>
      <c r="E182" t="s">
        <v>55</v>
      </c>
      <c r="F182">
        <v>110.767877</v>
      </c>
      <c r="G182">
        <v>122.731179</v>
      </c>
      <c r="H182">
        <v>107.428239</v>
      </c>
      <c r="I182">
        <v>117.6865873</v>
      </c>
      <c r="J182">
        <v>128.22838970000001</v>
      </c>
      <c r="K182">
        <v>138.65377369999999</v>
      </c>
      <c r="L182">
        <v>119.25373879999999</v>
      </c>
      <c r="M182">
        <v>120.23792570000001</v>
      </c>
      <c r="N182">
        <v>120.2776147</v>
      </c>
      <c r="O182">
        <v>135.68047129999999</v>
      </c>
      <c r="P182">
        <v>117.6572728</v>
      </c>
      <c r="Q182">
        <v>119.5440145</v>
      </c>
      <c r="R182">
        <v>110.767877</v>
      </c>
      <c r="S182">
        <v>122.731179</v>
      </c>
      <c r="T182">
        <v>107.428239</v>
      </c>
      <c r="U182">
        <v>117.6865873</v>
      </c>
      <c r="V182">
        <v>128.22838970000001</v>
      </c>
      <c r="W182">
        <v>138.65377369999999</v>
      </c>
      <c r="X182">
        <v>119.25373879999999</v>
      </c>
      <c r="Y182">
        <v>120.23792570000001</v>
      </c>
      <c r="Z182">
        <v>120.2776147</v>
      </c>
      <c r="AA182">
        <v>135.68047129999999</v>
      </c>
      <c r="AB182">
        <v>117.6572728</v>
      </c>
      <c r="AC182">
        <v>119.5440145</v>
      </c>
    </row>
    <row r="183" spans="1:29" x14ac:dyDescent="0.25">
      <c r="A183" t="s">
        <v>82</v>
      </c>
      <c r="B183" t="s">
        <v>83</v>
      </c>
      <c r="C183" t="s">
        <v>115</v>
      </c>
      <c r="D183" t="s">
        <v>116</v>
      </c>
      <c r="E183" t="s">
        <v>55</v>
      </c>
      <c r="F183">
        <v>67.484813540000005</v>
      </c>
      <c r="G183">
        <v>66.412655709999996</v>
      </c>
      <c r="H183">
        <v>67.337242700000004</v>
      </c>
      <c r="I183">
        <v>67.103405510000002</v>
      </c>
      <c r="J183">
        <v>65.154629499999999</v>
      </c>
      <c r="K183">
        <v>66.908961199999993</v>
      </c>
      <c r="L183">
        <v>72.618107449999997</v>
      </c>
      <c r="M183">
        <v>71.312695160000004</v>
      </c>
      <c r="N183">
        <v>70.507050950000007</v>
      </c>
      <c r="O183">
        <v>73.28372186</v>
      </c>
      <c r="P183">
        <v>76.059229130000006</v>
      </c>
      <c r="Q183">
        <v>73.212989980000003</v>
      </c>
      <c r="R183">
        <v>67.484813540000005</v>
      </c>
      <c r="S183">
        <v>66.412655709999996</v>
      </c>
      <c r="T183">
        <v>67.337242700000004</v>
      </c>
      <c r="U183">
        <v>67.103405510000002</v>
      </c>
      <c r="V183">
        <v>65.154629499999999</v>
      </c>
      <c r="W183">
        <v>66.908961199999993</v>
      </c>
      <c r="X183">
        <v>72.618107449999997</v>
      </c>
      <c r="Y183">
        <v>71.312695160000004</v>
      </c>
      <c r="Z183">
        <v>70.507050950000007</v>
      </c>
      <c r="AA183">
        <v>73.28372186</v>
      </c>
      <c r="AB183">
        <v>76.059229130000006</v>
      </c>
      <c r="AC183">
        <v>73.212989980000003</v>
      </c>
    </row>
    <row r="184" spans="1:29" x14ac:dyDescent="0.25">
      <c r="A184" t="s">
        <v>84</v>
      </c>
      <c r="B184" t="s">
        <v>85</v>
      </c>
      <c r="C184" t="s">
        <v>115</v>
      </c>
      <c r="D184" t="s">
        <v>116</v>
      </c>
      <c r="E184" t="s">
        <v>55</v>
      </c>
      <c r="F184">
        <v>72.151207760000005</v>
      </c>
      <c r="G184">
        <v>78.176616249999995</v>
      </c>
      <c r="H184">
        <v>74.503863330000001</v>
      </c>
      <c r="I184">
        <v>69.322650089999996</v>
      </c>
      <c r="J184">
        <v>70.686836130000003</v>
      </c>
      <c r="K184">
        <v>75.797803700000003</v>
      </c>
      <c r="L184">
        <v>74.455045560000002</v>
      </c>
      <c r="M184">
        <v>72.121554110000005</v>
      </c>
      <c r="N184">
        <v>70.191440920000005</v>
      </c>
      <c r="O184">
        <v>75.788374309999995</v>
      </c>
      <c r="P184">
        <v>74.857296950000006</v>
      </c>
      <c r="Q184">
        <v>72.670245410000007</v>
      </c>
      <c r="R184">
        <v>72.151207760000005</v>
      </c>
      <c r="S184">
        <v>78.176616249999995</v>
      </c>
      <c r="T184">
        <v>74.503863330000001</v>
      </c>
      <c r="U184">
        <v>69.322650089999996</v>
      </c>
      <c r="V184">
        <v>70.686836130000003</v>
      </c>
      <c r="W184">
        <v>75.797803700000003</v>
      </c>
      <c r="X184">
        <v>74.455045560000002</v>
      </c>
      <c r="Y184">
        <v>72.121554110000005</v>
      </c>
      <c r="Z184">
        <v>70.191440920000005</v>
      </c>
      <c r="AA184">
        <v>75.788374309999995</v>
      </c>
      <c r="AB184">
        <v>74.857296950000006</v>
      </c>
      <c r="AC184">
        <v>72.670245410000007</v>
      </c>
    </row>
    <row r="185" spans="1:29" x14ac:dyDescent="0.25">
      <c r="A185" t="s">
        <v>86</v>
      </c>
      <c r="B185" t="s">
        <v>87</v>
      </c>
      <c r="C185" t="s">
        <v>115</v>
      </c>
      <c r="D185" t="s">
        <v>116</v>
      </c>
      <c r="E185" t="s">
        <v>55</v>
      </c>
      <c r="F185">
        <v>61.46552295</v>
      </c>
      <c r="G185">
        <v>60.713620200000001</v>
      </c>
      <c r="H185">
        <v>61.918244790000003</v>
      </c>
      <c r="I185">
        <v>59.50556615</v>
      </c>
      <c r="J185">
        <v>62.76390086</v>
      </c>
      <c r="K185">
        <v>63.661843380000001</v>
      </c>
      <c r="L185">
        <v>67.274091569999996</v>
      </c>
      <c r="M185">
        <v>65.081894719999994</v>
      </c>
      <c r="N185">
        <v>65.593635919999997</v>
      </c>
      <c r="O185" t="s">
        <v>46</v>
      </c>
      <c r="P185">
        <v>67.049861309999997</v>
      </c>
      <c r="Q185">
        <v>66.291388139999995</v>
      </c>
      <c r="R185">
        <v>61.46552295</v>
      </c>
      <c r="S185">
        <v>60.713620200000001</v>
      </c>
      <c r="T185">
        <v>61.918244790000003</v>
      </c>
      <c r="U185">
        <v>59.50556615</v>
      </c>
      <c r="V185">
        <v>62.76390086</v>
      </c>
      <c r="W185">
        <v>63.661843380000001</v>
      </c>
      <c r="X185">
        <v>67.274091569999996</v>
      </c>
      <c r="Y185">
        <v>65.081894719999994</v>
      </c>
      <c r="Z185">
        <v>65.593635919999997</v>
      </c>
      <c r="AA185" t="s">
        <v>46</v>
      </c>
      <c r="AB185">
        <v>67.049861309999997</v>
      </c>
      <c r="AC185">
        <v>66.291388139999995</v>
      </c>
    </row>
    <row r="186" spans="1:29" x14ac:dyDescent="0.25">
      <c r="A186" t="s">
        <v>117</v>
      </c>
      <c r="B186" t="s">
        <v>46</v>
      </c>
      <c r="E186" t="s">
        <v>47</v>
      </c>
      <c r="R186" t="s">
        <v>46</v>
      </c>
      <c r="S186" t="s">
        <v>46</v>
      </c>
      <c r="T186" t="s">
        <v>46</v>
      </c>
      <c r="U186" t="s">
        <v>46</v>
      </c>
      <c r="V186" t="s">
        <v>46</v>
      </c>
      <c r="W186" t="s">
        <v>46</v>
      </c>
      <c r="X186" t="s">
        <v>46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</row>
    <row r="187" spans="1:29" x14ac:dyDescent="0.25">
      <c r="R187" t="s">
        <v>46</v>
      </c>
      <c r="S187" t="s">
        <v>46</v>
      </c>
      <c r="T187" t="s">
        <v>46</v>
      </c>
      <c r="U187" t="s">
        <v>46</v>
      </c>
      <c r="V187" t="s">
        <v>46</v>
      </c>
      <c r="W187" t="s">
        <v>46</v>
      </c>
      <c r="X187" t="s">
        <v>46</v>
      </c>
      <c r="Y187" t="s">
        <v>46</v>
      </c>
      <c r="Z187" t="s">
        <v>46</v>
      </c>
      <c r="AA187" t="s">
        <v>46</v>
      </c>
      <c r="AB187" t="s">
        <v>46</v>
      </c>
      <c r="AC187" t="s">
        <v>46</v>
      </c>
    </row>
    <row r="188" spans="1:29" x14ac:dyDescent="0.25">
      <c r="R188" t="s">
        <v>46</v>
      </c>
      <c r="S188" t="s">
        <v>46</v>
      </c>
      <c r="T188" t="s">
        <v>46</v>
      </c>
      <c r="U188" t="s">
        <v>46</v>
      </c>
      <c r="V188" t="s">
        <v>46</v>
      </c>
      <c r="W188" t="s">
        <v>46</v>
      </c>
      <c r="X188" t="s">
        <v>46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</row>
    <row r="189" spans="1:29" x14ac:dyDescent="0.25">
      <c r="R189" t="s">
        <v>46</v>
      </c>
      <c r="S189" t="s">
        <v>46</v>
      </c>
      <c r="T189" t="s">
        <v>46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46</v>
      </c>
      <c r="AB189" t="s">
        <v>46</v>
      </c>
      <c r="AC189" t="s">
        <v>46</v>
      </c>
    </row>
    <row r="190" spans="1:29" x14ac:dyDescent="0.25">
      <c r="R190" t="s">
        <v>46</v>
      </c>
      <c r="S190" t="s">
        <v>46</v>
      </c>
      <c r="T190" t="s">
        <v>46</v>
      </c>
      <c r="U190" t="s">
        <v>46</v>
      </c>
      <c r="V190" t="s">
        <v>46</v>
      </c>
      <c r="W190" t="s">
        <v>46</v>
      </c>
      <c r="X190" t="s">
        <v>46</v>
      </c>
      <c r="Y190" t="s">
        <v>46</v>
      </c>
      <c r="Z190" t="s">
        <v>46</v>
      </c>
      <c r="AA190" t="s">
        <v>46</v>
      </c>
      <c r="AB190" t="s">
        <v>46</v>
      </c>
      <c r="AC190" t="s">
        <v>46</v>
      </c>
    </row>
    <row r="191" spans="1:29" x14ac:dyDescent="0.25">
      <c r="R191" t="s">
        <v>46</v>
      </c>
      <c r="S191" t="s">
        <v>46</v>
      </c>
      <c r="T191" t="s">
        <v>46</v>
      </c>
      <c r="U191" t="s">
        <v>46</v>
      </c>
      <c r="V191" t="s">
        <v>46</v>
      </c>
      <c r="W191" t="s">
        <v>46</v>
      </c>
      <c r="X191" t="s">
        <v>46</v>
      </c>
      <c r="Y191" t="s">
        <v>46</v>
      </c>
      <c r="Z191" t="s">
        <v>46</v>
      </c>
      <c r="AA191" t="s">
        <v>46</v>
      </c>
      <c r="AB191" t="s">
        <v>46</v>
      </c>
      <c r="AC191" t="s">
        <v>46</v>
      </c>
    </row>
    <row r="192" spans="1:29" x14ac:dyDescent="0.25">
      <c r="R192" t="s">
        <v>46</v>
      </c>
      <c r="S192" t="s">
        <v>46</v>
      </c>
      <c r="T192" t="s">
        <v>46</v>
      </c>
      <c r="U192" t="s">
        <v>46</v>
      </c>
      <c r="V192" t="s">
        <v>46</v>
      </c>
      <c r="W192" t="s">
        <v>46</v>
      </c>
      <c r="X192" t="s">
        <v>46</v>
      </c>
      <c r="Y192" t="s">
        <v>46</v>
      </c>
      <c r="Z192" t="s">
        <v>46</v>
      </c>
      <c r="AA192" t="s">
        <v>46</v>
      </c>
      <c r="AB192" t="s">
        <v>46</v>
      </c>
      <c r="AC192" t="s">
        <v>46</v>
      </c>
    </row>
    <row r="193" spans="1:29" x14ac:dyDescent="0.25">
      <c r="R193" t="s">
        <v>46</v>
      </c>
      <c r="S193" t="s">
        <v>46</v>
      </c>
      <c r="T193" t="s">
        <v>46</v>
      </c>
      <c r="U193" t="s">
        <v>46</v>
      </c>
      <c r="V193" t="s">
        <v>46</v>
      </c>
      <c r="W193" t="s">
        <v>46</v>
      </c>
      <c r="X193" t="s">
        <v>46</v>
      </c>
      <c r="Y193" t="s">
        <v>46</v>
      </c>
      <c r="Z193" t="s">
        <v>46</v>
      </c>
      <c r="AA193" t="s">
        <v>46</v>
      </c>
      <c r="AB193" t="s">
        <v>46</v>
      </c>
      <c r="AC193" t="s">
        <v>46</v>
      </c>
    </row>
    <row r="194" spans="1:29" x14ac:dyDescent="0.25">
      <c r="A194" t="s">
        <v>118</v>
      </c>
      <c r="B194" t="s">
        <v>118</v>
      </c>
      <c r="C194" t="s">
        <v>118</v>
      </c>
      <c r="D194" t="s">
        <v>118</v>
      </c>
      <c r="E194" t="s">
        <v>118</v>
      </c>
      <c r="F194" t="s">
        <v>118</v>
      </c>
      <c r="G194" t="s">
        <v>118</v>
      </c>
      <c r="H194" t="s">
        <v>118</v>
      </c>
      <c r="I194" t="s">
        <v>118</v>
      </c>
      <c r="J194" t="s">
        <v>118</v>
      </c>
      <c r="K194" t="s">
        <v>118</v>
      </c>
      <c r="L194" t="s">
        <v>118</v>
      </c>
      <c r="M194" t="s">
        <v>118</v>
      </c>
      <c r="N194" t="s">
        <v>118</v>
      </c>
      <c r="O194" t="s">
        <v>118</v>
      </c>
      <c r="P194" t="s">
        <v>118</v>
      </c>
      <c r="Q194" t="s">
        <v>118</v>
      </c>
      <c r="R194" t="s">
        <v>46</v>
      </c>
      <c r="S194" t="s">
        <v>46</v>
      </c>
      <c r="T194" t="s">
        <v>46</v>
      </c>
      <c r="U194" t="s">
        <v>46</v>
      </c>
      <c r="V194" t="s">
        <v>46</v>
      </c>
      <c r="W194" t="s">
        <v>46</v>
      </c>
      <c r="X194" t="s">
        <v>46</v>
      </c>
      <c r="Y194" t="s">
        <v>46</v>
      </c>
      <c r="Z194" t="s">
        <v>46</v>
      </c>
      <c r="AA194" t="s">
        <v>46</v>
      </c>
      <c r="AB194" t="s">
        <v>46</v>
      </c>
      <c r="AC194" t="s">
        <v>46</v>
      </c>
    </row>
    <row r="195" spans="1:29" x14ac:dyDescent="0.25">
      <c r="A195" t="s">
        <v>119</v>
      </c>
      <c r="R195" t="s">
        <v>46</v>
      </c>
      <c r="S195" t="s">
        <v>46</v>
      </c>
      <c r="T195" t="s">
        <v>46</v>
      </c>
      <c r="U195" t="s">
        <v>46</v>
      </c>
      <c r="V195" t="s">
        <v>46</v>
      </c>
      <c r="W195" t="s">
        <v>46</v>
      </c>
      <c r="X195" t="s">
        <v>46</v>
      </c>
      <c r="Y195" t="s">
        <v>46</v>
      </c>
      <c r="Z195" t="s">
        <v>46</v>
      </c>
      <c r="AA195" t="s">
        <v>46</v>
      </c>
      <c r="AB195" t="s">
        <v>46</v>
      </c>
      <c r="AC195" t="s">
        <v>46</v>
      </c>
    </row>
    <row r="196" spans="1:29" x14ac:dyDescent="0.25">
      <c r="A196">
        <v>0</v>
      </c>
      <c r="R196" t="s">
        <v>46</v>
      </c>
      <c r="S196" t="s">
        <v>46</v>
      </c>
      <c r="T196" t="s">
        <v>46</v>
      </c>
      <c r="U196" t="s">
        <v>46</v>
      </c>
      <c r="V196" t="s">
        <v>46</v>
      </c>
      <c r="W196" t="s">
        <v>46</v>
      </c>
      <c r="X196" t="s">
        <v>46</v>
      </c>
      <c r="Y196" t="s">
        <v>46</v>
      </c>
      <c r="Z196" t="s">
        <v>46</v>
      </c>
      <c r="AA196" t="s">
        <v>46</v>
      </c>
      <c r="AB196" t="s">
        <v>46</v>
      </c>
      <c r="AC196" t="s">
        <v>46</v>
      </c>
    </row>
    <row r="197" spans="1:29" x14ac:dyDescent="0.25">
      <c r="A197" t="s">
        <v>120</v>
      </c>
      <c r="B197" t="s">
        <v>121</v>
      </c>
      <c r="R197" t="s">
        <v>46</v>
      </c>
      <c r="S197" t="s">
        <v>46</v>
      </c>
      <c r="T197" t="s">
        <v>46</v>
      </c>
      <c r="U197" t="s">
        <v>46</v>
      </c>
      <c r="V197" t="s">
        <v>46</v>
      </c>
      <c r="W197" t="s">
        <v>46</v>
      </c>
      <c r="X197" t="s">
        <v>46</v>
      </c>
      <c r="Y197" t="s">
        <v>46</v>
      </c>
      <c r="Z197" t="s">
        <v>46</v>
      </c>
      <c r="AA197" t="s">
        <v>46</v>
      </c>
      <c r="AB197" t="s">
        <v>46</v>
      </c>
      <c r="AC197" t="s">
        <v>46</v>
      </c>
    </row>
    <row r="198" spans="1:29" x14ac:dyDescent="0.25">
      <c r="A198" t="s">
        <v>122</v>
      </c>
      <c r="B198" t="s">
        <v>123</v>
      </c>
      <c r="C198" t="s">
        <v>124</v>
      </c>
      <c r="R198" t="s">
        <v>46</v>
      </c>
      <c r="S198" t="s">
        <v>46</v>
      </c>
      <c r="T198" t="s">
        <v>46</v>
      </c>
      <c r="U198" t="s">
        <v>46</v>
      </c>
      <c r="V198" t="s">
        <v>46</v>
      </c>
      <c r="W198" t="s">
        <v>46</v>
      </c>
      <c r="X198" t="s">
        <v>46</v>
      </c>
      <c r="Y198" t="s">
        <v>46</v>
      </c>
      <c r="Z198" t="s">
        <v>46</v>
      </c>
      <c r="AA198" t="s">
        <v>46</v>
      </c>
      <c r="AB198" t="s">
        <v>46</v>
      </c>
      <c r="AC198" t="s">
        <v>46</v>
      </c>
    </row>
    <row r="199" spans="1:29" x14ac:dyDescent="0.25">
      <c r="A199" t="s">
        <v>125</v>
      </c>
      <c r="B199">
        <v>12</v>
      </c>
      <c r="R199" t="s">
        <v>46</v>
      </c>
      <c r="S199" t="s">
        <v>46</v>
      </c>
      <c r="T199" t="s">
        <v>46</v>
      </c>
      <c r="U199" t="s">
        <v>46</v>
      </c>
      <c r="V199" t="s">
        <v>46</v>
      </c>
      <c r="W199" t="s">
        <v>46</v>
      </c>
      <c r="X199" t="s">
        <v>46</v>
      </c>
      <c r="Y199" t="s">
        <v>46</v>
      </c>
      <c r="Z199" t="s">
        <v>46</v>
      </c>
      <c r="AA199" t="s">
        <v>46</v>
      </c>
      <c r="AB199" t="s">
        <v>46</v>
      </c>
      <c r="AC199" t="s">
        <v>46</v>
      </c>
    </row>
    <row r="200" spans="1:29" x14ac:dyDescent="0.25">
      <c r="A200" t="s">
        <v>126</v>
      </c>
      <c r="B200" t="s">
        <v>127</v>
      </c>
      <c r="C200" t="s">
        <v>128</v>
      </c>
      <c r="R200" t="s">
        <v>46</v>
      </c>
      <c r="S200" t="s">
        <v>46</v>
      </c>
      <c r="T200" t="s">
        <v>46</v>
      </c>
      <c r="U200" t="s">
        <v>46</v>
      </c>
      <c r="V200" t="s">
        <v>46</v>
      </c>
      <c r="W200" t="s">
        <v>46</v>
      </c>
      <c r="X200" t="s">
        <v>46</v>
      </c>
      <c r="Y200" t="s">
        <v>46</v>
      </c>
      <c r="Z200" t="s">
        <v>46</v>
      </c>
      <c r="AA200" t="s">
        <v>46</v>
      </c>
      <c r="AB200" t="s">
        <v>46</v>
      </c>
      <c r="AC200" t="s">
        <v>46</v>
      </c>
    </row>
    <row r="201" spans="1:29" x14ac:dyDescent="0.25">
      <c r="A201" t="s">
        <v>129</v>
      </c>
      <c r="B201">
        <v>43999</v>
      </c>
      <c r="R201" t="s">
        <v>46</v>
      </c>
      <c r="S201" t="s">
        <v>46</v>
      </c>
      <c r="T201" t="s">
        <v>46</v>
      </c>
      <c r="U201" t="s">
        <v>46</v>
      </c>
      <c r="V201" t="s">
        <v>46</v>
      </c>
      <c r="W201" t="s">
        <v>46</v>
      </c>
      <c r="X201" t="s">
        <v>46</v>
      </c>
      <c r="Y201" t="s">
        <v>46</v>
      </c>
      <c r="Z201" t="s">
        <v>46</v>
      </c>
      <c r="AA201" t="s">
        <v>46</v>
      </c>
      <c r="AB201" t="s">
        <v>46</v>
      </c>
      <c r="AC201" t="s">
        <v>46</v>
      </c>
    </row>
    <row r="202" spans="1:29" x14ac:dyDescent="0.25">
      <c r="A202" t="s">
        <v>130</v>
      </c>
      <c r="B202">
        <v>4</v>
      </c>
      <c r="R202" t="s">
        <v>46</v>
      </c>
      <c r="S202" t="s">
        <v>46</v>
      </c>
      <c r="T202" t="s">
        <v>46</v>
      </c>
      <c r="U202" t="s">
        <v>46</v>
      </c>
      <c r="V202" t="s">
        <v>46</v>
      </c>
      <c r="W202" t="s">
        <v>46</v>
      </c>
      <c r="X202" t="s">
        <v>46</v>
      </c>
      <c r="Y202" t="s">
        <v>46</v>
      </c>
      <c r="Z202" t="s">
        <v>46</v>
      </c>
      <c r="AA202" t="s">
        <v>46</v>
      </c>
      <c r="AB202" t="s">
        <v>46</v>
      </c>
      <c r="AC202" t="s">
        <v>46</v>
      </c>
    </row>
    <row r="203" spans="1:29" x14ac:dyDescent="0.25">
      <c r="R203" t="s">
        <v>46</v>
      </c>
      <c r="S203" t="s">
        <v>46</v>
      </c>
      <c r="T203" t="s">
        <v>46</v>
      </c>
      <c r="U203" t="s">
        <v>46</v>
      </c>
      <c r="V203" t="s">
        <v>46</v>
      </c>
      <c r="W203" t="s">
        <v>46</v>
      </c>
      <c r="X203" t="s">
        <v>46</v>
      </c>
      <c r="Y203" t="s">
        <v>46</v>
      </c>
      <c r="Z203" t="s">
        <v>46</v>
      </c>
      <c r="AA203" t="s">
        <v>46</v>
      </c>
      <c r="AB203" t="s">
        <v>46</v>
      </c>
      <c r="AC203" t="s">
        <v>46</v>
      </c>
    </row>
    <row r="204" spans="1:29" x14ac:dyDescent="0.25">
      <c r="A204" t="s">
        <v>51</v>
      </c>
      <c r="B204" t="s">
        <v>52</v>
      </c>
      <c r="C204" t="s">
        <v>53</v>
      </c>
      <c r="D204" t="s">
        <v>54</v>
      </c>
      <c r="E204" t="s">
        <v>55</v>
      </c>
      <c r="F204">
        <v>0.48670000000000002</v>
      </c>
      <c r="G204">
        <v>0.51910000000000001</v>
      </c>
      <c r="H204">
        <v>0.55420000000000003</v>
      </c>
      <c r="I204">
        <v>0.45229999999999998</v>
      </c>
      <c r="J204">
        <v>0.43719999999999998</v>
      </c>
      <c r="K204">
        <v>0.42909999999999998</v>
      </c>
      <c r="L204">
        <v>0.49890000000000001</v>
      </c>
      <c r="M204">
        <v>0.41160000000000002</v>
      </c>
      <c r="N204">
        <v>0.3841</v>
      </c>
      <c r="O204">
        <v>0.37340000000000001</v>
      </c>
      <c r="P204">
        <v>0.4204</v>
      </c>
      <c r="Q204">
        <v>0.36980000000000002</v>
      </c>
      <c r="R204" t="s">
        <v>46</v>
      </c>
      <c r="S204" t="s">
        <v>46</v>
      </c>
      <c r="T204" t="s">
        <v>46</v>
      </c>
      <c r="U204" t="s">
        <v>46</v>
      </c>
      <c r="V204" t="s">
        <v>46</v>
      </c>
      <c r="W204" t="s">
        <v>46</v>
      </c>
      <c r="X204" t="s">
        <v>46</v>
      </c>
      <c r="Y204" t="s">
        <v>46</v>
      </c>
      <c r="Z204" t="s">
        <v>46</v>
      </c>
      <c r="AA204" t="s">
        <v>46</v>
      </c>
      <c r="AB204" t="s">
        <v>46</v>
      </c>
      <c r="AC204" t="s">
        <v>46</v>
      </c>
    </row>
    <row r="205" spans="1:29" x14ac:dyDescent="0.25">
      <c r="A205" t="s">
        <v>56</v>
      </c>
      <c r="B205" t="s">
        <v>57</v>
      </c>
      <c r="C205" t="s">
        <v>53</v>
      </c>
      <c r="D205" t="s">
        <v>54</v>
      </c>
      <c r="E205" t="s">
        <v>55</v>
      </c>
      <c r="F205">
        <v>0.48670000000000002</v>
      </c>
      <c r="G205">
        <v>0.38300000000000001</v>
      </c>
      <c r="H205">
        <v>0.39040000000000002</v>
      </c>
      <c r="I205">
        <v>0.38690000000000002</v>
      </c>
      <c r="J205">
        <v>0.3705</v>
      </c>
      <c r="K205">
        <v>0.36009999999999998</v>
      </c>
      <c r="L205">
        <v>0.40100000000000002</v>
      </c>
      <c r="M205">
        <v>0.4254</v>
      </c>
      <c r="N205">
        <v>0.47960000000000003</v>
      </c>
      <c r="O205">
        <v>0.79069999999999996</v>
      </c>
      <c r="P205">
        <v>0.83520000000000005</v>
      </c>
      <c r="Q205">
        <v>0.81810000000000005</v>
      </c>
      <c r="R205" t="s">
        <v>46</v>
      </c>
      <c r="S205" t="s">
        <v>46</v>
      </c>
      <c r="T205" t="s">
        <v>46</v>
      </c>
      <c r="U205" t="s">
        <v>46</v>
      </c>
      <c r="V205" t="s">
        <v>46</v>
      </c>
      <c r="W205" t="s">
        <v>46</v>
      </c>
      <c r="X205" t="s">
        <v>46</v>
      </c>
      <c r="Y205" t="s">
        <v>46</v>
      </c>
      <c r="Z205" t="s">
        <v>46</v>
      </c>
      <c r="AA205" t="s">
        <v>46</v>
      </c>
      <c r="AB205" t="s">
        <v>46</v>
      </c>
      <c r="AC205" t="s">
        <v>46</v>
      </c>
    </row>
    <row r="206" spans="1:29" x14ac:dyDescent="0.25">
      <c r="A206" t="s">
        <v>58</v>
      </c>
      <c r="B206" t="s">
        <v>59</v>
      </c>
      <c r="C206" t="s">
        <v>53</v>
      </c>
      <c r="D206" t="s">
        <v>54</v>
      </c>
      <c r="E206" t="s">
        <v>55</v>
      </c>
      <c r="F206" t="s">
        <v>46</v>
      </c>
      <c r="R206" t="s">
        <v>46</v>
      </c>
      <c r="S206" t="s">
        <v>46</v>
      </c>
      <c r="T206" t="s">
        <v>46</v>
      </c>
      <c r="U206" t="s">
        <v>46</v>
      </c>
      <c r="V206" t="s">
        <v>46</v>
      </c>
      <c r="W206" t="s">
        <v>46</v>
      </c>
      <c r="X206" t="s">
        <v>46</v>
      </c>
      <c r="Y206" t="s">
        <v>46</v>
      </c>
      <c r="Z206" t="s">
        <v>46</v>
      </c>
      <c r="AA206" t="s">
        <v>46</v>
      </c>
      <c r="AB206" t="s">
        <v>46</v>
      </c>
      <c r="AC206" t="s">
        <v>46</v>
      </c>
    </row>
    <row r="207" spans="1:29" x14ac:dyDescent="0.25">
      <c r="A207" t="s">
        <v>60</v>
      </c>
      <c r="B207" t="s">
        <v>61</v>
      </c>
      <c r="C207" t="s">
        <v>53</v>
      </c>
      <c r="D207" t="s">
        <v>54</v>
      </c>
      <c r="E207" t="s">
        <v>55</v>
      </c>
      <c r="F207" t="s">
        <v>46</v>
      </c>
      <c r="G207">
        <v>0.52229999999999999</v>
      </c>
      <c r="R207" t="s">
        <v>46</v>
      </c>
      <c r="S207" t="s">
        <v>46</v>
      </c>
      <c r="T207" t="s">
        <v>46</v>
      </c>
      <c r="U207" t="s">
        <v>46</v>
      </c>
      <c r="V207" t="s">
        <v>46</v>
      </c>
      <c r="W207" t="s">
        <v>46</v>
      </c>
      <c r="X207" t="s">
        <v>46</v>
      </c>
      <c r="Y207" t="s">
        <v>46</v>
      </c>
      <c r="Z207" t="s">
        <v>46</v>
      </c>
      <c r="AA207" t="s">
        <v>46</v>
      </c>
      <c r="AB207" t="s">
        <v>46</v>
      </c>
      <c r="AC207" t="s">
        <v>46</v>
      </c>
    </row>
    <row r="208" spans="1:29" x14ac:dyDescent="0.25">
      <c r="A208" t="s">
        <v>62</v>
      </c>
      <c r="B208" t="s">
        <v>63</v>
      </c>
      <c r="C208" t="s">
        <v>53</v>
      </c>
      <c r="D208" t="s">
        <v>54</v>
      </c>
      <c r="E208" t="s">
        <v>55</v>
      </c>
      <c r="F208">
        <v>8.77E-2</v>
      </c>
      <c r="G208">
        <v>6.0699999999999997E-2</v>
      </c>
      <c r="H208">
        <v>7.4099999999999999E-2</v>
      </c>
      <c r="I208">
        <v>7.2400000000000006E-2</v>
      </c>
      <c r="J208">
        <v>0.1734</v>
      </c>
      <c r="K208">
        <v>0.12429999999999999</v>
      </c>
      <c r="L208">
        <v>5.8999999999999997E-2</v>
      </c>
      <c r="M208">
        <v>5.2699999999999997E-2</v>
      </c>
      <c r="N208">
        <v>8.5999999999999993E-2</v>
      </c>
      <c r="O208">
        <v>7.4300000000000005E-2</v>
      </c>
      <c r="P208">
        <v>6.1400000000000003E-2</v>
      </c>
      <c r="Q208">
        <v>0.1077</v>
      </c>
      <c r="R208" t="s">
        <v>46</v>
      </c>
      <c r="S208" t="s">
        <v>46</v>
      </c>
      <c r="T208" t="s">
        <v>46</v>
      </c>
      <c r="U208" t="s">
        <v>46</v>
      </c>
      <c r="V208" t="s">
        <v>46</v>
      </c>
      <c r="W208" t="s">
        <v>46</v>
      </c>
      <c r="X208" t="s">
        <v>46</v>
      </c>
      <c r="Y208" t="s">
        <v>46</v>
      </c>
      <c r="Z208" t="s">
        <v>46</v>
      </c>
      <c r="AA208" t="s">
        <v>46</v>
      </c>
      <c r="AB208" t="s">
        <v>46</v>
      </c>
      <c r="AC208" t="s">
        <v>46</v>
      </c>
    </row>
    <row r="209" spans="1:29" x14ac:dyDescent="0.25">
      <c r="A209" t="s">
        <v>64</v>
      </c>
      <c r="B209" t="s">
        <v>65</v>
      </c>
      <c r="C209" t="s">
        <v>53</v>
      </c>
      <c r="D209" t="s">
        <v>54</v>
      </c>
      <c r="E209" t="s">
        <v>55</v>
      </c>
      <c r="F209">
        <v>1.4908999999999999</v>
      </c>
      <c r="G209">
        <v>1.1477999999999999</v>
      </c>
      <c r="H209">
        <v>1.0541</v>
      </c>
      <c r="I209">
        <v>1.0633999999999999</v>
      </c>
      <c r="J209">
        <v>1.3485</v>
      </c>
      <c r="K209">
        <v>1.6646000000000001</v>
      </c>
      <c r="L209">
        <v>1.7686999999999999</v>
      </c>
      <c r="M209">
        <v>1.6739999999999999</v>
      </c>
      <c r="N209">
        <v>1.9563000000000001</v>
      </c>
      <c r="O209">
        <v>1.7808999999999999</v>
      </c>
      <c r="P209">
        <v>1.8127</v>
      </c>
      <c r="Q209">
        <v>1.8128</v>
      </c>
      <c r="R209" t="s">
        <v>46</v>
      </c>
      <c r="S209" t="s">
        <v>46</v>
      </c>
      <c r="T209" t="s">
        <v>46</v>
      </c>
      <c r="U209" t="s">
        <v>46</v>
      </c>
      <c r="V209" t="s">
        <v>46</v>
      </c>
      <c r="W209" t="s">
        <v>46</v>
      </c>
      <c r="X209" t="s">
        <v>46</v>
      </c>
      <c r="Y209" t="s">
        <v>46</v>
      </c>
      <c r="Z209" t="s">
        <v>46</v>
      </c>
      <c r="AA209" t="s">
        <v>46</v>
      </c>
      <c r="AB209" t="s">
        <v>46</v>
      </c>
      <c r="AC209" t="s">
        <v>46</v>
      </c>
    </row>
    <row r="210" spans="1:29" x14ac:dyDescent="0.25">
      <c r="A210" t="s">
        <v>66</v>
      </c>
      <c r="B210" t="s">
        <v>67</v>
      </c>
      <c r="C210" t="s">
        <v>53</v>
      </c>
      <c r="D210" t="s">
        <v>54</v>
      </c>
      <c r="E210" t="s">
        <v>55</v>
      </c>
      <c r="F210">
        <v>0.3861</v>
      </c>
      <c r="G210">
        <v>0.4214</v>
      </c>
      <c r="H210">
        <v>0.20300000000000001</v>
      </c>
      <c r="I210">
        <v>0.2268</v>
      </c>
      <c r="J210">
        <v>0.36259999999999998</v>
      </c>
      <c r="K210">
        <v>0.63160000000000005</v>
      </c>
      <c r="L210">
        <v>0.46839999999999998</v>
      </c>
      <c r="M210">
        <v>0.75629999999999997</v>
      </c>
      <c r="N210">
        <v>0.40250000000000002</v>
      </c>
      <c r="O210">
        <v>0.48099999999999998</v>
      </c>
      <c r="P210">
        <v>0.38550000000000001</v>
      </c>
      <c r="Q210">
        <v>0.255</v>
      </c>
      <c r="R210" t="s">
        <v>46</v>
      </c>
      <c r="S210" t="s">
        <v>46</v>
      </c>
      <c r="T210" t="s">
        <v>46</v>
      </c>
      <c r="U210" t="s">
        <v>46</v>
      </c>
      <c r="V210" t="s">
        <v>46</v>
      </c>
      <c r="W210" t="s">
        <v>46</v>
      </c>
      <c r="X210" t="s">
        <v>46</v>
      </c>
      <c r="Y210" t="s">
        <v>46</v>
      </c>
      <c r="Z210" t="s">
        <v>46</v>
      </c>
      <c r="AA210" t="s">
        <v>46</v>
      </c>
      <c r="AB210" t="s">
        <v>46</v>
      </c>
      <c r="AC210" t="s">
        <v>46</v>
      </c>
    </row>
    <row r="211" spans="1:29" x14ac:dyDescent="0.25">
      <c r="A211" t="s">
        <v>68</v>
      </c>
      <c r="B211" t="s">
        <v>69</v>
      </c>
      <c r="C211" t="s">
        <v>53</v>
      </c>
      <c r="D211" t="s">
        <v>54</v>
      </c>
      <c r="E211" t="s">
        <v>55</v>
      </c>
      <c r="F211">
        <v>0.46600000000000003</v>
      </c>
      <c r="G211">
        <v>0.29139999999999999</v>
      </c>
      <c r="H211">
        <v>0.32090000000000002</v>
      </c>
      <c r="I211">
        <v>0.2</v>
      </c>
      <c r="J211">
        <v>0.30669999999999997</v>
      </c>
      <c r="K211">
        <v>0.29039999999999999</v>
      </c>
      <c r="L211">
        <v>0.32650000000000001</v>
      </c>
      <c r="M211">
        <v>0.27689999999999998</v>
      </c>
      <c r="N211">
        <v>0.26319999999999999</v>
      </c>
      <c r="O211">
        <v>0.30359999999999998</v>
      </c>
      <c r="P211">
        <v>0.28299999999999997</v>
      </c>
      <c r="Q211">
        <v>0.31109999999999999</v>
      </c>
      <c r="R211" t="s">
        <v>46</v>
      </c>
      <c r="S211" t="s">
        <v>46</v>
      </c>
      <c r="T211" t="s">
        <v>46</v>
      </c>
      <c r="U211" t="s">
        <v>46</v>
      </c>
      <c r="V211" t="s">
        <v>46</v>
      </c>
      <c r="W211" t="s">
        <v>46</v>
      </c>
      <c r="X211" t="s">
        <v>46</v>
      </c>
      <c r="Y211" t="s">
        <v>46</v>
      </c>
      <c r="Z211" t="s">
        <v>46</v>
      </c>
      <c r="AA211" t="s">
        <v>46</v>
      </c>
      <c r="AB211" t="s">
        <v>46</v>
      </c>
      <c r="AC211" t="s">
        <v>46</v>
      </c>
    </row>
    <row r="212" spans="1:29" x14ac:dyDescent="0.25">
      <c r="A212" t="s">
        <v>70</v>
      </c>
      <c r="B212" t="s">
        <v>71</v>
      </c>
      <c r="C212" t="s">
        <v>53</v>
      </c>
      <c r="D212" t="s">
        <v>54</v>
      </c>
      <c r="E212" t="s">
        <v>55</v>
      </c>
      <c r="F212">
        <v>2.3534999999999999</v>
      </c>
      <c r="G212">
        <v>2.4203999999999999</v>
      </c>
      <c r="H212">
        <v>2.7393999999999998</v>
      </c>
      <c r="I212">
        <v>2.8515000000000001</v>
      </c>
      <c r="J212">
        <v>2.6985999999999999</v>
      </c>
      <c r="K212">
        <v>2.9318</v>
      </c>
      <c r="L212">
        <v>3.1004</v>
      </c>
      <c r="M212">
        <v>3.2197</v>
      </c>
      <c r="N212">
        <v>2.9784999999999999</v>
      </c>
      <c r="O212">
        <v>3.2193000000000001</v>
      </c>
      <c r="P212">
        <v>3.2235999999999998</v>
      </c>
      <c r="Q212">
        <v>3.4058000000000002</v>
      </c>
      <c r="R212" t="s">
        <v>46</v>
      </c>
      <c r="S212" t="s">
        <v>46</v>
      </c>
      <c r="T212" t="s">
        <v>46</v>
      </c>
      <c r="U212" t="s">
        <v>46</v>
      </c>
      <c r="V212" t="s">
        <v>46</v>
      </c>
      <c r="W212" t="s">
        <v>46</v>
      </c>
      <c r="X212" t="s">
        <v>46</v>
      </c>
      <c r="Y212" t="s">
        <v>46</v>
      </c>
      <c r="Z212" t="s">
        <v>46</v>
      </c>
      <c r="AA212" t="s">
        <v>46</v>
      </c>
      <c r="AB212" t="s">
        <v>46</v>
      </c>
      <c r="AC212" t="s">
        <v>46</v>
      </c>
    </row>
    <row r="213" spans="1:29" x14ac:dyDescent="0.25">
      <c r="A213" t="s">
        <v>72</v>
      </c>
      <c r="B213" t="s">
        <v>73</v>
      </c>
      <c r="C213" t="s">
        <v>53</v>
      </c>
      <c r="D213" t="s">
        <v>54</v>
      </c>
      <c r="E213" t="s">
        <v>55</v>
      </c>
      <c r="F213">
        <v>0.4254</v>
      </c>
      <c r="G213">
        <v>0.51319999999999999</v>
      </c>
      <c r="H213">
        <v>0.42930000000000001</v>
      </c>
      <c r="I213">
        <v>0.37680000000000002</v>
      </c>
      <c r="J213">
        <v>0.3216</v>
      </c>
      <c r="K213">
        <v>0.37730000000000002</v>
      </c>
      <c r="L213">
        <v>0.39879999999999999</v>
      </c>
      <c r="M213">
        <v>0.41070000000000001</v>
      </c>
      <c r="N213">
        <v>0.48699999999999999</v>
      </c>
      <c r="O213">
        <v>0.60140000000000005</v>
      </c>
      <c r="P213">
        <v>0.53459999999999996</v>
      </c>
      <c r="Q213">
        <v>0.57569999999999999</v>
      </c>
      <c r="R213" t="s">
        <v>46</v>
      </c>
      <c r="S213" t="s">
        <v>46</v>
      </c>
      <c r="T213" t="s">
        <v>46</v>
      </c>
      <c r="U213" t="s">
        <v>46</v>
      </c>
      <c r="V213" t="s">
        <v>46</v>
      </c>
      <c r="W213" t="s">
        <v>46</v>
      </c>
      <c r="X213" t="s">
        <v>46</v>
      </c>
      <c r="Y213" t="s">
        <v>46</v>
      </c>
      <c r="Z213" t="s">
        <v>46</v>
      </c>
      <c r="AA213" t="s">
        <v>46</v>
      </c>
      <c r="AB213" t="s">
        <v>46</v>
      </c>
      <c r="AC213" t="s">
        <v>46</v>
      </c>
    </row>
    <row r="214" spans="1:29" x14ac:dyDescent="0.25">
      <c r="A214" t="s">
        <v>74</v>
      </c>
      <c r="B214" t="s">
        <v>75</v>
      </c>
      <c r="C214" t="s">
        <v>53</v>
      </c>
      <c r="D214" t="s">
        <v>54</v>
      </c>
      <c r="E214" t="s">
        <v>55</v>
      </c>
      <c r="F214">
        <v>0.64939999999999998</v>
      </c>
      <c r="G214">
        <v>0.60640000000000005</v>
      </c>
      <c r="H214">
        <v>0.38679999999999998</v>
      </c>
      <c r="I214">
        <v>1.0219</v>
      </c>
      <c r="J214">
        <v>0.92920000000000003</v>
      </c>
      <c r="K214">
        <v>0.90469999999999995</v>
      </c>
      <c r="L214">
        <v>0.85140000000000005</v>
      </c>
      <c r="M214">
        <v>0.92069999999999996</v>
      </c>
      <c r="N214">
        <v>0.63029999999999997</v>
      </c>
      <c r="O214">
        <v>0.84819999999999995</v>
      </c>
      <c r="P214">
        <v>0.90800000000000003</v>
      </c>
      <c r="Q214">
        <v>1.054</v>
      </c>
      <c r="R214" t="s">
        <v>46</v>
      </c>
      <c r="S214" t="s">
        <v>46</v>
      </c>
      <c r="T214" t="s">
        <v>46</v>
      </c>
      <c r="U214" t="s">
        <v>46</v>
      </c>
      <c r="V214" t="s">
        <v>46</v>
      </c>
      <c r="W214" t="s">
        <v>46</v>
      </c>
      <c r="X214" t="s">
        <v>46</v>
      </c>
      <c r="Y214" t="s">
        <v>46</v>
      </c>
      <c r="Z214" t="s">
        <v>46</v>
      </c>
      <c r="AA214" t="s">
        <v>46</v>
      </c>
      <c r="AB214" t="s">
        <v>46</v>
      </c>
      <c r="AC214" t="s">
        <v>46</v>
      </c>
    </row>
    <row r="215" spans="1:29" x14ac:dyDescent="0.25">
      <c r="A215" t="s">
        <v>76</v>
      </c>
      <c r="B215" t="s">
        <v>77</v>
      </c>
      <c r="C215" t="s">
        <v>53</v>
      </c>
      <c r="D215" t="s">
        <v>54</v>
      </c>
      <c r="E215" t="s">
        <v>55</v>
      </c>
      <c r="F215">
        <v>0.44390000000000002</v>
      </c>
      <c r="G215">
        <v>0.4587</v>
      </c>
      <c r="H215">
        <v>0.43569999999999998</v>
      </c>
      <c r="I215">
        <v>0.4199</v>
      </c>
      <c r="J215">
        <v>0.48299999999999998</v>
      </c>
      <c r="K215">
        <v>0.50970000000000004</v>
      </c>
      <c r="L215">
        <v>0.47049999999999997</v>
      </c>
      <c r="M215">
        <v>0.49480000000000002</v>
      </c>
      <c r="N215">
        <v>0.38519999999999999</v>
      </c>
      <c r="O215">
        <v>0.35489999999999999</v>
      </c>
      <c r="P215">
        <v>0.36180000000000001</v>
      </c>
      <c r="Q215">
        <v>0.30480000000000002</v>
      </c>
      <c r="R215" t="s">
        <v>46</v>
      </c>
      <c r="S215" t="s">
        <v>46</v>
      </c>
      <c r="T215" t="s">
        <v>46</v>
      </c>
      <c r="U215" t="s">
        <v>46</v>
      </c>
      <c r="V215" t="s">
        <v>46</v>
      </c>
      <c r="W215" t="s">
        <v>46</v>
      </c>
      <c r="X215" t="s">
        <v>46</v>
      </c>
      <c r="Y215" t="s">
        <v>46</v>
      </c>
      <c r="Z215" t="s">
        <v>46</v>
      </c>
      <c r="AA215" t="s">
        <v>46</v>
      </c>
      <c r="AB215" t="s">
        <v>46</v>
      </c>
      <c r="AC215" t="s">
        <v>46</v>
      </c>
    </row>
    <row r="216" spans="1:29" x14ac:dyDescent="0.25">
      <c r="A216" t="s">
        <v>78</v>
      </c>
      <c r="B216" t="s">
        <v>79</v>
      </c>
      <c r="C216" t="s">
        <v>53</v>
      </c>
      <c r="D216" t="s">
        <v>54</v>
      </c>
      <c r="E216" t="s">
        <v>55</v>
      </c>
      <c r="F216">
        <v>1.1173999999999999</v>
      </c>
      <c r="G216">
        <v>1.0181</v>
      </c>
      <c r="H216">
        <v>1.0406</v>
      </c>
      <c r="I216">
        <v>0.87949999999999995</v>
      </c>
      <c r="J216">
        <v>1.4055</v>
      </c>
      <c r="K216">
        <v>1.5640000000000001</v>
      </c>
      <c r="L216">
        <v>1.6101000000000001</v>
      </c>
      <c r="M216">
        <v>1.4142000000000001</v>
      </c>
      <c r="N216">
        <v>1.8593</v>
      </c>
      <c r="O216">
        <v>1.6423999999999999</v>
      </c>
      <c r="P216">
        <v>2.2464</v>
      </c>
      <c r="Q216">
        <v>2.0558999999999998</v>
      </c>
      <c r="R216" t="s">
        <v>46</v>
      </c>
      <c r="S216" t="s">
        <v>46</v>
      </c>
      <c r="T216" t="s">
        <v>46</v>
      </c>
      <c r="U216" t="s">
        <v>46</v>
      </c>
      <c r="V216" t="s">
        <v>46</v>
      </c>
      <c r="W216" t="s">
        <v>46</v>
      </c>
      <c r="X216" t="s">
        <v>46</v>
      </c>
      <c r="Y216" t="s">
        <v>46</v>
      </c>
      <c r="Z216" t="s">
        <v>46</v>
      </c>
      <c r="AA216" t="s">
        <v>46</v>
      </c>
      <c r="AB216" t="s">
        <v>46</v>
      </c>
      <c r="AC216" t="s">
        <v>46</v>
      </c>
    </row>
    <row r="217" spans="1:29" x14ac:dyDescent="0.25">
      <c r="A217" t="s">
        <v>80</v>
      </c>
      <c r="B217" t="s">
        <v>81</v>
      </c>
      <c r="C217" t="s">
        <v>53</v>
      </c>
      <c r="D217" t="s">
        <v>54</v>
      </c>
      <c r="E217" t="s">
        <v>55</v>
      </c>
      <c r="F217">
        <v>0.29170000000000001</v>
      </c>
      <c r="G217">
        <v>0.23519999999999999</v>
      </c>
      <c r="H217">
        <v>0.30859999999999999</v>
      </c>
      <c r="I217">
        <v>1.0926</v>
      </c>
      <c r="J217">
        <v>0.4632</v>
      </c>
      <c r="K217">
        <v>0.31380000000000002</v>
      </c>
      <c r="L217">
        <v>0.39369999999999999</v>
      </c>
      <c r="M217">
        <v>0.33029999999999998</v>
      </c>
      <c r="N217">
        <v>0.3594</v>
      </c>
      <c r="O217">
        <v>0.3367</v>
      </c>
      <c r="P217">
        <v>0.36330000000000001</v>
      </c>
      <c r="Q217">
        <v>0.34189999999999998</v>
      </c>
      <c r="R217" t="s">
        <v>46</v>
      </c>
      <c r="S217" t="s">
        <v>46</v>
      </c>
      <c r="T217" t="s">
        <v>46</v>
      </c>
      <c r="U217" t="s">
        <v>46</v>
      </c>
      <c r="V217" t="s">
        <v>46</v>
      </c>
      <c r="W217" t="s">
        <v>46</v>
      </c>
      <c r="X217" t="s">
        <v>46</v>
      </c>
      <c r="Y217" t="s">
        <v>46</v>
      </c>
      <c r="Z217" t="s">
        <v>46</v>
      </c>
      <c r="AA217" t="s">
        <v>46</v>
      </c>
      <c r="AB217" t="s">
        <v>46</v>
      </c>
      <c r="AC217" t="s">
        <v>46</v>
      </c>
    </row>
    <row r="218" spans="1:29" x14ac:dyDescent="0.25">
      <c r="A218" t="s">
        <v>82</v>
      </c>
      <c r="B218" t="s">
        <v>83</v>
      </c>
      <c r="C218" t="s">
        <v>53</v>
      </c>
      <c r="D218" t="s">
        <v>54</v>
      </c>
      <c r="E218" t="s">
        <v>55</v>
      </c>
      <c r="F218">
        <v>1.3153000000000001</v>
      </c>
      <c r="G218">
        <v>1.4817</v>
      </c>
      <c r="H218">
        <v>1.9485000000000001</v>
      </c>
      <c r="I218">
        <v>1.7385999999999999</v>
      </c>
      <c r="J218">
        <v>1.8902000000000001</v>
      </c>
      <c r="K218">
        <v>1.7057</v>
      </c>
      <c r="L218">
        <v>1.5026000000000002</v>
      </c>
      <c r="M218">
        <v>1.849</v>
      </c>
      <c r="N218">
        <v>2.3921000000000001</v>
      </c>
      <c r="O218">
        <v>2.2721</v>
      </c>
      <c r="P218">
        <v>2.0546000000000002</v>
      </c>
      <c r="Q218">
        <v>2.1074000000000002</v>
      </c>
      <c r="R218" t="s">
        <v>46</v>
      </c>
      <c r="S218" t="s">
        <v>46</v>
      </c>
      <c r="T218" t="s">
        <v>46</v>
      </c>
      <c r="U218" t="s">
        <v>46</v>
      </c>
      <c r="V218" t="s">
        <v>46</v>
      </c>
      <c r="W218" t="s">
        <v>46</v>
      </c>
      <c r="X218" t="s">
        <v>46</v>
      </c>
      <c r="Y218" t="s">
        <v>46</v>
      </c>
      <c r="Z218" t="s">
        <v>46</v>
      </c>
      <c r="AA218" t="s">
        <v>46</v>
      </c>
      <c r="AB218" t="s">
        <v>46</v>
      </c>
      <c r="AC218" t="s">
        <v>46</v>
      </c>
    </row>
    <row r="219" spans="1:29" x14ac:dyDescent="0.25">
      <c r="A219" t="s">
        <v>84</v>
      </c>
      <c r="B219" t="s">
        <v>85</v>
      </c>
      <c r="C219" t="s">
        <v>53</v>
      </c>
      <c r="D219" t="s">
        <v>54</v>
      </c>
      <c r="E219" t="s">
        <v>55</v>
      </c>
      <c r="F219">
        <v>0.80179999999999996</v>
      </c>
      <c r="G219">
        <v>0.7369</v>
      </c>
      <c r="H219">
        <v>0.71060000000000001</v>
      </c>
      <c r="I219">
        <v>0.75729999999999997</v>
      </c>
      <c r="J219">
        <v>0.75060000000000004</v>
      </c>
      <c r="K219">
        <v>0.66759999999999997</v>
      </c>
      <c r="L219">
        <v>0.5978</v>
      </c>
      <c r="M219">
        <v>0.76990000000000003</v>
      </c>
      <c r="N219">
        <v>0.70440000000000003</v>
      </c>
      <c r="O219">
        <v>0.68359999999999999</v>
      </c>
      <c r="P219">
        <v>0.69850000000000001</v>
      </c>
      <c r="Q219">
        <v>0.6986</v>
      </c>
      <c r="R219" t="s">
        <v>46</v>
      </c>
      <c r="S219" t="s">
        <v>46</v>
      </c>
      <c r="T219" t="s">
        <v>46</v>
      </c>
      <c r="U219" t="s">
        <v>46</v>
      </c>
      <c r="V219" t="s">
        <v>46</v>
      </c>
      <c r="W219" t="s">
        <v>46</v>
      </c>
      <c r="X219" t="s">
        <v>46</v>
      </c>
      <c r="Y219" t="s">
        <v>46</v>
      </c>
      <c r="Z219" t="s">
        <v>46</v>
      </c>
      <c r="AA219" t="s">
        <v>46</v>
      </c>
      <c r="AB219" t="s">
        <v>46</v>
      </c>
      <c r="AC219" t="s">
        <v>46</v>
      </c>
    </row>
    <row r="220" spans="1:29" x14ac:dyDescent="0.25">
      <c r="A220" t="s">
        <v>86</v>
      </c>
      <c r="B220" t="s">
        <v>87</v>
      </c>
      <c r="C220" t="s">
        <v>53</v>
      </c>
      <c r="D220" t="s">
        <v>54</v>
      </c>
      <c r="E220" t="s">
        <v>55</v>
      </c>
      <c r="F220">
        <v>1.5441</v>
      </c>
      <c r="G220">
        <v>1.6257000000000001</v>
      </c>
      <c r="H220">
        <v>1.5356000000000001</v>
      </c>
      <c r="I220">
        <v>1.8808</v>
      </c>
      <c r="J220">
        <v>1.7692999999999999</v>
      </c>
      <c r="K220">
        <v>1.8376999999999999</v>
      </c>
      <c r="L220">
        <v>1.5682</v>
      </c>
      <c r="M220">
        <v>1.6156999999999999</v>
      </c>
      <c r="N220">
        <v>1.3771</v>
      </c>
      <c r="O220">
        <v>1.3089999999999999</v>
      </c>
      <c r="P220">
        <v>1.6974</v>
      </c>
      <c r="Q220">
        <v>1.5874999999999999</v>
      </c>
      <c r="R220" t="s">
        <v>46</v>
      </c>
      <c r="S220" t="s">
        <v>46</v>
      </c>
      <c r="T220" t="s">
        <v>46</v>
      </c>
      <c r="U220" t="s">
        <v>46</v>
      </c>
      <c r="V220" t="s">
        <v>46</v>
      </c>
      <c r="W220" t="s">
        <v>46</v>
      </c>
      <c r="X220" t="s">
        <v>46</v>
      </c>
      <c r="Y220" t="s">
        <v>46</v>
      </c>
      <c r="Z220" t="s">
        <v>46</v>
      </c>
      <c r="AA220" t="s">
        <v>46</v>
      </c>
      <c r="AB220" t="s">
        <v>46</v>
      </c>
      <c r="AC220" t="s">
        <v>46</v>
      </c>
    </row>
    <row r="221" spans="1:29" x14ac:dyDescent="0.25">
      <c r="A221" t="s">
        <v>51</v>
      </c>
      <c r="B221" t="s">
        <v>52</v>
      </c>
      <c r="C221" t="s">
        <v>89</v>
      </c>
      <c r="D221" t="s">
        <v>90</v>
      </c>
      <c r="E221" t="s">
        <v>55</v>
      </c>
      <c r="F221">
        <v>1.2487999999999999</v>
      </c>
      <c r="G221">
        <v>1.2849999999999999</v>
      </c>
      <c r="H221">
        <v>1.286</v>
      </c>
      <c r="I221">
        <v>1.2231000000000001</v>
      </c>
      <c r="J221">
        <v>1.2349000000000001</v>
      </c>
      <c r="K221">
        <v>1.2175</v>
      </c>
      <c r="L221">
        <v>0.99109999999999998</v>
      </c>
      <c r="M221">
        <v>0.9335</v>
      </c>
      <c r="N221">
        <v>0.92110000000000003</v>
      </c>
      <c r="O221">
        <v>0.87839999999999996</v>
      </c>
      <c r="P221">
        <v>0.88549999999999995</v>
      </c>
      <c r="Q221">
        <v>0.85850000000000004</v>
      </c>
      <c r="R221" t="s">
        <v>46</v>
      </c>
      <c r="S221" t="s">
        <v>46</v>
      </c>
      <c r="T221" t="s">
        <v>46</v>
      </c>
      <c r="U221" t="s">
        <v>46</v>
      </c>
      <c r="V221" t="s">
        <v>46</v>
      </c>
      <c r="W221" t="s">
        <v>46</v>
      </c>
      <c r="X221" t="s">
        <v>46</v>
      </c>
      <c r="Y221" t="s">
        <v>46</v>
      </c>
      <c r="Z221" t="s">
        <v>46</v>
      </c>
      <c r="AA221" t="s">
        <v>46</v>
      </c>
      <c r="AB221" t="s">
        <v>46</v>
      </c>
      <c r="AC221" t="s">
        <v>46</v>
      </c>
    </row>
    <row r="222" spans="1:29" x14ac:dyDescent="0.25">
      <c r="A222" t="s">
        <v>56</v>
      </c>
      <c r="B222" t="s">
        <v>57</v>
      </c>
      <c r="C222" t="s">
        <v>89</v>
      </c>
      <c r="D222" t="s">
        <v>90</v>
      </c>
      <c r="E222" t="s">
        <v>55</v>
      </c>
      <c r="F222">
        <v>0.96889999999999998</v>
      </c>
      <c r="G222">
        <v>1.1732</v>
      </c>
      <c r="H222">
        <v>1.2082999999999999</v>
      </c>
      <c r="I222">
        <v>1.1923999999999999</v>
      </c>
      <c r="J222">
        <v>1.0007999999999999</v>
      </c>
      <c r="K222">
        <v>1.1520999999999999</v>
      </c>
      <c r="L222">
        <v>0.94730000000000003</v>
      </c>
      <c r="M222">
        <v>0.98150000000000004</v>
      </c>
      <c r="N222">
        <v>0.99960000000000004</v>
      </c>
      <c r="O222">
        <v>1.3486</v>
      </c>
      <c r="P222">
        <v>1.3769</v>
      </c>
      <c r="Q222">
        <v>1.4283999999999999</v>
      </c>
      <c r="R222" t="s">
        <v>46</v>
      </c>
      <c r="S222" t="s">
        <v>46</v>
      </c>
      <c r="T222" t="s">
        <v>46</v>
      </c>
      <c r="U222" t="s">
        <v>46</v>
      </c>
      <c r="V222" t="s">
        <v>46</v>
      </c>
      <c r="W222" t="s">
        <v>46</v>
      </c>
      <c r="X222" t="s">
        <v>46</v>
      </c>
      <c r="Y222" t="s">
        <v>46</v>
      </c>
      <c r="Z222" t="s">
        <v>46</v>
      </c>
      <c r="AA222" t="s">
        <v>46</v>
      </c>
      <c r="AB222" t="s">
        <v>46</v>
      </c>
      <c r="AC222" t="s">
        <v>46</v>
      </c>
    </row>
    <row r="223" spans="1:29" x14ac:dyDescent="0.25">
      <c r="A223" t="s">
        <v>58</v>
      </c>
      <c r="B223" t="s">
        <v>59</v>
      </c>
      <c r="C223" t="s">
        <v>89</v>
      </c>
      <c r="D223" t="s">
        <v>90</v>
      </c>
      <c r="E223" t="s">
        <v>55</v>
      </c>
      <c r="F223" t="s">
        <v>46</v>
      </c>
      <c r="R223" t="s">
        <v>46</v>
      </c>
      <c r="S223" t="s">
        <v>46</v>
      </c>
      <c r="T223" t="s">
        <v>46</v>
      </c>
      <c r="U223" t="s">
        <v>46</v>
      </c>
      <c r="V223" t="s">
        <v>46</v>
      </c>
      <c r="W223" t="s">
        <v>46</v>
      </c>
      <c r="X223" t="s">
        <v>46</v>
      </c>
      <c r="Y223" t="s">
        <v>46</v>
      </c>
      <c r="Z223" t="s">
        <v>46</v>
      </c>
      <c r="AA223" t="s">
        <v>46</v>
      </c>
      <c r="AB223" t="s">
        <v>46</v>
      </c>
      <c r="AC223" t="s">
        <v>46</v>
      </c>
    </row>
    <row r="224" spans="1:29" x14ac:dyDescent="0.25">
      <c r="A224" t="s">
        <v>60</v>
      </c>
      <c r="B224" t="s">
        <v>61</v>
      </c>
      <c r="C224" t="s">
        <v>89</v>
      </c>
      <c r="D224" t="s">
        <v>90</v>
      </c>
      <c r="E224" t="s">
        <v>55</v>
      </c>
      <c r="F224" t="s">
        <v>46</v>
      </c>
      <c r="G224">
        <v>0.9365</v>
      </c>
      <c r="R224" t="s">
        <v>46</v>
      </c>
      <c r="S224" t="s">
        <v>46</v>
      </c>
      <c r="T224" t="s">
        <v>46</v>
      </c>
      <c r="U224" t="s">
        <v>46</v>
      </c>
      <c r="V224" t="s">
        <v>46</v>
      </c>
      <c r="W224" t="s">
        <v>46</v>
      </c>
      <c r="X224" t="s">
        <v>46</v>
      </c>
      <c r="Y224" t="s">
        <v>46</v>
      </c>
      <c r="Z224" t="s">
        <v>46</v>
      </c>
      <c r="AA224" t="s">
        <v>46</v>
      </c>
      <c r="AB224" t="s">
        <v>46</v>
      </c>
      <c r="AC224" t="s">
        <v>46</v>
      </c>
    </row>
    <row r="225" spans="1:29" x14ac:dyDescent="0.25">
      <c r="A225" t="s">
        <v>62</v>
      </c>
      <c r="B225" t="s">
        <v>63</v>
      </c>
      <c r="C225" t="s">
        <v>89</v>
      </c>
      <c r="D225" t="s">
        <v>90</v>
      </c>
      <c r="E225" t="s">
        <v>55</v>
      </c>
      <c r="F225">
        <v>0.51990000000000003</v>
      </c>
      <c r="G225">
        <v>0.50519999999999998</v>
      </c>
      <c r="H225">
        <v>0.4138</v>
      </c>
      <c r="I225">
        <v>0.54790000000000005</v>
      </c>
      <c r="J225">
        <v>0.63959999999999995</v>
      </c>
      <c r="K225">
        <v>0.59089999999999998</v>
      </c>
      <c r="L225">
        <v>0.42020000000000002</v>
      </c>
      <c r="M225">
        <v>5.2699999999999997E-2</v>
      </c>
      <c r="N225">
        <v>0.48720000000000002</v>
      </c>
      <c r="O225">
        <v>0.52090000000000003</v>
      </c>
      <c r="P225">
        <v>0.40620000000000001</v>
      </c>
      <c r="Q225">
        <v>0.55620000000000003</v>
      </c>
      <c r="R225" t="s">
        <v>46</v>
      </c>
      <c r="S225" t="s">
        <v>46</v>
      </c>
      <c r="T225" t="s">
        <v>46</v>
      </c>
      <c r="U225" t="s">
        <v>46</v>
      </c>
      <c r="V225" t="s">
        <v>46</v>
      </c>
      <c r="W225" t="s">
        <v>46</v>
      </c>
      <c r="X225" t="s">
        <v>46</v>
      </c>
      <c r="Y225" t="s">
        <v>46</v>
      </c>
      <c r="Z225" t="s">
        <v>46</v>
      </c>
      <c r="AA225" t="s">
        <v>46</v>
      </c>
      <c r="AB225" t="s">
        <v>46</v>
      </c>
      <c r="AC225" t="s">
        <v>46</v>
      </c>
    </row>
    <row r="226" spans="1:29" x14ac:dyDescent="0.25">
      <c r="A226" t="s">
        <v>64</v>
      </c>
      <c r="B226" t="s">
        <v>65</v>
      </c>
      <c r="C226" t="s">
        <v>89</v>
      </c>
      <c r="D226" t="s">
        <v>90</v>
      </c>
      <c r="E226" t="s">
        <v>55</v>
      </c>
      <c r="F226">
        <v>2.6120999999999999</v>
      </c>
      <c r="G226">
        <v>2.2393999999999998</v>
      </c>
      <c r="H226">
        <v>2.2319</v>
      </c>
      <c r="I226">
        <v>2.2624</v>
      </c>
      <c r="J226">
        <v>2.5901000000000001</v>
      </c>
      <c r="K226">
        <v>2.8416999999999999</v>
      </c>
      <c r="L226">
        <v>2.9520999999999997</v>
      </c>
      <c r="M226">
        <v>2.9369000000000001</v>
      </c>
      <c r="N226">
        <v>3.2301000000000002</v>
      </c>
      <c r="O226">
        <v>2.7900999999999998</v>
      </c>
      <c r="P226">
        <v>2.9238</v>
      </c>
      <c r="Q226">
        <v>2.9226000000000001</v>
      </c>
      <c r="R226" t="s">
        <v>46</v>
      </c>
      <c r="S226" t="s">
        <v>46</v>
      </c>
      <c r="T226" t="s">
        <v>46</v>
      </c>
      <c r="U226" t="s">
        <v>46</v>
      </c>
      <c r="V226" t="s">
        <v>46</v>
      </c>
      <c r="W226" t="s">
        <v>46</v>
      </c>
      <c r="X226" t="s">
        <v>46</v>
      </c>
      <c r="Y226" t="s">
        <v>46</v>
      </c>
      <c r="Z226" t="s">
        <v>46</v>
      </c>
      <c r="AA226" t="s">
        <v>46</v>
      </c>
      <c r="AB226" t="s">
        <v>46</v>
      </c>
      <c r="AC226" t="s">
        <v>46</v>
      </c>
    </row>
    <row r="227" spans="1:29" x14ac:dyDescent="0.25">
      <c r="A227" t="s">
        <v>66</v>
      </c>
      <c r="B227" t="s">
        <v>67</v>
      </c>
      <c r="C227" t="s">
        <v>89</v>
      </c>
      <c r="D227" t="s">
        <v>90</v>
      </c>
      <c r="E227" t="s">
        <v>55</v>
      </c>
      <c r="F227">
        <v>1.0606</v>
      </c>
      <c r="G227">
        <v>0.97540000000000004</v>
      </c>
      <c r="H227">
        <v>0.95099999999999996</v>
      </c>
      <c r="I227">
        <v>0.90390000000000004</v>
      </c>
      <c r="J227">
        <v>0.93440000000000001</v>
      </c>
      <c r="K227">
        <v>1.2848999999999999</v>
      </c>
      <c r="L227">
        <v>1.2285999999999999</v>
      </c>
      <c r="M227">
        <v>1.4645999999999999</v>
      </c>
      <c r="N227">
        <v>1.1492</v>
      </c>
      <c r="O227">
        <v>1.2961</v>
      </c>
      <c r="P227">
        <v>1.5478000000000001</v>
      </c>
      <c r="Q227">
        <v>1.4208000000000001</v>
      </c>
      <c r="R227" t="s">
        <v>46</v>
      </c>
      <c r="S227" t="s">
        <v>46</v>
      </c>
      <c r="T227" t="s">
        <v>46</v>
      </c>
      <c r="U227" t="s">
        <v>46</v>
      </c>
      <c r="V227" t="s">
        <v>46</v>
      </c>
      <c r="W227" t="s">
        <v>46</v>
      </c>
      <c r="X227" t="s">
        <v>46</v>
      </c>
      <c r="Y227" t="s">
        <v>46</v>
      </c>
      <c r="Z227" t="s">
        <v>46</v>
      </c>
      <c r="AA227" t="s">
        <v>46</v>
      </c>
      <c r="AB227" t="s">
        <v>46</v>
      </c>
      <c r="AC227" t="s">
        <v>46</v>
      </c>
    </row>
    <row r="228" spans="1:29" x14ac:dyDescent="0.25">
      <c r="A228" t="s">
        <v>68</v>
      </c>
      <c r="B228" t="s">
        <v>69</v>
      </c>
      <c r="C228" t="s">
        <v>89</v>
      </c>
      <c r="D228" t="s">
        <v>90</v>
      </c>
      <c r="E228" t="s">
        <v>55</v>
      </c>
      <c r="F228">
        <v>0.73119999999999996</v>
      </c>
      <c r="G228">
        <v>0.81730000000000003</v>
      </c>
      <c r="H228">
        <v>0.8347</v>
      </c>
      <c r="I228">
        <v>0.76049999999999995</v>
      </c>
      <c r="J228">
        <v>0.57199999999999995</v>
      </c>
      <c r="K228">
        <v>0.88839999999999997</v>
      </c>
      <c r="L228">
        <v>0.90529999999999999</v>
      </c>
      <c r="M228">
        <v>0.84279999999999999</v>
      </c>
      <c r="N228">
        <v>0.57889999999999997</v>
      </c>
      <c r="O228">
        <v>0.88580000000000003</v>
      </c>
      <c r="P228">
        <v>0.88449999999999995</v>
      </c>
      <c r="Q228">
        <v>1.0249999999999999</v>
      </c>
      <c r="R228" t="s">
        <v>46</v>
      </c>
      <c r="S228" t="s">
        <v>46</v>
      </c>
      <c r="T228" t="s">
        <v>46</v>
      </c>
      <c r="U228" t="s">
        <v>46</v>
      </c>
      <c r="V228" t="s">
        <v>46</v>
      </c>
      <c r="W228" t="s">
        <v>46</v>
      </c>
      <c r="X228" t="s">
        <v>46</v>
      </c>
      <c r="Y228" t="s">
        <v>46</v>
      </c>
      <c r="Z228" t="s">
        <v>46</v>
      </c>
      <c r="AA228" t="s">
        <v>46</v>
      </c>
      <c r="AB228" t="s">
        <v>46</v>
      </c>
      <c r="AC228" t="s">
        <v>46</v>
      </c>
    </row>
    <row r="229" spans="1:29" x14ac:dyDescent="0.25">
      <c r="A229" t="s">
        <v>70</v>
      </c>
      <c r="B229" t="s">
        <v>71</v>
      </c>
      <c r="C229" t="s">
        <v>89</v>
      </c>
      <c r="D229" t="s">
        <v>90</v>
      </c>
      <c r="E229" t="s">
        <v>55</v>
      </c>
      <c r="F229">
        <v>3.7473999999999998</v>
      </c>
      <c r="G229">
        <v>3.7065999999999999</v>
      </c>
      <c r="H229">
        <v>3.8281000000000001</v>
      </c>
      <c r="I229">
        <v>4.1128999999999998</v>
      </c>
      <c r="J229">
        <v>3.7858000000000001</v>
      </c>
      <c r="K229">
        <v>4.0644</v>
      </c>
      <c r="L229">
        <v>4.3777999999999997</v>
      </c>
      <c r="M229">
        <v>4.7797000000000001</v>
      </c>
      <c r="N229">
        <v>4.4363999999999999</v>
      </c>
      <c r="O229">
        <v>4.6871999999999998</v>
      </c>
      <c r="P229">
        <v>4.6710000000000003</v>
      </c>
      <c r="Q229">
        <v>5.0052000000000003</v>
      </c>
      <c r="R229" t="s">
        <v>46</v>
      </c>
      <c r="S229" t="s">
        <v>46</v>
      </c>
      <c r="T229" t="s">
        <v>46</v>
      </c>
      <c r="U229" t="s">
        <v>46</v>
      </c>
      <c r="V229" t="s">
        <v>46</v>
      </c>
      <c r="W229" t="s">
        <v>46</v>
      </c>
      <c r="X229" t="s">
        <v>46</v>
      </c>
      <c r="Y229" t="s">
        <v>46</v>
      </c>
      <c r="Z229" t="s">
        <v>46</v>
      </c>
      <c r="AA229" t="s">
        <v>46</v>
      </c>
      <c r="AB229" t="s">
        <v>46</v>
      </c>
      <c r="AC229" t="s">
        <v>46</v>
      </c>
    </row>
    <row r="230" spans="1:29" x14ac:dyDescent="0.25">
      <c r="A230" t="s">
        <v>72</v>
      </c>
      <c r="B230" t="s">
        <v>73</v>
      </c>
      <c r="C230" t="s">
        <v>89</v>
      </c>
      <c r="D230" t="s">
        <v>90</v>
      </c>
      <c r="E230" t="s">
        <v>55</v>
      </c>
      <c r="F230">
        <v>1.3904000000000001</v>
      </c>
      <c r="G230">
        <v>1.5175999999999998</v>
      </c>
      <c r="H230">
        <v>1.2404999999999999</v>
      </c>
      <c r="I230">
        <v>1.2307999999999999</v>
      </c>
      <c r="J230">
        <v>1.1508</v>
      </c>
      <c r="K230">
        <v>1.1703000000000001</v>
      </c>
      <c r="L230">
        <v>1.1044</v>
      </c>
      <c r="M230">
        <v>1.2612000000000001</v>
      </c>
      <c r="N230">
        <v>1.294</v>
      </c>
      <c r="O230">
        <v>1.4277</v>
      </c>
      <c r="P230">
        <v>1.3493999999999999</v>
      </c>
      <c r="Q230">
        <v>1.4079999999999999</v>
      </c>
      <c r="R230" t="s">
        <v>46</v>
      </c>
      <c r="S230" t="s">
        <v>46</v>
      </c>
      <c r="T230" t="s">
        <v>46</v>
      </c>
      <c r="U230" t="s">
        <v>46</v>
      </c>
      <c r="V230" t="s">
        <v>46</v>
      </c>
      <c r="W230" t="s">
        <v>46</v>
      </c>
      <c r="X230" t="s">
        <v>46</v>
      </c>
      <c r="Y230" t="s">
        <v>46</v>
      </c>
      <c r="Z230" t="s">
        <v>46</v>
      </c>
      <c r="AA230" t="s">
        <v>46</v>
      </c>
      <c r="AB230" t="s">
        <v>46</v>
      </c>
      <c r="AC230" t="s">
        <v>46</v>
      </c>
    </row>
    <row r="231" spans="1:29" x14ac:dyDescent="0.25">
      <c r="A231" t="s">
        <v>74</v>
      </c>
      <c r="B231" t="s">
        <v>75</v>
      </c>
      <c r="C231" t="s">
        <v>89</v>
      </c>
      <c r="D231" t="s">
        <v>90</v>
      </c>
      <c r="E231" t="s">
        <v>55</v>
      </c>
      <c r="F231">
        <v>1.2464</v>
      </c>
      <c r="G231">
        <v>1.28</v>
      </c>
      <c r="H231">
        <v>1.0727</v>
      </c>
      <c r="I231">
        <v>2.0720000000000001</v>
      </c>
      <c r="J231">
        <v>1.8839999999999999</v>
      </c>
      <c r="K231">
        <v>1.9691999999999998</v>
      </c>
      <c r="L231">
        <v>1.8162</v>
      </c>
      <c r="M231">
        <v>1.8715000000000002</v>
      </c>
      <c r="N231">
        <v>1.5840000000000001</v>
      </c>
      <c r="O231">
        <v>1.8023</v>
      </c>
      <c r="P231">
        <v>1.7389000000000001</v>
      </c>
      <c r="Q231">
        <v>1.8243</v>
      </c>
      <c r="R231" t="s">
        <v>46</v>
      </c>
      <c r="S231" t="s">
        <v>46</v>
      </c>
      <c r="T231" t="s">
        <v>46</v>
      </c>
      <c r="U231" t="s">
        <v>46</v>
      </c>
      <c r="V231" t="s">
        <v>46</v>
      </c>
      <c r="W231" t="s">
        <v>46</v>
      </c>
      <c r="X231" t="s">
        <v>46</v>
      </c>
      <c r="Y231" t="s">
        <v>46</v>
      </c>
      <c r="Z231" t="s">
        <v>46</v>
      </c>
      <c r="AA231" t="s">
        <v>46</v>
      </c>
      <c r="AB231" t="s">
        <v>46</v>
      </c>
      <c r="AC231" t="s">
        <v>46</v>
      </c>
    </row>
    <row r="232" spans="1:29" x14ac:dyDescent="0.25">
      <c r="A232" t="s">
        <v>76</v>
      </c>
      <c r="B232" t="s">
        <v>77</v>
      </c>
      <c r="C232" t="s">
        <v>89</v>
      </c>
      <c r="D232" t="s">
        <v>90</v>
      </c>
      <c r="E232" t="s">
        <v>55</v>
      </c>
      <c r="F232">
        <v>0.44390000000000002</v>
      </c>
      <c r="G232">
        <v>1.0091000000000001</v>
      </c>
      <c r="H232">
        <v>0.43569999999999998</v>
      </c>
      <c r="I232">
        <v>1.0482</v>
      </c>
      <c r="J232">
        <v>0.48299999999999998</v>
      </c>
      <c r="K232">
        <v>1.0409999999999999</v>
      </c>
      <c r="L232">
        <v>0.47049999999999997</v>
      </c>
      <c r="M232">
        <v>1.0024</v>
      </c>
      <c r="N232">
        <v>0.38519999999999999</v>
      </c>
      <c r="O232">
        <v>0.97019999999999995</v>
      </c>
      <c r="P232">
        <v>1.1595</v>
      </c>
      <c r="Q232">
        <v>1.0804</v>
      </c>
      <c r="R232" t="s">
        <v>46</v>
      </c>
      <c r="S232" t="s">
        <v>46</v>
      </c>
      <c r="T232" t="s">
        <v>46</v>
      </c>
      <c r="U232" t="s">
        <v>46</v>
      </c>
      <c r="V232" t="s">
        <v>46</v>
      </c>
      <c r="W232" t="s">
        <v>46</v>
      </c>
      <c r="X232" t="s">
        <v>46</v>
      </c>
      <c r="Y232" t="s">
        <v>46</v>
      </c>
      <c r="Z232" t="s">
        <v>46</v>
      </c>
      <c r="AA232" t="s">
        <v>46</v>
      </c>
      <c r="AB232" t="s">
        <v>46</v>
      </c>
      <c r="AC232" t="s">
        <v>46</v>
      </c>
    </row>
    <row r="233" spans="1:29" x14ac:dyDescent="0.25">
      <c r="A233" t="s">
        <v>78</v>
      </c>
      <c r="B233" t="s">
        <v>79</v>
      </c>
      <c r="C233" t="s">
        <v>89</v>
      </c>
      <c r="D233" t="s">
        <v>90</v>
      </c>
      <c r="E233" t="s">
        <v>55</v>
      </c>
      <c r="F233">
        <v>2.0038</v>
      </c>
      <c r="G233">
        <v>1.9207999999999998</v>
      </c>
      <c r="H233">
        <v>1.8763000000000001</v>
      </c>
      <c r="I233">
        <v>1.5409000000000002</v>
      </c>
      <c r="J233">
        <v>2.2010000000000001</v>
      </c>
      <c r="K233">
        <v>2.4487999999999999</v>
      </c>
      <c r="L233">
        <v>2.5459000000000001</v>
      </c>
      <c r="M233">
        <v>2.2427000000000001</v>
      </c>
      <c r="N233">
        <v>2.7909999999999999</v>
      </c>
      <c r="O233">
        <v>2.5771999999999999</v>
      </c>
      <c r="P233">
        <v>3.0966999999999998</v>
      </c>
      <c r="Q233">
        <v>2.8222</v>
      </c>
      <c r="R233" t="s">
        <v>46</v>
      </c>
      <c r="S233" t="s">
        <v>46</v>
      </c>
      <c r="T233" t="s">
        <v>46</v>
      </c>
      <c r="U233" t="s">
        <v>46</v>
      </c>
      <c r="V233" t="s">
        <v>46</v>
      </c>
      <c r="W233" t="s">
        <v>46</v>
      </c>
      <c r="X233" t="s">
        <v>46</v>
      </c>
      <c r="Y233" t="s">
        <v>46</v>
      </c>
      <c r="Z233" t="s">
        <v>46</v>
      </c>
      <c r="AA233" t="s">
        <v>46</v>
      </c>
      <c r="AB233" t="s">
        <v>46</v>
      </c>
      <c r="AC233" t="s">
        <v>46</v>
      </c>
    </row>
    <row r="234" spans="1:29" x14ac:dyDescent="0.25">
      <c r="A234" t="s">
        <v>80</v>
      </c>
      <c r="B234" t="s">
        <v>81</v>
      </c>
      <c r="C234" t="s">
        <v>89</v>
      </c>
      <c r="D234" t="s">
        <v>90</v>
      </c>
      <c r="E234" t="s">
        <v>55</v>
      </c>
      <c r="F234">
        <v>0.76019999999999999</v>
      </c>
      <c r="G234">
        <v>0.82040000000000002</v>
      </c>
      <c r="H234">
        <v>0.8528</v>
      </c>
      <c r="I234">
        <v>1.6347</v>
      </c>
      <c r="J234">
        <v>1.1649</v>
      </c>
      <c r="K234">
        <v>1.0939000000000001</v>
      </c>
      <c r="L234">
        <v>1.1084000000000001</v>
      </c>
      <c r="M234">
        <v>1.0992</v>
      </c>
      <c r="N234">
        <v>1.1435999999999999</v>
      </c>
      <c r="O234">
        <v>1.157</v>
      </c>
      <c r="P234">
        <v>1.1899</v>
      </c>
      <c r="Q234">
        <v>1.0638000000000001</v>
      </c>
      <c r="R234" t="s">
        <v>46</v>
      </c>
      <c r="S234" t="s">
        <v>46</v>
      </c>
      <c r="T234" t="s">
        <v>46</v>
      </c>
      <c r="U234" t="s">
        <v>46</v>
      </c>
      <c r="V234" t="s">
        <v>46</v>
      </c>
      <c r="W234" t="s">
        <v>46</v>
      </c>
      <c r="X234" t="s">
        <v>46</v>
      </c>
      <c r="Y234" t="s">
        <v>46</v>
      </c>
      <c r="Z234" t="s">
        <v>46</v>
      </c>
      <c r="AA234" t="s">
        <v>46</v>
      </c>
      <c r="AB234" t="s">
        <v>46</v>
      </c>
      <c r="AC234" t="s">
        <v>46</v>
      </c>
    </row>
    <row r="235" spans="1:29" x14ac:dyDescent="0.25">
      <c r="A235" t="s">
        <v>82</v>
      </c>
      <c r="B235" t="s">
        <v>83</v>
      </c>
      <c r="C235" t="s">
        <v>89</v>
      </c>
      <c r="D235" t="s">
        <v>90</v>
      </c>
      <c r="E235" t="s">
        <v>55</v>
      </c>
      <c r="F235">
        <v>2.4436</v>
      </c>
      <c r="G235">
        <v>2.65</v>
      </c>
      <c r="H235">
        <v>3.1084000000000001</v>
      </c>
      <c r="I235">
        <v>2.8881999999999999</v>
      </c>
      <c r="J235">
        <v>3.1284999999999998</v>
      </c>
      <c r="K235">
        <v>2.9952000000000001</v>
      </c>
      <c r="L235">
        <v>2.7715999999999998</v>
      </c>
      <c r="M235">
        <v>3.1619000000000002</v>
      </c>
      <c r="N235">
        <v>3.7911999999999999</v>
      </c>
      <c r="O235">
        <v>3.7717999999999998</v>
      </c>
      <c r="P235">
        <v>3.5705</v>
      </c>
      <c r="Q235">
        <v>3.6071</v>
      </c>
      <c r="R235" t="s">
        <v>46</v>
      </c>
      <c r="S235" t="s">
        <v>46</v>
      </c>
      <c r="T235" t="s">
        <v>46</v>
      </c>
      <c r="U235" t="s">
        <v>46</v>
      </c>
      <c r="V235" t="s">
        <v>46</v>
      </c>
      <c r="W235" t="s">
        <v>46</v>
      </c>
      <c r="X235" t="s">
        <v>46</v>
      </c>
      <c r="Y235" t="s">
        <v>46</v>
      </c>
      <c r="Z235" t="s">
        <v>46</v>
      </c>
      <c r="AA235" t="s">
        <v>46</v>
      </c>
      <c r="AB235" t="s">
        <v>46</v>
      </c>
      <c r="AC235" t="s">
        <v>46</v>
      </c>
    </row>
    <row r="236" spans="1:29" x14ac:dyDescent="0.25">
      <c r="A236" t="s">
        <v>84</v>
      </c>
      <c r="B236" t="s">
        <v>85</v>
      </c>
      <c r="C236" t="s">
        <v>89</v>
      </c>
      <c r="D236" t="s">
        <v>90</v>
      </c>
      <c r="E236" t="s">
        <v>55</v>
      </c>
      <c r="F236">
        <v>1.4953000000000001</v>
      </c>
      <c r="G236">
        <v>1.4482999999999999</v>
      </c>
      <c r="H236">
        <v>1.4045000000000001</v>
      </c>
      <c r="I236">
        <v>1.4083999999999999</v>
      </c>
      <c r="J236">
        <v>1.3525</v>
      </c>
      <c r="K236">
        <v>1.4285000000000001</v>
      </c>
      <c r="L236">
        <v>1.2738</v>
      </c>
      <c r="M236">
        <v>1.4834000000000001</v>
      </c>
      <c r="N236">
        <v>1.4148000000000001</v>
      </c>
      <c r="O236">
        <v>1.4097</v>
      </c>
      <c r="P236">
        <v>1.4209000000000001</v>
      </c>
      <c r="Q236">
        <v>1.3816999999999999</v>
      </c>
      <c r="R236" t="s">
        <v>46</v>
      </c>
      <c r="S236" t="s">
        <v>46</v>
      </c>
      <c r="T236" t="s">
        <v>46</v>
      </c>
      <c r="U236" t="s">
        <v>46</v>
      </c>
      <c r="V236" t="s">
        <v>46</v>
      </c>
      <c r="W236" t="s">
        <v>46</v>
      </c>
      <c r="X236" t="s">
        <v>46</v>
      </c>
      <c r="Y236" t="s">
        <v>46</v>
      </c>
      <c r="Z236" t="s">
        <v>46</v>
      </c>
      <c r="AA236" t="s">
        <v>46</v>
      </c>
      <c r="AB236" t="s">
        <v>46</v>
      </c>
      <c r="AC236" t="s">
        <v>46</v>
      </c>
    </row>
    <row r="237" spans="1:29" x14ac:dyDescent="0.25">
      <c r="A237" t="s">
        <v>86</v>
      </c>
      <c r="B237" t="s">
        <v>87</v>
      </c>
      <c r="C237" t="s">
        <v>89</v>
      </c>
      <c r="D237" t="s">
        <v>90</v>
      </c>
      <c r="E237" t="s">
        <v>55</v>
      </c>
      <c r="F237">
        <v>2.0268999999999999</v>
      </c>
      <c r="G237">
        <v>2.0918000000000001</v>
      </c>
      <c r="H237">
        <v>1.9917</v>
      </c>
      <c r="I237">
        <v>2.3060999999999998</v>
      </c>
      <c r="J237">
        <v>2.2381000000000002</v>
      </c>
      <c r="K237">
        <v>2.3557000000000001</v>
      </c>
      <c r="L237">
        <v>2.0758000000000001</v>
      </c>
      <c r="M237">
        <v>2.1063000000000001</v>
      </c>
      <c r="N237">
        <v>1.8500999999999999</v>
      </c>
      <c r="O237">
        <v>1.7614000000000001</v>
      </c>
      <c r="P237">
        <v>2.1383999999999999</v>
      </c>
      <c r="Q237">
        <v>2.0055000000000001</v>
      </c>
      <c r="R237" t="s">
        <v>46</v>
      </c>
      <c r="S237" t="s">
        <v>46</v>
      </c>
      <c r="T237" t="s">
        <v>46</v>
      </c>
      <c r="U237" t="s">
        <v>46</v>
      </c>
      <c r="V237" t="s">
        <v>46</v>
      </c>
      <c r="W237" t="s">
        <v>46</v>
      </c>
      <c r="X237" t="s">
        <v>46</v>
      </c>
      <c r="Y237" t="s">
        <v>46</v>
      </c>
      <c r="Z237" t="s">
        <v>46</v>
      </c>
      <c r="AA237" t="s">
        <v>46</v>
      </c>
      <c r="AB237" t="s">
        <v>46</v>
      </c>
      <c r="AC237" t="s">
        <v>46</v>
      </c>
    </row>
    <row r="238" spans="1:29" x14ac:dyDescent="0.25">
      <c r="A238" t="s">
        <v>51</v>
      </c>
      <c r="B238" t="s">
        <v>52</v>
      </c>
      <c r="C238" t="s">
        <v>92</v>
      </c>
      <c r="D238" t="s">
        <v>93</v>
      </c>
      <c r="E238" t="s">
        <v>55</v>
      </c>
      <c r="F238">
        <v>1.3782000000000001</v>
      </c>
      <c r="G238">
        <v>1.3935</v>
      </c>
      <c r="H238">
        <v>1.3967000000000001</v>
      </c>
      <c r="I238">
        <v>1.3402000000000001</v>
      </c>
      <c r="J238">
        <v>1.3536999999999999</v>
      </c>
      <c r="K238">
        <v>1.3306</v>
      </c>
      <c r="L238">
        <v>1.3382000000000001</v>
      </c>
      <c r="M238">
        <v>1.2913000000000001</v>
      </c>
      <c r="N238">
        <v>1.3113999999999999</v>
      </c>
      <c r="O238">
        <v>1.2475000000000001</v>
      </c>
      <c r="P238">
        <v>1.2314000000000001</v>
      </c>
      <c r="Q238">
        <v>1.2241</v>
      </c>
      <c r="R238" t="s">
        <v>46</v>
      </c>
      <c r="S238" t="s">
        <v>46</v>
      </c>
      <c r="T238" t="s">
        <v>46</v>
      </c>
      <c r="U238" t="s">
        <v>46</v>
      </c>
      <c r="V238" t="s">
        <v>46</v>
      </c>
      <c r="W238" t="s">
        <v>46</v>
      </c>
      <c r="X238" t="s">
        <v>46</v>
      </c>
      <c r="Y238" t="s">
        <v>46</v>
      </c>
      <c r="Z238" t="s">
        <v>46</v>
      </c>
      <c r="AA238" t="s">
        <v>46</v>
      </c>
      <c r="AB238" t="s">
        <v>46</v>
      </c>
      <c r="AC238" t="s">
        <v>46</v>
      </c>
    </row>
    <row r="239" spans="1:29" x14ac:dyDescent="0.25">
      <c r="A239" t="s">
        <v>56</v>
      </c>
      <c r="B239" t="s">
        <v>57</v>
      </c>
      <c r="C239" t="s">
        <v>92</v>
      </c>
      <c r="D239" t="s">
        <v>93</v>
      </c>
      <c r="E239" t="s">
        <v>55</v>
      </c>
      <c r="F239">
        <v>1.2454000000000001</v>
      </c>
      <c r="G239">
        <v>1.3492999999999999</v>
      </c>
      <c r="H239">
        <v>1.3871</v>
      </c>
      <c r="I239">
        <v>1.3915</v>
      </c>
      <c r="J239">
        <v>1.3502000000000001</v>
      </c>
      <c r="K239">
        <v>1.3201000000000001</v>
      </c>
      <c r="L239">
        <v>1.3288</v>
      </c>
      <c r="M239">
        <v>1.3498999999999999</v>
      </c>
      <c r="N239">
        <v>1.3385</v>
      </c>
      <c r="O239">
        <v>1.7133</v>
      </c>
      <c r="P239">
        <v>1.7464</v>
      </c>
      <c r="Q239">
        <v>1.7711999999999999</v>
      </c>
      <c r="R239" t="s">
        <v>46</v>
      </c>
      <c r="S239" t="s">
        <v>46</v>
      </c>
      <c r="T239" t="s">
        <v>46</v>
      </c>
      <c r="U239" t="s">
        <v>46</v>
      </c>
      <c r="V239" t="s">
        <v>46</v>
      </c>
      <c r="W239" t="s">
        <v>46</v>
      </c>
      <c r="X239" t="s">
        <v>46</v>
      </c>
      <c r="Y239" t="s">
        <v>46</v>
      </c>
      <c r="Z239" t="s">
        <v>46</v>
      </c>
      <c r="AA239" t="s">
        <v>46</v>
      </c>
      <c r="AB239" t="s">
        <v>46</v>
      </c>
      <c r="AC239" t="s">
        <v>46</v>
      </c>
    </row>
    <row r="240" spans="1:29" x14ac:dyDescent="0.25">
      <c r="A240" t="s">
        <v>58</v>
      </c>
      <c r="B240" t="s">
        <v>59</v>
      </c>
      <c r="C240" t="s">
        <v>92</v>
      </c>
      <c r="D240" t="s">
        <v>93</v>
      </c>
      <c r="E240" t="s">
        <v>55</v>
      </c>
      <c r="F240" t="s">
        <v>46</v>
      </c>
      <c r="R240" t="s">
        <v>46</v>
      </c>
      <c r="S240" t="s">
        <v>46</v>
      </c>
      <c r="T240" t="s">
        <v>46</v>
      </c>
      <c r="U240" t="s">
        <v>46</v>
      </c>
      <c r="V240" t="s">
        <v>46</v>
      </c>
      <c r="W240" t="s">
        <v>46</v>
      </c>
      <c r="X240" t="s">
        <v>46</v>
      </c>
      <c r="Y240" t="s">
        <v>46</v>
      </c>
      <c r="Z240" t="s">
        <v>46</v>
      </c>
      <c r="AA240" t="s">
        <v>46</v>
      </c>
      <c r="AB240" t="s">
        <v>46</v>
      </c>
      <c r="AC240" t="s">
        <v>46</v>
      </c>
    </row>
    <row r="241" spans="1:29" x14ac:dyDescent="0.25">
      <c r="A241" t="s">
        <v>60</v>
      </c>
      <c r="B241" t="s">
        <v>61</v>
      </c>
      <c r="C241" t="s">
        <v>92</v>
      </c>
      <c r="D241" t="s">
        <v>93</v>
      </c>
      <c r="E241" t="s">
        <v>55</v>
      </c>
      <c r="F241" t="s">
        <v>46</v>
      </c>
      <c r="G241">
        <v>1.2818000000000001</v>
      </c>
      <c r="R241" t="s">
        <v>46</v>
      </c>
      <c r="S241" t="s">
        <v>46</v>
      </c>
      <c r="T241" t="s">
        <v>46</v>
      </c>
      <c r="U241" t="s">
        <v>46</v>
      </c>
      <c r="V241" t="s">
        <v>46</v>
      </c>
      <c r="W241" t="s">
        <v>46</v>
      </c>
      <c r="X241" t="s">
        <v>46</v>
      </c>
      <c r="Y241" t="s">
        <v>46</v>
      </c>
      <c r="Z241" t="s">
        <v>46</v>
      </c>
      <c r="AA241" t="s">
        <v>46</v>
      </c>
      <c r="AB241" t="s">
        <v>46</v>
      </c>
      <c r="AC241" t="s">
        <v>46</v>
      </c>
    </row>
    <row r="242" spans="1:29" x14ac:dyDescent="0.25">
      <c r="A242" t="s">
        <v>62</v>
      </c>
      <c r="B242" t="s">
        <v>63</v>
      </c>
      <c r="C242" t="s">
        <v>92</v>
      </c>
      <c r="D242" t="s">
        <v>93</v>
      </c>
      <c r="E242" t="s">
        <v>55</v>
      </c>
      <c r="F242">
        <v>1.0820000000000001</v>
      </c>
      <c r="G242">
        <v>1.0430999999999999</v>
      </c>
      <c r="H242">
        <v>1.1294</v>
      </c>
      <c r="I242">
        <v>1.0902000000000001</v>
      </c>
      <c r="J242">
        <v>1.1642000000000001</v>
      </c>
      <c r="K242">
        <v>1.1431</v>
      </c>
      <c r="L242">
        <v>0.99509999999999998</v>
      </c>
      <c r="M242">
        <v>0.98509999999999998</v>
      </c>
      <c r="N242">
        <v>0.98650000000000004</v>
      </c>
      <c r="O242">
        <v>0.99309999999999998</v>
      </c>
      <c r="P242">
        <v>1.0598000000000001</v>
      </c>
      <c r="Q242">
        <v>1.1385000000000001</v>
      </c>
      <c r="R242" t="s">
        <v>46</v>
      </c>
      <c r="S242" t="s">
        <v>46</v>
      </c>
      <c r="T242" t="s">
        <v>46</v>
      </c>
      <c r="U242" t="s">
        <v>46</v>
      </c>
      <c r="V242" t="s">
        <v>46</v>
      </c>
      <c r="W242" t="s">
        <v>46</v>
      </c>
      <c r="X242" t="s">
        <v>46</v>
      </c>
      <c r="Y242" t="s">
        <v>46</v>
      </c>
      <c r="Z242" t="s">
        <v>46</v>
      </c>
      <c r="AA242" t="s">
        <v>46</v>
      </c>
      <c r="AB242" t="s">
        <v>46</v>
      </c>
      <c r="AC242" t="s">
        <v>46</v>
      </c>
    </row>
    <row r="243" spans="1:29" x14ac:dyDescent="0.25">
      <c r="A243" t="s">
        <v>64</v>
      </c>
      <c r="B243" t="s">
        <v>65</v>
      </c>
      <c r="C243" t="s">
        <v>92</v>
      </c>
      <c r="D243" t="s">
        <v>93</v>
      </c>
      <c r="E243" t="s">
        <v>55</v>
      </c>
      <c r="F243">
        <v>2.8986999999999998</v>
      </c>
      <c r="G243">
        <v>2.5514999999999999</v>
      </c>
      <c r="H243">
        <v>2.532</v>
      </c>
      <c r="I243">
        <v>2.5516999999999999</v>
      </c>
      <c r="J243">
        <v>2.8982000000000001</v>
      </c>
      <c r="K243">
        <v>3.1770999999999998</v>
      </c>
      <c r="L243">
        <v>3.2406000000000001</v>
      </c>
      <c r="M243">
        <v>3.2728000000000002</v>
      </c>
      <c r="N243">
        <v>3.6412</v>
      </c>
      <c r="O243">
        <v>3.2092000000000001</v>
      </c>
      <c r="P243">
        <v>3.2911999999999999</v>
      </c>
      <c r="Q243">
        <v>3.3536000000000001</v>
      </c>
      <c r="R243" t="s">
        <v>46</v>
      </c>
      <c r="S243" t="s">
        <v>46</v>
      </c>
      <c r="T243" t="s">
        <v>46</v>
      </c>
      <c r="U243" t="s">
        <v>46</v>
      </c>
      <c r="V243" t="s">
        <v>46</v>
      </c>
      <c r="W243" t="s">
        <v>46</v>
      </c>
      <c r="X243" t="s">
        <v>46</v>
      </c>
      <c r="Y243" t="s">
        <v>46</v>
      </c>
      <c r="Z243" t="s">
        <v>46</v>
      </c>
      <c r="AA243" t="s">
        <v>46</v>
      </c>
      <c r="AB243" t="s">
        <v>46</v>
      </c>
      <c r="AC243" t="s">
        <v>46</v>
      </c>
    </row>
    <row r="244" spans="1:29" x14ac:dyDescent="0.25">
      <c r="A244" t="s">
        <v>66</v>
      </c>
      <c r="B244" t="s">
        <v>67</v>
      </c>
      <c r="C244" t="s">
        <v>92</v>
      </c>
      <c r="D244" t="s">
        <v>93</v>
      </c>
      <c r="E244" t="s">
        <v>55</v>
      </c>
      <c r="F244">
        <v>1.5367</v>
      </c>
      <c r="G244">
        <v>1.3474999999999999</v>
      </c>
      <c r="H244">
        <v>1.3767</v>
      </c>
      <c r="I244">
        <v>1.3205</v>
      </c>
      <c r="J244">
        <v>1.2767999999999999</v>
      </c>
      <c r="K244">
        <v>1.6408</v>
      </c>
      <c r="L244">
        <v>1.5931</v>
      </c>
      <c r="M244">
        <v>2.0266999999999999</v>
      </c>
      <c r="N244">
        <v>1.9068000000000001</v>
      </c>
      <c r="O244">
        <v>1.9809999999999999</v>
      </c>
      <c r="P244">
        <v>1.7397</v>
      </c>
      <c r="Q244">
        <v>1.6385999999999998</v>
      </c>
      <c r="R244" t="s">
        <v>46</v>
      </c>
      <c r="S244" t="s">
        <v>46</v>
      </c>
      <c r="T244" t="s">
        <v>46</v>
      </c>
      <c r="U244" t="s">
        <v>46</v>
      </c>
      <c r="V244" t="s">
        <v>46</v>
      </c>
      <c r="W244" t="s">
        <v>46</v>
      </c>
      <c r="X244" t="s">
        <v>46</v>
      </c>
      <c r="Y244" t="s">
        <v>46</v>
      </c>
      <c r="Z244" t="s">
        <v>46</v>
      </c>
      <c r="AA244" t="s">
        <v>46</v>
      </c>
      <c r="AB244" t="s">
        <v>46</v>
      </c>
      <c r="AC244" t="s">
        <v>46</v>
      </c>
    </row>
    <row r="245" spans="1:29" x14ac:dyDescent="0.25">
      <c r="A245" t="s">
        <v>68</v>
      </c>
      <c r="B245" t="s">
        <v>69</v>
      </c>
      <c r="C245" t="s">
        <v>92</v>
      </c>
      <c r="D245" t="s">
        <v>93</v>
      </c>
      <c r="E245" t="s">
        <v>55</v>
      </c>
      <c r="F245">
        <v>1.1383000000000001</v>
      </c>
      <c r="G245">
        <v>0.93159999999999998</v>
      </c>
      <c r="H245">
        <v>0.94610000000000005</v>
      </c>
      <c r="I245">
        <v>0.87709999999999999</v>
      </c>
      <c r="J245">
        <v>0.95909999999999995</v>
      </c>
      <c r="K245">
        <v>1</v>
      </c>
      <c r="L245">
        <v>1.0354000000000001</v>
      </c>
      <c r="M245">
        <v>0.94650000000000001</v>
      </c>
      <c r="N245">
        <v>0.97650000000000003</v>
      </c>
      <c r="O245">
        <v>0.9879</v>
      </c>
      <c r="P245">
        <v>1.0003</v>
      </c>
      <c r="Q245">
        <v>1.1834</v>
      </c>
      <c r="R245" t="s">
        <v>46</v>
      </c>
      <c r="S245" t="s">
        <v>46</v>
      </c>
      <c r="T245" t="s">
        <v>46</v>
      </c>
      <c r="U245" t="s">
        <v>46</v>
      </c>
      <c r="V245" t="s">
        <v>46</v>
      </c>
      <c r="W245" t="s">
        <v>46</v>
      </c>
      <c r="X245" t="s">
        <v>46</v>
      </c>
      <c r="Y245" t="s">
        <v>46</v>
      </c>
      <c r="Z245" t="s">
        <v>46</v>
      </c>
      <c r="AA245" t="s">
        <v>46</v>
      </c>
      <c r="AB245" t="s">
        <v>46</v>
      </c>
      <c r="AC245" t="s">
        <v>46</v>
      </c>
    </row>
    <row r="246" spans="1:29" x14ac:dyDescent="0.25">
      <c r="A246" t="s">
        <v>70</v>
      </c>
      <c r="B246" t="s">
        <v>71</v>
      </c>
      <c r="C246" t="s">
        <v>92</v>
      </c>
      <c r="D246" t="s">
        <v>93</v>
      </c>
      <c r="E246" t="s">
        <v>55</v>
      </c>
      <c r="F246">
        <v>3.8727</v>
      </c>
      <c r="G246">
        <v>3.8098000000000001</v>
      </c>
      <c r="H246">
        <v>4.3815</v>
      </c>
      <c r="I246">
        <v>4.7165999999999997</v>
      </c>
      <c r="J246">
        <v>4.4051999999999998</v>
      </c>
      <c r="K246">
        <v>4.5621999999999998</v>
      </c>
      <c r="L246">
        <v>5.1092000000000004</v>
      </c>
      <c r="M246">
        <v>5.6475</v>
      </c>
      <c r="N246">
        <v>5.3925999999999998</v>
      </c>
      <c r="O246">
        <v>5.3049999999999997</v>
      </c>
      <c r="P246">
        <v>5.5587</v>
      </c>
      <c r="Q246">
        <v>6.0549999999999997</v>
      </c>
      <c r="R246" t="s">
        <v>46</v>
      </c>
      <c r="S246" t="s">
        <v>46</v>
      </c>
      <c r="T246" t="s">
        <v>46</v>
      </c>
      <c r="U246" t="s">
        <v>46</v>
      </c>
      <c r="V246" t="s">
        <v>46</v>
      </c>
      <c r="W246" t="s">
        <v>46</v>
      </c>
      <c r="X246" t="s">
        <v>46</v>
      </c>
      <c r="Y246" t="s">
        <v>46</v>
      </c>
      <c r="Z246" t="s">
        <v>46</v>
      </c>
      <c r="AA246" t="s">
        <v>46</v>
      </c>
      <c r="AB246" t="s">
        <v>46</v>
      </c>
      <c r="AC246" t="s">
        <v>46</v>
      </c>
    </row>
    <row r="247" spans="1:29" x14ac:dyDescent="0.25">
      <c r="A247" t="s">
        <v>72</v>
      </c>
      <c r="B247" t="s">
        <v>73</v>
      </c>
      <c r="C247" t="s">
        <v>92</v>
      </c>
      <c r="D247" t="s">
        <v>93</v>
      </c>
      <c r="E247" t="s">
        <v>55</v>
      </c>
      <c r="F247">
        <v>1.5666</v>
      </c>
      <c r="G247">
        <v>1.7046999999999999</v>
      </c>
      <c r="H247">
        <v>1.4630000000000001</v>
      </c>
      <c r="I247">
        <v>1.4552</v>
      </c>
      <c r="J247">
        <v>1.3783000000000001</v>
      </c>
      <c r="K247">
        <v>1.3879000000000001</v>
      </c>
      <c r="L247">
        <v>1.3131999999999999</v>
      </c>
      <c r="M247">
        <v>1.5162</v>
      </c>
      <c r="N247">
        <v>1.5226</v>
      </c>
      <c r="O247">
        <v>1.7095</v>
      </c>
      <c r="P247">
        <v>1.6456</v>
      </c>
      <c r="Q247">
        <v>1.7294</v>
      </c>
      <c r="R247" t="s">
        <v>46</v>
      </c>
      <c r="S247" t="s">
        <v>46</v>
      </c>
      <c r="T247" t="s">
        <v>46</v>
      </c>
      <c r="U247" t="s">
        <v>46</v>
      </c>
      <c r="V247" t="s">
        <v>46</v>
      </c>
      <c r="W247" t="s">
        <v>46</v>
      </c>
      <c r="X247" t="s">
        <v>46</v>
      </c>
      <c r="Y247" t="s">
        <v>46</v>
      </c>
      <c r="Z247" t="s">
        <v>46</v>
      </c>
      <c r="AA247" t="s">
        <v>46</v>
      </c>
      <c r="AB247" t="s">
        <v>46</v>
      </c>
      <c r="AC247" t="s">
        <v>46</v>
      </c>
    </row>
    <row r="248" spans="1:29" x14ac:dyDescent="0.25">
      <c r="A248" t="s">
        <v>74</v>
      </c>
      <c r="B248" t="s">
        <v>75</v>
      </c>
      <c r="C248" t="s">
        <v>92</v>
      </c>
      <c r="D248" t="s">
        <v>93</v>
      </c>
      <c r="E248" t="s">
        <v>55</v>
      </c>
      <c r="F248">
        <v>1.623</v>
      </c>
      <c r="G248">
        <v>1.7269999999999999</v>
      </c>
      <c r="H248">
        <v>1.5844</v>
      </c>
      <c r="I248">
        <v>2.6657999999999999</v>
      </c>
      <c r="J248">
        <v>2.4239000000000002</v>
      </c>
      <c r="K248">
        <v>2.5670999999999999</v>
      </c>
      <c r="L248">
        <v>2.4615999999999998</v>
      </c>
      <c r="M248">
        <v>2.3744000000000001</v>
      </c>
      <c r="N248">
        <v>2.4298000000000002</v>
      </c>
      <c r="O248">
        <v>2.3361000000000001</v>
      </c>
      <c r="P248">
        <v>2.2656999999999998</v>
      </c>
      <c r="Q248">
        <v>2.3064999999999998</v>
      </c>
      <c r="R248" t="s">
        <v>46</v>
      </c>
      <c r="S248" t="s">
        <v>46</v>
      </c>
      <c r="T248" t="s">
        <v>46</v>
      </c>
      <c r="U248" t="s">
        <v>46</v>
      </c>
      <c r="V248" t="s">
        <v>46</v>
      </c>
      <c r="W248" t="s">
        <v>46</v>
      </c>
      <c r="X248" t="s">
        <v>46</v>
      </c>
      <c r="Y248" t="s">
        <v>46</v>
      </c>
      <c r="Z248" t="s">
        <v>46</v>
      </c>
      <c r="AA248" t="s">
        <v>46</v>
      </c>
      <c r="AB248" t="s">
        <v>46</v>
      </c>
      <c r="AC248" t="s">
        <v>46</v>
      </c>
    </row>
    <row r="249" spans="1:29" x14ac:dyDescent="0.25">
      <c r="A249" t="s">
        <v>76</v>
      </c>
      <c r="B249" t="s">
        <v>77</v>
      </c>
      <c r="C249" t="s">
        <v>92</v>
      </c>
      <c r="D249" t="s">
        <v>93</v>
      </c>
      <c r="E249" t="s">
        <v>55</v>
      </c>
      <c r="F249">
        <v>1.2941</v>
      </c>
      <c r="G249">
        <v>1.3106</v>
      </c>
      <c r="H249">
        <v>1.3747</v>
      </c>
      <c r="I249">
        <v>1.3493999999999999</v>
      </c>
      <c r="J249">
        <v>1.3285</v>
      </c>
      <c r="K249">
        <v>1.2974000000000001</v>
      </c>
      <c r="L249">
        <v>1.2765</v>
      </c>
      <c r="M249">
        <v>1.2604</v>
      </c>
      <c r="N249">
        <v>1.0901000000000001</v>
      </c>
      <c r="O249">
        <v>1.1188</v>
      </c>
      <c r="P249">
        <v>1.2699</v>
      </c>
      <c r="Q249">
        <v>1.2254</v>
      </c>
      <c r="R249" t="s">
        <v>46</v>
      </c>
      <c r="S249" t="s">
        <v>46</v>
      </c>
      <c r="T249" t="s">
        <v>46</v>
      </c>
      <c r="U249" t="s">
        <v>46</v>
      </c>
      <c r="V249" t="s">
        <v>46</v>
      </c>
      <c r="W249" t="s">
        <v>46</v>
      </c>
      <c r="X249" t="s">
        <v>46</v>
      </c>
      <c r="Y249" t="s">
        <v>46</v>
      </c>
      <c r="Z249" t="s">
        <v>46</v>
      </c>
      <c r="AA249" t="s">
        <v>46</v>
      </c>
      <c r="AB249" t="s">
        <v>46</v>
      </c>
      <c r="AC249" t="s">
        <v>46</v>
      </c>
    </row>
    <row r="250" spans="1:29" x14ac:dyDescent="0.25">
      <c r="A250" t="s">
        <v>78</v>
      </c>
      <c r="B250" t="s">
        <v>79</v>
      </c>
      <c r="C250" t="s">
        <v>92</v>
      </c>
      <c r="D250" t="s">
        <v>93</v>
      </c>
      <c r="E250" t="s">
        <v>55</v>
      </c>
      <c r="F250">
        <v>2.6168</v>
      </c>
      <c r="G250">
        <v>2.5415999999999999</v>
      </c>
      <c r="H250">
        <v>2.5427999999999997</v>
      </c>
      <c r="I250">
        <v>2.0834999999999999</v>
      </c>
      <c r="J250">
        <v>2.8371</v>
      </c>
      <c r="K250">
        <v>3.0819999999999999</v>
      </c>
      <c r="L250">
        <v>3.3031000000000001</v>
      </c>
      <c r="M250">
        <v>2.9321000000000002</v>
      </c>
      <c r="N250">
        <v>3.5460000000000003</v>
      </c>
      <c r="O250">
        <v>3.2867999999999999</v>
      </c>
      <c r="P250">
        <v>3.6890000000000001</v>
      </c>
      <c r="Q250">
        <v>3.3917000000000002</v>
      </c>
      <c r="R250" t="s">
        <v>46</v>
      </c>
      <c r="S250" t="s">
        <v>46</v>
      </c>
      <c r="T250" t="s">
        <v>46</v>
      </c>
      <c r="U250" t="s">
        <v>46</v>
      </c>
      <c r="V250" t="s">
        <v>46</v>
      </c>
      <c r="W250" t="s">
        <v>46</v>
      </c>
      <c r="X250" t="s">
        <v>46</v>
      </c>
      <c r="Y250" t="s">
        <v>46</v>
      </c>
      <c r="Z250" t="s">
        <v>46</v>
      </c>
      <c r="AA250" t="s">
        <v>46</v>
      </c>
      <c r="AB250" t="s">
        <v>46</v>
      </c>
      <c r="AC250" t="s">
        <v>46</v>
      </c>
    </row>
    <row r="251" spans="1:29" x14ac:dyDescent="0.25">
      <c r="A251" t="s">
        <v>80</v>
      </c>
      <c r="B251" t="s">
        <v>81</v>
      </c>
      <c r="C251" t="s">
        <v>92</v>
      </c>
      <c r="D251" t="s">
        <v>93</v>
      </c>
      <c r="E251" t="s">
        <v>55</v>
      </c>
      <c r="F251">
        <v>0.95720000000000005</v>
      </c>
      <c r="G251">
        <v>1.0190999999999999</v>
      </c>
      <c r="H251">
        <v>1.0871</v>
      </c>
      <c r="I251">
        <v>1.8303</v>
      </c>
      <c r="J251">
        <v>1.3559000000000001</v>
      </c>
      <c r="K251">
        <v>1.2856000000000001</v>
      </c>
      <c r="L251">
        <v>1.3105</v>
      </c>
      <c r="M251">
        <v>1.3203</v>
      </c>
      <c r="N251">
        <v>1.3747</v>
      </c>
      <c r="O251">
        <v>1.3310999999999999</v>
      </c>
      <c r="P251">
        <v>1.4116</v>
      </c>
      <c r="Q251">
        <v>1.2515000000000001</v>
      </c>
      <c r="R251" t="s">
        <v>46</v>
      </c>
      <c r="S251" t="s">
        <v>46</v>
      </c>
      <c r="T251" t="s">
        <v>46</v>
      </c>
      <c r="U251" t="s">
        <v>46</v>
      </c>
      <c r="V251" t="s">
        <v>46</v>
      </c>
      <c r="W251" t="s">
        <v>46</v>
      </c>
      <c r="X251" t="s">
        <v>46</v>
      </c>
      <c r="Y251" t="s">
        <v>46</v>
      </c>
      <c r="Z251" t="s">
        <v>46</v>
      </c>
      <c r="AA251" t="s">
        <v>46</v>
      </c>
      <c r="AB251" t="s">
        <v>46</v>
      </c>
      <c r="AC251" t="s">
        <v>46</v>
      </c>
    </row>
    <row r="252" spans="1:29" x14ac:dyDescent="0.25">
      <c r="A252" t="s">
        <v>82</v>
      </c>
      <c r="B252" t="s">
        <v>83</v>
      </c>
      <c r="C252" t="s">
        <v>92</v>
      </c>
      <c r="D252" t="s">
        <v>93</v>
      </c>
      <c r="E252" t="s">
        <v>55</v>
      </c>
      <c r="F252">
        <v>3.3346999999999998</v>
      </c>
      <c r="G252">
        <v>3.5247000000000002</v>
      </c>
      <c r="H252">
        <v>4.1311999999999998</v>
      </c>
      <c r="I252">
        <v>3.8044000000000002</v>
      </c>
      <c r="J252">
        <v>4.1718000000000002</v>
      </c>
      <c r="K252">
        <v>4.0243000000000002</v>
      </c>
      <c r="L252">
        <v>3.4470000000000001</v>
      </c>
      <c r="M252">
        <v>4.1189999999999998</v>
      </c>
      <c r="N252">
        <v>4.556</v>
      </c>
      <c r="O252">
        <v>4.5431999999999997</v>
      </c>
      <c r="P252">
        <v>4.3383000000000003</v>
      </c>
      <c r="Q252">
        <v>4.2874999999999996</v>
      </c>
      <c r="R252" t="s">
        <v>46</v>
      </c>
      <c r="S252" t="s">
        <v>46</v>
      </c>
      <c r="T252" t="s">
        <v>46</v>
      </c>
      <c r="U252" t="s">
        <v>46</v>
      </c>
      <c r="V252" t="s">
        <v>46</v>
      </c>
      <c r="W252" t="s">
        <v>46</v>
      </c>
      <c r="X252" t="s">
        <v>46</v>
      </c>
      <c r="Y252" t="s">
        <v>46</v>
      </c>
      <c r="Z252" t="s">
        <v>46</v>
      </c>
      <c r="AA252" t="s">
        <v>46</v>
      </c>
      <c r="AB252" t="s">
        <v>46</v>
      </c>
      <c r="AC252" t="s">
        <v>46</v>
      </c>
    </row>
    <row r="253" spans="1:29" x14ac:dyDescent="0.25">
      <c r="A253" t="s">
        <v>84</v>
      </c>
      <c r="B253" t="s">
        <v>85</v>
      </c>
      <c r="C253" t="s">
        <v>92</v>
      </c>
      <c r="D253" t="s">
        <v>93</v>
      </c>
      <c r="E253" t="s">
        <v>55</v>
      </c>
      <c r="F253">
        <v>2.1208999999999998</v>
      </c>
      <c r="G253">
        <v>2.0114000000000001</v>
      </c>
      <c r="H253">
        <v>2.0236999999999998</v>
      </c>
      <c r="I253">
        <v>2.0453999999999999</v>
      </c>
      <c r="J253">
        <v>1.8653</v>
      </c>
      <c r="K253">
        <v>1.9774</v>
      </c>
      <c r="L253">
        <v>1.8229</v>
      </c>
      <c r="M253">
        <v>2.0767000000000002</v>
      </c>
      <c r="N253">
        <v>1.9795</v>
      </c>
      <c r="O253">
        <v>1.9339</v>
      </c>
      <c r="P253">
        <v>2.0116999999999998</v>
      </c>
      <c r="Q253">
        <v>2.0394999999999999</v>
      </c>
      <c r="R253" t="s">
        <v>46</v>
      </c>
      <c r="S253" t="s">
        <v>46</v>
      </c>
      <c r="T253" t="s">
        <v>46</v>
      </c>
      <c r="U253" t="s">
        <v>46</v>
      </c>
      <c r="V253" t="s">
        <v>46</v>
      </c>
      <c r="W253" t="s">
        <v>46</v>
      </c>
      <c r="X253" t="s">
        <v>46</v>
      </c>
      <c r="Y253" t="s">
        <v>46</v>
      </c>
      <c r="Z253" t="s">
        <v>46</v>
      </c>
      <c r="AA253" t="s">
        <v>46</v>
      </c>
      <c r="AB253" t="s">
        <v>46</v>
      </c>
      <c r="AC253" t="s">
        <v>46</v>
      </c>
    </row>
    <row r="254" spans="1:29" x14ac:dyDescent="0.25">
      <c r="A254" t="s">
        <v>86</v>
      </c>
      <c r="B254" t="s">
        <v>87</v>
      </c>
      <c r="C254" t="s">
        <v>92</v>
      </c>
      <c r="D254" t="s">
        <v>93</v>
      </c>
      <c r="E254" t="s">
        <v>55</v>
      </c>
      <c r="F254">
        <v>2.4022999999999999</v>
      </c>
      <c r="G254">
        <v>2.4515000000000002</v>
      </c>
      <c r="H254">
        <v>2.3973</v>
      </c>
      <c r="I254">
        <v>2.7126000000000001</v>
      </c>
      <c r="J254">
        <v>2.6680999999999999</v>
      </c>
      <c r="K254">
        <v>2.7922000000000002</v>
      </c>
      <c r="L254">
        <v>2.5060000000000002</v>
      </c>
      <c r="M254">
        <v>2.5333999999999999</v>
      </c>
      <c r="N254">
        <v>2.3706999999999998</v>
      </c>
      <c r="O254">
        <v>2.1558999999999999</v>
      </c>
      <c r="P254">
        <v>2.5306999999999999</v>
      </c>
      <c r="Q254">
        <v>2.4121000000000001</v>
      </c>
      <c r="R254" t="s">
        <v>46</v>
      </c>
      <c r="S254" t="s">
        <v>46</v>
      </c>
      <c r="T254" t="s">
        <v>46</v>
      </c>
      <c r="U254" t="s">
        <v>46</v>
      </c>
      <c r="V254" t="s">
        <v>46</v>
      </c>
      <c r="W254" t="s">
        <v>46</v>
      </c>
      <c r="X254" t="s">
        <v>46</v>
      </c>
      <c r="Y254" t="s">
        <v>46</v>
      </c>
      <c r="Z254" t="s">
        <v>46</v>
      </c>
      <c r="AA254" t="s">
        <v>46</v>
      </c>
      <c r="AB254" t="s">
        <v>46</v>
      </c>
      <c r="AC254" t="s">
        <v>46</v>
      </c>
    </row>
    <row r="255" spans="1:29" x14ac:dyDescent="0.25">
      <c r="A255" t="s">
        <v>51</v>
      </c>
      <c r="B255" t="s">
        <v>52</v>
      </c>
      <c r="C255" t="s">
        <v>95</v>
      </c>
      <c r="D255" t="s">
        <v>96</v>
      </c>
      <c r="E255" t="s">
        <v>55</v>
      </c>
      <c r="F255">
        <v>173.8</v>
      </c>
      <c r="G255">
        <v>322.8467</v>
      </c>
      <c r="H255">
        <v>209.7841</v>
      </c>
      <c r="I255">
        <v>321.23090000000002</v>
      </c>
      <c r="J255">
        <v>246.77449999999999</v>
      </c>
      <c r="K255">
        <v>361.60090000000002</v>
      </c>
      <c r="L255">
        <v>285.20940000000002</v>
      </c>
      <c r="M255">
        <v>279.9923</v>
      </c>
      <c r="N255">
        <v>337.51150000000001</v>
      </c>
      <c r="O255">
        <v>318.28680000000003</v>
      </c>
      <c r="P255">
        <v>264.17320000000001</v>
      </c>
      <c r="Q255">
        <v>239.53360000000001</v>
      </c>
      <c r="R255" t="s">
        <v>46</v>
      </c>
      <c r="S255" t="s">
        <v>46</v>
      </c>
      <c r="T255" t="s">
        <v>46</v>
      </c>
      <c r="U255" t="s">
        <v>46</v>
      </c>
      <c r="V255" t="s">
        <v>46</v>
      </c>
      <c r="W255" t="s">
        <v>46</v>
      </c>
      <c r="X255" t="s">
        <v>46</v>
      </c>
      <c r="Y255" t="s">
        <v>46</v>
      </c>
      <c r="Z255" t="s">
        <v>46</v>
      </c>
      <c r="AA255" t="s">
        <v>46</v>
      </c>
      <c r="AB255" t="s">
        <v>46</v>
      </c>
      <c r="AC255" t="s">
        <v>46</v>
      </c>
    </row>
    <row r="256" spans="1:29" x14ac:dyDescent="0.25">
      <c r="A256" t="s">
        <v>56</v>
      </c>
      <c r="B256" t="s">
        <v>57</v>
      </c>
      <c r="C256" t="s">
        <v>95</v>
      </c>
      <c r="D256" t="s">
        <v>96</v>
      </c>
      <c r="E256" t="s">
        <v>55</v>
      </c>
      <c r="F256" t="s">
        <v>46</v>
      </c>
      <c r="R256" t="s">
        <v>46</v>
      </c>
      <c r="S256" t="s">
        <v>46</v>
      </c>
      <c r="T256" t="s">
        <v>46</v>
      </c>
      <c r="U256" t="s">
        <v>46</v>
      </c>
      <c r="V256" t="s">
        <v>46</v>
      </c>
      <c r="W256" t="s">
        <v>46</v>
      </c>
      <c r="X256" t="s">
        <v>46</v>
      </c>
      <c r="Y256" t="s">
        <v>46</v>
      </c>
      <c r="Z256" t="s">
        <v>46</v>
      </c>
      <c r="AA256" t="s">
        <v>46</v>
      </c>
      <c r="AB256" t="s">
        <v>46</v>
      </c>
      <c r="AC256" t="s">
        <v>46</v>
      </c>
    </row>
    <row r="257" spans="1:29" x14ac:dyDescent="0.25">
      <c r="A257" t="s">
        <v>58</v>
      </c>
      <c r="B257" t="s">
        <v>59</v>
      </c>
      <c r="C257" t="s">
        <v>95</v>
      </c>
      <c r="D257" t="s">
        <v>96</v>
      </c>
      <c r="E257" t="s">
        <v>55</v>
      </c>
      <c r="F257" t="s">
        <v>46</v>
      </c>
      <c r="R257" t="s">
        <v>46</v>
      </c>
      <c r="S257" t="s">
        <v>46</v>
      </c>
      <c r="T257" t="s">
        <v>46</v>
      </c>
      <c r="U257" t="s">
        <v>46</v>
      </c>
      <c r="V257" t="s">
        <v>46</v>
      </c>
      <c r="W257" t="s">
        <v>46</v>
      </c>
      <c r="X257" t="s">
        <v>46</v>
      </c>
      <c r="Y257" t="s">
        <v>46</v>
      </c>
      <c r="Z257" t="s">
        <v>46</v>
      </c>
      <c r="AA257" t="s">
        <v>46</v>
      </c>
      <c r="AB257" t="s">
        <v>46</v>
      </c>
      <c r="AC257" t="s">
        <v>46</v>
      </c>
    </row>
    <row r="258" spans="1:29" x14ac:dyDescent="0.25">
      <c r="A258" t="s">
        <v>60</v>
      </c>
      <c r="B258" t="s">
        <v>61</v>
      </c>
      <c r="C258" t="s">
        <v>95</v>
      </c>
      <c r="D258" t="s">
        <v>96</v>
      </c>
      <c r="E258" t="s">
        <v>55</v>
      </c>
      <c r="F258" t="s">
        <v>46</v>
      </c>
      <c r="R258" t="s">
        <v>46</v>
      </c>
      <c r="S258" t="s">
        <v>46</v>
      </c>
      <c r="T258" t="s">
        <v>46</v>
      </c>
      <c r="U258" t="s">
        <v>46</v>
      </c>
      <c r="V258" t="s">
        <v>46</v>
      </c>
      <c r="W258" t="s">
        <v>46</v>
      </c>
      <c r="X258" t="s">
        <v>46</v>
      </c>
      <c r="Y258" t="s">
        <v>46</v>
      </c>
      <c r="Z258" t="s">
        <v>46</v>
      </c>
      <c r="AA258" t="s">
        <v>46</v>
      </c>
      <c r="AB258" t="s">
        <v>46</v>
      </c>
      <c r="AC258" t="s">
        <v>46</v>
      </c>
    </row>
    <row r="259" spans="1:29" x14ac:dyDescent="0.25">
      <c r="A259" t="s">
        <v>62</v>
      </c>
      <c r="B259" t="s">
        <v>63</v>
      </c>
      <c r="C259" t="s">
        <v>95</v>
      </c>
      <c r="D259" t="s">
        <v>96</v>
      </c>
      <c r="E259" t="s">
        <v>55</v>
      </c>
      <c r="F259">
        <v>17.049800000000001</v>
      </c>
      <c r="G259">
        <v>15.8506</v>
      </c>
      <c r="H259">
        <v>24.122599999999998</v>
      </c>
      <c r="I259">
        <v>22.575399999999998</v>
      </c>
      <c r="J259">
        <v>23.898099999999999</v>
      </c>
      <c r="K259">
        <v>29.617999999999999</v>
      </c>
      <c r="N259">
        <v>22.279</v>
      </c>
      <c r="O259">
        <v>20.879200000000001</v>
      </c>
      <c r="R259" t="s">
        <v>46</v>
      </c>
      <c r="S259" t="s">
        <v>46</v>
      </c>
      <c r="T259" t="s">
        <v>46</v>
      </c>
      <c r="U259" t="s">
        <v>46</v>
      </c>
      <c r="V259" t="s">
        <v>46</v>
      </c>
      <c r="W259" t="s">
        <v>46</v>
      </c>
      <c r="X259" t="s">
        <v>46</v>
      </c>
      <c r="Y259" t="s">
        <v>46</v>
      </c>
      <c r="Z259" t="s">
        <v>46</v>
      </c>
      <c r="AA259" t="s">
        <v>46</v>
      </c>
      <c r="AB259" t="s">
        <v>46</v>
      </c>
      <c r="AC259" t="s">
        <v>46</v>
      </c>
    </row>
    <row r="260" spans="1:29" x14ac:dyDescent="0.25">
      <c r="A260" t="s">
        <v>64</v>
      </c>
      <c r="B260" t="s">
        <v>65</v>
      </c>
      <c r="C260" t="s">
        <v>95</v>
      </c>
      <c r="D260" t="s">
        <v>96</v>
      </c>
      <c r="E260" t="s">
        <v>55</v>
      </c>
      <c r="F260">
        <v>96.5</v>
      </c>
      <c r="G260">
        <v>104.33329999999999</v>
      </c>
      <c r="H260">
        <v>95.571399999999997</v>
      </c>
      <c r="I260">
        <v>103.16670000000001</v>
      </c>
      <c r="J260">
        <v>77</v>
      </c>
      <c r="K260">
        <v>86.625</v>
      </c>
      <c r="L260">
        <v>124.16670000000001</v>
      </c>
      <c r="M260">
        <v>95.714299999999994</v>
      </c>
      <c r="N260">
        <v>115.5</v>
      </c>
      <c r="O260">
        <v>131.4</v>
      </c>
      <c r="P260">
        <v>108</v>
      </c>
      <c r="Q260">
        <v>101</v>
      </c>
      <c r="R260" t="s">
        <v>46</v>
      </c>
      <c r="S260" t="s">
        <v>46</v>
      </c>
      <c r="T260" t="s">
        <v>46</v>
      </c>
      <c r="U260" t="s">
        <v>46</v>
      </c>
      <c r="V260" t="s">
        <v>46</v>
      </c>
      <c r="W260" t="s">
        <v>46</v>
      </c>
      <c r="X260" t="s">
        <v>46</v>
      </c>
      <c r="Y260" t="s">
        <v>46</v>
      </c>
      <c r="Z260" t="s">
        <v>46</v>
      </c>
      <c r="AA260" t="s">
        <v>46</v>
      </c>
      <c r="AB260" t="s">
        <v>46</v>
      </c>
      <c r="AC260" t="s">
        <v>46</v>
      </c>
    </row>
    <row r="261" spans="1:29" x14ac:dyDescent="0.25">
      <c r="A261" t="s">
        <v>66</v>
      </c>
      <c r="B261" t="s">
        <v>67</v>
      </c>
      <c r="C261" t="s">
        <v>95</v>
      </c>
      <c r="D261" t="s">
        <v>96</v>
      </c>
      <c r="E261" t="s">
        <v>55</v>
      </c>
      <c r="F261">
        <v>-2</v>
      </c>
      <c r="G261">
        <v>-34.277799999999999</v>
      </c>
      <c r="H261">
        <v>0.3</v>
      </c>
      <c r="I261">
        <v>-54.9</v>
      </c>
      <c r="J261">
        <v>-15.95</v>
      </c>
      <c r="K261">
        <v>-5.95</v>
      </c>
      <c r="L261">
        <v>-10.454499999999999</v>
      </c>
      <c r="M261">
        <v>2.4054000000000002</v>
      </c>
      <c r="N261">
        <v>-0.66669999999999996</v>
      </c>
      <c r="O261">
        <v>1.2187999999999999</v>
      </c>
      <c r="P261">
        <v>1.3714</v>
      </c>
      <c r="Q261">
        <v>0.38240000000000002</v>
      </c>
      <c r="R261" t="s">
        <v>46</v>
      </c>
      <c r="S261" t="s">
        <v>46</v>
      </c>
      <c r="T261" t="s">
        <v>46</v>
      </c>
      <c r="U261" t="s">
        <v>46</v>
      </c>
      <c r="V261" t="s">
        <v>46</v>
      </c>
      <c r="W261" t="s">
        <v>46</v>
      </c>
      <c r="X261" t="s">
        <v>46</v>
      </c>
      <c r="Y261" t="s">
        <v>46</v>
      </c>
      <c r="Z261" t="s">
        <v>46</v>
      </c>
      <c r="AA261" t="s">
        <v>46</v>
      </c>
      <c r="AB261" t="s">
        <v>46</v>
      </c>
      <c r="AC261" t="s">
        <v>46</v>
      </c>
    </row>
    <row r="262" spans="1:29" x14ac:dyDescent="0.25">
      <c r="A262" t="s">
        <v>68</v>
      </c>
      <c r="B262" t="s">
        <v>69</v>
      </c>
      <c r="C262" t="s">
        <v>95</v>
      </c>
      <c r="D262" t="s">
        <v>96</v>
      </c>
      <c r="E262" t="s">
        <v>55</v>
      </c>
      <c r="F262">
        <v>-40.821100000000001</v>
      </c>
      <c r="G262">
        <v>0.75270000000000004</v>
      </c>
      <c r="H262">
        <v>-19.913499999999999</v>
      </c>
      <c r="I262">
        <v>1.6374</v>
      </c>
      <c r="J262">
        <v>4.7412000000000001</v>
      </c>
      <c r="K262">
        <v>4.6666999999999996</v>
      </c>
      <c r="L262">
        <v>3.4337</v>
      </c>
      <c r="M262">
        <v>3.7528999999999999</v>
      </c>
      <c r="N262">
        <v>6.58</v>
      </c>
      <c r="O262">
        <v>4.274</v>
      </c>
      <c r="P262">
        <v>3.6848999999999998</v>
      </c>
      <c r="Q262">
        <v>6.7599999999999993E-2</v>
      </c>
      <c r="R262" t="s">
        <v>46</v>
      </c>
      <c r="S262" t="s">
        <v>46</v>
      </c>
      <c r="T262" t="s">
        <v>46</v>
      </c>
      <c r="U262" t="s">
        <v>46</v>
      </c>
      <c r="V262" t="s">
        <v>46</v>
      </c>
      <c r="W262" t="s">
        <v>46</v>
      </c>
      <c r="X262" t="s">
        <v>46</v>
      </c>
      <c r="Y262" t="s">
        <v>46</v>
      </c>
      <c r="Z262" t="s">
        <v>46</v>
      </c>
      <c r="AA262" t="s">
        <v>46</v>
      </c>
      <c r="AB262" t="s">
        <v>46</v>
      </c>
      <c r="AC262" t="s">
        <v>46</v>
      </c>
    </row>
    <row r="263" spans="1:29" x14ac:dyDescent="0.25">
      <c r="A263" t="s">
        <v>70</v>
      </c>
      <c r="B263" t="s">
        <v>71</v>
      </c>
      <c r="C263" t="s">
        <v>95</v>
      </c>
      <c r="D263" t="s">
        <v>96</v>
      </c>
      <c r="E263" t="s">
        <v>55</v>
      </c>
      <c r="F263" t="s">
        <v>46</v>
      </c>
      <c r="R263" t="s">
        <v>46</v>
      </c>
      <c r="S263" t="s">
        <v>46</v>
      </c>
      <c r="T263" t="s">
        <v>46</v>
      </c>
      <c r="U263" t="s">
        <v>46</v>
      </c>
      <c r="V263" t="s">
        <v>46</v>
      </c>
      <c r="W263" t="s">
        <v>46</v>
      </c>
      <c r="X263" t="s">
        <v>46</v>
      </c>
      <c r="Y263" t="s">
        <v>46</v>
      </c>
      <c r="Z263" t="s">
        <v>46</v>
      </c>
      <c r="AA263" t="s">
        <v>46</v>
      </c>
      <c r="AB263" t="s">
        <v>46</v>
      </c>
      <c r="AC263" t="s">
        <v>46</v>
      </c>
    </row>
    <row r="264" spans="1:29" x14ac:dyDescent="0.25">
      <c r="A264" t="s">
        <v>72</v>
      </c>
      <c r="B264" t="s">
        <v>73</v>
      </c>
      <c r="C264" t="s">
        <v>95</v>
      </c>
      <c r="D264" t="s">
        <v>96</v>
      </c>
      <c r="E264" t="s">
        <v>55</v>
      </c>
      <c r="F264">
        <v>7.9211</v>
      </c>
      <c r="G264">
        <v>9.5355000000000008</v>
      </c>
      <c r="H264">
        <v>9.3186</v>
      </c>
      <c r="I264">
        <v>8.0645000000000007</v>
      </c>
      <c r="J264">
        <v>6.9893999999999998</v>
      </c>
      <c r="K264">
        <v>8.9466999999999999</v>
      </c>
      <c r="L264">
        <v>7.5422000000000002</v>
      </c>
      <c r="M264">
        <v>6.5283999999999995</v>
      </c>
      <c r="N264">
        <v>5.5588999999999995</v>
      </c>
      <c r="O264">
        <v>6.4832000000000001</v>
      </c>
      <c r="P264">
        <v>8.6861999999999995</v>
      </c>
      <c r="Q264">
        <v>7.5571000000000002</v>
      </c>
      <c r="R264" t="s">
        <v>46</v>
      </c>
      <c r="S264" t="s">
        <v>46</v>
      </c>
      <c r="T264" t="s">
        <v>46</v>
      </c>
      <c r="U264" t="s">
        <v>46</v>
      </c>
      <c r="V264" t="s">
        <v>46</v>
      </c>
      <c r="W264" t="s">
        <v>46</v>
      </c>
      <c r="X264" t="s">
        <v>46</v>
      </c>
      <c r="Y264" t="s">
        <v>46</v>
      </c>
      <c r="Z264" t="s">
        <v>46</v>
      </c>
      <c r="AA264" t="s">
        <v>46</v>
      </c>
      <c r="AB264" t="s">
        <v>46</v>
      </c>
      <c r="AC264" t="s">
        <v>46</v>
      </c>
    </row>
    <row r="265" spans="1:29" x14ac:dyDescent="0.25">
      <c r="A265" t="s">
        <v>74</v>
      </c>
      <c r="B265" t="s">
        <v>75</v>
      </c>
      <c r="C265" t="s">
        <v>95</v>
      </c>
      <c r="D265" t="s">
        <v>96</v>
      </c>
      <c r="E265" t="s">
        <v>55</v>
      </c>
      <c r="F265" t="s">
        <v>46</v>
      </c>
      <c r="N265">
        <v>136.47370000000001</v>
      </c>
      <c r="R265" t="s">
        <v>46</v>
      </c>
      <c r="S265" t="s">
        <v>46</v>
      </c>
      <c r="T265" t="s">
        <v>46</v>
      </c>
      <c r="U265" t="s">
        <v>46</v>
      </c>
      <c r="V265" t="s">
        <v>46</v>
      </c>
      <c r="W265" t="s">
        <v>46</v>
      </c>
      <c r="X265" t="s">
        <v>46</v>
      </c>
      <c r="Y265" t="s">
        <v>46</v>
      </c>
      <c r="Z265" t="s">
        <v>46</v>
      </c>
      <c r="AA265" t="s">
        <v>46</v>
      </c>
      <c r="AB265" t="s">
        <v>46</v>
      </c>
      <c r="AC265" t="s">
        <v>46</v>
      </c>
    </row>
    <row r="266" spans="1:29" x14ac:dyDescent="0.25">
      <c r="A266" t="s">
        <v>76</v>
      </c>
      <c r="B266" t="s">
        <v>77</v>
      </c>
      <c r="C266" t="s">
        <v>95</v>
      </c>
      <c r="D266" t="s">
        <v>96</v>
      </c>
      <c r="E266" t="s">
        <v>55</v>
      </c>
      <c r="F266" t="s">
        <v>46</v>
      </c>
      <c r="R266" t="s">
        <v>46</v>
      </c>
      <c r="S266" t="s">
        <v>46</v>
      </c>
      <c r="T266" t="s">
        <v>46</v>
      </c>
      <c r="U266" t="s">
        <v>46</v>
      </c>
      <c r="V266" t="s">
        <v>46</v>
      </c>
      <c r="W266" t="s">
        <v>46</v>
      </c>
      <c r="X266" t="s">
        <v>46</v>
      </c>
      <c r="Y266" t="s">
        <v>46</v>
      </c>
      <c r="Z266" t="s">
        <v>46</v>
      </c>
      <c r="AA266" t="s">
        <v>46</v>
      </c>
      <c r="AB266" t="s">
        <v>46</v>
      </c>
      <c r="AC266" t="s">
        <v>46</v>
      </c>
    </row>
    <row r="267" spans="1:29" x14ac:dyDescent="0.25">
      <c r="A267" t="s">
        <v>78</v>
      </c>
      <c r="B267" t="s">
        <v>79</v>
      </c>
      <c r="C267" t="s">
        <v>95</v>
      </c>
      <c r="D267" t="s">
        <v>96</v>
      </c>
      <c r="E267" t="s">
        <v>55</v>
      </c>
      <c r="F267" t="s">
        <v>46</v>
      </c>
      <c r="I267">
        <v>111.77500000000001</v>
      </c>
      <c r="R267" t="s">
        <v>46</v>
      </c>
      <c r="S267" t="s">
        <v>46</v>
      </c>
      <c r="T267" t="s">
        <v>46</v>
      </c>
      <c r="U267" t="s">
        <v>46</v>
      </c>
      <c r="V267" t="s">
        <v>46</v>
      </c>
      <c r="W267" t="s">
        <v>46</v>
      </c>
      <c r="X267" t="s">
        <v>46</v>
      </c>
      <c r="Y267" t="s">
        <v>46</v>
      </c>
      <c r="Z267" t="s">
        <v>46</v>
      </c>
      <c r="AA267" t="s">
        <v>46</v>
      </c>
      <c r="AB267" t="s">
        <v>46</v>
      </c>
      <c r="AC267" t="s">
        <v>46</v>
      </c>
    </row>
    <row r="268" spans="1:29" x14ac:dyDescent="0.25">
      <c r="A268" t="s">
        <v>80</v>
      </c>
      <c r="B268" t="s">
        <v>81</v>
      </c>
      <c r="C268" t="s">
        <v>95</v>
      </c>
      <c r="D268" t="s">
        <v>96</v>
      </c>
      <c r="E268" t="s">
        <v>55</v>
      </c>
      <c r="F268">
        <v>1.0363</v>
      </c>
      <c r="G268">
        <v>11.5</v>
      </c>
      <c r="H268">
        <v>4.0529999999999999</v>
      </c>
      <c r="I268">
        <v>6.1167999999999996</v>
      </c>
      <c r="J268">
        <v>9.0518999999999998</v>
      </c>
      <c r="K268">
        <v>23.979299999999999</v>
      </c>
      <c r="L268">
        <v>16.691099999999999</v>
      </c>
      <c r="M268">
        <v>16.920500000000001</v>
      </c>
      <c r="N268">
        <v>8.3155000000000001</v>
      </c>
      <c r="O268">
        <v>27.4</v>
      </c>
      <c r="P268">
        <v>16.726199999999999</v>
      </c>
      <c r="Q268">
        <v>16.885100000000001</v>
      </c>
      <c r="R268" t="s">
        <v>46</v>
      </c>
      <c r="S268" t="s">
        <v>46</v>
      </c>
      <c r="T268" t="s">
        <v>46</v>
      </c>
      <c r="U268" t="s">
        <v>46</v>
      </c>
      <c r="V268" t="s">
        <v>46</v>
      </c>
      <c r="W268" t="s">
        <v>46</v>
      </c>
      <c r="X268" t="s">
        <v>46</v>
      </c>
      <c r="Y268" t="s">
        <v>46</v>
      </c>
      <c r="Z268" t="s">
        <v>46</v>
      </c>
      <c r="AA268" t="s">
        <v>46</v>
      </c>
      <c r="AB268" t="s">
        <v>46</v>
      </c>
      <c r="AC268" t="s">
        <v>46</v>
      </c>
    </row>
    <row r="269" spans="1:29" x14ac:dyDescent="0.25">
      <c r="A269" t="s">
        <v>82</v>
      </c>
      <c r="B269" t="s">
        <v>83</v>
      </c>
      <c r="C269" t="s">
        <v>95</v>
      </c>
      <c r="D269" t="s">
        <v>96</v>
      </c>
      <c r="E269" t="s">
        <v>55</v>
      </c>
      <c r="F269">
        <v>39.940199999999997</v>
      </c>
      <c r="G269">
        <v>44.726500000000001</v>
      </c>
      <c r="H269">
        <v>48.502600000000001</v>
      </c>
      <c r="I269">
        <v>78.135599999999997</v>
      </c>
      <c r="J269">
        <v>340.6071</v>
      </c>
      <c r="K269">
        <v>597.75</v>
      </c>
      <c r="L269">
        <v>71.321200000000005</v>
      </c>
      <c r="M269">
        <v>504.58819999999997</v>
      </c>
      <c r="N269">
        <v>678.91669999999999</v>
      </c>
      <c r="O269">
        <v>1296.8333</v>
      </c>
      <c r="P269">
        <v>1094.2856999999999</v>
      </c>
      <c r="Q269">
        <v>256.07409999999999</v>
      </c>
      <c r="R269" t="s">
        <v>46</v>
      </c>
      <c r="S269" t="s">
        <v>46</v>
      </c>
      <c r="T269" t="s">
        <v>46</v>
      </c>
      <c r="U269" t="s">
        <v>46</v>
      </c>
      <c r="V269" t="s">
        <v>46</v>
      </c>
      <c r="W269" t="s">
        <v>46</v>
      </c>
      <c r="X269" t="s">
        <v>46</v>
      </c>
      <c r="Y269" t="s">
        <v>46</v>
      </c>
      <c r="Z269" t="s">
        <v>46</v>
      </c>
      <c r="AA269" t="s">
        <v>46</v>
      </c>
      <c r="AB269" t="s">
        <v>46</v>
      </c>
      <c r="AC269" t="s">
        <v>46</v>
      </c>
    </row>
    <row r="270" spans="1:29" x14ac:dyDescent="0.25">
      <c r="A270" t="s">
        <v>84</v>
      </c>
      <c r="B270" t="s">
        <v>85</v>
      </c>
      <c r="C270" t="s">
        <v>95</v>
      </c>
      <c r="D270" t="s">
        <v>96</v>
      </c>
      <c r="E270" t="s">
        <v>55</v>
      </c>
      <c r="F270">
        <v>13.760899999999999</v>
      </c>
      <c r="G270">
        <v>21.4269</v>
      </c>
      <c r="H270">
        <v>30.2712</v>
      </c>
      <c r="I270">
        <v>21.867799999999999</v>
      </c>
      <c r="J270">
        <v>48.694000000000003</v>
      </c>
      <c r="K270">
        <v>40.195500000000003</v>
      </c>
      <c r="L270">
        <v>34.1584</v>
      </c>
      <c r="M270">
        <v>35.283000000000001</v>
      </c>
      <c r="N270">
        <v>21.124300000000002</v>
      </c>
      <c r="O270">
        <v>29.052800000000001</v>
      </c>
      <c r="P270">
        <v>21.75</v>
      </c>
      <c r="Q270">
        <v>18.6157</v>
      </c>
      <c r="R270" t="s">
        <v>46</v>
      </c>
      <c r="S270" t="s">
        <v>46</v>
      </c>
      <c r="T270" t="s">
        <v>46</v>
      </c>
      <c r="U270" t="s">
        <v>46</v>
      </c>
      <c r="V270" t="s">
        <v>46</v>
      </c>
      <c r="W270" t="s">
        <v>46</v>
      </c>
      <c r="X270" t="s">
        <v>46</v>
      </c>
      <c r="Y270" t="s">
        <v>46</v>
      </c>
      <c r="Z270" t="s">
        <v>46</v>
      </c>
      <c r="AA270" t="s">
        <v>46</v>
      </c>
      <c r="AB270" t="s">
        <v>46</v>
      </c>
      <c r="AC270" t="s">
        <v>46</v>
      </c>
    </row>
    <row r="271" spans="1:29" x14ac:dyDescent="0.25">
      <c r="A271" t="s">
        <v>86</v>
      </c>
      <c r="B271" t="s">
        <v>87</v>
      </c>
      <c r="C271" t="s">
        <v>95</v>
      </c>
      <c r="D271" t="s">
        <v>96</v>
      </c>
      <c r="E271" t="s">
        <v>55</v>
      </c>
      <c r="F271">
        <v>21.743200000000002</v>
      </c>
      <c r="G271">
        <v>20.920300000000001</v>
      </c>
      <c r="H271">
        <v>18.3596</v>
      </c>
      <c r="I271">
        <v>19.197299999999998</v>
      </c>
      <c r="J271">
        <v>12.7437</v>
      </c>
      <c r="K271">
        <v>23.907800000000002</v>
      </c>
      <c r="L271">
        <v>17.213000000000001</v>
      </c>
      <c r="M271">
        <v>18.639399999999998</v>
      </c>
      <c r="N271">
        <v>17.514399999999998</v>
      </c>
      <c r="O271">
        <v>25.519500000000001</v>
      </c>
      <c r="P271">
        <v>31.859000000000002</v>
      </c>
      <c r="Q271">
        <v>31.235600000000002</v>
      </c>
      <c r="R271" t="s">
        <v>46</v>
      </c>
      <c r="S271" t="s">
        <v>46</v>
      </c>
      <c r="T271" t="s">
        <v>46</v>
      </c>
      <c r="U271" t="s">
        <v>46</v>
      </c>
      <c r="V271" t="s">
        <v>46</v>
      </c>
      <c r="W271" t="s">
        <v>46</v>
      </c>
      <c r="X271" t="s">
        <v>46</v>
      </c>
      <c r="Y271" t="s">
        <v>46</v>
      </c>
      <c r="Z271" t="s">
        <v>46</v>
      </c>
      <c r="AA271" t="s">
        <v>46</v>
      </c>
      <c r="AB271" t="s">
        <v>46</v>
      </c>
      <c r="AC271" t="s">
        <v>46</v>
      </c>
    </row>
    <row r="272" spans="1:29" x14ac:dyDescent="0.25">
      <c r="A272" t="s">
        <v>51</v>
      </c>
      <c r="B272" t="s">
        <v>52</v>
      </c>
      <c r="C272" t="s">
        <v>99</v>
      </c>
      <c r="D272" t="s">
        <v>100</v>
      </c>
      <c r="E272" t="s">
        <v>55</v>
      </c>
      <c r="F272">
        <v>0.03</v>
      </c>
      <c r="G272">
        <v>2.69E-2</v>
      </c>
      <c r="H272">
        <v>2.0000000000000001E-4</v>
      </c>
      <c r="I272">
        <v>2.0000000000000001E-4</v>
      </c>
      <c r="J272">
        <v>2.0000000000000001E-4</v>
      </c>
      <c r="K272">
        <v>2.0000000000000001E-4</v>
      </c>
      <c r="L272">
        <v>2.0000000000000001E-4</v>
      </c>
      <c r="M272">
        <v>2.9999999999999997E-4</v>
      </c>
      <c r="N272">
        <v>2.9999999999999997E-4</v>
      </c>
      <c r="O272">
        <v>2.9999999999999997E-4</v>
      </c>
      <c r="P272">
        <v>2.9999999999999997E-4</v>
      </c>
      <c r="Q272">
        <v>4.0000000000000002E-4</v>
      </c>
      <c r="R272" t="s">
        <v>46</v>
      </c>
      <c r="S272" t="s">
        <v>46</v>
      </c>
      <c r="T272" t="s">
        <v>46</v>
      </c>
      <c r="U272" t="s">
        <v>46</v>
      </c>
      <c r="V272" t="s">
        <v>46</v>
      </c>
      <c r="W272" t="s">
        <v>46</v>
      </c>
      <c r="X272" t="s">
        <v>46</v>
      </c>
      <c r="Y272" t="s">
        <v>46</v>
      </c>
      <c r="Z272" t="s">
        <v>46</v>
      </c>
      <c r="AA272" t="s">
        <v>46</v>
      </c>
      <c r="AB272" t="s">
        <v>46</v>
      </c>
      <c r="AC272" t="s">
        <v>46</v>
      </c>
    </row>
    <row r="273" spans="1:29" x14ac:dyDescent="0.25">
      <c r="A273" t="s">
        <v>56</v>
      </c>
      <c r="B273" t="s">
        <v>57</v>
      </c>
      <c r="C273" t="s">
        <v>99</v>
      </c>
      <c r="D273" t="s">
        <v>100</v>
      </c>
      <c r="E273" t="s">
        <v>55</v>
      </c>
      <c r="F273">
        <v>8.5999999999999993E-2</v>
      </c>
      <c r="G273">
        <v>2.9399999999999999E-2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1.32E-2</v>
      </c>
      <c r="O273">
        <v>0</v>
      </c>
      <c r="P273">
        <v>0</v>
      </c>
      <c r="Q273">
        <v>0</v>
      </c>
      <c r="R273" t="s">
        <v>46</v>
      </c>
      <c r="S273" t="s">
        <v>46</v>
      </c>
      <c r="T273" t="s">
        <v>46</v>
      </c>
      <c r="U273" t="s">
        <v>46</v>
      </c>
      <c r="V273" t="s">
        <v>46</v>
      </c>
      <c r="W273" t="s">
        <v>46</v>
      </c>
      <c r="X273" t="s">
        <v>46</v>
      </c>
      <c r="Y273" t="s">
        <v>46</v>
      </c>
      <c r="Z273" t="s">
        <v>46</v>
      </c>
      <c r="AA273" t="s">
        <v>46</v>
      </c>
      <c r="AB273" t="s">
        <v>46</v>
      </c>
      <c r="AC273" t="s">
        <v>46</v>
      </c>
    </row>
    <row r="274" spans="1:29" x14ac:dyDescent="0.25">
      <c r="A274" t="s">
        <v>58</v>
      </c>
      <c r="B274" t="s">
        <v>59</v>
      </c>
      <c r="C274" t="s">
        <v>99</v>
      </c>
      <c r="D274" t="s">
        <v>100</v>
      </c>
      <c r="E274" t="s">
        <v>55</v>
      </c>
      <c r="F274" t="s">
        <v>46</v>
      </c>
      <c r="R274" t="s">
        <v>46</v>
      </c>
      <c r="S274" t="s">
        <v>46</v>
      </c>
      <c r="T274" t="s">
        <v>46</v>
      </c>
      <c r="U274" t="s">
        <v>46</v>
      </c>
      <c r="V274" t="s">
        <v>46</v>
      </c>
      <c r="W274" t="s">
        <v>46</v>
      </c>
      <c r="X274" t="s">
        <v>46</v>
      </c>
      <c r="Y274" t="s">
        <v>46</v>
      </c>
      <c r="Z274" t="s">
        <v>46</v>
      </c>
      <c r="AA274" t="s">
        <v>46</v>
      </c>
      <c r="AB274" t="s">
        <v>46</v>
      </c>
      <c r="AC274" t="s">
        <v>46</v>
      </c>
    </row>
    <row r="275" spans="1:29" x14ac:dyDescent="0.25">
      <c r="A275" t="s">
        <v>60</v>
      </c>
      <c r="B275" t="s">
        <v>61</v>
      </c>
      <c r="C275" t="s">
        <v>99</v>
      </c>
      <c r="D275" t="s">
        <v>100</v>
      </c>
      <c r="E275" t="s">
        <v>55</v>
      </c>
      <c r="F275" t="s">
        <v>46</v>
      </c>
      <c r="G275">
        <v>0.20619999999999999</v>
      </c>
      <c r="R275" t="s">
        <v>46</v>
      </c>
      <c r="S275" t="s">
        <v>46</v>
      </c>
      <c r="T275" t="s">
        <v>46</v>
      </c>
      <c r="U275" t="s">
        <v>46</v>
      </c>
      <c r="V275" t="s">
        <v>46</v>
      </c>
      <c r="W275" t="s">
        <v>46</v>
      </c>
      <c r="X275" t="s">
        <v>46</v>
      </c>
      <c r="Y275" t="s">
        <v>46</v>
      </c>
      <c r="Z275" t="s">
        <v>46</v>
      </c>
      <c r="AA275" t="s">
        <v>46</v>
      </c>
      <c r="AB275" t="s">
        <v>46</v>
      </c>
      <c r="AC275" t="s">
        <v>46</v>
      </c>
    </row>
    <row r="276" spans="1:29" x14ac:dyDescent="0.25">
      <c r="A276" t="s">
        <v>62</v>
      </c>
      <c r="B276" t="s">
        <v>63</v>
      </c>
      <c r="C276" t="s">
        <v>99</v>
      </c>
      <c r="D276" t="s">
        <v>100</v>
      </c>
      <c r="E276" t="s">
        <v>55</v>
      </c>
      <c r="F276">
        <v>0.17649999999999999</v>
      </c>
      <c r="G276">
        <v>9.3799999999999994E-2</v>
      </c>
      <c r="H276">
        <v>7.6999999999999999E-2</v>
      </c>
      <c r="I276">
        <v>8.6099999999999996E-2</v>
      </c>
      <c r="J276">
        <v>7.9799999999999996E-2</v>
      </c>
      <c r="K276">
        <v>8.8200000000000001E-2</v>
      </c>
      <c r="L276">
        <v>7.2400000000000006E-2</v>
      </c>
      <c r="M276">
        <v>7.3300000000000004E-2</v>
      </c>
      <c r="N276">
        <v>7.8399999999999997E-2</v>
      </c>
      <c r="O276">
        <v>8.5800000000000001E-2</v>
      </c>
      <c r="P276">
        <v>9.1899999999999996E-2</v>
      </c>
      <c r="Q276">
        <v>8.2299999999999998E-2</v>
      </c>
      <c r="R276" t="s">
        <v>46</v>
      </c>
      <c r="S276" t="s">
        <v>46</v>
      </c>
      <c r="T276" t="s">
        <v>46</v>
      </c>
      <c r="U276" t="s">
        <v>46</v>
      </c>
      <c r="V276" t="s">
        <v>46</v>
      </c>
      <c r="W276" t="s">
        <v>46</v>
      </c>
      <c r="X276" t="s">
        <v>46</v>
      </c>
      <c r="Y276" t="s">
        <v>46</v>
      </c>
      <c r="Z276" t="s">
        <v>46</v>
      </c>
      <c r="AA276" t="s">
        <v>46</v>
      </c>
      <c r="AB276" t="s">
        <v>46</v>
      </c>
      <c r="AC276" t="s">
        <v>46</v>
      </c>
    </row>
    <row r="277" spans="1:29" x14ac:dyDescent="0.25">
      <c r="A277" t="s">
        <v>64</v>
      </c>
      <c r="B277" t="s">
        <v>65</v>
      </c>
      <c r="C277" t="s">
        <v>99</v>
      </c>
      <c r="D277" t="s">
        <v>100</v>
      </c>
      <c r="E277" t="s">
        <v>55</v>
      </c>
      <c r="F277">
        <v>0.1401</v>
      </c>
      <c r="G277">
        <v>5.2999999999999999E-2</v>
      </c>
      <c r="H277">
        <v>5.3499999999999999E-2</v>
      </c>
      <c r="I277">
        <v>4.9200000000000001E-2</v>
      </c>
      <c r="J277">
        <v>4.1099999999999998E-2</v>
      </c>
      <c r="K277">
        <v>2.2700000000000001E-2</v>
      </c>
      <c r="L277">
        <v>1.78E-2</v>
      </c>
      <c r="M277">
        <v>1.77E-2</v>
      </c>
      <c r="N277">
        <v>1.7899999999999999E-2</v>
      </c>
      <c r="O277">
        <v>2.3199999999999998E-2</v>
      </c>
      <c r="P277">
        <v>2.12E-2</v>
      </c>
      <c r="Q277">
        <v>2.7699999999999999E-2</v>
      </c>
      <c r="R277" t="s">
        <v>46</v>
      </c>
      <c r="S277" t="s">
        <v>46</v>
      </c>
      <c r="T277" t="s">
        <v>46</v>
      </c>
      <c r="U277" t="s">
        <v>46</v>
      </c>
      <c r="V277" t="s">
        <v>46</v>
      </c>
      <c r="W277" t="s">
        <v>46</v>
      </c>
      <c r="X277" t="s">
        <v>46</v>
      </c>
      <c r="Y277" t="s">
        <v>46</v>
      </c>
      <c r="Z277" t="s">
        <v>46</v>
      </c>
      <c r="AA277" t="s">
        <v>46</v>
      </c>
      <c r="AB277" t="s">
        <v>46</v>
      </c>
      <c r="AC277" t="s">
        <v>46</v>
      </c>
    </row>
    <row r="278" spans="1:29" x14ac:dyDescent="0.25">
      <c r="A278" t="s">
        <v>66</v>
      </c>
      <c r="B278" t="s">
        <v>67</v>
      </c>
      <c r="C278" t="s">
        <v>99</v>
      </c>
      <c r="D278" t="s">
        <v>100</v>
      </c>
      <c r="E278" t="s">
        <v>55</v>
      </c>
      <c r="F278">
        <v>0.89239999999999997</v>
      </c>
      <c r="G278">
        <v>0.66310000000000002</v>
      </c>
      <c r="H278">
        <v>0.60309999999999997</v>
      </c>
      <c r="I278">
        <v>0.50339999999999996</v>
      </c>
      <c r="J278">
        <v>0.43469999999999998</v>
      </c>
      <c r="K278">
        <v>0.48980000000000001</v>
      </c>
      <c r="L278">
        <v>0.26869999999999999</v>
      </c>
      <c r="M278">
        <v>0.40910000000000002</v>
      </c>
      <c r="N278">
        <v>0.37030000000000002</v>
      </c>
      <c r="O278">
        <v>0.41860000000000003</v>
      </c>
      <c r="P278">
        <v>0.41149999999999998</v>
      </c>
      <c r="Q278">
        <v>0.40360000000000001</v>
      </c>
      <c r="R278" t="s">
        <v>46</v>
      </c>
      <c r="S278" t="s">
        <v>46</v>
      </c>
      <c r="T278" t="s">
        <v>46</v>
      </c>
      <c r="U278" t="s">
        <v>46</v>
      </c>
      <c r="V278" t="s">
        <v>46</v>
      </c>
      <c r="W278" t="s">
        <v>46</v>
      </c>
      <c r="X278" t="s">
        <v>46</v>
      </c>
      <c r="Y278" t="s">
        <v>46</v>
      </c>
      <c r="Z278" t="s">
        <v>46</v>
      </c>
      <c r="AA278" t="s">
        <v>46</v>
      </c>
      <c r="AB278" t="s">
        <v>46</v>
      </c>
      <c r="AC278" t="s">
        <v>46</v>
      </c>
    </row>
    <row r="279" spans="1:29" x14ac:dyDescent="0.25">
      <c r="A279" t="s">
        <v>68</v>
      </c>
      <c r="B279" t="s">
        <v>69</v>
      </c>
      <c r="C279" t="s">
        <v>99</v>
      </c>
      <c r="D279" t="s">
        <v>100</v>
      </c>
      <c r="E279" t="s">
        <v>55</v>
      </c>
      <c r="F279">
        <v>1.0023</v>
      </c>
      <c r="G279">
        <v>0.58899999999999997</v>
      </c>
      <c r="H279">
        <v>0.68430000000000002</v>
      </c>
      <c r="I279">
        <v>0.46350000000000002</v>
      </c>
      <c r="J279">
        <v>0.33539999999999998</v>
      </c>
      <c r="K279">
        <v>0.38240000000000002</v>
      </c>
      <c r="L279">
        <v>0.22750000000000001</v>
      </c>
      <c r="M279">
        <v>0.25619999999999998</v>
      </c>
      <c r="N279">
        <v>0.23250000000000001</v>
      </c>
      <c r="O279">
        <v>0.25819999999999999</v>
      </c>
      <c r="P279">
        <v>0.27700000000000002</v>
      </c>
      <c r="Q279">
        <v>0.27429999999999999</v>
      </c>
      <c r="R279" t="s">
        <v>46</v>
      </c>
      <c r="S279" t="s">
        <v>46</v>
      </c>
      <c r="T279" t="s">
        <v>46</v>
      </c>
      <c r="U279" t="s">
        <v>46</v>
      </c>
      <c r="V279" t="s">
        <v>46</v>
      </c>
      <c r="W279" t="s">
        <v>46</v>
      </c>
      <c r="X279" t="s">
        <v>46</v>
      </c>
      <c r="Y279" t="s">
        <v>46</v>
      </c>
      <c r="Z279" t="s">
        <v>46</v>
      </c>
      <c r="AA279" t="s">
        <v>46</v>
      </c>
      <c r="AB279" t="s">
        <v>46</v>
      </c>
      <c r="AC279" t="s">
        <v>46</v>
      </c>
    </row>
    <row r="280" spans="1:29" x14ac:dyDescent="0.25">
      <c r="A280" t="s">
        <v>70</v>
      </c>
      <c r="B280" t="s">
        <v>71</v>
      </c>
      <c r="C280" t="s">
        <v>99</v>
      </c>
      <c r="D280" t="s">
        <v>100</v>
      </c>
      <c r="E280" t="s">
        <v>55</v>
      </c>
      <c r="F280">
        <v>2.8400000000000002E-2</v>
      </c>
      <c r="G280">
        <v>2.3900000000000001E-2</v>
      </c>
      <c r="H280">
        <v>2.4500000000000001E-2</v>
      </c>
      <c r="I280">
        <v>2.5899999999999999E-2</v>
      </c>
      <c r="J280">
        <v>2.23E-2</v>
      </c>
      <c r="K280">
        <v>4.4999999999999997E-3</v>
      </c>
      <c r="L280">
        <v>3.7000000000000002E-3</v>
      </c>
      <c r="M280">
        <v>4.1000000000000003E-3</v>
      </c>
      <c r="N280">
        <v>4.4999999999999997E-3</v>
      </c>
      <c r="O280">
        <v>4.8999999999999998E-3</v>
      </c>
      <c r="P280">
        <v>6.0000000000000001E-3</v>
      </c>
      <c r="Q280">
        <v>6.3E-3</v>
      </c>
      <c r="R280" t="s">
        <v>46</v>
      </c>
      <c r="S280" t="s">
        <v>46</v>
      </c>
      <c r="T280" t="s">
        <v>46</v>
      </c>
      <c r="U280" t="s">
        <v>46</v>
      </c>
      <c r="V280" t="s">
        <v>46</v>
      </c>
      <c r="W280" t="s">
        <v>46</v>
      </c>
      <c r="X280" t="s">
        <v>46</v>
      </c>
      <c r="Y280" t="s">
        <v>46</v>
      </c>
      <c r="Z280" t="s">
        <v>46</v>
      </c>
      <c r="AA280" t="s">
        <v>46</v>
      </c>
      <c r="AB280" t="s">
        <v>46</v>
      </c>
      <c r="AC280" t="s">
        <v>46</v>
      </c>
    </row>
    <row r="281" spans="1:29" x14ac:dyDescent="0.25">
      <c r="A281" t="s">
        <v>72</v>
      </c>
      <c r="B281" t="s">
        <v>73</v>
      </c>
      <c r="C281" t="s">
        <v>99</v>
      </c>
      <c r="D281" t="s">
        <v>100</v>
      </c>
      <c r="E281" t="s">
        <v>55</v>
      </c>
      <c r="F281">
        <v>0.27350000000000002</v>
      </c>
      <c r="G281">
        <v>0.19539999999999999</v>
      </c>
      <c r="H281">
        <v>0.18690000000000001</v>
      </c>
      <c r="I281">
        <v>0.193</v>
      </c>
      <c r="J281">
        <v>0.20630000000000001</v>
      </c>
      <c r="K281">
        <v>0.2157</v>
      </c>
      <c r="L281">
        <v>0.19919999999999999</v>
      </c>
      <c r="M281">
        <v>0.19139999999999999</v>
      </c>
      <c r="N281">
        <v>0.18579999999999999</v>
      </c>
      <c r="O281">
        <v>0.1779</v>
      </c>
      <c r="P281">
        <v>0.19209999999999999</v>
      </c>
      <c r="Q281">
        <v>0.20480000000000001</v>
      </c>
      <c r="R281" t="s">
        <v>46</v>
      </c>
      <c r="S281" t="s">
        <v>46</v>
      </c>
      <c r="T281" t="s">
        <v>46</v>
      </c>
      <c r="U281" t="s">
        <v>46</v>
      </c>
      <c r="V281" t="s">
        <v>46</v>
      </c>
      <c r="W281" t="s">
        <v>46</v>
      </c>
      <c r="X281" t="s">
        <v>46</v>
      </c>
      <c r="Y281" t="s">
        <v>46</v>
      </c>
      <c r="Z281" t="s">
        <v>46</v>
      </c>
      <c r="AA281" t="s">
        <v>46</v>
      </c>
      <c r="AB281" t="s">
        <v>46</v>
      </c>
      <c r="AC281" t="s">
        <v>46</v>
      </c>
    </row>
    <row r="282" spans="1:29" x14ac:dyDescent="0.25">
      <c r="A282" t="s">
        <v>74</v>
      </c>
      <c r="B282" t="s">
        <v>75</v>
      </c>
      <c r="C282" t="s">
        <v>99</v>
      </c>
      <c r="D282" t="s">
        <v>100</v>
      </c>
      <c r="E282" t="s">
        <v>55</v>
      </c>
      <c r="F282">
        <v>7.1300000000000002E-2</v>
      </c>
      <c r="G282">
        <v>4.2700000000000002E-2</v>
      </c>
      <c r="H282">
        <v>4.4400000000000002E-2</v>
      </c>
      <c r="I282">
        <v>2.8899999999999999E-2</v>
      </c>
      <c r="J282">
        <v>2.9899999999999999E-2</v>
      </c>
      <c r="K282">
        <v>3.0099999999999998E-2</v>
      </c>
      <c r="L282">
        <v>2.12E-2</v>
      </c>
      <c r="M282">
        <v>3.0000000000000001E-3</v>
      </c>
      <c r="N282">
        <v>3.8999999999999998E-3</v>
      </c>
      <c r="O282">
        <v>4.3E-3</v>
      </c>
      <c r="P282">
        <v>6.3E-3</v>
      </c>
      <c r="Q282">
        <v>5.1999999999999998E-3</v>
      </c>
      <c r="R282" t="s">
        <v>46</v>
      </c>
      <c r="S282" t="s">
        <v>46</v>
      </c>
      <c r="T282" t="s">
        <v>46</v>
      </c>
      <c r="U282" t="s">
        <v>46</v>
      </c>
      <c r="V282" t="s">
        <v>46</v>
      </c>
      <c r="W282" t="s">
        <v>46</v>
      </c>
      <c r="X282" t="s">
        <v>46</v>
      </c>
      <c r="Y282" t="s">
        <v>46</v>
      </c>
      <c r="Z282" t="s">
        <v>46</v>
      </c>
      <c r="AA282" t="s">
        <v>46</v>
      </c>
      <c r="AB282" t="s">
        <v>46</v>
      </c>
      <c r="AC282" t="s">
        <v>46</v>
      </c>
    </row>
    <row r="283" spans="1:29" x14ac:dyDescent="0.25">
      <c r="A283" t="s">
        <v>76</v>
      </c>
      <c r="B283" t="s">
        <v>77</v>
      </c>
      <c r="C283" t="s">
        <v>99</v>
      </c>
      <c r="D283" t="s">
        <v>100</v>
      </c>
      <c r="E283" t="s">
        <v>55</v>
      </c>
      <c r="F283">
        <v>0.7429</v>
      </c>
      <c r="G283">
        <v>0.62239999999999995</v>
      </c>
      <c r="H283">
        <v>0.69750000000000001</v>
      </c>
      <c r="I283">
        <v>0.65849999999999997</v>
      </c>
      <c r="J283">
        <v>0.60609999999999997</v>
      </c>
      <c r="K283">
        <v>0.71519999999999995</v>
      </c>
      <c r="L283">
        <v>0.62949999999999995</v>
      </c>
      <c r="M283">
        <v>0.64549999999999996</v>
      </c>
      <c r="N283">
        <v>0.52070000000000005</v>
      </c>
      <c r="O283">
        <v>0.49149999999999999</v>
      </c>
      <c r="P283">
        <v>0.43130000000000002</v>
      </c>
      <c r="Q283">
        <v>0.44450000000000001</v>
      </c>
      <c r="R283" t="s">
        <v>46</v>
      </c>
      <c r="S283" t="s">
        <v>46</v>
      </c>
      <c r="T283" t="s">
        <v>46</v>
      </c>
      <c r="U283" t="s">
        <v>46</v>
      </c>
      <c r="V283" t="s">
        <v>46</v>
      </c>
      <c r="W283" t="s">
        <v>46</v>
      </c>
      <c r="X283" t="s">
        <v>46</v>
      </c>
      <c r="Y283" t="s">
        <v>46</v>
      </c>
      <c r="Z283" t="s">
        <v>46</v>
      </c>
      <c r="AA283" t="s">
        <v>46</v>
      </c>
      <c r="AB283" t="s">
        <v>46</v>
      </c>
      <c r="AC283" t="s">
        <v>46</v>
      </c>
    </row>
    <row r="284" spans="1:29" x14ac:dyDescent="0.25">
      <c r="A284" t="s">
        <v>78</v>
      </c>
      <c r="B284" t="s">
        <v>79</v>
      </c>
      <c r="C284" t="s">
        <v>99</v>
      </c>
      <c r="D284" t="s">
        <v>100</v>
      </c>
      <c r="E284" t="s">
        <v>55</v>
      </c>
      <c r="F284">
        <v>1.83E-2</v>
      </c>
      <c r="G284">
        <v>1.41E-2</v>
      </c>
      <c r="H284">
        <v>1.2500000000000001E-2</v>
      </c>
      <c r="I284">
        <v>1.2999999999999999E-2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 t="s">
        <v>46</v>
      </c>
      <c r="S284" t="s">
        <v>46</v>
      </c>
      <c r="T284" t="s">
        <v>46</v>
      </c>
      <c r="U284" t="s">
        <v>46</v>
      </c>
      <c r="V284" t="s">
        <v>46</v>
      </c>
      <c r="W284" t="s">
        <v>46</v>
      </c>
      <c r="X284" t="s">
        <v>46</v>
      </c>
      <c r="Y284" t="s">
        <v>46</v>
      </c>
      <c r="Z284" t="s">
        <v>46</v>
      </c>
      <c r="AA284" t="s">
        <v>46</v>
      </c>
      <c r="AB284" t="s">
        <v>46</v>
      </c>
      <c r="AC284" t="s">
        <v>46</v>
      </c>
    </row>
    <row r="285" spans="1:29" x14ac:dyDescent="0.25">
      <c r="A285" t="s">
        <v>80</v>
      </c>
      <c r="B285" t="s">
        <v>81</v>
      </c>
      <c r="C285" t="s">
        <v>99</v>
      </c>
      <c r="D285" t="s">
        <v>100</v>
      </c>
      <c r="E285" t="s">
        <v>55</v>
      </c>
      <c r="F285">
        <v>0.4446</v>
      </c>
      <c r="G285">
        <v>0.38219999999999998</v>
      </c>
      <c r="H285">
        <v>0.35649999999999998</v>
      </c>
      <c r="I285">
        <v>0.48659999999999998</v>
      </c>
      <c r="J285">
        <v>0.31240000000000001</v>
      </c>
      <c r="K285">
        <v>0.30630000000000002</v>
      </c>
      <c r="L285">
        <v>0.2482</v>
      </c>
      <c r="M285">
        <v>0.25240000000000001</v>
      </c>
      <c r="N285">
        <v>0.23649999999999999</v>
      </c>
      <c r="O285">
        <v>0.2382</v>
      </c>
      <c r="P285">
        <v>0.21740000000000001</v>
      </c>
      <c r="Q285">
        <v>0.21060000000000001</v>
      </c>
      <c r="R285" t="s">
        <v>46</v>
      </c>
      <c r="S285" t="s">
        <v>46</v>
      </c>
      <c r="T285" t="s">
        <v>46</v>
      </c>
      <c r="U285" t="s">
        <v>46</v>
      </c>
      <c r="V285" t="s">
        <v>46</v>
      </c>
      <c r="W285" t="s">
        <v>46</v>
      </c>
      <c r="X285" t="s">
        <v>46</v>
      </c>
      <c r="Y285" t="s">
        <v>46</v>
      </c>
      <c r="Z285" t="s">
        <v>46</v>
      </c>
      <c r="AA285" t="s">
        <v>46</v>
      </c>
      <c r="AB285" t="s">
        <v>46</v>
      </c>
      <c r="AC285" t="s">
        <v>46</v>
      </c>
    </row>
    <row r="286" spans="1:29" x14ac:dyDescent="0.25">
      <c r="A286" t="s">
        <v>82</v>
      </c>
      <c r="B286" t="s">
        <v>83</v>
      </c>
      <c r="C286" t="s">
        <v>99</v>
      </c>
      <c r="D286" t="s">
        <v>100</v>
      </c>
      <c r="E286" t="s">
        <v>55</v>
      </c>
      <c r="F286">
        <v>1.24E-2</v>
      </c>
      <c r="G286">
        <v>8.9999999999999993E-3</v>
      </c>
      <c r="H286">
        <v>9.1000000000000004E-3</v>
      </c>
      <c r="I286">
        <v>8.6E-3</v>
      </c>
      <c r="J286">
        <v>1E-4</v>
      </c>
      <c r="K286">
        <v>1E-4</v>
      </c>
      <c r="L286">
        <v>1E-4</v>
      </c>
      <c r="M286">
        <v>1E-4</v>
      </c>
      <c r="N286">
        <v>5.0000000000000001E-4</v>
      </c>
      <c r="O286">
        <v>2.0000000000000001E-4</v>
      </c>
      <c r="P286">
        <v>2.0000000000000001E-4</v>
      </c>
      <c r="Q286">
        <v>2.0000000000000001E-4</v>
      </c>
      <c r="R286" t="s">
        <v>46</v>
      </c>
      <c r="S286" t="s">
        <v>46</v>
      </c>
      <c r="T286" t="s">
        <v>46</v>
      </c>
      <c r="U286" t="s">
        <v>46</v>
      </c>
      <c r="V286" t="s">
        <v>46</v>
      </c>
      <c r="W286" t="s">
        <v>46</v>
      </c>
      <c r="X286" t="s">
        <v>46</v>
      </c>
      <c r="Y286" t="s">
        <v>46</v>
      </c>
      <c r="Z286" t="s">
        <v>46</v>
      </c>
      <c r="AA286" t="s">
        <v>46</v>
      </c>
      <c r="AB286" t="s">
        <v>46</v>
      </c>
      <c r="AC286" t="s">
        <v>46</v>
      </c>
    </row>
    <row r="287" spans="1:29" x14ac:dyDescent="0.25">
      <c r="A287" t="s">
        <v>84</v>
      </c>
      <c r="B287" t="s">
        <v>85</v>
      </c>
      <c r="C287" t="s">
        <v>99</v>
      </c>
      <c r="D287" t="s">
        <v>100</v>
      </c>
      <c r="E287" t="s">
        <v>55</v>
      </c>
      <c r="F287">
        <v>5.6000000000000001E-2</v>
      </c>
      <c r="G287">
        <v>5.1700000000000003E-2</v>
      </c>
      <c r="H287">
        <v>5.4100000000000002E-2</v>
      </c>
      <c r="I287">
        <v>3.7400000000000003E-2</v>
      </c>
      <c r="J287">
        <v>3.1899999999999998E-2</v>
      </c>
      <c r="K287">
        <v>2.4199999999999999E-2</v>
      </c>
      <c r="L287">
        <v>2.4E-2</v>
      </c>
      <c r="M287">
        <v>3.3799999999999997E-2</v>
      </c>
      <c r="N287">
        <v>4.53E-2</v>
      </c>
      <c r="O287">
        <v>3.8199999999999998E-2</v>
      </c>
      <c r="P287">
        <v>3.9399999999999998E-2</v>
      </c>
      <c r="Q287">
        <v>4.7800000000000002E-2</v>
      </c>
      <c r="R287" t="s">
        <v>46</v>
      </c>
      <c r="S287" t="s">
        <v>46</v>
      </c>
      <c r="T287" t="s">
        <v>46</v>
      </c>
      <c r="U287" t="s">
        <v>46</v>
      </c>
      <c r="V287" t="s">
        <v>46</v>
      </c>
      <c r="W287" t="s">
        <v>46</v>
      </c>
      <c r="X287" t="s">
        <v>46</v>
      </c>
      <c r="Y287" t="s">
        <v>46</v>
      </c>
      <c r="Z287" t="s">
        <v>46</v>
      </c>
      <c r="AA287" t="s">
        <v>46</v>
      </c>
      <c r="AB287" t="s">
        <v>46</v>
      </c>
      <c r="AC287" t="s">
        <v>46</v>
      </c>
    </row>
    <row r="288" spans="1:29" x14ac:dyDescent="0.25">
      <c r="A288" t="s">
        <v>86</v>
      </c>
      <c r="B288" t="s">
        <v>87</v>
      </c>
      <c r="C288" t="s">
        <v>99</v>
      </c>
      <c r="D288" t="s">
        <v>100</v>
      </c>
      <c r="E288" t="s">
        <v>55</v>
      </c>
      <c r="F288">
        <v>0.1094</v>
      </c>
      <c r="G288">
        <v>9.5699999999999993E-2</v>
      </c>
      <c r="H288">
        <v>8.48E-2</v>
      </c>
      <c r="I288">
        <v>8.72E-2</v>
      </c>
      <c r="J288">
        <v>7.8899999999999998E-2</v>
      </c>
      <c r="K288">
        <v>8.3199999999999996E-2</v>
      </c>
      <c r="L288">
        <v>9.1700000000000004E-2</v>
      </c>
      <c r="M288">
        <v>0.11990000000000001</v>
      </c>
      <c r="N288">
        <v>0.1236</v>
      </c>
      <c r="O288">
        <v>0.1042</v>
      </c>
      <c r="P288">
        <v>0.129</v>
      </c>
      <c r="Q288">
        <v>0.1414</v>
      </c>
      <c r="R288" t="s">
        <v>46</v>
      </c>
      <c r="S288" t="s">
        <v>46</v>
      </c>
      <c r="T288" t="s">
        <v>46</v>
      </c>
      <c r="U288" t="s">
        <v>46</v>
      </c>
      <c r="V288" t="s">
        <v>46</v>
      </c>
      <c r="W288" t="s">
        <v>46</v>
      </c>
      <c r="X288" t="s">
        <v>46</v>
      </c>
      <c r="Y288" t="s">
        <v>46</v>
      </c>
      <c r="Z288" t="s">
        <v>46</v>
      </c>
      <c r="AA288" t="s">
        <v>46</v>
      </c>
      <c r="AB288" t="s">
        <v>46</v>
      </c>
      <c r="AC288" t="s">
        <v>46</v>
      </c>
    </row>
    <row r="289" spans="1:29" x14ac:dyDescent="0.25">
      <c r="A289" t="s">
        <v>51</v>
      </c>
      <c r="B289" t="s">
        <v>52</v>
      </c>
      <c r="C289" t="s">
        <v>102</v>
      </c>
      <c r="D289" t="s">
        <v>103</v>
      </c>
      <c r="E289" t="s">
        <v>55</v>
      </c>
      <c r="F289">
        <v>0.39729999999999999</v>
      </c>
      <c r="G289">
        <v>0.41</v>
      </c>
      <c r="H289">
        <v>3.0999999999999999E-3</v>
      </c>
      <c r="I289">
        <v>3.3E-3</v>
      </c>
      <c r="J289">
        <v>3.3999999999999998E-3</v>
      </c>
      <c r="K289">
        <v>3.5000000000000001E-3</v>
      </c>
      <c r="L289">
        <v>3.5999999999999999E-3</v>
      </c>
      <c r="M289">
        <v>4.3E-3</v>
      </c>
      <c r="N289">
        <v>4.8999999999999998E-3</v>
      </c>
      <c r="O289">
        <v>4.4999999999999997E-3</v>
      </c>
      <c r="P289">
        <v>4.5999999999999999E-3</v>
      </c>
      <c r="Q289">
        <v>5.1999999999999998E-3</v>
      </c>
      <c r="R289" t="s">
        <v>46</v>
      </c>
      <c r="S289" t="s">
        <v>46</v>
      </c>
      <c r="T289" t="s">
        <v>46</v>
      </c>
      <c r="U289" t="s">
        <v>46</v>
      </c>
      <c r="V289" t="s">
        <v>46</v>
      </c>
      <c r="W289" t="s">
        <v>46</v>
      </c>
      <c r="X289" t="s">
        <v>46</v>
      </c>
      <c r="Y289" t="s">
        <v>46</v>
      </c>
      <c r="Z289" t="s">
        <v>46</v>
      </c>
      <c r="AA289" t="s">
        <v>46</v>
      </c>
      <c r="AB289" t="s">
        <v>46</v>
      </c>
      <c r="AC289" t="s">
        <v>46</v>
      </c>
    </row>
    <row r="290" spans="1:29" x14ac:dyDescent="0.25">
      <c r="A290" t="s">
        <v>56</v>
      </c>
      <c r="B290" t="s">
        <v>57</v>
      </c>
      <c r="C290" t="s">
        <v>102</v>
      </c>
      <c r="D290" t="s">
        <v>103</v>
      </c>
      <c r="E290" t="s">
        <v>55</v>
      </c>
      <c r="F290">
        <v>0.7964</v>
      </c>
      <c r="G290">
        <v>0.35920000000000002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0.1656</v>
      </c>
      <c r="O290">
        <v>0</v>
      </c>
      <c r="P290">
        <v>0</v>
      </c>
      <c r="Q290">
        <v>0</v>
      </c>
      <c r="R290" t="s">
        <v>46</v>
      </c>
      <c r="S290" t="s">
        <v>46</v>
      </c>
      <c r="T290" t="s">
        <v>46</v>
      </c>
      <c r="U290" t="s">
        <v>46</v>
      </c>
      <c r="V290" t="s">
        <v>46</v>
      </c>
      <c r="W290" t="s">
        <v>46</v>
      </c>
      <c r="X290" t="s">
        <v>46</v>
      </c>
      <c r="Y290" t="s">
        <v>46</v>
      </c>
      <c r="Z290" t="s">
        <v>46</v>
      </c>
      <c r="AA290" t="s">
        <v>46</v>
      </c>
      <c r="AB290" t="s">
        <v>46</v>
      </c>
      <c r="AC290" t="s">
        <v>46</v>
      </c>
    </row>
    <row r="291" spans="1:29" x14ac:dyDescent="0.25">
      <c r="A291" t="s">
        <v>58</v>
      </c>
      <c r="B291" t="s">
        <v>59</v>
      </c>
      <c r="C291" t="s">
        <v>102</v>
      </c>
      <c r="D291" t="s">
        <v>103</v>
      </c>
      <c r="E291" t="s">
        <v>55</v>
      </c>
      <c r="F291" t="s">
        <v>46</v>
      </c>
      <c r="R291" t="s">
        <v>46</v>
      </c>
      <c r="S291" t="s">
        <v>46</v>
      </c>
      <c r="T291" t="s">
        <v>46</v>
      </c>
      <c r="U291" t="s">
        <v>46</v>
      </c>
      <c r="V291" t="s">
        <v>46</v>
      </c>
      <c r="W291" t="s">
        <v>46</v>
      </c>
      <c r="X291" t="s">
        <v>46</v>
      </c>
      <c r="Y291" t="s">
        <v>46</v>
      </c>
      <c r="Z291" t="s">
        <v>46</v>
      </c>
      <c r="AA291" t="s">
        <v>46</v>
      </c>
      <c r="AB291" t="s">
        <v>46</v>
      </c>
      <c r="AC291" t="s">
        <v>46</v>
      </c>
    </row>
    <row r="292" spans="1:29" x14ac:dyDescent="0.25">
      <c r="A292" t="s">
        <v>60</v>
      </c>
      <c r="B292" t="s">
        <v>61</v>
      </c>
      <c r="C292" t="s">
        <v>102</v>
      </c>
      <c r="D292" t="s">
        <v>103</v>
      </c>
      <c r="E292" t="s">
        <v>55</v>
      </c>
      <c r="F292" t="s">
        <v>46</v>
      </c>
      <c r="R292" t="s">
        <v>46</v>
      </c>
      <c r="S292" t="s">
        <v>46</v>
      </c>
      <c r="T292" t="s">
        <v>46</v>
      </c>
      <c r="U292" t="s">
        <v>46</v>
      </c>
      <c r="V292" t="s">
        <v>46</v>
      </c>
      <c r="W292" t="s">
        <v>46</v>
      </c>
      <c r="X292" t="s">
        <v>46</v>
      </c>
      <c r="Y292" t="s">
        <v>46</v>
      </c>
      <c r="Z292" t="s">
        <v>46</v>
      </c>
      <c r="AA292" t="s">
        <v>46</v>
      </c>
      <c r="AB292" t="s">
        <v>46</v>
      </c>
      <c r="AC292" t="s">
        <v>46</v>
      </c>
    </row>
    <row r="293" spans="1:29" x14ac:dyDescent="0.25">
      <c r="A293" t="s">
        <v>62</v>
      </c>
      <c r="B293" t="s">
        <v>63</v>
      </c>
      <c r="C293" t="s">
        <v>102</v>
      </c>
      <c r="D293" t="s">
        <v>103</v>
      </c>
      <c r="E293" t="s">
        <v>55</v>
      </c>
      <c r="F293">
        <v>1.8873</v>
      </c>
      <c r="G293">
        <v>1.3852</v>
      </c>
      <c r="H293">
        <v>1.0883</v>
      </c>
      <c r="I293">
        <v>1.1879</v>
      </c>
      <c r="J293">
        <v>1.0175000000000001</v>
      </c>
      <c r="K293">
        <v>1.0731999999999999</v>
      </c>
      <c r="L293">
        <v>0.91890000000000005</v>
      </c>
      <c r="M293">
        <v>0.99890000000000001</v>
      </c>
      <c r="N293">
        <v>0.97509999999999997</v>
      </c>
      <c r="O293">
        <v>0.99529999999999996</v>
      </c>
      <c r="P293">
        <v>0.998</v>
      </c>
      <c r="Q293">
        <v>0.88329999999999997</v>
      </c>
      <c r="R293" t="s">
        <v>46</v>
      </c>
      <c r="S293" t="s">
        <v>46</v>
      </c>
      <c r="T293" t="s">
        <v>46</v>
      </c>
      <c r="U293" t="s">
        <v>46</v>
      </c>
      <c r="V293" t="s">
        <v>46</v>
      </c>
      <c r="W293" t="s">
        <v>46</v>
      </c>
      <c r="X293" t="s">
        <v>46</v>
      </c>
      <c r="Y293" t="s">
        <v>46</v>
      </c>
      <c r="Z293" t="s">
        <v>46</v>
      </c>
      <c r="AA293" t="s">
        <v>46</v>
      </c>
      <c r="AB293" t="s">
        <v>46</v>
      </c>
      <c r="AC293" t="s">
        <v>46</v>
      </c>
    </row>
    <row r="294" spans="1:29" x14ac:dyDescent="0.25">
      <c r="A294" t="s">
        <v>64</v>
      </c>
      <c r="B294" t="s">
        <v>65</v>
      </c>
      <c r="C294" t="s">
        <v>102</v>
      </c>
      <c r="D294" t="s">
        <v>103</v>
      </c>
      <c r="E294" t="s">
        <v>55</v>
      </c>
      <c r="F294">
        <v>1.0594999999999999</v>
      </c>
      <c r="G294">
        <v>0.54059999999999997</v>
      </c>
      <c r="H294">
        <v>0.52900000000000003</v>
      </c>
      <c r="I294">
        <v>0.50919999999999999</v>
      </c>
      <c r="J294">
        <v>0.50960000000000005</v>
      </c>
      <c r="K294">
        <v>0.2258</v>
      </c>
      <c r="L294">
        <v>0.2225</v>
      </c>
      <c r="M294">
        <v>0.2382</v>
      </c>
      <c r="N294">
        <v>0.24429999999999999</v>
      </c>
      <c r="O294">
        <v>0.2883</v>
      </c>
      <c r="P294">
        <v>0.28270000000000001</v>
      </c>
      <c r="Q294">
        <v>0.3503</v>
      </c>
      <c r="R294" t="s">
        <v>46</v>
      </c>
      <c r="S294" t="s">
        <v>46</v>
      </c>
      <c r="T294" t="s">
        <v>46</v>
      </c>
      <c r="U294" t="s">
        <v>46</v>
      </c>
      <c r="V294" t="s">
        <v>46</v>
      </c>
      <c r="W294" t="s">
        <v>46</v>
      </c>
      <c r="X294" t="s">
        <v>46</v>
      </c>
      <c r="Y294" t="s">
        <v>46</v>
      </c>
      <c r="Z294" t="s">
        <v>46</v>
      </c>
      <c r="AA294" t="s">
        <v>46</v>
      </c>
      <c r="AB294" t="s">
        <v>46</v>
      </c>
      <c r="AC294" t="s">
        <v>46</v>
      </c>
    </row>
    <row r="295" spans="1:29" x14ac:dyDescent="0.25">
      <c r="A295" t="s">
        <v>66</v>
      </c>
      <c r="B295" t="s">
        <v>67</v>
      </c>
      <c r="C295" t="s">
        <v>102</v>
      </c>
      <c r="D295" t="s">
        <v>103</v>
      </c>
      <c r="E295" t="s">
        <v>55</v>
      </c>
      <c r="F295" t="s">
        <v>46</v>
      </c>
      <c r="K295">
        <v>8.8033999999999999</v>
      </c>
      <c r="L295">
        <v>4.6657000000000002</v>
      </c>
      <c r="M295">
        <v>3.2652000000000001</v>
      </c>
      <c r="N295">
        <v>3.6335999999999999</v>
      </c>
      <c r="O295">
        <v>3.3898000000000001</v>
      </c>
      <c r="R295" t="s">
        <v>46</v>
      </c>
      <c r="S295" t="s">
        <v>46</v>
      </c>
      <c r="T295" t="s">
        <v>46</v>
      </c>
      <c r="U295" t="s">
        <v>46</v>
      </c>
      <c r="V295" t="s">
        <v>46</v>
      </c>
      <c r="W295" t="s">
        <v>46</v>
      </c>
      <c r="X295" t="s">
        <v>46</v>
      </c>
      <c r="Y295" t="s">
        <v>46</v>
      </c>
      <c r="Z295" t="s">
        <v>46</v>
      </c>
      <c r="AA295" t="s">
        <v>46</v>
      </c>
      <c r="AB295" t="s">
        <v>46</v>
      </c>
      <c r="AC295" t="s">
        <v>46</v>
      </c>
    </row>
    <row r="296" spans="1:29" x14ac:dyDescent="0.25">
      <c r="A296" t="s">
        <v>68</v>
      </c>
      <c r="B296" t="s">
        <v>69</v>
      </c>
      <c r="C296" t="s">
        <v>102</v>
      </c>
      <c r="D296" t="s">
        <v>103</v>
      </c>
      <c r="E296" t="s">
        <v>55</v>
      </c>
      <c r="F296" t="s">
        <v>46</v>
      </c>
      <c r="G296">
        <v>9.3142999999999994</v>
      </c>
      <c r="H296">
        <v>7.3548999999999998</v>
      </c>
      <c r="I296">
        <v>2.8723999999999998</v>
      </c>
      <c r="J296">
        <v>2.1749000000000001</v>
      </c>
      <c r="K296">
        <v>1.9995000000000001</v>
      </c>
      <c r="L296">
        <v>1.9064000000000001</v>
      </c>
      <c r="M296">
        <v>1.7284999999999999</v>
      </c>
      <c r="N296">
        <v>2.2121</v>
      </c>
      <c r="R296" t="s">
        <v>46</v>
      </c>
      <c r="S296" t="s">
        <v>46</v>
      </c>
      <c r="T296" t="s">
        <v>46</v>
      </c>
      <c r="U296" t="s">
        <v>46</v>
      </c>
      <c r="V296" t="s">
        <v>46</v>
      </c>
      <c r="W296" t="s">
        <v>46</v>
      </c>
      <c r="X296" t="s">
        <v>46</v>
      </c>
      <c r="Y296" t="s">
        <v>46</v>
      </c>
      <c r="Z296" t="s">
        <v>46</v>
      </c>
      <c r="AA296" t="s">
        <v>46</v>
      </c>
      <c r="AB296" t="s">
        <v>46</v>
      </c>
      <c r="AC296" t="s">
        <v>46</v>
      </c>
    </row>
    <row r="297" spans="1:29" x14ac:dyDescent="0.25">
      <c r="A297" t="s">
        <v>70</v>
      </c>
      <c r="B297" t="s">
        <v>71</v>
      </c>
      <c r="C297" t="s">
        <v>102</v>
      </c>
      <c r="D297" t="s">
        <v>103</v>
      </c>
      <c r="E297" t="s">
        <v>55</v>
      </c>
      <c r="F297">
        <v>0.62029999999999996</v>
      </c>
      <c r="G297">
        <v>0.64370000000000005</v>
      </c>
      <c r="H297">
        <v>0.58040000000000003</v>
      </c>
      <c r="I297">
        <v>0.61409999999999998</v>
      </c>
      <c r="J297">
        <v>0.54549999999999998</v>
      </c>
      <c r="K297">
        <v>8.8599999999999998E-2</v>
      </c>
      <c r="L297">
        <v>9.8699999999999996E-2</v>
      </c>
      <c r="M297">
        <v>0.10589999999999999</v>
      </c>
      <c r="N297">
        <v>0.1134</v>
      </c>
      <c r="O297">
        <v>0.1242</v>
      </c>
      <c r="P297">
        <v>0.1351</v>
      </c>
      <c r="Q297">
        <v>0.14829999999999999</v>
      </c>
      <c r="R297" t="s">
        <v>46</v>
      </c>
      <c r="S297" t="s">
        <v>46</v>
      </c>
      <c r="T297" t="s">
        <v>46</v>
      </c>
      <c r="U297" t="s">
        <v>46</v>
      </c>
      <c r="V297" t="s">
        <v>46</v>
      </c>
      <c r="W297" t="s">
        <v>46</v>
      </c>
      <c r="X297" t="s">
        <v>46</v>
      </c>
      <c r="Y297" t="s">
        <v>46</v>
      </c>
      <c r="Z297" t="s">
        <v>46</v>
      </c>
      <c r="AA297" t="s">
        <v>46</v>
      </c>
      <c r="AB297" t="s">
        <v>46</v>
      </c>
      <c r="AC297" t="s">
        <v>46</v>
      </c>
    </row>
    <row r="298" spans="1:29" x14ac:dyDescent="0.25">
      <c r="A298" t="s">
        <v>72</v>
      </c>
      <c r="B298" t="s">
        <v>73</v>
      </c>
      <c r="C298" t="s">
        <v>102</v>
      </c>
      <c r="D298" t="s">
        <v>103</v>
      </c>
      <c r="E298" t="s">
        <v>55</v>
      </c>
      <c r="F298">
        <v>2.9941</v>
      </c>
      <c r="G298">
        <v>2.8988</v>
      </c>
      <c r="H298">
        <v>2.6085000000000003</v>
      </c>
      <c r="I298">
        <v>2.8363</v>
      </c>
      <c r="J298">
        <v>3.0533999999999999</v>
      </c>
      <c r="K298">
        <v>2.8860999999999999</v>
      </c>
      <c r="L298">
        <v>3.2526999999999999</v>
      </c>
      <c r="M298">
        <v>2.9713000000000003</v>
      </c>
      <c r="N298">
        <v>3.1577000000000002</v>
      </c>
      <c r="O298">
        <v>2.8529999999999998</v>
      </c>
      <c r="P298">
        <v>2.7273000000000001</v>
      </c>
      <c r="Q298">
        <v>2.952</v>
      </c>
      <c r="R298" t="s">
        <v>46</v>
      </c>
      <c r="S298" t="s">
        <v>46</v>
      </c>
      <c r="T298" t="s">
        <v>46</v>
      </c>
      <c r="U298" t="s">
        <v>46</v>
      </c>
      <c r="V298" t="s">
        <v>46</v>
      </c>
      <c r="W298" t="s">
        <v>46</v>
      </c>
      <c r="X298" t="s">
        <v>46</v>
      </c>
      <c r="Y298" t="s">
        <v>46</v>
      </c>
      <c r="Z298" t="s">
        <v>46</v>
      </c>
      <c r="AA298" t="s">
        <v>46</v>
      </c>
      <c r="AB298" t="s">
        <v>46</v>
      </c>
      <c r="AC298" t="s">
        <v>46</v>
      </c>
    </row>
    <row r="299" spans="1:29" x14ac:dyDescent="0.25">
      <c r="A299" t="s">
        <v>74</v>
      </c>
      <c r="B299" t="s">
        <v>75</v>
      </c>
      <c r="C299" t="s">
        <v>102</v>
      </c>
      <c r="D299" t="s">
        <v>103</v>
      </c>
      <c r="E299" t="s">
        <v>55</v>
      </c>
      <c r="F299">
        <v>0.45019999999999999</v>
      </c>
      <c r="G299">
        <v>0.40510000000000002</v>
      </c>
      <c r="H299">
        <v>0.43780000000000002</v>
      </c>
      <c r="I299">
        <v>0.28810000000000002</v>
      </c>
      <c r="J299">
        <v>0.3049</v>
      </c>
      <c r="K299">
        <v>0.2858</v>
      </c>
      <c r="L299">
        <v>0.2233</v>
      </c>
      <c r="M299">
        <v>2.8500000000000001E-2</v>
      </c>
      <c r="N299">
        <v>4.3499999999999997E-2</v>
      </c>
      <c r="O299">
        <v>4.6600000000000003E-2</v>
      </c>
      <c r="P299">
        <v>6.7900000000000002E-2</v>
      </c>
      <c r="Q299">
        <v>5.5500000000000001E-2</v>
      </c>
      <c r="R299" t="s">
        <v>46</v>
      </c>
      <c r="S299" t="s">
        <v>46</v>
      </c>
      <c r="T299" t="s">
        <v>46</v>
      </c>
      <c r="U299" t="s">
        <v>46</v>
      </c>
      <c r="V299" t="s">
        <v>46</v>
      </c>
      <c r="W299" t="s">
        <v>46</v>
      </c>
      <c r="X299" t="s">
        <v>46</v>
      </c>
      <c r="Y299" t="s">
        <v>46</v>
      </c>
      <c r="Z299" t="s">
        <v>46</v>
      </c>
      <c r="AA299" t="s">
        <v>46</v>
      </c>
      <c r="AB299" t="s">
        <v>46</v>
      </c>
      <c r="AC299" t="s">
        <v>46</v>
      </c>
    </row>
    <row r="300" spans="1:29" x14ac:dyDescent="0.25">
      <c r="A300" t="s">
        <v>76</v>
      </c>
      <c r="B300" t="s">
        <v>77</v>
      </c>
      <c r="C300" t="s">
        <v>102</v>
      </c>
      <c r="D300" t="s">
        <v>103</v>
      </c>
      <c r="E300" t="s">
        <v>55</v>
      </c>
      <c r="F300">
        <v>4.6768999999999998</v>
      </c>
      <c r="G300">
        <v>4.6040999999999999</v>
      </c>
      <c r="H300">
        <v>4.6574999999999998</v>
      </c>
      <c r="I300">
        <v>5.1692</v>
      </c>
      <c r="J300">
        <v>4.5407999999999999</v>
      </c>
      <c r="K300">
        <v>4.7808999999999999</v>
      </c>
      <c r="L300">
        <v>5.5364000000000004</v>
      </c>
      <c r="M300">
        <v>5.8263999999999996</v>
      </c>
      <c r="N300">
        <v>5.0876999999999999</v>
      </c>
      <c r="O300">
        <v>4.8361999999999998</v>
      </c>
      <c r="P300">
        <v>5.2903000000000002</v>
      </c>
      <c r="Q300">
        <v>5.7805999999999997</v>
      </c>
      <c r="R300" t="s">
        <v>46</v>
      </c>
      <c r="S300" t="s">
        <v>46</v>
      </c>
      <c r="T300" t="s">
        <v>46</v>
      </c>
      <c r="U300" t="s">
        <v>46</v>
      </c>
      <c r="V300" t="s">
        <v>46</v>
      </c>
      <c r="W300" t="s">
        <v>46</v>
      </c>
      <c r="X300" t="s">
        <v>46</v>
      </c>
      <c r="Y300" t="s">
        <v>46</v>
      </c>
      <c r="Z300" t="s">
        <v>46</v>
      </c>
      <c r="AA300" t="s">
        <v>46</v>
      </c>
      <c r="AB300" t="s">
        <v>46</v>
      </c>
      <c r="AC300" t="s">
        <v>46</v>
      </c>
    </row>
    <row r="301" spans="1:29" x14ac:dyDescent="0.25">
      <c r="A301" t="s">
        <v>78</v>
      </c>
      <c r="B301" t="s">
        <v>79</v>
      </c>
      <c r="C301" t="s">
        <v>102</v>
      </c>
      <c r="D301" t="s">
        <v>103</v>
      </c>
      <c r="E301" t="s">
        <v>55</v>
      </c>
      <c r="F301">
        <v>0.20810000000000001</v>
      </c>
      <c r="G301">
        <v>0.19059999999999999</v>
      </c>
      <c r="H301">
        <v>0.191</v>
      </c>
      <c r="I301">
        <v>0.18190000000000001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 t="s">
        <v>46</v>
      </c>
      <c r="S301" t="s">
        <v>46</v>
      </c>
      <c r="T301" t="s">
        <v>46</v>
      </c>
      <c r="U301" t="s">
        <v>46</v>
      </c>
      <c r="V301" t="s">
        <v>46</v>
      </c>
      <c r="W301" t="s">
        <v>46</v>
      </c>
      <c r="X301" t="s">
        <v>46</v>
      </c>
      <c r="Y301" t="s">
        <v>46</v>
      </c>
      <c r="Z301" t="s">
        <v>46</v>
      </c>
      <c r="AA301" t="s">
        <v>46</v>
      </c>
      <c r="AB301" t="s">
        <v>46</v>
      </c>
      <c r="AC301" t="s">
        <v>46</v>
      </c>
    </row>
    <row r="302" spans="1:29" x14ac:dyDescent="0.25">
      <c r="A302" t="s">
        <v>80</v>
      </c>
      <c r="B302" t="s">
        <v>81</v>
      </c>
      <c r="C302" t="s">
        <v>102</v>
      </c>
      <c r="D302" t="s">
        <v>103</v>
      </c>
      <c r="E302" t="s">
        <v>55</v>
      </c>
      <c r="F302">
        <v>4.3937999999999997</v>
      </c>
      <c r="G302">
        <v>3.8772000000000002</v>
      </c>
      <c r="H302">
        <v>3.7153999999999998</v>
      </c>
      <c r="I302">
        <v>3.8948</v>
      </c>
      <c r="J302">
        <v>2.4140999999999999</v>
      </c>
      <c r="K302">
        <v>2.2237999999999998</v>
      </c>
      <c r="L302">
        <v>2.2757999999999998</v>
      </c>
      <c r="M302">
        <v>2.2353000000000001</v>
      </c>
      <c r="N302">
        <v>2.4933999999999998</v>
      </c>
      <c r="O302">
        <v>2.5314000000000001</v>
      </c>
      <c r="P302">
        <v>2.1690999999999998</v>
      </c>
      <c r="Q302">
        <v>2.2185000000000001</v>
      </c>
      <c r="R302" t="s">
        <v>46</v>
      </c>
      <c r="S302" t="s">
        <v>46</v>
      </c>
      <c r="T302" t="s">
        <v>46</v>
      </c>
      <c r="U302" t="s">
        <v>46</v>
      </c>
      <c r="V302" t="s">
        <v>46</v>
      </c>
      <c r="W302" t="s">
        <v>46</v>
      </c>
      <c r="X302" t="s">
        <v>46</v>
      </c>
      <c r="Y302" t="s">
        <v>46</v>
      </c>
      <c r="Z302" t="s">
        <v>46</v>
      </c>
      <c r="AA302" t="s">
        <v>46</v>
      </c>
      <c r="AB302" t="s">
        <v>46</v>
      </c>
      <c r="AC302" t="s">
        <v>46</v>
      </c>
    </row>
    <row r="303" spans="1:29" x14ac:dyDescent="0.25">
      <c r="A303" t="s">
        <v>82</v>
      </c>
      <c r="B303" t="s">
        <v>83</v>
      </c>
      <c r="C303" t="s">
        <v>102</v>
      </c>
      <c r="D303" t="s">
        <v>103</v>
      </c>
      <c r="E303" t="s">
        <v>55</v>
      </c>
      <c r="F303">
        <v>0.19409999999999999</v>
      </c>
      <c r="G303">
        <v>0.17150000000000001</v>
      </c>
      <c r="H303">
        <v>0.1678</v>
      </c>
      <c r="I303">
        <v>0.16919999999999999</v>
      </c>
      <c r="J303">
        <v>1.6000000000000001E-3</v>
      </c>
      <c r="K303">
        <v>1.6999999999999999E-3</v>
      </c>
      <c r="L303">
        <v>1.6999999999999999E-3</v>
      </c>
      <c r="M303">
        <v>1.9E-3</v>
      </c>
      <c r="N303">
        <v>7.6E-3</v>
      </c>
      <c r="O303">
        <v>2.3999999999999998E-3</v>
      </c>
      <c r="P303">
        <v>2.5000000000000001E-3</v>
      </c>
      <c r="Q303">
        <v>2.5999999999999999E-3</v>
      </c>
      <c r="R303" t="s">
        <v>46</v>
      </c>
      <c r="S303" t="s">
        <v>46</v>
      </c>
      <c r="T303" t="s">
        <v>46</v>
      </c>
      <c r="U303" t="s">
        <v>46</v>
      </c>
      <c r="V303" t="s">
        <v>46</v>
      </c>
      <c r="W303" t="s">
        <v>46</v>
      </c>
      <c r="X303" t="s">
        <v>46</v>
      </c>
      <c r="Y303" t="s">
        <v>46</v>
      </c>
      <c r="Z303" t="s">
        <v>46</v>
      </c>
      <c r="AA303" t="s">
        <v>46</v>
      </c>
      <c r="AB303" t="s">
        <v>46</v>
      </c>
      <c r="AC303" t="s">
        <v>46</v>
      </c>
    </row>
    <row r="304" spans="1:29" x14ac:dyDescent="0.25">
      <c r="A304" t="s">
        <v>84</v>
      </c>
      <c r="B304" t="s">
        <v>85</v>
      </c>
      <c r="C304" t="s">
        <v>102</v>
      </c>
      <c r="D304" t="s">
        <v>103</v>
      </c>
      <c r="E304" t="s">
        <v>55</v>
      </c>
      <c r="F304">
        <v>0.44080000000000003</v>
      </c>
      <c r="G304">
        <v>0.53220000000000001</v>
      </c>
      <c r="H304">
        <v>0.51139999999999997</v>
      </c>
      <c r="I304">
        <v>0.38500000000000001</v>
      </c>
      <c r="J304">
        <v>0.32800000000000001</v>
      </c>
      <c r="K304">
        <v>0.27400000000000002</v>
      </c>
      <c r="L304">
        <v>0.2742</v>
      </c>
      <c r="M304">
        <v>0.36649999999999999</v>
      </c>
      <c r="N304">
        <v>0.5081</v>
      </c>
      <c r="O304">
        <v>0.3679</v>
      </c>
      <c r="P304">
        <v>0.3478</v>
      </c>
      <c r="Q304">
        <v>0.3463</v>
      </c>
      <c r="R304" t="s">
        <v>46</v>
      </c>
      <c r="S304" t="s">
        <v>46</v>
      </c>
      <c r="T304" t="s">
        <v>46</v>
      </c>
      <c r="U304" t="s">
        <v>46</v>
      </c>
      <c r="V304" t="s">
        <v>46</v>
      </c>
      <c r="W304" t="s">
        <v>46</v>
      </c>
      <c r="X304" t="s">
        <v>46</v>
      </c>
      <c r="Y304" t="s">
        <v>46</v>
      </c>
      <c r="Z304" t="s">
        <v>46</v>
      </c>
      <c r="AA304" t="s">
        <v>46</v>
      </c>
      <c r="AB304" t="s">
        <v>46</v>
      </c>
      <c r="AC304" t="s">
        <v>46</v>
      </c>
    </row>
    <row r="305" spans="1:29" x14ac:dyDescent="0.25">
      <c r="A305" t="s">
        <v>86</v>
      </c>
      <c r="B305" t="s">
        <v>87</v>
      </c>
      <c r="C305" t="s">
        <v>102</v>
      </c>
      <c r="D305" t="s">
        <v>103</v>
      </c>
      <c r="E305" t="s">
        <v>55</v>
      </c>
      <c r="F305">
        <v>0.78790000000000004</v>
      </c>
      <c r="G305">
        <v>0.90010000000000001</v>
      </c>
      <c r="H305">
        <v>0.88329999999999997</v>
      </c>
      <c r="I305">
        <v>1.0175000000000001</v>
      </c>
      <c r="J305">
        <v>0.85619999999999996</v>
      </c>
      <c r="K305">
        <v>0.95420000000000005</v>
      </c>
      <c r="L305">
        <v>1.1494</v>
      </c>
      <c r="M305">
        <v>1.1307</v>
      </c>
      <c r="N305">
        <v>1.3303</v>
      </c>
      <c r="O305">
        <v>1.1815</v>
      </c>
      <c r="P305">
        <v>1.2683</v>
      </c>
      <c r="Q305">
        <v>1.2896000000000001</v>
      </c>
      <c r="R305" t="s">
        <v>46</v>
      </c>
      <c r="S305" t="s">
        <v>46</v>
      </c>
      <c r="T305" t="s">
        <v>46</v>
      </c>
      <c r="U305" t="s">
        <v>46</v>
      </c>
      <c r="V305" t="s">
        <v>46</v>
      </c>
      <c r="W305" t="s">
        <v>46</v>
      </c>
      <c r="X305" t="s">
        <v>46</v>
      </c>
      <c r="Y305" t="s">
        <v>46</v>
      </c>
      <c r="Z305" t="s">
        <v>46</v>
      </c>
      <c r="AA305" t="s">
        <v>46</v>
      </c>
      <c r="AB305" t="s">
        <v>46</v>
      </c>
      <c r="AC305" t="s">
        <v>46</v>
      </c>
    </row>
    <row r="306" spans="1:29" x14ac:dyDescent="0.25">
      <c r="A306" t="s">
        <v>51</v>
      </c>
      <c r="B306" t="s">
        <v>52</v>
      </c>
      <c r="C306" t="s">
        <v>105</v>
      </c>
      <c r="D306" t="s">
        <v>106</v>
      </c>
      <c r="E306" t="s">
        <v>55</v>
      </c>
      <c r="F306">
        <v>17.641100000000002</v>
      </c>
      <c r="G306">
        <v>17.816099999999999</v>
      </c>
      <c r="H306">
        <v>0.15260000000000001</v>
      </c>
      <c r="I306">
        <v>0.1694</v>
      </c>
      <c r="J306">
        <v>0.1754</v>
      </c>
      <c r="K306">
        <v>0.18820000000000001</v>
      </c>
      <c r="L306">
        <v>0.23269999999999999</v>
      </c>
      <c r="M306">
        <v>0.2828</v>
      </c>
      <c r="N306">
        <v>0.27550000000000002</v>
      </c>
      <c r="O306">
        <v>0.25409999999999999</v>
      </c>
      <c r="P306">
        <v>0.25750000000000001</v>
      </c>
      <c r="Q306">
        <v>0.31080000000000002</v>
      </c>
      <c r="R306" t="s">
        <v>46</v>
      </c>
      <c r="S306" t="s">
        <v>46</v>
      </c>
      <c r="T306" t="s">
        <v>46</v>
      </c>
      <c r="U306" t="s">
        <v>46</v>
      </c>
      <c r="V306" t="s">
        <v>46</v>
      </c>
      <c r="W306" t="s">
        <v>46</v>
      </c>
      <c r="X306" t="s">
        <v>46</v>
      </c>
      <c r="Y306" t="s">
        <v>46</v>
      </c>
      <c r="Z306" t="s">
        <v>46</v>
      </c>
      <c r="AA306" t="s">
        <v>46</v>
      </c>
      <c r="AB306" t="s">
        <v>46</v>
      </c>
      <c r="AC306" t="s">
        <v>46</v>
      </c>
    </row>
    <row r="307" spans="1:29" x14ac:dyDescent="0.25">
      <c r="A307" t="s">
        <v>56</v>
      </c>
      <c r="B307" t="s">
        <v>57</v>
      </c>
      <c r="C307" t="s">
        <v>105</v>
      </c>
      <c r="D307" t="s">
        <v>106</v>
      </c>
      <c r="E307" t="s">
        <v>55</v>
      </c>
      <c r="F307">
        <v>14.9314</v>
      </c>
      <c r="G307">
        <v>7.2844999999999995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3.2204000000000002</v>
      </c>
      <c r="O307">
        <v>0</v>
      </c>
      <c r="P307">
        <v>0</v>
      </c>
      <c r="Q307">
        <v>0</v>
      </c>
      <c r="R307" t="s">
        <v>46</v>
      </c>
      <c r="S307" t="s">
        <v>46</v>
      </c>
      <c r="T307" t="s">
        <v>46</v>
      </c>
      <c r="U307" t="s">
        <v>46</v>
      </c>
      <c r="V307" t="s">
        <v>46</v>
      </c>
      <c r="W307" t="s">
        <v>46</v>
      </c>
      <c r="X307" t="s">
        <v>46</v>
      </c>
      <c r="Y307" t="s">
        <v>46</v>
      </c>
      <c r="Z307" t="s">
        <v>46</v>
      </c>
      <c r="AA307" t="s">
        <v>46</v>
      </c>
      <c r="AB307" t="s">
        <v>46</v>
      </c>
      <c r="AC307" t="s">
        <v>46</v>
      </c>
    </row>
    <row r="308" spans="1:29" x14ac:dyDescent="0.25">
      <c r="A308" t="s">
        <v>58</v>
      </c>
      <c r="B308" t="s">
        <v>59</v>
      </c>
      <c r="C308" t="s">
        <v>105</v>
      </c>
      <c r="D308" t="s">
        <v>106</v>
      </c>
      <c r="E308" t="s">
        <v>55</v>
      </c>
      <c r="F308" t="s">
        <v>46</v>
      </c>
      <c r="R308" t="s">
        <v>46</v>
      </c>
      <c r="S308" t="s">
        <v>46</v>
      </c>
      <c r="T308" t="s">
        <v>46</v>
      </c>
      <c r="U308" t="s">
        <v>46</v>
      </c>
      <c r="V308" t="s">
        <v>46</v>
      </c>
      <c r="W308" t="s">
        <v>46</v>
      </c>
      <c r="X308" t="s">
        <v>46</v>
      </c>
      <c r="Y308" t="s">
        <v>46</v>
      </c>
      <c r="Z308" t="s">
        <v>46</v>
      </c>
      <c r="AA308" t="s">
        <v>46</v>
      </c>
      <c r="AB308" t="s">
        <v>46</v>
      </c>
      <c r="AC308" t="s">
        <v>46</v>
      </c>
    </row>
    <row r="309" spans="1:29" x14ac:dyDescent="0.25">
      <c r="A309" t="s">
        <v>60</v>
      </c>
      <c r="B309" t="s">
        <v>61</v>
      </c>
      <c r="C309" t="s">
        <v>105</v>
      </c>
      <c r="D309" t="s">
        <v>106</v>
      </c>
      <c r="E309" t="s">
        <v>55</v>
      </c>
      <c r="F309" t="s">
        <v>46</v>
      </c>
      <c r="G309">
        <v>32.718000000000004</v>
      </c>
      <c r="R309" t="s">
        <v>46</v>
      </c>
      <c r="S309" t="s">
        <v>46</v>
      </c>
      <c r="T309" t="s">
        <v>46</v>
      </c>
      <c r="U309" t="s">
        <v>46</v>
      </c>
      <c r="V309" t="s">
        <v>46</v>
      </c>
      <c r="W309" t="s">
        <v>46</v>
      </c>
      <c r="X309" t="s">
        <v>46</v>
      </c>
      <c r="Y309" t="s">
        <v>46</v>
      </c>
      <c r="Z309" t="s">
        <v>46</v>
      </c>
      <c r="AA309" t="s">
        <v>46</v>
      </c>
      <c r="AB309" t="s">
        <v>46</v>
      </c>
      <c r="AC309" t="s">
        <v>46</v>
      </c>
    </row>
    <row r="310" spans="1:29" x14ac:dyDescent="0.25">
      <c r="A310" t="s">
        <v>62</v>
      </c>
      <c r="B310" t="s">
        <v>63</v>
      </c>
      <c r="C310" t="s">
        <v>105</v>
      </c>
      <c r="D310" t="s">
        <v>106</v>
      </c>
      <c r="E310" t="s">
        <v>55</v>
      </c>
      <c r="F310">
        <v>38.131799999999998</v>
      </c>
      <c r="G310">
        <v>29.785399999999999</v>
      </c>
      <c r="H310">
        <v>25.2971</v>
      </c>
      <c r="I310">
        <v>27.515899999999998</v>
      </c>
      <c r="J310">
        <v>23.4422</v>
      </c>
      <c r="K310">
        <v>23.9771</v>
      </c>
      <c r="L310">
        <v>21.2227</v>
      </c>
      <c r="M310">
        <v>21.4956</v>
      </c>
      <c r="N310">
        <v>20.616499999999998</v>
      </c>
      <c r="O310">
        <v>21.763300000000001</v>
      </c>
      <c r="P310">
        <v>23.0885</v>
      </c>
      <c r="Q310">
        <v>20.658100000000001</v>
      </c>
      <c r="R310" t="s">
        <v>46</v>
      </c>
      <c r="S310" t="s">
        <v>46</v>
      </c>
      <c r="T310" t="s">
        <v>46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  <c r="Z310" t="s">
        <v>46</v>
      </c>
      <c r="AA310" t="s">
        <v>46</v>
      </c>
      <c r="AB310" t="s">
        <v>46</v>
      </c>
      <c r="AC310" t="s">
        <v>46</v>
      </c>
    </row>
    <row r="311" spans="1:29" x14ac:dyDescent="0.25">
      <c r="A311" t="s">
        <v>64</v>
      </c>
      <c r="B311" t="s">
        <v>65</v>
      </c>
      <c r="C311" t="s">
        <v>105</v>
      </c>
      <c r="D311" t="s">
        <v>106</v>
      </c>
      <c r="E311" t="s">
        <v>55</v>
      </c>
      <c r="F311">
        <v>24.2578</v>
      </c>
      <c r="G311">
        <v>13.4375</v>
      </c>
      <c r="H311">
        <v>13.7075</v>
      </c>
      <c r="I311">
        <v>13.545199999999999</v>
      </c>
      <c r="J311">
        <v>12.638299999999999</v>
      </c>
      <c r="K311">
        <v>6.1220999999999997</v>
      </c>
      <c r="L311">
        <v>6.1870000000000003</v>
      </c>
      <c r="M311">
        <v>6.5719000000000003</v>
      </c>
      <c r="N311">
        <v>6.5725999999999996</v>
      </c>
      <c r="O311">
        <v>7.5636999999999999</v>
      </c>
      <c r="P311">
        <v>6.9733999999999998</v>
      </c>
      <c r="Q311">
        <v>8.6369000000000007</v>
      </c>
      <c r="R311" t="s">
        <v>46</v>
      </c>
      <c r="S311" t="s">
        <v>46</v>
      </c>
      <c r="T311" t="s">
        <v>46</v>
      </c>
      <c r="U311" t="s">
        <v>46</v>
      </c>
      <c r="V311" t="s">
        <v>46</v>
      </c>
      <c r="W311" t="s">
        <v>46</v>
      </c>
      <c r="X311" t="s">
        <v>46</v>
      </c>
      <c r="Y311" t="s">
        <v>46</v>
      </c>
      <c r="Z311" t="s">
        <v>46</v>
      </c>
      <c r="AA311" t="s">
        <v>46</v>
      </c>
      <c r="AB311" t="s">
        <v>46</v>
      </c>
      <c r="AC311" t="s">
        <v>46</v>
      </c>
    </row>
    <row r="312" spans="1:29" x14ac:dyDescent="0.25">
      <c r="A312" t="s">
        <v>66</v>
      </c>
      <c r="B312" t="s">
        <v>67</v>
      </c>
      <c r="C312" t="s">
        <v>105</v>
      </c>
      <c r="D312" t="s">
        <v>106</v>
      </c>
      <c r="E312" t="s">
        <v>55</v>
      </c>
      <c r="F312">
        <v>59.086799999999997</v>
      </c>
      <c r="G312">
        <v>56.076799999999999</v>
      </c>
      <c r="H312">
        <v>48.155799999999999</v>
      </c>
      <c r="I312">
        <v>48.317700000000002</v>
      </c>
      <c r="J312">
        <v>38.767000000000003</v>
      </c>
      <c r="K312">
        <v>31.778500000000001</v>
      </c>
      <c r="L312">
        <v>31.055499999999999</v>
      </c>
      <c r="M312">
        <v>35.954300000000003</v>
      </c>
      <c r="N312">
        <v>35.985999999999997</v>
      </c>
      <c r="O312">
        <v>35.956000000000003</v>
      </c>
      <c r="P312">
        <v>37.382199999999997</v>
      </c>
      <c r="Q312">
        <v>38.110599999999998</v>
      </c>
      <c r="R312" t="s">
        <v>46</v>
      </c>
      <c r="S312" t="s">
        <v>46</v>
      </c>
      <c r="T312" t="s">
        <v>46</v>
      </c>
      <c r="U312" t="s">
        <v>46</v>
      </c>
      <c r="V312" t="s">
        <v>46</v>
      </c>
      <c r="W312" t="s">
        <v>46</v>
      </c>
      <c r="X312" t="s">
        <v>46</v>
      </c>
      <c r="Y312" t="s">
        <v>46</v>
      </c>
      <c r="Z312" t="s">
        <v>46</v>
      </c>
      <c r="AA312" t="s">
        <v>46</v>
      </c>
      <c r="AB312" t="s">
        <v>46</v>
      </c>
      <c r="AC312" t="s">
        <v>46</v>
      </c>
    </row>
    <row r="313" spans="1:29" x14ac:dyDescent="0.25">
      <c r="A313" t="s">
        <v>68</v>
      </c>
      <c r="B313" t="s">
        <v>69</v>
      </c>
      <c r="C313" t="s">
        <v>105</v>
      </c>
      <c r="D313" t="s">
        <v>106</v>
      </c>
      <c r="E313" t="s">
        <v>55</v>
      </c>
      <c r="F313">
        <v>69.143299999999996</v>
      </c>
      <c r="G313">
        <v>53.547400000000003</v>
      </c>
      <c r="H313">
        <v>54.899099999999997</v>
      </c>
      <c r="I313">
        <v>49.7806</v>
      </c>
      <c r="J313">
        <v>38.731299999999997</v>
      </c>
      <c r="K313">
        <v>39.966200000000001</v>
      </c>
      <c r="L313">
        <v>37.250799999999998</v>
      </c>
      <c r="M313">
        <v>37.386099999999999</v>
      </c>
      <c r="N313">
        <v>36.664099999999998</v>
      </c>
      <c r="O313">
        <v>39.278799999999997</v>
      </c>
      <c r="P313">
        <v>40.533499999999997</v>
      </c>
      <c r="Q313">
        <v>37.642099999999999</v>
      </c>
      <c r="R313" t="s">
        <v>46</v>
      </c>
      <c r="S313" t="s">
        <v>46</v>
      </c>
      <c r="T313" t="s">
        <v>46</v>
      </c>
      <c r="U313" t="s">
        <v>46</v>
      </c>
      <c r="V313" t="s">
        <v>46</v>
      </c>
      <c r="W313" t="s">
        <v>46</v>
      </c>
      <c r="X313" t="s">
        <v>46</v>
      </c>
      <c r="Y313" t="s">
        <v>46</v>
      </c>
      <c r="Z313" t="s">
        <v>46</v>
      </c>
      <c r="AA313" t="s">
        <v>46</v>
      </c>
      <c r="AB313" t="s">
        <v>46</v>
      </c>
      <c r="AC313" t="s">
        <v>46</v>
      </c>
    </row>
    <row r="314" spans="1:29" x14ac:dyDescent="0.25">
      <c r="A314" t="s">
        <v>70</v>
      </c>
      <c r="B314" t="s">
        <v>71</v>
      </c>
      <c r="C314" t="s">
        <v>105</v>
      </c>
      <c r="D314" t="s">
        <v>106</v>
      </c>
      <c r="E314" t="s">
        <v>55</v>
      </c>
      <c r="F314">
        <v>14.2806</v>
      </c>
      <c r="G314">
        <v>14.1677</v>
      </c>
      <c r="H314">
        <v>13.375999999999999</v>
      </c>
      <c r="I314">
        <v>14.001899999999999</v>
      </c>
      <c r="J314">
        <v>12.5924</v>
      </c>
      <c r="K314">
        <v>1.944</v>
      </c>
      <c r="L314">
        <v>2.0499000000000001</v>
      </c>
      <c r="M314">
        <v>2.1989000000000001</v>
      </c>
      <c r="N314">
        <v>2.3163</v>
      </c>
      <c r="O314">
        <v>2.5034000000000001</v>
      </c>
      <c r="P314">
        <v>2.4788999999999999</v>
      </c>
      <c r="Q314">
        <v>2.6497000000000002</v>
      </c>
      <c r="R314" t="s">
        <v>46</v>
      </c>
      <c r="S314" t="s">
        <v>46</v>
      </c>
      <c r="T314" t="s">
        <v>46</v>
      </c>
      <c r="U314" t="s">
        <v>46</v>
      </c>
      <c r="V314" t="s">
        <v>46</v>
      </c>
      <c r="W314" t="s">
        <v>46</v>
      </c>
      <c r="X314" t="s">
        <v>46</v>
      </c>
      <c r="Y314" t="s">
        <v>46</v>
      </c>
      <c r="Z314" t="s">
        <v>46</v>
      </c>
      <c r="AA314" t="s">
        <v>46</v>
      </c>
      <c r="AB314" t="s">
        <v>46</v>
      </c>
      <c r="AC314" t="s">
        <v>46</v>
      </c>
    </row>
    <row r="315" spans="1:29" x14ac:dyDescent="0.25">
      <c r="A315" t="s">
        <v>72</v>
      </c>
      <c r="B315" t="s">
        <v>73</v>
      </c>
      <c r="C315" t="s">
        <v>105</v>
      </c>
      <c r="D315" t="s">
        <v>106</v>
      </c>
      <c r="E315" t="s">
        <v>55</v>
      </c>
      <c r="F315">
        <v>55.217599999999997</v>
      </c>
      <c r="G315">
        <v>52.048999999999999</v>
      </c>
      <c r="H315">
        <v>49.726199999999999</v>
      </c>
      <c r="I315">
        <v>50.949100000000001</v>
      </c>
      <c r="J315">
        <v>52.4099</v>
      </c>
      <c r="K315">
        <v>48.152799999999999</v>
      </c>
      <c r="L315">
        <v>51.184100000000001</v>
      </c>
      <c r="M315">
        <v>48.919200000000004</v>
      </c>
      <c r="N315">
        <v>48.9773</v>
      </c>
      <c r="O315">
        <v>45.975299999999997</v>
      </c>
      <c r="P315">
        <v>47.9754</v>
      </c>
      <c r="Q315">
        <v>50.141300000000001</v>
      </c>
      <c r="R315" t="s">
        <v>46</v>
      </c>
      <c r="S315" t="s">
        <v>46</v>
      </c>
      <c r="T315" t="s">
        <v>46</v>
      </c>
      <c r="U315" t="s">
        <v>46</v>
      </c>
      <c r="V315" t="s">
        <v>46</v>
      </c>
      <c r="W315" t="s">
        <v>46</v>
      </c>
      <c r="X315" t="s">
        <v>46</v>
      </c>
      <c r="Y315" t="s">
        <v>46</v>
      </c>
      <c r="Z315" t="s">
        <v>46</v>
      </c>
      <c r="AA315" t="s">
        <v>46</v>
      </c>
      <c r="AB315" t="s">
        <v>46</v>
      </c>
      <c r="AC315" t="s">
        <v>46</v>
      </c>
    </row>
    <row r="316" spans="1:29" x14ac:dyDescent="0.25">
      <c r="A316" t="s">
        <v>74</v>
      </c>
      <c r="B316" t="s">
        <v>75</v>
      </c>
      <c r="C316" t="s">
        <v>105</v>
      </c>
      <c r="D316" t="s">
        <v>106</v>
      </c>
      <c r="E316" t="s">
        <v>55</v>
      </c>
      <c r="F316">
        <v>13.267300000000001</v>
      </c>
      <c r="G316">
        <v>11.414999999999999</v>
      </c>
      <c r="H316">
        <v>12.2418</v>
      </c>
      <c r="I316">
        <v>8.6257000000000001</v>
      </c>
      <c r="J316">
        <v>9.0353999999999992</v>
      </c>
      <c r="K316">
        <v>8.8731000000000009</v>
      </c>
      <c r="L316">
        <v>6.8418999999999999</v>
      </c>
      <c r="M316">
        <v>0.91269999999999996</v>
      </c>
      <c r="N316">
        <v>1.3474999999999999</v>
      </c>
      <c r="O316">
        <v>1.4480999999999999</v>
      </c>
      <c r="P316">
        <v>2.1558000000000002</v>
      </c>
      <c r="Q316">
        <v>1.6145</v>
      </c>
      <c r="R316" t="s">
        <v>46</v>
      </c>
      <c r="S316" t="s">
        <v>46</v>
      </c>
      <c r="T316" t="s">
        <v>46</v>
      </c>
      <c r="U316" t="s">
        <v>46</v>
      </c>
      <c r="V316" t="s">
        <v>46</v>
      </c>
      <c r="W316" t="s">
        <v>46</v>
      </c>
      <c r="X316" t="s">
        <v>46</v>
      </c>
      <c r="Y316" t="s">
        <v>46</v>
      </c>
      <c r="Z316" t="s">
        <v>46</v>
      </c>
      <c r="AA316" t="s">
        <v>46</v>
      </c>
      <c r="AB316" t="s">
        <v>46</v>
      </c>
      <c r="AC316" t="s">
        <v>46</v>
      </c>
    </row>
    <row r="317" spans="1:29" x14ac:dyDescent="0.25">
      <c r="A317" t="s">
        <v>76</v>
      </c>
      <c r="B317" t="s">
        <v>77</v>
      </c>
      <c r="C317" t="s">
        <v>105</v>
      </c>
      <c r="D317" t="s">
        <v>106</v>
      </c>
      <c r="E317" t="s">
        <v>55</v>
      </c>
      <c r="F317">
        <v>66.408900000000003</v>
      </c>
      <c r="G317">
        <v>66.566800000000001</v>
      </c>
      <c r="H317">
        <v>67.663499999999999</v>
      </c>
      <c r="I317">
        <v>69.592299999999994</v>
      </c>
      <c r="J317">
        <v>67.074200000000005</v>
      </c>
      <c r="K317">
        <v>67.398300000000006</v>
      </c>
      <c r="L317">
        <v>71.419300000000007</v>
      </c>
      <c r="M317">
        <v>72.625699999999995</v>
      </c>
      <c r="N317">
        <v>69.681200000000004</v>
      </c>
      <c r="O317">
        <v>66.485600000000005</v>
      </c>
      <c r="P317">
        <v>68.785899999999998</v>
      </c>
      <c r="Q317">
        <v>71.135099999999994</v>
      </c>
      <c r="R317" t="s">
        <v>46</v>
      </c>
      <c r="S317" t="s">
        <v>46</v>
      </c>
      <c r="T317" t="s">
        <v>46</v>
      </c>
      <c r="U317" t="s">
        <v>46</v>
      </c>
      <c r="V317" t="s">
        <v>46</v>
      </c>
      <c r="W317" t="s">
        <v>46</v>
      </c>
      <c r="X317" t="s">
        <v>46</v>
      </c>
      <c r="Y317" t="s">
        <v>46</v>
      </c>
      <c r="Z317" t="s">
        <v>46</v>
      </c>
      <c r="AA317" t="s">
        <v>46</v>
      </c>
      <c r="AB317" t="s">
        <v>46</v>
      </c>
      <c r="AC317" t="s">
        <v>46</v>
      </c>
    </row>
    <row r="318" spans="1:29" x14ac:dyDescent="0.25">
      <c r="A318" t="s">
        <v>78</v>
      </c>
      <c r="B318" t="s">
        <v>79</v>
      </c>
      <c r="C318" t="s">
        <v>105</v>
      </c>
      <c r="D318" t="s">
        <v>106</v>
      </c>
      <c r="E318" t="s">
        <v>55</v>
      </c>
      <c r="F318">
        <v>6.5738000000000003</v>
      </c>
      <c r="G318">
        <v>6.3373999999999997</v>
      </c>
      <c r="H318">
        <v>6.2763999999999998</v>
      </c>
      <c r="I318">
        <v>6.3143000000000002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 t="s">
        <v>46</v>
      </c>
      <c r="S318" t="s">
        <v>46</v>
      </c>
      <c r="T318" t="s">
        <v>46</v>
      </c>
      <c r="U318" t="s">
        <v>46</v>
      </c>
      <c r="V318" t="s">
        <v>46</v>
      </c>
      <c r="W318" t="s">
        <v>46</v>
      </c>
      <c r="X318" t="s">
        <v>46</v>
      </c>
      <c r="Y318" t="s">
        <v>46</v>
      </c>
      <c r="Z318" t="s">
        <v>46</v>
      </c>
      <c r="AA318" t="s">
        <v>46</v>
      </c>
      <c r="AB318" t="s">
        <v>46</v>
      </c>
      <c r="AC318" t="s">
        <v>46</v>
      </c>
    </row>
    <row r="319" spans="1:29" x14ac:dyDescent="0.25">
      <c r="A319" t="s">
        <v>80</v>
      </c>
      <c r="B319" t="s">
        <v>81</v>
      </c>
      <c r="C319" t="s">
        <v>105</v>
      </c>
      <c r="D319" t="s">
        <v>106</v>
      </c>
      <c r="E319" t="s">
        <v>55</v>
      </c>
      <c r="F319">
        <v>77.530900000000003</v>
      </c>
      <c r="G319">
        <v>76.459999999999994</v>
      </c>
      <c r="H319">
        <v>78.335700000000003</v>
      </c>
      <c r="I319">
        <v>80.208200000000005</v>
      </c>
      <c r="J319">
        <v>74.573999999999998</v>
      </c>
      <c r="K319">
        <v>70.025300000000001</v>
      </c>
      <c r="L319">
        <v>67.100999999999999</v>
      </c>
      <c r="M319">
        <v>67.732600000000005</v>
      </c>
      <c r="N319">
        <v>68.457400000000007</v>
      </c>
      <c r="O319">
        <v>69.480699999999999</v>
      </c>
      <c r="P319">
        <v>63.354599999999998</v>
      </c>
      <c r="Q319">
        <v>65.360299999999995</v>
      </c>
      <c r="R319" t="s">
        <v>46</v>
      </c>
      <c r="S319" t="s">
        <v>46</v>
      </c>
      <c r="T319" t="s">
        <v>46</v>
      </c>
      <c r="U319" t="s">
        <v>46</v>
      </c>
      <c r="V319" t="s">
        <v>46</v>
      </c>
      <c r="W319" t="s">
        <v>46</v>
      </c>
      <c r="X319" t="s">
        <v>46</v>
      </c>
      <c r="Y319" t="s">
        <v>46</v>
      </c>
      <c r="Z319" t="s">
        <v>46</v>
      </c>
      <c r="AA319" t="s">
        <v>46</v>
      </c>
      <c r="AB319" t="s">
        <v>46</v>
      </c>
      <c r="AC319" t="s">
        <v>46</v>
      </c>
    </row>
    <row r="320" spans="1:29" x14ac:dyDescent="0.25">
      <c r="A320" t="s">
        <v>82</v>
      </c>
      <c r="B320" t="s">
        <v>83</v>
      </c>
      <c r="C320" t="s">
        <v>105</v>
      </c>
      <c r="D320" t="s">
        <v>106</v>
      </c>
      <c r="E320" t="s">
        <v>55</v>
      </c>
      <c r="F320">
        <v>8.6008999999999993</v>
      </c>
      <c r="G320">
        <v>7.6142000000000003</v>
      </c>
      <c r="H320">
        <v>6.4950000000000001</v>
      </c>
      <c r="I320">
        <v>6.9302999999999999</v>
      </c>
      <c r="J320">
        <v>6.7299999999999999E-2</v>
      </c>
      <c r="K320">
        <v>7.3400000000000007E-2</v>
      </c>
      <c r="L320">
        <v>0.08</v>
      </c>
      <c r="M320">
        <v>7.3700000000000002E-2</v>
      </c>
      <c r="N320">
        <v>0.28100000000000003</v>
      </c>
      <c r="O320">
        <v>9.2700000000000005E-2</v>
      </c>
      <c r="P320">
        <v>0.1018</v>
      </c>
      <c r="Q320">
        <v>0.11409999999999999</v>
      </c>
      <c r="R320" t="s">
        <v>46</v>
      </c>
      <c r="S320" t="s">
        <v>46</v>
      </c>
      <c r="T320" t="s">
        <v>46</v>
      </c>
      <c r="U320" t="s">
        <v>46</v>
      </c>
      <c r="V320" t="s">
        <v>46</v>
      </c>
      <c r="W320" t="s">
        <v>46</v>
      </c>
      <c r="X320" t="s">
        <v>46</v>
      </c>
      <c r="Y320" t="s">
        <v>46</v>
      </c>
      <c r="Z320" t="s">
        <v>46</v>
      </c>
      <c r="AA320" t="s">
        <v>46</v>
      </c>
      <c r="AB320" t="s">
        <v>46</v>
      </c>
      <c r="AC320" t="s">
        <v>46</v>
      </c>
    </row>
    <row r="321" spans="1:29" x14ac:dyDescent="0.25">
      <c r="A321" t="s">
        <v>84</v>
      </c>
      <c r="B321" t="s">
        <v>85</v>
      </c>
      <c r="C321" t="s">
        <v>105</v>
      </c>
      <c r="D321" t="s">
        <v>106</v>
      </c>
      <c r="E321" t="s">
        <v>55</v>
      </c>
      <c r="F321">
        <v>9.8568999999999996</v>
      </c>
      <c r="G321">
        <v>12.4537</v>
      </c>
      <c r="H321">
        <v>12.866300000000001</v>
      </c>
      <c r="I321">
        <v>10.061299999999999</v>
      </c>
      <c r="J321">
        <v>8.7684999999999995</v>
      </c>
      <c r="K321">
        <v>7.0053999999999998</v>
      </c>
      <c r="L321">
        <v>6.9501999999999997</v>
      </c>
      <c r="M321">
        <v>8.1151999999999997</v>
      </c>
      <c r="N321">
        <v>11.019600000000001</v>
      </c>
      <c r="O321">
        <v>7.8475999999999999</v>
      </c>
      <c r="P321">
        <v>7.5221</v>
      </c>
      <c r="Q321">
        <v>7.3621999999999996</v>
      </c>
      <c r="R321" t="s">
        <v>46</v>
      </c>
      <c r="S321" t="s">
        <v>46</v>
      </c>
      <c r="T321" t="s">
        <v>46</v>
      </c>
      <c r="U321" t="s">
        <v>46</v>
      </c>
      <c r="V321" t="s">
        <v>46</v>
      </c>
      <c r="W321" t="s">
        <v>46</v>
      </c>
      <c r="X321" t="s">
        <v>46</v>
      </c>
      <c r="Y321" t="s">
        <v>46</v>
      </c>
      <c r="Z321" t="s">
        <v>46</v>
      </c>
      <c r="AA321" t="s">
        <v>46</v>
      </c>
      <c r="AB321" t="s">
        <v>46</v>
      </c>
      <c r="AC321" t="s">
        <v>46</v>
      </c>
    </row>
    <row r="322" spans="1:29" x14ac:dyDescent="0.25">
      <c r="A322" t="s">
        <v>86</v>
      </c>
      <c r="B322" t="s">
        <v>87</v>
      </c>
      <c r="C322" t="s">
        <v>105</v>
      </c>
      <c r="D322" t="s">
        <v>106</v>
      </c>
      <c r="E322" t="s">
        <v>55</v>
      </c>
      <c r="F322">
        <v>14.8102</v>
      </c>
      <c r="G322">
        <v>17.107399999999998</v>
      </c>
      <c r="H322">
        <v>17.727699999999999</v>
      </c>
      <c r="I322">
        <v>16.864999999999998</v>
      </c>
      <c r="J322">
        <v>14.8409</v>
      </c>
      <c r="K322">
        <v>15.8903</v>
      </c>
      <c r="L322">
        <v>18.023299999999999</v>
      </c>
      <c r="M322">
        <v>19.002099999999999</v>
      </c>
      <c r="N322">
        <v>22.1709</v>
      </c>
      <c r="O322">
        <v>21.814699999999998</v>
      </c>
      <c r="P322">
        <v>20.466100000000001</v>
      </c>
      <c r="Q322">
        <v>21.208100000000002</v>
      </c>
      <c r="R322" t="s">
        <v>46</v>
      </c>
      <c r="S322" t="s">
        <v>46</v>
      </c>
      <c r="T322" t="s">
        <v>46</v>
      </c>
      <c r="U322" t="s">
        <v>46</v>
      </c>
      <c r="V322" t="s">
        <v>46</v>
      </c>
      <c r="W322" t="s">
        <v>46</v>
      </c>
      <c r="X322" t="s">
        <v>46</v>
      </c>
      <c r="Y322" t="s">
        <v>46</v>
      </c>
      <c r="Z322" t="s">
        <v>46</v>
      </c>
      <c r="AA322" t="s">
        <v>46</v>
      </c>
      <c r="AB322" t="s">
        <v>46</v>
      </c>
      <c r="AC322" t="s">
        <v>46</v>
      </c>
    </row>
    <row r="323" spans="1:29" x14ac:dyDescent="0.25">
      <c r="A323" t="s">
        <v>51</v>
      </c>
      <c r="B323" t="s">
        <v>52</v>
      </c>
      <c r="C323" t="s">
        <v>108</v>
      </c>
      <c r="D323" t="s">
        <v>109</v>
      </c>
      <c r="E323" t="s">
        <v>55</v>
      </c>
      <c r="F323">
        <v>21.419799999999999</v>
      </c>
      <c r="G323">
        <v>21.6783</v>
      </c>
      <c r="H323">
        <v>0.15279999999999999</v>
      </c>
      <c r="I323">
        <v>0.1696</v>
      </c>
      <c r="J323">
        <v>0.1757</v>
      </c>
      <c r="K323">
        <v>0.18859999999999999</v>
      </c>
      <c r="L323">
        <v>0.23319999999999999</v>
      </c>
      <c r="M323">
        <v>0.28360000000000002</v>
      </c>
      <c r="N323">
        <v>0.27629999999999999</v>
      </c>
      <c r="O323">
        <v>0.25480000000000003</v>
      </c>
      <c r="P323">
        <v>0.25819999999999999</v>
      </c>
      <c r="Q323">
        <v>0.31180000000000002</v>
      </c>
      <c r="R323" t="s">
        <v>46</v>
      </c>
      <c r="S323" t="s">
        <v>46</v>
      </c>
      <c r="T323" t="s">
        <v>46</v>
      </c>
      <c r="U323" t="s">
        <v>46</v>
      </c>
      <c r="V323" t="s">
        <v>46</v>
      </c>
      <c r="W323" t="s">
        <v>46</v>
      </c>
      <c r="X323" t="s">
        <v>46</v>
      </c>
      <c r="Y323" t="s">
        <v>46</v>
      </c>
      <c r="Z323" t="s">
        <v>46</v>
      </c>
      <c r="AA323" t="s">
        <v>46</v>
      </c>
      <c r="AB323" t="s">
        <v>46</v>
      </c>
      <c r="AC323" t="s">
        <v>46</v>
      </c>
    </row>
    <row r="324" spans="1:29" x14ac:dyDescent="0.25">
      <c r="A324" t="s">
        <v>56</v>
      </c>
      <c r="B324" t="s">
        <v>57</v>
      </c>
      <c r="C324" t="s">
        <v>108</v>
      </c>
      <c r="D324" t="s">
        <v>109</v>
      </c>
      <c r="E324" t="s">
        <v>55</v>
      </c>
      <c r="F324">
        <v>17.552099999999999</v>
      </c>
      <c r="G324">
        <v>7.8567999999999998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3.3275999999999999</v>
      </c>
      <c r="O324">
        <v>0</v>
      </c>
      <c r="P324">
        <v>0</v>
      </c>
      <c r="Q324">
        <v>0</v>
      </c>
      <c r="R324" t="s">
        <v>46</v>
      </c>
      <c r="S324" t="s">
        <v>46</v>
      </c>
      <c r="T324" t="s">
        <v>46</v>
      </c>
      <c r="U324" t="s">
        <v>46</v>
      </c>
      <c r="V324" t="s">
        <v>46</v>
      </c>
      <c r="W324" t="s">
        <v>46</v>
      </c>
      <c r="X324" t="s">
        <v>46</v>
      </c>
      <c r="Y324" t="s">
        <v>46</v>
      </c>
      <c r="Z324" t="s">
        <v>46</v>
      </c>
      <c r="AA324" t="s">
        <v>46</v>
      </c>
      <c r="AB324" t="s">
        <v>46</v>
      </c>
      <c r="AC324" t="s">
        <v>46</v>
      </c>
    </row>
    <row r="325" spans="1:29" x14ac:dyDescent="0.25">
      <c r="A325" t="s">
        <v>58</v>
      </c>
      <c r="B325" t="s">
        <v>59</v>
      </c>
      <c r="C325" t="s">
        <v>108</v>
      </c>
      <c r="D325" t="s">
        <v>109</v>
      </c>
      <c r="E325" t="s">
        <v>55</v>
      </c>
      <c r="F325" t="s">
        <v>46</v>
      </c>
      <c r="R325" t="s">
        <v>46</v>
      </c>
      <c r="S325" t="s">
        <v>46</v>
      </c>
      <c r="T325" t="s">
        <v>46</v>
      </c>
      <c r="U325" t="s">
        <v>46</v>
      </c>
      <c r="V325" t="s">
        <v>46</v>
      </c>
      <c r="W325" t="s">
        <v>46</v>
      </c>
      <c r="X325" t="s">
        <v>46</v>
      </c>
      <c r="Y325" t="s">
        <v>46</v>
      </c>
      <c r="Z325" t="s">
        <v>46</v>
      </c>
      <c r="AA325" t="s">
        <v>46</v>
      </c>
      <c r="AB325" t="s">
        <v>46</v>
      </c>
      <c r="AC325" t="s">
        <v>46</v>
      </c>
    </row>
    <row r="326" spans="1:29" x14ac:dyDescent="0.25">
      <c r="A326" t="s">
        <v>60</v>
      </c>
      <c r="B326" t="s">
        <v>61</v>
      </c>
      <c r="C326" t="s">
        <v>108</v>
      </c>
      <c r="D326" t="s">
        <v>109</v>
      </c>
      <c r="E326" t="s">
        <v>55</v>
      </c>
      <c r="F326" t="s">
        <v>46</v>
      </c>
      <c r="G326">
        <v>48.628100000000003</v>
      </c>
      <c r="R326" t="s">
        <v>46</v>
      </c>
      <c r="S326" t="s">
        <v>46</v>
      </c>
      <c r="T326" t="s">
        <v>46</v>
      </c>
      <c r="U326" t="s">
        <v>46</v>
      </c>
      <c r="V326" t="s">
        <v>46</v>
      </c>
      <c r="W326" t="s">
        <v>46</v>
      </c>
      <c r="X326" t="s">
        <v>46</v>
      </c>
      <c r="Y326" t="s">
        <v>46</v>
      </c>
      <c r="Z326" t="s">
        <v>46</v>
      </c>
      <c r="AA326" t="s">
        <v>46</v>
      </c>
      <c r="AB326" t="s">
        <v>46</v>
      </c>
      <c r="AC326" t="s">
        <v>46</v>
      </c>
    </row>
    <row r="327" spans="1:29" x14ac:dyDescent="0.25">
      <c r="A327" t="s">
        <v>62</v>
      </c>
      <c r="B327" t="s">
        <v>63</v>
      </c>
      <c r="C327" t="s">
        <v>108</v>
      </c>
      <c r="D327" t="s">
        <v>109</v>
      </c>
      <c r="E327" t="s">
        <v>55</v>
      </c>
      <c r="F327">
        <v>61.633899999999997</v>
      </c>
      <c r="G327">
        <v>42.4206</v>
      </c>
      <c r="H327">
        <v>33.863599999999998</v>
      </c>
      <c r="I327">
        <v>37.961300000000001</v>
      </c>
      <c r="J327">
        <v>30.6203</v>
      </c>
      <c r="K327">
        <v>31.539400000000001</v>
      </c>
      <c r="L327">
        <v>26.940100000000001</v>
      </c>
      <c r="M327">
        <v>27.381399999999999</v>
      </c>
      <c r="N327">
        <v>25.970700000000001</v>
      </c>
      <c r="O327">
        <v>27.817299999999999</v>
      </c>
      <c r="P327">
        <v>30.019600000000001</v>
      </c>
      <c r="Q327">
        <v>26.036899999999999</v>
      </c>
      <c r="R327" t="s">
        <v>46</v>
      </c>
      <c r="S327" t="s">
        <v>46</v>
      </c>
      <c r="T327" t="s">
        <v>46</v>
      </c>
      <c r="U327" t="s">
        <v>46</v>
      </c>
      <c r="V327" t="s">
        <v>46</v>
      </c>
      <c r="W327" t="s">
        <v>46</v>
      </c>
      <c r="X327" t="s">
        <v>46</v>
      </c>
      <c r="Y327" t="s">
        <v>46</v>
      </c>
      <c r="Z327" t="s">
        <v>46</v>
      </c>
      <c r="AA327" t="s">
        <v>46</v>
      </c>
      <c r="AB327" t="s">
        <v>46</v>
      </c>
      <c r="AC327" t="s">
        <v>46</v>
      </c>
    </row>
    <row r="328" spans="1:29" x14ac:dyDescent="0.25">
      <c r="A328" t="s">
        <v>64</v>
      </c>
      <c r="B328" t="s">
        <v>65</v>
      </c>
      <c r="C328" t="s">
        <v>108</v>
      </c>
      <c r="D328" t="s">
        <v>109</v>
      </c>
      <c r="E328" t="s">
        <v>55</v>
      </c>
      <c r="F328">
        <v>32.026800000000001</v>
      </c>
      <c r="G328">
        <v>15.5235</v>
      </c>
      <c r="H328">
        <v>15.8849</v>
      </c>
      <c r="I328">
        <v>15.667300000000001</v>
      </c>
      <c r="J328">
        <v>14.4666</v>
      </c>
      <c r="K328">
        <v>6.5213999999999999</v>
      </c>
      <c r="L328">
        <v>6.5949999999999998</v>
      </c>
      <c r="M328">
        <v>7.0342000000000002</v>
      </c>
      <c r="N328">
        <v>7.0349000000000004</v>
      </c>
      <c r="O328">
        <v>8.1826000000000008</v>
      </c>
      <c r="P328">
        <v>7.4961000000000002</v>
      </c>
      <c r="Q328">
        <v>9.4534000000000002</v>
      </c>
      <c r="R328" t="s">
        <v>46</v>
      </c>
      <c r="S328" t="s">
        <v>46</v>
      </c>
      <c r="T328" t="s">
        <v>46</v>
      </c>
      <c r="U328" t="s">
        <v>46</v>
      </c>
      <c r="V328" t="s">
        <v>46</v>
      </c>
      <c r="W328" t="s">
        <v>46</v>
      </c>
      <c r="X328" t="s">
        <v>46</v>
      </c>
      <c r="Y328" t="s">
        <v>46</v>
      </c>
      <c r="Z328" t="s">
        <v>46</v>
      </c>
      <c r="AA328" t="s">
        <v>46</v>
      </c>
      <c r="AB328" t="s">
        <v>46</v>
      </c>
      <c r="AC328" t="s">
        <v>46</v>
      </c>
    </row>
    <row r="329" spans="1:29" x14ac:dyDescent="0.25">
      <c r="A329" t="s">
        <v>66</v>
      </c>
      <c r="B329" t="s">
        <v>67</v>
      </c>
      <c r="C329" t="s">
        <v>108</v>
      </c>
      <c r="D329" t="s">
        <v>109</v>
      </c>
      <c r="E329" t="s">
        <v>55</v>
      </c>
      <c r="F329">
        <v>144.41999999999999</v>
      </c>
      <c r="G329">
        <v>127.6699</v>
      </c>
      <c r="H329">
        <v>92.885599999999997</v>
      </c>
      <c r="I329">
        <v>93.49</v>
      </c>
      <c r="J329">
        <v>63.310499999999998</v>
      </c>
      <c r="K329">
        <v>46.581499999999998</v>
      </c>
      <c r="L329">
        <v>45.0443</v>
      </c>
      <c r="M329">
        <v>56.138399999999997</v>
      </c>
      <c r="N329">
        <v>56.215800000000002</v>
      </c>
      <c r="O329">
        <v>56.142699999999998</v>
      </c>
      <c r="P329">
        <v>59.698900000000002</v>
      </c>
      <c r="Q329">
        <v>61.578499999999998</v>
      </c>
      <c r="R329" t="s">
        <v>46</v>
      </c>
      <c r="S329" t="s">
        <v>46</v>
      </c>
      <c r="T329" t="s">
        <v>46</v>
      </c>
      <c r="U329" t="s">
        <v>46</v>
      </c>
      <c r="V329" t="s">
        <v>46</v>
      </c>
      <c r="W329" t="s">
        <v>46</v>
      </c>
      <c r="X329" t="s">
        <v>46</v>
      </c>
      <c r="Y329" t="s">
        <v>46</v>
      </c>
      <c r="Z329" t="s">
        <v>46</v>
      </c>
      <c r="AA329" t="s">
        <v>46</v>
      </c>
      <c r="AB329" t="s">
        <v>46</v>
      </c>
      <c r="AC329" t="s">
        <v>46</v>
      </c>
    </row>
    <row r="330" spans="1:29" x14ac:dyDescent="0.25">
      <c r="A330" t="s">
        <v>68</v>
      </c>
      <c r="B330" t="s">
        <v>69</v>
      </c>
      <c r="C330" t="s">
        <v>108</v>
      </c>
      <c r="D330" t="s">
        <v>109</v>
      </c>
      <c r="E330" t="s">
        <v>55</v>
      </c>
      <c r="F330">
        <v>224.0788</v>
      </c>
      <c r="G330">
        <v>115.273</v>
      </c>
      <c r="H330">
        <v>121.72490000000001</v>
      </c>
      <c r="I330">
        <v>99.126300000000001</v>
      </c>
      <c r="J330">
        <v>63.215400000000002</v>
      </c>
      <c r="K330">
        <v>66.572699999999998</v>
      </c>
      <c r="L330">
        <v>59.364699999999999</v>
      </c>
      <c r="M330">
        <v>59.708799999999997</v>
      </c>
      <c r="N330">
        <v>57.888300000000001</v>
      </c>
      <c r="O330">
        <v>64.687200000000004</v>
      </c>
      <c r="P330">
        <v>68.161799999999999</v>
      </c>
      <c r="Q330">
        <v>60.3645</v>
      </c>
      <c r="R330" t="s">
        <v>46</v>
      </c>
      <c r="S330" t="s">
        <v>46</v>
      </c>
      <c r="T330" t="s">
        <v>46</v>
      </c>
      <c r="U330" t="s">
        <v>46</v>
      </c>
      <c r="V330" t="s">
        <v>46</v>
      </c>
      <c r="W330" t="s">
        <v>46</v>
      </c>
      <c r="X330" t="s">
        <v>46</v>
      </c>
      <c r="Y330" t="s">
        <v>46</v>
      </c>
      <c r="Z330" t="s">
        <v>46</v>
      </c>
      <c r="AA330" t="s">
        <v>46</v>
      </c>
      <c r="AB330" t="s">
        <v>46</v>
      </c>
      <c r="AC330" t="s">
        <v>46</v>
      </c>
    </row>
    <row r="331" spans="1:29" x14ac:dyDescent="0.25">
      <c r="A331" t="s">
        <v>70</v>
      </c>
      <c r="B331" t="s">
        <v>71</v>
      </c>
      <c r="C331" t="s">
        <v>108</v>
      </c>
      <c r="D331" t="s">
        <v>109</v>
      </c>
      <c r="E331" t="s">
        <v>55</v>
      </c>
      <c r="F331">
        <v>16.659700000000001</v>
      </c>
      <c r="G331">
        <v>16.5063</v>
      </c>
      <c r="H331">
        <v>15.4414</v>
      </c>
      <c r="I331">
        <v>16.281700000000001</v>
      </c>
      <c r="J331">
        <v>14.406499999999999</v>
      </c>
      <c r="K331">
        <v>1.9824999999999999</v>
      </c>
      <c r="L331">
        <v>2.0928</v>
      </c>
      <c r="M331">
        <v>2.2484000000000002</v>
      </c>
      <c r="N331">
        <v>2.3713000000000002</v>
      </c>
      <c r="O331">
        <v>2.5676000000000001</v>
      </c>
      <c r="P331">
        <v>2.5419</v>
      </c>
      <c r="Q331">
        <v>2.7218</v>
      </c>
      <c r="R331" t="s">
        <v>46</v>
      </c>
      <c r="S331" t="s">
        <v>46</v>
      </c>
      <c r="T331" t="s">
        <v>46</v>
      </c>
      <c r="U331" t="s">
        <v>46</v>
      </c>
      <c r="V331" t="s">
        <v>46</v>
      </c>
      <c r="W331" t="s">
        <v>46</v>
      </c>
      <c r="X331" t="s">
        <v>46</v>
      </c>
      <c r="Y331" t="s">
        <v>46</v>
      </c>
      <c r="Z331" t="s">
        <v>46</v>
      </c>
      <c r="AA331" t="s">
        <v>46</v>
      </c>
      <c r="AB331" t="s">
        <v>46</v>
      </c>
      <c r="AC331" t="s">
        <v>46</v>
      </c>
    </row>
    <row r="332" spans="1:29" x14ac:dyDescent="0.25">
      <c r="A332" t="s">
        <v>72</v>
      </c>
      <c r="B332" t="s">
        <v>73</v>
      </c>
      <c r="C332" t="s">
        <v>108</v>
      </c>
      <c r="D332" t="s">
        <v>109</v>
      </c>
      <c r="E332" t="s">
        <v>55</v>
      </c>
      <c r="F332">
        <v>123.3019</v>
      </c>
      <c r="G332">
        <v>108.54640000000001</v>
      </c>
      <c r="H332">
        <v>98.910700000000006</v>
      </c>
      <c r="I332">
        <v>103.86969999999999</v>
      </c>
      <c r="J332">
        <v>110.1276</v>
      </c>
      <c r="K332">
        <v>92.874600000000001</v>
      </c>
      <c r="L332">
        <v>104.8514</v>
      </c>
      <c r="M332">
        <v>95.768199999999993</v>
      </c>
      <c r="N332">
        <v>95.991100000000003</v>
      </c>
      <c r="O332">
        <v>85.100700000000003</v>
      </c>
      <c r="P332">
        <v>92.216800000000006</v>
      </c>
      <c r="Q332">
        <v>100.5669</v>
      </c>
      <c r="R332" t="s">
        <v>46</v>
      </c>
      <c r="S332" t="s">
        <v>46</v>
      </c>
      <c r="T332" t="s">
        <v>46</v>
      </c>
      <c r="U332" t="s">
        <v>46</v>
      </c>
      <c r="V332" t="s">
        <v>46</v>
      </c>
      <c r="W332" t="s">
        <v>46</v>
      </c>
      <c r="X332" t="s">
        <v>46</v>
      </c>
      <c r="Y332" t="s">
        <v>46</v>
      </c>
      <c r="Z332" t="s">
        <v>46</v>
      </c>
      <c r="AA332" t="s">
        <v>46</v>
      </c>
      <c r="AB332" t="s">
        <v>46</v>
      </c>
      <c r="AC332" t="s">
        <v>46</v>
      </c>
    </row>
    <row r="333" spans="1:29" x14ac:dyDescent="0.25">
      <c r="A333" t="s">
        <v>74</v>
      </c>
      <c r="B333" t="s">
        <v>75</v>
      </c>
      <c r="C333" t="s">
        <v>108</v>
      </c>
      <c r="D333" t="s">
        <v>109</v>
      </c>
      <c r="E333" t="s">
        <v>55</v>
      </c>
      <c r="F333">
        <v>15.296799999999999</v>
      </c>
      <c r="G333">
        <v>12.885899999999999</v>
      </c>
      <c r="H333">
        <v>13.949400000000001</v>
      </c>
      <c r="I333">
        <v>9.44</v>
      </c>
      <c r="J333">
        <v>9.9328000000000003</v>
      </c>
      <c r="K333">
        <v>9.7370999999999999</v>
      </c>
      <c r="L333">
        <v>7.3444000000000003</v>
      </c>
      <c r="M333">
        <v>0.92110000000000003</v>
      </c>
      <c r="N333">
        <v>1.3658999999999999</v>
      </c>
      <c r="O333">
        <v>1.4693000000000001</v>
      </c>
      <c r="P333">
        <v>2.2033</v>
      </c>
      <c r="Q333">
        <v>1.641</v>
      </c>
      <c r="R333" t="s">
        <v>46</v>
      </c>
      <c r="S333" t="s">
        <v>46</v>
      </c>
      <c r="T333" t="s">
        <v>46</v>
      </c>
      <c r="U333" t="s">
        <v>46</v>
      </c>
      <c r="V333" t="s">
        <v>46</v>
      </c>
      <c r="W333" t="s">
        <v>46</v>
      </c>
      <c r="X333" t="s">
        <v>46</v>
      </c>
      <c r="Y333" t="s">
        <v>46</v>
      </c>
      <c r="Z333" t="s">
        <v>46</v>
      </c>
      <c r="AA333" t="s">
        <v>46</v>
      </c>
      <c r="AB333" t="s">
        <v>46</v>
      </c>
      <c r="AC333" t="s">
        <v>46</v>
      </c>
    </row>
    <row r="334" spans="1:29" x14ac:dyDescent="0.25">
      <c r="A334" t="s">
        <v>76</v>
      </c>
      <c r="B334" t="s">
        <v>77</v>
      </c>
      <c r="C334" t="s">
        <v>108</v>
      </c>
      <c r="D334" t="s">
        <v>109</v>
      </c>
      <c r="E334" t="s">
        <v>55</v>
      </c>
      <c r="F334">
        <v>197.69820000000001</v>
      </c>
      <c r="G334">
        <v>199.1037</v>
      </c>
      <c r="H334">
        <v>209.24799999999999</v>
      </c>
      <c r="I334">
        <v>228.86449999999999</v>
      </c>
      <c r="J334">
        <v>203.7132</v>
      </c>
      <c r="K334">
        <v>206.73230000000001</v>
      </c>
      <c r="L334">
        <v>249.88669999999999</v>
      </c>
      <c r="M334">
        <v>265.3057</v>
      </c>
      <c r="N334">
        <v>229.8287</v>
      </c>
      <c r="O334">
        <v>198.37889999999999</v>
      </c>
      <c r="P334">
        <v>220.36760000000001</v>
      </c>
      <c r="Q334">
        <v>246.44120000000001</v>
      </c>
      <c r="R334" t="s">
        <v>46</v>
      </c>
      <c r="S334" t="s">
        <v>46</v>
      </c>
      <c r="T334" t="s">
        <v>46</v>
      </c>
      <c r="U334" t="s">
        <v>46</v>
      </c>
      <c r="V334" t="s">
        <v>46</v>
      </c>
      <c r="W334" t="s">
        <v>46</v>
      </c>
      <c r="X334" t="s">
        <v>46</v>
      </c>
      <c r="Y334" t="s">
        <v>46</v>
      </c>
      <c r="Z334" t="s">
        <v>46</v>
      </c>
      <c r="AA334" t="s">
        <v>46</v>
      </c>
      <c r="AB334" t="s">
        <v>46</v>
      </c>
      <c r="AC334" t="s">
        <v>46</v>
      </c>
    </row>
    <row r="335" spans="1:29" x14ac:dyDescent="0.25">
      <c r="A335" t="s">
        <v>78</v>
      </c>
      <c r="B335" t="s">
        <v>79</v>
      </c>
      <c r="C335" t="s">
        <v>108</v>
      </c>
      <c r="D335" t="s">
        <v>109</v>
      </c>
      <c r="E335" t="s">
        <v>55</v>
      </c>
      <c r="F335">
        <v>7.0362999999999998</v>
      </c>
      <c r="G335">
        <v>6.7661999999999995</v>
      </c>
      <c r="H335">
        <v>6.6966999999999999</v>
      </c>
      <c r="I335">
        <v>6.7397999999999998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 t="s">
        <v>46</v>
      </c>
      <c r="S335" t="s">
        <v>46</v>
      </c>
      <c r="T335" t="s">
        <v>46</v>
      </c>
      <c r="U335" t="s">
        <v>46</v>
      </c>
      <c r="V335" t="s">
        <v>46</v>
      </c>
      <c r="W335" t="s">
        <v>46</v>
      </c>
      <c r="X335" t="s">
        <v>46</v>
      </c>
      <c r="Y335" t="s">
        <v>46</v>
      </c>
      <c r="Z335" t="s">
        <v>46</v>
      </c>
      <c r="AA335" t="s">
        <v>46</v>
      </c>
      <c r="AB335" t="s">
        <v>46</v>
      </c>
      <c r="AC335" t="s">
        <v>46</v>
      </c>
    </row>
    <row r="336" spans="1:29" x14ac:dyDescent="0.25">
      <c r="A336" t="s">
        <v>80</v>
      </c>
      <c r="B336" t="s">
        <v>81</v>
      </c>
      <c r="C336" t="s">
        <v>108</v>
      </c>
      <c r="D336" t="s">
        <v>109</v>
      </c>
      <c r="E336" t="s">
        <v>55</v>
      </c>
      <c r="F336">
        <v>345.0566</v>
      </c>
      <c r="G336">
        <v>324.80939999999998</v>
      </c>
      <c r="H336">
        <v>361.58819999999997</v>
      </c>
      <c r="I336">
        <v>405.25990000000002</v>
      </c>
      <c r="J336">
        <v>293.29759999999999</v>
      </c>
      <c r="K336">
        <v>233.61490000000001</v>
      </c>
      <c r="L336">
        <v>203.96100000000001</v>
      </c>
      <c r="M336">
        <v>209.90989999999999</v>
      </c>
      <c r="N336">
        <v>217.03120000000001</v>
      </c>
      <c r="O336">
        <v>227.66149999999999</v>
      </c>
      <c r="P336">
        <v>172.88560000000001</v>
      </c>
      <c r="Q336">
        <v>188.68639999999999</v>
      </c>
      <c r="R336" t="s">
        <v>46</v>
      </c>
      <c r="S336" t="s">
        <v>46</v>
      </c>
      <c r="T336" t="s">
        <v>46</v>
      </c>
      <c r="U336" t="s">
        <v>46</v>
      </c>
      <c r="V336" t="s">
        <v>46</v>
      </c>
      <c r="W336" t="s">
        <v>46</v>
      </c>
      <c r="X336" t="s">
        <v>46</v>
      </c>
      <c r="Y336" t="s">
        <v>46</v>
      </c>
      <c r="Z336" t="s">
        <v>46</v>
      </c>
      <c r="AA336" t="s">
        <v>46</v>
      </c>
      <c r="AB336" t="s">
        <v>46</v>
      </c>
      <c r="AC336" t="s">
        <v>46</v>
      </c>
    </row>
    <row r="337" spans="1:29" x14ac:dyDescent="0.25">
      <c r="A337" t="s">
        <v>82</v>
      </c>
      <c r="B337" t="s">
        <v>83</v>
      </c>
      <c r="C337" t="s">
        <v>108</v>
      </c>
      <c r="D337" t="s">
        <v>109</v>
      </c>
      <c r="E337" t="s">
        <v>55</v>
      </c>
      <c r="F337">
        <v>9.4101999999999997</v>
      </c>
      <c r="G337">
        <v>8.2416999999999998</v>
      </c>
      <c r="H337">
        <v>6.9461000000000004</v>
      </c>
      <c r="I337">
        <v>7.4463999999999997</v>
      </c>
      <c r="J337">
        <v>6.7400000000000002E-2</v>
      </c>
      <c r="K337">
        <v>7.3499999999999996E-2</v>
      </c>
      <c r="L337">
        <v>8.0100000000000005E-2</v>
      </c>
      <c r="M337">
        <v>7.3700000000000002E-2</v>
      </c>
      <c r="N337">
        <v>0.28179999999999999</v>
      </c>
      <c r="O337">
        <v>9.2700000000000005E-2</v>
      </c>
      <c r="P337">
        <v>0.1019</v>
      </c>
      <c r="Q337">
        <v>0.1142</v>
      </c>
      <c r="R337" t="s">
        <v>46</v>
      </c>
      <c r="S337" t="s">
        <v>46</v>
      </c>
      <c r="T337" t="s">
        <v>46</v>
      </c>
      <c r="U337" t="s">
        <v>46</v>
      </c>
      <c r="V337" t="s">
        <v>46</v>
      </c>
      <c r="W337" t="s">
        <v>46</v>
      </c>
      <c r="X337" t="s">
        <v>46</v>
      </c>
      <c r="Y337" t="s">
        <v>46</v>
      </c>
      <c r="Z337" t="s">
        <v>46</v>
      </c>
      <c r="AA337" t="s">
        <v>46</v>
      </c>
      <c r="AB337" t="s">
        <v>46</v>
      </c>
      <c r="AC337" t="s">
        <v>46</v>
      </c>
    </row>
    <row r="338" spans="1:29" x14ac:dyDescent="0.25">
      <c r="A338" t="s">
        <v>84</v>
      </c>
      <c r="B338" t="s">
        <v>85</v>
      </c>
      <c r="C338" t="s">
        <v>108</v>
      </c>
      <c r="D338" t="s">
        <v>109</v>
      </c>
      <c r="E338" t="s">
        <v>55</v>
      </c>
      <c r="F338">
        <v>10.934699999999999</v>
      </c>
      <c r="G338">
        <v>14.225300000000001</v>
      </c>
      <c r="H338">
        <v>14.7661</v>
      </c>
      <c r="I338">
        <v>11.1869</v>
      </c>
      <c r="J338">
        <v>9.6113</v>
      </c>
      <c r="K338">
        <v>7.5331000000000001</v>
      </c>
      <c r="L338">
        <v>7.4692999999999996</v>
      </c>
      <c r="M338">
        <v>8.8318999999999992</v>
      </c>
      <c r="N338">
        <v>12.3843</v>
      </c>
      <c r="O338">
        <v>8.5159000000000002</v>
      </c>
      <c r="P338">
        <v>8.1339000000000006</v>
      </c>
      <c r="Q338">
        <v>7.9473000000000003</v>
      </c>
      <c r="R338" t="s">
        <v>46</v>
      </c>
      <c r="S338" t="s">
        <v>46</v>
      </c>
      <c r="T338" t="s">
        <v>46</v>
      </c>
      <c r="U338" t="s">
        <v>46</v>
      </c>
      <c r="V338" t="s">
        <v>46</v>
      </c>
      <c r="W338" t="s">
        <v>46</v>
      </c>
      <c r="X338" t="s">
        <v>46</v>
      </c>
      <c r="Y338" t="s">
        <v>46</v>
      </c>
      <c r="Z338" t="s">
        <v>46</v>
      </c>
      <c r="AA338" t="s">
        <v>46</v>
      </c>
      <c r="AB338" t="s">
        <v>46</v>
      </c>
      <c r="AC338" t="s">
        <v>46</v>
      </c>
    </row>
    <row r="339" spans="1:29" x14ac:dyDescent="0.25">
      <c r="A339" t="s">
        <v>86</v>
      </c>
      <c r="B339" t="s">
        <v>87</v>
      </c>
      <c r="C339" t="s">
        <v>108</v>
      </c>
      <c r="D339" t="s">
        <v>109</v>
      </c>
      <c r="E339" t="s">
        <v>55</v>
      </c>
      <c r="F339">
        <v>17.385000000000002</v>
      </c>
      <c r="G339">
        <v>20.638000000000002</v>
      </c>
      <c r="H339">
        <v>21.547599999999999</v>
      </c>
      <c r="I339">
        <v>20.286200000000001</v>
      </c>
      <c r="J339">
        <v>17.427299999999999</v>
      </c>
      <c r="K339">
        <v>18.892299999999999</v>
      </c>
      <c r="L339">
        <v>21.985800000000001</v>
      </c>
      <c r="M339">
        <v>23.46</v>
      </c>
      <c r="N339">
        <v>28.486699999999999</v>
      </c>
      <c r="O339">
        <v>27.901299999999999</v>
      </c>
      <c r="P339">
        <v>25.732600000000001</v>
      </c>
      <c r="Q339">
        <v>26.916599999999999</v>
      </c>
      <c r="R339" t="s">
        <v>46</v>
      </c>
      <c r="S339" t="s">
        <v>46</v>
      </c>
      <c r="T339" t="s">
        <v>46</v>
      </c>
      <c r="U339" t="s">
        <v>46</v>
      </c>
      <c r="V339" t="s">
        <v>46</v>
      </c>
      <c r="W339" t="s">
        <v>46</v>
      </c>
      <c r="X339" t="s">
        <v>46</v>
      </c>
      <c r="Y339" t="s">
        <v>46</v>
      </c>
      <c r="Z339" t="s">
        <v>46</v>
      </c>
      <c r="AA339" t="s">
        <v>46</v>
      </c>
      <c r="AB339" t="s">
        <v>46</v>
      </c>
      <c r="AC339" t="s">
        <v>46</v>
      </c>
    </row>
    <row r="340" spans="1:29" x14ac:dyDescent="0.25">
      <c r="A340" t="s">
        <v>51</v>
      </c>
      <c r="B340" t="s">
        <v>52</v>
      </c>
      <c r="C340" t="s">
        <v>112</v>
      </c>
      <c r="D340" t="s">
        <v>113</v>
      </c>
      <c r="E340" t="s">
        <v>55</v>
      </c>
      <c r="F340">
        <v>-3.1284999999999998</v>
      </c>
      <c r="G340">
        <v>-3.7446999999999999</v>
      </c>
      <c r="H340">
        <v>-9.3886000000000003</v>
      </c>
      <c r="I340">
        <v>-7.3132999999999999</v>
      </c>
      <c r="J340">
        <v>-6.8455000000000004</v>
      </c>
      <c r="K340">
        <v>-6.6584000000000003</v>
      </c>
      <c r="L340">
        <v>-7.7061999999999999</v>
      </c>
      <c r="M340">
        <v>-5.9629000000000003</v>
      </c>
      <c r="N340">
        <v>-5.4405999999999999</v>
      </c>
      <c r="O340">
        <v>-5.5693000000000001</v>
      </c>
      <c r="P340">
        <v>-6.2347000000000001</v>
      </c>
      <c r="Q340">
        <v>-5.0960999999999999</v>
      </c>
      <c r="R340" t="s">
        <v>46</v>
      </c>
      <c r="S340" t="s">
        <v>46</v>
      </c>
      <c r="T340" t="s">
        <v>46</v>
      </c>
      <c r="U340" t="s">
        <v>46</v>
      </c>
      <c r="V340" t="s">
        <v>46</v>
      </c>
      <c r="W340" t="s">
        <v>46</v>
      </c>
      <c r="X340" t="s">
        <v>46</v>
      </c>
      <c r="Y340" t="s">
        <v>46</v>
      </c>
      <c r="Z340" t="s">
        <v>46</v>
      </c>
      <c r="AA340" t="s">
        <v>46</v>
      </c>
      <c r="AB340" t="s">
        <v>46</v>
      </c>
      <c r="AC340" t="s">
        <v>46</v>
      </c>
    </row>
    <row r="341" spans="1:29" x14ac:dyDescent="0.25">
      <c r="A341" t="s">
        <v>56</v>
      </c>
      <c r="B341" t="s">
        <v>57</v>
      </c>
      <c r="C341" t="s">
        <v>112</v>
      </c>
      <c r="D341" t="s">
        <v>113</v>
      </c>
      <c r="E341" t="s">
        <v>55</v>
      </c>
      <c r="F341">
        <v>-0.99539999999999995</v>
      </c>
      <c r="G341">
        <v>-1.5076000000000001</v>
      </c>
      <c r="H341">
        <v>-3.464</v>
      </c>
      <c r="I341">
        <v>-3.3388999999999998</v>
      </c>
      <c r="J341">
        <v>-3.2423000000000002</v>
      </c>
      <c r="K341">
        <v>-3.2865000000000002</v>
      </c>
      <c r="L341">
        <v>-3.6597</v>
      </c>
      <c r="M341">
        <v>-3.9468999999999999</v>
      </c>
      <c r="N341">
        <v>-3.7873000000000001</v>
      </c>
      <c r="O341">
        <v>-6.6458000000000004</v>
      </c>
      <c r="P341">
        <v>-6.7031999999999998</v>
      </c>
      <c r="Q341">
        <v>-6.5397999999999996</v>
      </c>
      <c r="R341" t="s">
        <v>46</v>
      </c>
      <c r="S341" t="s">
        <v>46</v>
      </c>
      <c r="T341" t="s">
        <v>46</v>
      </c>
      <c r="U341" t="s">
        <v>46</v>
      </c>
      <c r="V341" t="s">
        <v>46</v>
      </c>
      <c r="W341" t="s">
        <v>46</v>
      </c>
      <c r="X341" t="s">
        <v>46</v>
      </c>
      <c r="Y341" t="s">
        <v>46</v>
      </c>
      <c r="Z341" t="s">
        <v>46</v>
      </c>
      <c r="AA341" t="s">
        <v>46</v>
      </c>
      <c r="AB341" t="s">
        <v>46</v>
      </c>
      <c r="AC341" t="s">
        <v>46</v>
      </c>
    </row>
    <row r="342" spans="1:29" x14ac:dyDescent="0.25">
      <c r="A342" t="s">
        <v>58</v>
      </c>
      <c r="B342" t="s">
        <v>59</v>
      </c>
      <c r="C342" t="s">
        <v>112</v>
      </c>
      <c r="D342" t="s">
        <v>113</v>
      </c>
      <c r="E342" t="s">
        <v>55</v>
      </c>
      <c r="F342" t="s">
        <v>46</v>
      </c>
      <c r="R342" t="s">
        <v>46</v>
      </c>
      <c r="S342" t="s">
        <v>46</v>
      </c>
      <c r="T342" t="s">
        <v>46</v>
      </c>
      <c r="U342" t="s">
        <v>46</v>
      </c>
      <c r="V342" t="s">
        <v>46</v>
      </c>
      <c r="W342" t="s">
        <v>46</v>
      </c>
      <c r="X342" t="s">
        <v>46</v>
      </c>
      <c r="Y342" t="s">
        <v>46</v>
      </c>
      <c r="Z342" t="s">
        <v>46</v>
      </c>
      <c r="AA342" t="s">
        <v>46</v>
      </c>
      <c r="AB342" t="s">
        <v>46</v>
      </c>
      <c r="AC342" t="s">
        <v>46</v>
      </c>
    </row>
    <row r="343" spans="1:29" x14ac:dyDescent="0.25">
      <c r="A343" t="s">
        <v>60</v>
      </c>
      <c r="B343" t="s">
        <v>61</v>
      </c>
      <c r="C343" t="s">
        <v>112</v>
      </c>
      <c r="D343" t="s">
        <v>113</v>
      </c>
      <c r="E343" t="s">
        <v>55</v>
      </c>
      <c r="F343" t="s">
        <v>46</v>
      </c>
      <c r="R343" t="s">
        <v>46</v>
      </c>
      <c r="S343" t="s">
        <v>46</v>
      </c>
      <c r="T343" t="s">
        <v>46</v>
      </c>
      <c r="U343" t="s">
        <v>46</v>
      </c>
      <c r="V343" t="s">
        <v>46</v>
      </c>
      <c r="W343" t="s">
        <v>46</v>
      </c>
      <c r="X343" t="s">
        <v>46</v>
      </c>
      <c r="Y343" t="s">
        <v>46</v>
      </c>
      <c r="Z343" t="s">
        <v>46</v>
      </c>
      <c r="AA343" t="s">
        <v>46</v>
      </c>
      <c r="AB343" t="s">
        <v>46</v>
      </c>
      <c r="AC343" t="s">
        <v>46</v>
      </c>
    </row>
    <row r="344" spans="1:29" x14ac:dyDescent="0.25">
      <c r="A344" t="s">
        <v>62</v>
      </c>
      <c r="B344" t="s">
        <v>63</v>
      </c>
      <c r="C344" t="s">
        <v>112</v>
      </c>
      <c r="D344" t="s">
        <v>113</v>
      </c>
      <c r="E344" t="s">
        <v>55</v>
      </c>
      <c r="F344" t="s">
        <v>46</v>
      </c>
      <c r="R344" t="s">
        <v>46</v>
      </c>
      <c r="S344" t="s">
        <v>46</v>
      </c>
      <c r="T344" t="s">
        <v>46</v>
      </c>
      <c r="U344" t="s">
        <v>46</v>
      </c>
      <c r="V344" t="s">
        <v>46</v>
      </c>
      <c r="W344" t="s">
        <v>46</v>
      </c>
      <c r="X344" t="s">
        <v>46</v>
      </c>
      <c r="Y344" t="s">
        <v>46</v>
      </c>
      <c r="Z344" t="s">
        <v>46</v>
      </c>
      <c r="AA344" t="s">
        <v>46</v>
      </c>
      <c r="AB344" t="s">
        <v>46</v>
      </c>
      <c r="AC344" t="s">
        <v>46</v>
      </c>
    </row>
    <row r="345" spans="1:29" x14ac:dyDescent="0.25">
      <c r="A345" t="s">
        <v>64</v>
      </c>
      <c r="B345" t="s">
        <v>65</v>
      </c>
      <c r="C345" t="s">
        <v>112</v>
      </c>
      <c r="D345" t="s">
        <v>113</v>
      </c>
      <c r="E345" t="s">
        <v>55</v>
      </c>
      <c r="F345">
        <v>-1.6172</v>
      </c>
      <c r="G345">
        <v>-3.1259000000000001</v>
      </c>
      <c r="H345">
        <v>-2.4990999999999999</v>
      </c>
      <c r="I345">
        <v>-2.3917999999999999</v>
      </c>
      <c r="J345">
        <v>-3.5773999999999999</v>
      </c>
      <c r="K345">
        <v>-6.5042999999999997</v>
      </c>
      <c r="L345">
        <v>-6.9638</v>
      </c>
      <c r="M345">
        <v>-5.9693000000000005</v>
      </c>
      <c r="N345">
        <v>-6.8879000000000001</v>
      </c>
      <c r="O345">
        <v>-7.1018999999999997</v>
      </c>
      <c r="P345">
        <v>-6.5709</v>
      </c>
      <c r="Q345">
        <v>-5.7309999999999999</v>
      </c>
      <c r="R345" t="s">
        <v>46</v>
      </c>
      <c r="S345" t="s">
        <v>46</v>
      </c>
      <c r="T345" t="s">
        <v>46</v>
      </c>
      <c r="U345" t="s">
        <v>46</v>
      </c>
      <c r="V345" t="s">
        <v>46</v>
      </c>
      <c r="W345" t="s">
        <v>46</v>
      </c>
      <c r="X345" t="s">
        <v>46</v>
      </c>
      <c r="Y345" t="s">
        <v>46</v>
      </c>
      <c r="Z345" t="s">
        <v>46</v>
      </c>
      <c r="AA345" t="s">
        <v>46</v>
      </c>
      <c r="AB345" t="s">
        <v>46</v>
      </c>
      <c r="AC345" t="s">
        <v>46</v>
      </c>
    </row>
    <row r="346" spans="1:29" x14ac:dyDescent="0.25">
      <c r="A346" t="s">
        <v>66</v>
      </c>
      <c r="B346" t="s">
        <v>67</v>
      </c>
      <c r="C346" t="s">
        <v>112</v>
      </c>
      <c r="D346" t="s">
        <v>113</v>
      </c>
      <c r="E346" t="s">
        <v>55</v>
      </c>
      <c r="F346">
        <v>7.4470000000000001</v>
      </c>
      <c r="G346">
        <v>6.3687000000000005</v>
      </c>
      <c r="H346">
        <v>7.8186999999999998</v>
      </c>
      <c r="I346">
        <v>7.8370999999999995</v>
      </c>
      <c r="J346">
        <v>6.8431999999999995</v>
      </c>
      <c r="K346">
        <v>3.9971000000000001</v>
      </c>
      <c r="L346">
        <v>4.7965999999999998</v>
      </c>
      <c r="M346">
        <v>5.0313999999999997</v>
      </c>
      <c r="N346">
        <v>7.3137999999999996</v>
      </c>
      <c r="O346">
        <v>6.6102999999999996</v>
      </c>
      <c r="P346">
        <v>7.8001000000000005</v>
      </c>
      <c r="Q346">
        <v>8.9407999999999994</v>
      </c>
      <c r="R346" t="s">
        <v>46</v>
      </c>
      <c r="S346" t="s">
        <v>46</v>
      </c>
      <c r="T346" t="s">
        <v>46</v>
      </c>
      <c r="U346" t="s">
        <v>46</v>
      </c>
      <c r="V346" t="s">
        <v>46</v>
      </c>
      <c r="W346" t="s">
        <v>46</v>
      </c>
      <c r="X346" t="s">
        <v>46</v>
      </c>
      <c r="Y346" t="s">
        <v>46</v>
      </c>
      <c r="Z346" t="s">
        <v>46</v>
      </c>
      <c r="AA346" t="s">
        <v>46</v>
      </c>
      <c r="AB346" t="s">
        <v>46</v>
      </c>
      <c r="AC346" t="s">
        <v>46</v>
      </c>
    </row>
    <row r="347" spans="1:29" x14ac:dyDescent="0.25">
      <c r="A347" t="s">
        <v>68</v>
      </c>
      <c r="B347" t="s">
        <v>69</v>
      </c>
      <c r="C347" t="s">
        <v>112</v>
      </c>
      <c r="D347" t="s">
        <v>113</v>
      </c>
      <c r="E347" t="s">
        <v>55</v>
      </c>
      <c r="F347">
        <v>30.8232</v>
      </c>
      <c r="G347">
        <v>30.974399999999999</v>
      </c>
      <c r="H347">
        <v>30.601800000000001</v>
      </c>
      <c r="I347">
        <v>34.394199999999998</v>
      </c>
      <c r="J347">
        <v>16.664200000000001</v>
      </c>
      <c r="K347">
        <v>18.226500000000001</v>
      </c>
      <c r="L347">
        <v>14.8611</v>
      </c>
      <c r="M347">
        <v>15.468400000000001</v>
      </c>
      <c r="N347">
        <v>18.666399999999999</v>
      </c>
      <c r="O347">
        <v>19.373999999999999</v>
      </c>
      <c r="P347">
        <v>20.235700000000001</v>
      </c>
      <c r="Q347">
        <v>17.048400000000001</v>
      </c>
      <c r="R347" t="s">
        <v>46</v>
      </c>
      <c r="S347" t="s">
        <v>46</v>
      </c>
      <c r="T347" t="s">
        <v>46</v>
      </c>
      <c r="U347" t="s">
        <v>46</v>
      </c>
      <c r="V347" t="s">
        <v>46</v>
      </c>
      <c r="W347" t="s">
        <v>46</v>
      </c>
      <c r="X347" t="s">
        <v>46</v>
      </c>
      <c r="Y347" t="s">
        <v>46</v>
      </c>
      <c r="Z347" t="s">
        <v>46</v>
      </c>
      <c r="AA347" t="s">
        <v>46</v>
      </c>
      <c r="AB347" t="s">
        <v>46</v>
      </c>
      <c r="AC347" t="s">
        <v>46</v>
      </c>
    </row>
    <row r="348" spans="1:29" x14ac:dyDescent="0.25">
      <c r="A348" t="s">
        <v>70</v>
      </c>
      <c r="B348" t="s">
        <v>71</v>
      </c>
      <c r="C348" t="s">
        <v>112</v>
      </c>
      <c r="D348" t="s">
        <v>113</v>
      </c>
      <c r="E348" t="s">
        <v>55</v>
      </c>
      <c r="F348">
        <v>-11.0382</v>
      </c>
      <c r="G348">
        <v>-11.612</v>
      </c>
      <c r="H348">
        <v>-10.7675</v>
      </c>
      <c r="I348">
        <v>-9.4733000000000001</v>
      </c>
      <c r="J348">
        <v>-9.9541000000000004</v>
      </c>
      <c r="K348">
        <v>-13.105399999999999</v>
      </c>
      <c r="L348">
        <v>-11.587899999999999</v>
      </c>
      <c r="M348">
        <v>-9.8796999999999997</v>
      </c>
      <c r="N348">
        <v>-9.0830000000000002</v>
      </c>
      <c r="O348">
        <v>-10.543900000000001</v>
      </c>
      <c r="P348">
        <v>-8.8260000000000005</v>
      </c>
      <c r="Q348">
        <v>-7.6826999999999996</v>
      </c>
      <c r="R348" t="s">
        <v>46</v>
      </c>
      <c r="S348" t="s">
        <v>46</v>
      </c>
      <c r="T348" t="s">
        <v>46</v>
      </c>
      <c r="U348" t="s">
        <v>46</v>
      </c>
      <c r="V348" t="s">
        <v>46</v>
      </c>
      <c r="W348" t="s">
        <v>46</v>
      </c>
      <c r="X348" t="s">
        <v>46</v>
      </c>
      <c r="Y348" t="s">
        <v>46</v>
      </c>
      <c r="Z348" t="s">
        <v>46</v>
      </c>
      <c r="AA348" t="s">
        <v>46</v>
      </c>
      <c r="AB348" t="s">
        <v>46</v>
      </c>
      <c r="AC348" t="s">
        <v>46</v>
      </c>
    </row>
    <row r="349" spans="1:29" x14ac:dyDescent="0.25">
      <c r="A349" t="s">
        <v>72</v>
      </c>
      <c r="B349" t="s">
        <v>73</v>
      </c>
      <c r="C349" t="s">
        <v>112</v>
      </c>
      <c r="D349" t="s">
        <v>113</v>
      </c>
      <c r="E349" t="s">
        <v>55</v>
      </c>
      <c r="F349">
        <v>7.8257000000000003</v>
      </c>
      <c r="G349">
        <v>6.9505999999999997</v>
      </c>
      <c r="H349">
        <v>5.7752999999999997</v>
      </c>
      <c r="I349">
        <v>6.5031999999999996</v>
      </c>
      <c r="J349">
        <v>6.8316999999999997</v>
      </c>
      <c r="K349">
        <v>4.8445999999999998</v>
      </c>
      <c r="L349">
        <v>4.8993000000000002</v>
      </c>
      <c r="M349">
        <v>4.694</v>
      </c>
      <c r="N349">
        <v>4.5189000000000004</v>
      </c>
      <c r="O349">
        <v>3.6139000000000001</v>
      </c>
      <c r="P349">
        <v>3.9782000000000002</v>
      </c>
      <c r="Q349">
        <v>4.2801</v>
      </c>
      <c r="R349" t="s">
        <v>46</v>
      </c>
      <c r="S349" t="s">
        <v>46</v>
      </c>
      <c r="T349" t="s">
        <v>46</v>
      </c>
      <c r="U349" t="s">
        <v>46</v>
      </c>
      <c r="V349" t="s">
        <v>46</v>
      </c>
      <c r="W349" t="s">
        <v>46</v>
      </c>
      <c r="X349" t="s">
        <v>46</v>
      </c>
      <c r="Y349" t="s">
        <v>46</v>
      </c>
      <c r="Z349" t="s">
        <v>46</v>
      </c>
      <c r="AA349" t="s">
        <v>46</v>
      </c>
      <c r="AB349" t="s">
        <v>46</v>
      </c>
      <c r="AC349" t="s">
        <v>46</v>
      </c>
    </row>
    <row r="350" spans="1:29" x14ac:dyDescent="0.25">
      <c r="A350" t="s">
        <v>74</v>
      </c>
      <c r="B350" t="s">
        <v>75</v>
      </c>
      <c r="C350" t="s">
        <v>112</v>
      </c>
      <c r="D350" t="s">
        <v>113</v>
      </c>
      <c r="E350" t="s">
        <v>55</v>
      </c>
      <c r="F350">
        <v>-0.35980000000000001</v>
      </c>
      <c r="G350">
        <v>-0.28699999999999998</v>
      </c>
      <c r="H350">
        <v>-6.6799999999999998E-2</v>
      </c>
      <c r="I350">
        <v>-0.39489999999999997</v>
      </c>
      <c r="J350">
        <v>-0.38369999999999999</v>
      </c>
      <c r="K350">
        <v>-0.2954</v>
      </c>
      <c r="L350">
        <v>-0.32040000000000002</v>
      </c>
      <c r="M350">
        <v>-0.50429999999999997</v>
      </c>
      <c r="N350">
        <v>-0.32390000000000002</v>
      </c>
      <c r="O350">
        <v>-0.43740000000000001</v>
      </c>
      <c r="P350">
        <v>-0.48259999999999997</v>
      </c>
      <c r="Q350">
        <v>-0.59960000000000002</v>
      </c>
      <c r="R350" t="s">
        <v>46</v>
      </c>
      <c r="S350" t="s">
        <v>46</v>
      </c>
      <c r="T350" t="s">
        <v>46</v>
      </c>
      <c r="U350" t="s">
        <v>46</v>
      </c>
      <c r="V350" t="s">
        <v>46</v>
      </c>
      <c r="W350" t="s">
        <v>46</v>
      </c>
      <c r="X350" t="s">
        <v>46</v>
      </c>
      <c r="Y350" t="s">
        <v>46</v>
      </c>
      <c r="Z350" t="s">
        <v>46</v>
      </c>
      <c r="AA350" t="s">
        <v>46</v>
      </c>
      <c r="AB350" t="s">
        <v>46</v>
      </c>
      <c r="AC350" t="s">
        <v>46</v>
      </c>
    </row>
    <row r="351" spans="1:29" x14ac:dyDescent="0.25">
      <c r="A351" t="s">
        <v>76</v>
      </c>
      <c r="B351" t="s">
        <v>77</v>
      </c>
      <c r="C351" t="s">
        <v>112</v>
      </c>
      <c r="D351" t="s">
        <v>113</v>
      </c>
      <c r="E351" t="s">
        <v>55</v>
      </c>
      <c r="F351">
        <v>4.0189000000000004</v>
      </c>
      <c r="G351">
        <v>4.2946</v>
      </c>
      <c r="H351">
        <v>4.4778000000000002</v>
      </c>
      <c r="I351">
        <v>5.3196000000000003</v>
      </c>
      <c r="J351">
        <v>3.4378000000000002</v>
      </c>
      <c r="K351">
        <v>3.1322999999999999</v>
      </c>
      <c r="L351">
        <v>3.8940000000000001</v>
      </c>
      <c r="M351">
        <v>3.7433000000000001</v>
      </c>
      <c r="N351">
        <v>3.6200999999999999</v>
      </c>
      <c r="O351">
        <v>3.4544000000000001</v>
      </c>
      <c r="P351">
        <v>4.0380000000000003</v>
      </c>
      <c r="Q351">
        <v>4.7199</v>
      </c>
      <c r="R351" t="s">
        <v>46</v>
      </c>
      <c r="S351" t="s">
        <v>46</v>
      </c>
      <c r="T351" t="s">
        <v>46</v>
      </c>
      <c r="U351" t="s">
        <v>46</v>
      </c>
      <c r="V351" t="s">
        <v>46</v>
      </c>
      <c r="W351" t="s">
        <v>46</v>
      </c>
      <c r="X351" t="s">
        <v>46</v>
      </c>
      <c r="Y351" t="s">
        <v>46</v>
      </c>
      <c r="Z351" t="s">
        <v>46</v>
      </c>
      <c r="AA351" t="s">
        <v>46</v>
      </c>
      <c r="AB351" t="s">
        <v>46</v>
      </c>
      <c r="AC351" t="s">
        <v>46</v>
      </c>
    </row>
    <row r="352" spans="1:29" x14ac:dyDescent="0.25">
      <c r="A352" t="s">
        <v>78</v>
      </c>
      <c r="B352" t="s">
        <v>79</v>
      </c>
      <c r="C352" t="s">
        <v>112</v>
      </c>
      <c r="D352" t="s">
        <v>113</v>
      </c>
      <c r="E352" t="s">
        <v>55</v>
      </c>
      <c r="F352" t="s">
        <v>46</v>
      </c>
      <c r="R352" t="s">
        <v>46</v>
      </c>
      <c r="S352" t="s">
        <v>46</v>
      </c>
      <c r="T352" t="s">
        <v>46</v>
      </c>
      <c r="U352" t="s">
        <v>46</v>
      </c>
      <c r="V352" t="s">
        <v>46</v>
      </c>
      <c r="W352" t="s">
        <v>46</v>
      </c>
      <c r="X352" t="s">
        <v>46</v>
      </c>
      <c r="Y352" t="s">
        <v>46</v>
      </c>
      <c r="Z352" t="s">
        <v>46</v>
      </c>
      <c r="AA352" t="s">
        <v>46</v>
      </c>
      <c r="AB352" t="s">
        <v>46</v>
      </c>
      <c r="AC352" t="s">
        <v>46</v>
      </c>
    </row>
    <row r="353" spans="1:29" x14ac:dyDescent="0.25">
      <c r="A353" t="s">
        <v>80</v>
      </c>
      <c r="B353" t="s">
        <v>81</v>
      </c>
      <c r="C353" t="s">
        <v>112</v>
      </c>
      <c r="D353" t="s">
        <v>113</v>
      </c>
      <c r="E353" t="s">
        <v>55</v>
      </c>
      <c r="F353">
        <v>64.344099999999997</v>
      </c>
      <c r="G353">
        <v>66.342200000000005</v>
      </c>
      <c r="H353">
        <v>61.170499999999997</v>
      </c>
      <c r="I353">
        <v>28.924600000000002</v>
      </c>
      <c r="J353">
        <v>34.342799999999997</v>
      </c>
      <c r="K353">
        <v>30.439699999999998</v>
      </c>
      <c r="L353">
        <v>28.5533</v>
      </c>
      <c r="M353">
        <v>29.842300000000002</v>
      </c>
      <c r="N353">
        <v>29.017700000000001</v>
      </c>
      <c r="O353">
        <v>29.898800000000001</v>
      </c>
      <c r="P353">
        <v>24.262799999999999</v>
      </c>
      <c r="Q353">
        <v>24.1539</v>
      </c>
      <c r="R353" t="s">
        <v>46</v>
      </c>
      <c r="S353" t="s">
        <v>46</v>
      </c>
      <c r="T353" t="s">
        <v>46</v>
      </c>
      <c r="U353" t="s">
        <v>46</v>
      </c>
      <c r="V353" t="s">
        <v>46</v>
      </c>
      <c r="W353" t="s">
        <v>46</v>
      </c>
      <c r="X353" t="s">
        <v>46</v>
      </c>
      <c r="Y353" t="s">
        <v>46</v>
      </c>
      <c r="Z353" t="s">
        <v>46</v>
      </c>
      <c r="AA353" t="s">
        <v>46</v>
      </c>
      <c r="AB353" t="s">
        <v>46</v>
      </c>
      <c r="AC353" t="s">
        <v>46</v>
      </c>
    </row>
    <row r="354" spans="1:29" x14ac:dyDescent="0.25">
      <c r="A354" t="s">
        <v>82</v>
      </c>
      <c r="B354" t="s">
        <v>83</v>
      </c>
      <c r="C354" t="s">
        <v>112</v>
      </c>
      <c r="D354" t="s">
        <v>113</v>
      </c>
      <c r="E354" t="s">
        <v>55</v>
      </c>
      <c r="F354">
        <v>-0.96940000000000004</v>
      </c>
      <c r="G354">
        <v>-1.1179999999999999</v>
      </c>
      <c r="H354">
        <v>-1.4959</v>
      </c>
      <c r="I354">
        <v>-1.3756999999999999</v>
      </c>
      <c r="J354">
        <v>-1.6021999999999998</v>
      </c>
      <c r="K354">
        <v>-1.3772</v>
      </c>
      <c r="L354">
        <v>-1.2184999999999999</v>
      </c>
      <c r="M354">
        <v>-1.4605999999999999</v>
      </c>
      <c r="N354">
        <v>-1.7000999999999999</v>
      </c>
      <c r="O354">
        <v>-1.4994000000000001</v>
      </c>
      <c r="P354">
        <v>-1.3372999999999999</v>
      </c>
      <c r="Q354">
        <v>-1.2585</v>
      </c>
      <c r="R354" t="s">
        <v>46</v>
      </c>
      <c r="S354" t="s">
        <v>46</v>
      </c>
      <c r="T354" t="s">
        <v>46</v>
      </c>
      <c r="U354" t="s">
        <v>46</v>
      </c>
      <c r="V354" t="s">
        <v>46</v>
      </c>
      <c r="W354" t="s">
        <v>46</v>
      </c>
      <c r="X354" t="s">
        <v>46</v>
      </c>
      <c r="Y354" t="s">
        <v>46</v>
      </c>
      <c r="Z354" t="s">
        <v>46</v>
      </c>
      <c r="AA354" t="s">
        <v>46</v>
      </c>
      <c r="AB354" t="s">
        <v>46</v>
      </c>
      <c r="AC354" t="s">
        <v>46</v>
      </c>
    </row>
    <row r="355" spans="1:29" x14ac:dyDescent="0.25">
      <c r="A355" t="s">
        <v>84</v>
      </c>
      <c r="B355" t="s">
        <v>85</v>
      </c>
      <c r="C355" t="s">
        <v>112</v>
      </c>
      <c r="D355" t="s">
        <v>113</v>
      </c>
      <c r="E355" t="s">
        <v>55</v>
      </c>
      <c r="F355">
        <v>-0.95509999999999995</v>
      </c>
      <c r="G355">
        <v>-0.80259999999999998</v>
      </c>
      <c r="H355">
        <v>-0.63190000000000002</v>
      </c>
      <c r="I355">
        <v>-0.88249999999999995</v>
      </c>
      <c r="J355">
        <v>-1.0708</v>
      </c>
      <c r="K355">
        <v>-0.81759999999999999</v>
      </c>
      <c r="L355">
        <v>-0.75370000000000004</v>
      </c>
      <c r="M355">
        <v>-0.88180000000000003</v>
      </c>
      <c r="N355">
        <v>-0.69740000000000002</v>
      </c>
      <c r="O355">
        <v>-0.79669999999999996</v>
      </c>
      <c r="P355">
        <v>-0.77859999999999996</v>
      </c>
      <c r="Q355">
        <v>-0.80049999999999999</v>
      </c>
      <c r="R355" t="s">
        <v>46</v>
      </c>
      <c r="S355" t="s">
        <v>46</v>
      </c>
      <c r="T355" t="s">
        <v>46</v>
      </c>
      <c r="U355" t="s">
        <v>46</v>
      </c>
      <c r="V355" t="s">
        <v>46</v>
      </c>
      <c r="W355" t="s">
        <v>46</v>
      </c>
      <c r="X355" t="s">
        <v>46</v>
      </c>
      <c r="Y355" t="s">
        <v>46</v>
      </c>
      <c r="Z355" t="s">
        <v>46</v>
      </c>
      <c r="AA355" t="s">
        <v>46</v>
      </c>
      <c r="AB355" t="s">
        <v>46</v>
      </c>
      <c r="AC355" t="s">
        <v>46</v>
      </c>
    </row>
    <row r="356" spans="1:29" x14ac:dyDescent="0.25">
      <c r="A356" t="s">
        <v>86</v>
      </c>
      <c r="B356" t="s">
        <v>87</v>
      </c>
      <c r="C356" t="s">
        <v>112</v>
      </c>
      <c r="D356" t="s">
        <v>113</v>
      </c>
      <c r="E356" t="s">
        <v>55</v>
      </c>
      <c r="F356" t="s">
        <v>46</v>
      </c>
      <c r="R356" t="s">
        <v>46</v>
      </c>
      <c r="S356" t="s">
        <v>46</v>
      </c>
      <c r="T356" t="s">
        <v>46</v>
      </c>
      <c r="U356" t="s">
        <v>46</v>
      </c>
      <c r="V356" t="s">
        <v>46</v>
      </c>
      <c r="W356" t="s">
        <v>46</v>
      </c>
      <c r="X356" t="s">
        <v>46</v>
      </c>
      <c r="Y356" t="s">
        <v>46</v>
      </c>
      <c r="Z356" t="s">
        <v>46</v>
      </c>
      <c r="AA356" t="s">
        <v>46</v>
      </c>
      <c r="AB356" t="s">
        <v>46</v>
      </c>
      <c r="AC356" t="s">
        <v>46</v>
      </c>
    </row>
    <row r="357" spans="1:29" x14ac:dyDescent="0.25">
      <c r="A357" t="s">
        <v>51</v>
      </c>
      <c r="B357" t="s">
        <v>52</v>
      </c>
      <c r="C357" t="s">
        <v>115</v>
      </c>
      <c r="D357" t="s">
        <v>116</v>
      </c>
      <c r="E357" t="s">
        <v>55</v>
      </c>
      <c r="F357">
        <v>68.311199999999999</v>
      </c>
      <c r="G357">
        <v>68.903599999999997</v>
      </c>
      <c r="H357">
        <v>55.2864</v>
      </c>
      <c r="I357">
        <v>56.1265</v>
      </c>
      <c r="J357">
        <v>56.928800000000003</v>
      </c>
      <c r="K357">
        <v>56.893799999999999</v>
      </c>
      <c r="L357">
        <v>42.586599999999997</v>
      </c>
      <c r="M357">
        <v>43.026899999999998</v>
      </c>
      <c r="N357">
        <v>44.614100000000001</v>
      </c>
      <c r="O357">
        <v>44.988199999999999</v>
      </c>
      <c r="P357">
        <v>42.895000000000003</v>
      </c>
      <c r="Q357">
        <v>44.3887</v>
      </c>
      <c r="R357" t="s">
        <v>46</v>
      </c>
      <c r="S357" t="s">
        <v>46</v>
      </c>
      <c r="T357" t="s">
        <v>46</v>
      </c>
      <c r="U357" t="s">
        <v>46</v>
      </c>
      <c r="V357" t="s">
        <v>46</v>
      </c>
      <c r="W357" t="s">
        <v>46</v>
      </c>
      <c r="X357" t="s">
        <v>46</v>
      </c>
      <c r="Y357" t="s">
        <v>46</v>
      </c>
      <c r="Z357" t="s">
        <v>46</v>
      </c>
      <c r="AA357" t="s">
        <v>46</v>
      </c>
      <c r="AB357" t="s">
        <v>46</v>
      </c>
      <c r="AC357" t="s">
        <v>46</v>
      </c>
    </row>
    <row r="358" spans="1:29" x14ac:dyDescent="0.25">
      <c r="A358" t="s">
        <v>56</v>
      </c>
      <c r="B358" t="s">
        <v>57</v>
      </c>
      <c r="C358" t="s">
        <v>115</v>
      </c>
      <c r="D358" t="s">
        <v>116</v>
      </c>
      <c r="E358" t="s">
        <v>55</v>
      </c>
      <c r="F358">
        <v>67.123999999999995</v>
      </c>
      <c r="G358">
        <v>89.154200000000003</v>
      </c>
      <c r="H358">
        <v>75.710499999999996</v>
      </c>
      <c r="I358">
        <v>75.813000000000002</v>
      </c>
      <c r="J358">
        <v>67.268500000000003</v>
      </c>
      <c r="K358">
        <v>76.947000000000003</v>
      </c>
      <c r="L358">
        <v>61.656700000000001</v>
      </c>
      <c r="M358">
        <v>67.041600000000003</v>
      </c>
      <c r="N358">
        <v>66.010800000000003</v>
      </c>
      <c r="O358">
        <v>65.456900000000005</v>
      </c>
      <c r="P358">
        <v>62.2836</v>
      </c>
      <c r="Q358">
        <v>64.106399999999994</v>
      </c>
      <c r="R358" t="s">
        <v>46</v>
      </c>
      <c r="S358" t="s">
        <v>46</v>
      </c>
      <c r="T358" t="s">
        <v>46</v>
      </c>
      <c r="U358" t="s">
        <v>46</v>
      </c>
      <c r="V358" t="s">
        <v>46</v>
      </c>
      <c r="W358" t="s">
        <v>46</v>
      </c>
      <c r="X358" t="s">
        <v>46</v>
      </c>
      <c r="Y358" t="s">
        <v>46</v>
      </c>
      <c r="Z358" t="s">
        <v>46</v>
      </c>
      <c r="AA358" t="s">
        <v>46</v>
      </c>
      <c r="AB358" t="s">
        <v>46</v>
      </c>
      <c r="AC358" t="s">
        <v>46</v>
      </c>
    </row>
    <row r="359" spans="1:29" x14ac:dyDescent="0.25">
      <c r="A359" t="s">
        <v>58</v>
      </c>
      <c r="B359" t="s">
        <v>59</v>
      </c>
      <c r="C359" t="s">
        <v>115</v>
      </c>
      <c r="D359" t="s">
        <v>116</v>
      </c>
      <c r="E359" t="s">
        <v>55</v>
      </c>
      <c r="F359" t="s">
        <v>46</v>
      </c>
      <c r="R359" t="s">
        <v>46</v>
      </c>
      <c r="S359" t="s">
        <v>46</v>
      </c>
      <c r="T359" t="s">
        <v>46</v>
      </c>
      <c r="U359" t="s">
        <v>46</v>
      </c>
      <c r="V359" t="s">
        <v>46</v>
      </c>
      <c r="W359" t="s">
        <v>46</v>
      </c>
      <c r="X359" t="s">
        <v>46</v>
      </c>
      <c r="Y359" t="s">
        <v>46</v>
      </c>
      <c r="Z359" t="s">
        <v>46</v>
      </c>
      <c r="AA359" t="s">
        <v>46</v>
      </c>
      <c r="AB359" t="s">
        <v>46</v>
      </c>
      <c r="AC359" t="s">
        <v>46</v>
      </c>
    </row>
    <row r="360" spans="1:29" x14ac:dyDescent="0.25">
      <c r="A360" t="s">
        <v>60</v>
      </c>
      <c r="B360" t="s">
        <v>61</v>
      </c>
      <c r="C360" t="s">
        <v>115</v>
      </c>
      <c r="D360" t="s">
        <v>116</v>
      </c>
      <c r="E360" t="s">
        <v>55</v>
      </c>
      <c r="F360" t="s">
        <v>46</v>
      </c>
      <c r="R360" t="s">
        <v>46</v>
      </c>
      <c r="S360" t="s">
        <v>46</v>
      </c>
      <c r="T360" t="s">
        <v>46</v>
      </c>
      <c r="U360" t="s">
        <v>46</v>
      </c>
      <c r="V360" t="s">
        <v>46</v>
      </c>
      <c r="W360" t="s">
        <v>46</v>
      </c>
      <c r="X360" t="s">
        <v>46</v>
      </c>
      <c r="Y360" t="s">
        <v>46</v>
      </c>
      <c r="Z360" t="s">
        <v>46</v>
      </c>
      <c r="AA360" t="s">
        <v>46</v>
      </c>
      <c r="AB360" t="s">
        <v>46</v>
      </c>
      <c r="AC360" t="s">
        <v>46</v>
      </c>
    </row>
    <row r="361" spans="1:29" x14ac:dyDescent="0.25">
      <c r="A361" t="s">
        <v>62</v>
      </c>
      <c r="B361" t="s">
        <v>63</v>
      </c>
      <c r="C361" t="s">
        <v>115</v>
      </c>
      <c r="D361" t="s">
        <v>116</v>
      </c>
      <c r="E361" t="s">
        <v>55</v>
      </c>
      <c r="F361">
        <v>44.045900000000003</v>
      </c>
      <c r="G361">
        <v>46.1143</v>
      </c>
      <c r="H361">
        <v>31.742100000000001</v>
      </c>
      <c r="J361">
        <v>43.460099999999997</v>
      </c>
      <c r="K361">
        <v>46.3491</v>
      </c>
      <c r="L361">
        <v>32.645000000000003</v>
      </c>
      <c r="N361">
        <v>41.101799999999997</v>
      </c>
      <c r="O361">
        <v>44.192799999999998</v>
      </c>
      <c r="P361">
        <v>29.4222</v>
      </c>
      <c r="Q361">
        <v>40.742899999999999</v>
      </c>
      <c r="R361" t="s">
        <v>46</v>
      </c>
      <c r="S361" t="s">
        <v>46</v>
      </c>
      <c r="T361" t="s">
        <v>46</v>
      </c>
      <c r="U361" t="s">
        <v>46</v>
      </c>
      <c r="V361" t="s">
        <v>46</v>
      </c>
      <c r="W361" t="s">
        <v>46</v>
      </c>
      <c r="X361" t="s">
        <v>46</v>
      </c>
      <c r="Y361" t="s">
        <v>46</v>
      </c>
      <c r="Z361" t="s">
        <v>46</v>
      </c>
      <c r="AA361" t="s">
        <v>46</v>
      </c>
      <c r="AB361" t="s">
        <v>46</v>
      </c>
      <c r="AC361" t="s">
        <v>46</v>
      </c>
    </row>
    <row r="362" spans="1:29" x14ac:dyDescent="0.25">
      <c r="A362" t="s">
        <v>64</v>
      </c>
      <c r="B362" t="s">
        <v>65</v>
      </c>
      <c r="C362" t="s">
        <v>115</v>
      </c>
      <c r="D362" t="s">
        <v>116</v>
      </c>
      <c r="E362" t="s">
        <v>55</v>
      </c>
      <c r="F362">
        <v>71.443399999999997</v>
      </c>
      <c r="G362">
        <v>70.094399999999993</v>
      </c>
      <c r="H362">
        <v>72.712400000000002</v>
      </c>
      <c r="I362">
        <v>73.075400000000002</v>
      </c>
      <c r="J362">
        <v>72.919499999999999</v>
      </c>
      <c r="K362">
        <v>68.529499999999999</v>
      </c>
      <c r="L362">
        <v>70.075199999999995</v>
      </c>
      <c r="M362">
        <v>69.225800000000007</v>
      </c>
      <c r="N362">
        <v>69.616</v>
      </c>
      <c r="O362">
        <v>66.801699999999997</v>
      </c>
      <c r="P362">
        <v>67.990200000000002</v>
      </c>
      <c r="Q362">
        <v>65.961399999999998</v>
      </c>
      <c r="R362" t="s">
        <v>46</v>
      </c>
      <c r="S362" t="s">
        <v>46</v>
      </c>
      <c r="T362" t="s">
        <v>46</v>
      </c>
      <c r="U362" t="s">
        <v>46</v>
      </c>
      <c r="V362" t="s">
        <v>46</v>
      </c>
      <c r="W362" t="s">
        <v>46</v>
      </c>
      <c r="X362" t="s">
        <v>46</v>
      </c>
      <c r="Y362" t="s">
        <v>46</v>
      </c>
      <c r="Z362" t="s">
        <v>46</v>
      </c>
      <c r="AA362" t="s">
        <v>46</v>
      </c>
      <c r="AB362" t="s">
        <v>46</v>
      </c>
      <c r="AC362" t="s">
        <v>46</v>
      </c>
    </row>
    <row r="363" spans="1:29" x14ac:dyDescent="0.25">
      <c r="A363" t="s">
        <v>66</v>
      </c>
      <c r="B363" t="s">
        <v>67</v>
      </c>
      <c r="C363" t="s">
        <v>115</v>
      </c>
      <c r="D363" t="s">
        <v>116</v>
      </c>
      <c r="E363" t="s">
        <v>55</v>
      </c>
      <c r="F363">
        <v>63.378399999999999</v>
      </c>
      <c r="G363">
        <v>58.586300000000001</v>
      </c>
      <c r="H363">
        <v>70.291899999999998</v>
      </c>
      <c r="I363">
        <v>65.919499999999999</v>
      </c>
      <c r="J363">
        <v>65.658699999999996</v>
      </c>
      <c r="K363">
        <v>64.194800000000001</v>
      </c>
      <c r="L363">
        <v>76.920900000000003</v>
      </c>
      <c r="M363">
        <v>73.978800000000007</v>
      </c>
      <c r="N363">
        <v>75.429599999999994</v>
      </c>
      <c r="O363">
        <v>72.763599999999997</v>
      </c>
      <c r="P363">
        <v>85.496899999999997</v>
      </c>
      <c r="Q363">
        <v>82.819900000000004</v>
      </c>
      <c r="R363" t="s">
        <v>46</v>
      </c>
      <c r="S363" t="s">
        <v>46</v>
      </c>
      <c r="T363" t="s">
        <v>46</v>
      </c>
      <c r="U363" t="s">
        <v>46</v>
      </c>
      <c r="V363" t="s">
        <v>46</v>
      </c>
      <c r="W363" t="s">
        <v>46</v>
      </c>
      <c r="X363" t="s">
        <v>46</v>
      </c>
      <c r="Y363" t="s">
        <v>46</v>
      </c>
      <c r="Z363" t="s">
        <v>46</v>
      </c>
      <c r="AA363" t="s">
        <v>46</v>
      </c>
      <c r="AB363" t="s">
        <v>46</v>
      </c>
      <c r="AC363" t="s">
        <v>46</v>
      </c>
    </row>
    <row r="364" spans="1:29" x14ac:dyDescent="0.25">
      <c r="A364" t="s">
        <v>68</v>
      </c>
      <c r="B364" t="s">
        <v>69</v>
      </c>
      <c r="C364" t="s">
        <v>115</v>
      </c>
      <c r="D364" t="s">
        <v>116</v>
      </c>
      <c r="E364" t="s">
        <v>55</v>
      </c>
      <c r="F364">
        <v>43.018099999999997</v>
      </c>
      <c r="G364">
        <v>88.4636</v>
      </c>
      <c r="H364">
        <v>86.1858</v>
      </c>
      <c r="I364">
        <v>94.158600000000007</v>
      </c>
      <c r="J364">
        <v>49.404200000000003</v>
      </c>
      <c r="K364">
        <v>92.7971</v>
      </c>
      <c r="L364">
        <v>90.689800000000005</v>
      </c>
      <c r="M364">
        <v>92.569800000000001</v>
      </c>
      <c r="N364">
        <v>68.992800000000003</v>
      </c>
      <c r="R364" t="s">
        <v>46</v>
      </c>
      <c r="S364" t="s">
        <v>46</v>
      </c>
      <c r="T364" t="s">
        <v>46</v>
      </c>
      <c r="U364" t="s">
        <v>46</v>
      </c>
      <c r="V364" t="s">
        <v>46</v>
      </c>
      <c r="W364" t="s">
        <v>46</v>
      </c>
      <c r="X364" t="s">
        <v>46</v>
      </c>
      <c r="Y364" t="s">
        <v>46</v>
      </c>
      <c r="Z364" t="s">
        <v>46</v>
      </c>
      <c r="AA364" t="s">
        <v>46</v>
      </c>
      <c r="AB364" t="s">
        <v>46</v>
      </c>
      <c r="AC364" t="s">
        <v>46</v>
      </c>
    </row>
    <row r="365" spans="1:29" x14ac:dyDescent="0.25">
      <c r="A365" t="s">
        <v>70</v>
      </c>
      <c r="B365" t="s">
        <v>71</v>
      </c>
      <c r="C365" t="s">
        <v>115</v>
      </c>
      <c r="D365" t="s">
        <v>116</v>
      </c>
      <c r="E365" t="s">
        <v>55</v>
      </c>
      <c r="F365">
        <v>64.167900000000003</v>
      </c>
      <c r="G365">
        <v>63.283999999999999</v>
      </c>
      <c r="H365">
        <v>52.357199999999999</v>
      </c>
      <c r="I365">
        <v>55.914400000000001</v>
      </c>
      <c r="J365">
        <v>53.571100000000001</v>
      </c>
      <c r="K365">
        <v>55.7849</v>
      </c>
      <c r="L365">
        <v>53.826799999999999</v>
      </c>
      <c r="M365">
        <v>54.449599999999997</v>
      </c>
      <c r="N365">
        <v>51.688299999999998</v>
      </c>
      <c r="O365">
        <v>58.585900000000002</v>
      </c>
      <c r="P365">
        <v>55.893299999999996</v>
      </c>
      <c r="Q365">
        <v>54.953800000000001</v>
      </c>
      <c r="R365" t="s">
        <v>46</v>
      </c>
      <c r="S365" t="s">
        <v>46</v>
      </c>
      <c r="T365" t="s">
        <v>46</v>
      </c>
      <c r="U365" t="s">
        <v>46</v>
      </c>
      <c r="V365" t="s">
        <v>46</v>
      </c>
      <c r="W365" t="s">
        <v>46</v>
      </c>
      <c r="X365" t="s">
        <v>46</v>
      </c>
      <c r="Y365" t="s">
        <v>46</v>
      </c>
      <c r="Z365" t="s">
        <v>46</v>
      </c>
      <c r="AA365" t="s">
        <v>46</v>
      </c>
      <c r="AB365" t="s">
        <v>46</v>
      </c>
      <c r="AC365" t="s">
        <v>46</v>
      </c>
    </row>
    <row r="366" spans="1:29" x14ac:dyDescent="0.25">
      <c r="A366" t="s">
        <v>72</v>
      </c>
      <c r="B366" t="s">
        <v>73</v>
      </c>
      <c r="C366" t="s">
        <v>115</v>
      </c>
      <c r="D366" t="s">
        <v>116</v>
      </c>
      <c r="E366" t="s">
        <v>55</v>
      </c>
      <c r="F366">
        <v>88.110500000000002</v>
      </c>
      <c r="G366">
        <v>87.526300000000006</v>
      </c>
      <c r="H366">
        <v>84.073499999999996</v>
      </c>
      <c r="I366">
        <v>86.277600000000007</v>
      </c>
      <c r="J366">
        <v>90.169200000000004</v>
      </c>
      <c r="K366">
        <v>89.235399999999998</v>
      </c>
      <c r="L366">
        <v>86.895300000000006</v>
      </c>
      <c r="M366">
        <v>84.781499999999994</v>
      </c>
      <c r="N366">
        <v>85.032700000000006</v>
      </c>
      <c r="O366">
        <v>87.241500000000002</v>
      </c>
      <c r="P366">
        <v>87.040300000000002</v>
      </c>
      <c r="Q366">
        <v>85.945800000000006</v>
      </c>
      <c r="R366" t="s">
        <v>46</v>
      </c>
      <c r="S366" t="s">
        <v>46</v>
      </c>
      <c r="T366" t="s">
        <v>46</v>
      </c>
      <c r="U366" t="s">
        <v>46</v>
      </c>
      <c r="V366" t="s">
        <v>46</v>
      </c>
      <c r="W366" t="s">
        <v>46</v>
      </c>
      <c r="X366" t="s">
        <v>46</v>
      </c>
      <c r="Y366" t="s">
        <v>46</v>
      </c>
      <c r="Z366" t="s">
        <v>46</v>
      </c>
      <c r="AA366" t="s">
        <v>46</v>
      </c>
      <c r="AB366" t="s">
        <v>46</v>
      </c>
      <c r="AC366" t="s">
        <v>46</v>
      </c>
    </row>
    <row r="367" spans="1:29" x14ac:dyDescent="0.25">
      <c r="A367" t="s">
        <v>74</v>
      </c>
      <c r="B367" t="s">
        <v>75</v>
      </c>
      <c r="C367" t="s">
        <v>115</v>
      </c>
      <c r="D367" t="s">
        <v>116</v>
      </c>
      <c r="E367" t="s">
        <v>55</v>
      </c>
      <c r="F367">
        <v>65.595399999999998</v>
      </c>
      <c r="G367">
        <v>65.306600000000003</v>
      </c>
      <c r="H367">
        <v>67.281499999999994</v>
      </c>
      <c r="I367">
        <v>65.280799999999999</v>
      </c>
      <c r="J367">
        <v>67.086500000000001</v>
      </c>
      <c r="K367">
        <v>66.564300000000003</v>
      </c>
      <c r="L367">
        <v>63.676699999999997</v>
      </c>
      <c r="M367">
        <v>64.337400000000002</v>
      </c>
      <c r="N367">
        <v>64.715100000000007</v>
      </c>
      <c r="P367">
        <v>61.854500000000002</v>
      </c>
      <c r="R367" t="s">
        <v>46</v>
      </c>
      <c r="S367" t="s">
        <v>46</v>
      </c>
      <c r="T367" t="s">
        <v>46</v>
      </c>
      <c r="U367" t="s">
        <v>46</v>
      </c>
      <c r="V367" t="s">
        <v>46</v>
      </c>
      <c r="W367" t="s">
        <v>46</v>
      </c>
      <c r="X367" t="s">
        <v>46</v>
      </c>
      <c r="Y367" t="s">
        <v>46</v>
      </c>
      <c r="Z367" t="s">
        <v>46</v>
      </c>
      <c r="AA367" t="s">
        <v>46</v>
      </c>
      <c r="AB367" t="s">
        <v>46</v>
      </c>
      <c r="AC367" t="s">
        <v>46</v>
      </c>
    </row>
    <row r="368" spans="1:29" x14ac:dyDescent="0.25">
      <c r="A368" t="s">
        <v>76</v>
      </c>
      <c r="B368" t="s">
        <v>77</v>
      </c>
      <c r="C368" t="s">
        <v>115</v>
      </c>
      <c r="D368" t="s">
        <v>116</v>
      </c>
      <c r="E368" t="s">
        <v>55</v>
      </c>
      <c r="F368" t="s">
        <v>46</v>
      </c>
      <c r="G368">
        <v>112.9157</v>
      </c>
      <c r="I368">
        <v>119.0543</v>
      </c>
      <c r="K368">
        <v>127.67870000000001</v>
      </c>
      <c r="M368">
        <v>138.06129999999999</v>
      </c>
      <c r="O368">
        <v>145.7098</v>
      </c>
      <c r="R368" t="s">
        <v>46</v>
      </c>
      <c r="S368" t="s">
        <v>46</v>
      </c>
      <c r="T368" t="s">
        <v>46</v>
      </c>
      <c r="U368" t="s">
        <v>46</v>
      </c>
      <c r="V368" t="s">
        <v>46</v>
      </c>
      <c r="W368" t="s">
        <v>46</v>
      </c>
      <c r="X368" t="s">
        <v>46</v>
      </c>
      <c r="Y368" t="s">
        <v>46</v>
      </c>
      <c r="Z368" t="s">
        <v>46</v>
      </c>
      <c r="AA368" t="s">
        <v>46</v>
      </c>
      <c r="AB368" t="s">
        <v>46</v>
      </c>
      <c r="AC368" t="s">
        <v>46</v>
      </c>
    </row>
    <row r="369" spans="1:29" x14ac:dyDescent="0.25">
      <c r="A369" t="s">
        <v>78</v>
      </c>
      <c r="B369" t="s">
        <v>79</v>
      </c>
      <c r="C369" t="s">
        <v>115</v>
      </c>
      <c r="D369" t="s">
        <v>116</v>
      </c>
      <c r="E369" t="s">
        <v>55</v>
      </c>
      <c r="F369">
        <v>67.148300000000006</v>
      </c>
      <c r="G369">
        <v>67.448499999999996</v>
      </c>
      <c r="H369">
        <v>64.41</v>
      </c>
      <c r="I369">
        <v>63.082000000000001</v>
      </c>
      <c r="J369">
        <v>61.739100000000001</v>
      </c>
      <c r="K369">
        <v>64.513099999999994</v>
      </c>
      <c r="L369">
        <v>68.072400000000002</v>
      </c>
      <c r="M369">
        <v>65.8536</v>
      </c>
      <c r="N369">
        <v>65.896900000000002</v>
      </c>
      <c r="O369">
        <v>68.438500000000005</v>
      </c>
      <c r="P369">
        <v>66.070899999999995</v>
      </c>
      <c r="Q369">
        <v>64.687600000000003</v>
      </c>
      <c r="R369" t="s">
        <v>46</v>
      </c>
      <c r="S369" t="s">
        <v>46</v>
      </c>
      <c r="T369" t="s">
        <v>46</v>
      </c>
      <c r="U369" t="s">
        <v>46</v>
      </c>
      <c r="V369" t="s">
        <v>46</v>
      </c>
      <c r="W369" t="s">
        <v>46</v>
      </c>
      <c r="X369" t="s">
        <v>46</v>
      </c>
      <c r="Y369" t="s">
        <v>46</v>
      </c>
      <c r="Z369" t="s">
        <v>46</v>
      </c>
      <c r="AA369" t="s">
        <v>46</v>
      </c>
      <c r="AB369" t="s">
        <v>46</v>
      </c>
      <c r="AC369" t="s">
        <v>46</v>
      </c>
    </row>
    <row r="370" spans="1:29" x14ac:dyDescent="0.25">
      <c r="A370" t="s">
        <v>80</v>
      </c>
      <c r="B370" t="s">
        <v>81</v>
      </c>
      <c r="C370" t="s">
        <v>115</v>
      </c>
      <c r="D370" t="s">
        <v>116</v>
      </c>
      <c r="E370" t="s">
        <v>55</v>
      </c>
      <c r="F370">
        <v>110.7679</v>
      </c>
      <c r="G370">
        <v>122.7312</v>
      </c>
      <c r="H370">
        <v>107.4282</v>
      </c>
      <c r="I370">
        <v>117.6866</v>
      </c>
      <c r="J370">
        <v>128.22839999999999</v>
      </c>
      <c r="K370">
        <v>138.65379999999999</v>
      </c>
      <c r="L370">
        <v>119.25369999999999</v>
      </c>
      <c r="M370">
        <v>120.2379</v>
      </c>
      <c r="N370">
        <v>120.27760000000001</v>
      </c>
      <c r="O370">
        <v>135.68049999999999</v>
      </c>
      <c r="P370">
        <v>117.65730000000001</v>
      </c>
      <c r="Q370">
        <v>119.544</v>
      </c>
      <c r="R370" t="s">
        <v>46</v>
      </c>
      <c r="S370" t="s">
        <v>46</v>
      </c>
      <c r="T370" t="s">
        <v>46</v>
      </c>
      <c r="U370" t="s">
        <v>46</v>
      </c>
      <c r="V370" t="s">
        <v>46</v>
      </c>
      <c r="W370" t="s">
        <v>46</v>
      </c>
      <c r="X370" t="s">
        <v>46</v>
      </c>
      <c r="Y370" t="s">
        <v>46</v>
      </c>
      <c r="Z370" t="s">
        <v>46</v>
      </c>
      <c r="AA370" t="s">
        <v>46</v>
      </c>
      <c r="AB370" t="s">
        <v>46</v>
      </c>
      <c r="AC370" t="s">
        <v>46</v>
      </c>
    </row>
    <row r="371" spans="1:29" x14ac:dyDescent="0.25">
      <c r="A371" t="s">
        <v>82</v>
      </c>
      <c r="B371" t="s">
        <v>83</v>
      </c>
      <c r="C371" t="s">
        <v>115</v>
      </c>
      <c r="D371" t="s">
        <v>116</v>
      </c>
      <c r="E371" t="s">
        <v>55</v>
      </c>
      <c r="F371">
        <v>67.484800000000007</v>
      </c>
      <c r="G371">
        <v>66.412700000000001</v>
      </c>
      <c r="H371">
        <v>67.337199999999996</v>
      </c>
      <c r="I371">
        <v>67.103399999999993</v>
      </c>
      <c r="J371">
        <v>65.154600000000002</v>
      </c>
      <c r="K371">
        <v>66.909000000000006</v>
      </c>
      <c r="L371">
        <v>72.618099999999998</v>
      </c>
      <c r="M371">
        <v>71.312700000000007</v>
      </c>
      <c r="N371">
        <v>70.507099999999994</v>
      </c>
      <c r="O371">
        <v>73.283699999999996</v>
      </c>
      <c r="P371">
        <v>76.059200000000004</v>
      </c>
      <c r="Q371">
        <v>73.212999999999994</v>
      </c>
      <c r="R371" t="s">
        <v>46</v>
      </c>
      <c r="S371" t="s">
        <v>46</v>
      </c>
      <c r="T371" t="s">
        <v>46</v>
      </c>
      <c r="U371" t="s">
        <v>46</v>
      </c>
      <c r="V371" t="s">
        <v>46</v>
      </c>
      <c r="W371" t="s">
        <v>46</v>
      </c>
      <c r="X371" t="s">
        <v>46</v>
      </c>
      <c r="Y371" t="s">
        <v>46</v>
      </c>
      <c r="Z371" t="s">
        <v>46</v>
      </c>
      <c r="AA371" t="s">
        <v>46</v>
      </c>
      <c r="AB371" t="s">
        <v>46</v>
      </c>
      <c r="AC371" t="s">
        <v>46</v>
      </c>
    </row>
    <row r="372" spans="1:29" x14ac:dyDescent="0.25">
      <c r="A372" t="s">
        <v>84</v>
      </c>
      <c r="B372" t="s">
        <v>85</v>
      </c>
      <c r="C372" t="s">
        <v>115</v>
      </c>
      <c r="D372" t="s">
        <v>116</v>
      </c>
      <c r="E372" t="s">
        <v>55</v>
      </c>
      <c r="F372">
        <v>72.151200000000003</v>
      </c>
      <c r="G372">
        <v>78.176599999999993</v>
      </c>
      <c r="H372">
        <v>74.503900000000002</v>
      </c>
      <c r="I372">
        <v>69.322699999999998</v>
      </c>
      <c r="J372">
        <v>70.686800000000005</v>
      </c>
      <c r="K372">
        <v>75.797799999999995</v>
      </c>
      <c r="L372">
        <v>74.454999999999998</v>
      </c>
      <c r="M372">
        <v>72.121600000000001</v>
      </c>
      <c r="N372">
        <v>70.191400000000002</v>
      </c>
      <c r="O372">
        <v>75.788399999999996</v>
      </c>
      <c r="P372">
        <v>74.857299999999995</v>
      </c>
      <c r="Q372">
        <v>72.670199999999994</v>
      </c>
      <c r="R372" t="s">
        <v>46</v>
      </c>
      <c r="S372" t="s">
        <v>46</v>
      </c>
      <c r="T372" t="s">
        <v>46</v>
      </c>
      <c r="U372" t="s">
        <v>46</v>
      </c>
      <c r="V372" t="s">
        <v>46</v>
      </c>
      <c r="W372" t="s">
        <v>46</v>
      </c>
      <c r="X372" t="s">
        <v>46</v>
      </c>
      <c r="Y372" t="s">
        <v>46</v>
      </c>
      <c r="Z372" t="s">
        <v>46</v>
      </c>
      <c r="AA372" t="s">
        <v>46</v>
      </c>
      <c r="AB372" t="s">
        <v>46</v>
      </c>
      <c r="AC372" t="s">
        <v>46</v>
      </c>
    </row>
    <row r="373" spans="1:29" x14ac:dyDescent="0.25">
      <c r="A373" t="s">
        <v>86</v>
      </c>
      <c r="B373" t="s">
        <v>87</v>
      </c>
      <c r="C373" t="s">
        <v>115</v>
      </c>
      <c r="D373" t="s">
        <v>116</v>
      </c>
      <c r="E373" t="s">
        <v>55</v>
      </c>
      <c r="F373">
        <v>61.465499999999999</v>
      </c>
      <c r="G373">
        <v>60.7136</v>
      </c>
      <c r="H373">
        <v>61.918199999999999</v>
      </c>
      <c r="I373">
        <v>59.505600000000001</v>
      </c>
      <c r="J373">
        <v>62.7639</v>
      </c>
      <c r="K373">
        <v>63.661799999999999</v>
      </c>
      <c r="L373">
        <v>67.274100000000004</v>
      </c>
      <c r="M373">
        <v>65.081900000000005</v>
      </c>
      <c r="N373">
        <v>65.593599999999995</v>
      </c>
      <c r="P373">
        <v>67.049899999999994</v>
      </c>
      <c r="Q373">
        <v>66.291399999999996</v>
      </c>
      <c r="R373" t="s">
        <v>46</v>
      </c>
      <c r="S373" t="s">
        <v>46</v>
      </c>
      <c r="T373" t="s">
        <v>46</v>
      </c>
      <c r="U373" t="s">
        <v>46</v>
      </c>
      <c r="V373" t="s">
        <v>46</v>
      </c>
      <c r="W373" t="s">
        <v>46</v>
      </c>
      <c r="X373" t="s">
        <v>46</v>
      </c>
      <c r="Y373" t="s">
        <v>46</v>
      </c>
      <c r="Z373" t="s">
        <v>46</v>
      </c>
      <c r="AA373" t="s">
        <v>46</v>
      </c>
      <c r="AB373" t="s">
        <v>46</v>
      </c>
      <c r="AC373" t="s">
        <v>46</v>
      </c>
    </row>
    <row r="374" spans="1:29" x14ac:dyDescent="0.25">
      <c r="A374" t="s">
        <v>46</v>
      </c>
      <c r="B374" t="s">
        <v>46</v>
      </c>
      <c r="C374" t="s">
        <v>46</v>
      </c>
      <c r="D374" t="s">
        <v>46</v>
      </c>
      <c r="E374" t="s">
        <v>46</v>
      </c>
      <c r="R374" t="s">
        <v>46</v>
      </c>
      <c r="S374" t="s">
        <v>46</v>
      </c>
      <c r="T374" t="s">
        <v>46</v>
      </c>
      <c r="U374" t="s">
        <v>46</v>
      </c>
      <c r="V374" t="s">
        <v>46</v>
      </c>
      <c r="W374" t="s">
        <v>46</v>
      </c>
      <c r="X374" t="s">
        <v>46</v>
      </c>
      <c r="Y374" t="s">
        <v>46</v>
      </c>
      <c r="Z374" t="s">
        <v>46</v>
      </c>
      <c r="AA374" t="s">
        <v>46</v>
      </c>
      <c r="AB374" t="s">
        <v>46</v>
      </c>
      <c r="AC374" t="s">
        <v>46</v>
      </c>
    </row>
    <row r="375" spans="1:29" x14ac:dyDescent="0.25">
      <c r="A375" t="s">
        <v>46</v>
      </c>
      <c r="B375" t="s">
        <v>46</v>
      </c>
      <c r="C375" t="s">
        <v>46</v>
      </c>
      <c r="D375" t="s">
        <v>46</v>
      </c>
      <c r="E375" t="s">
        <v>46</v>
      </c>
      <c r="R375" t="s">
        <v>46</v>
      </c>
      <c r="S375" t="s">
        <v>46</v>
      </c>
      <c r="T375" t="s">
        <v>46</v>
      </c>
      <c r="U375" t="s">
        <v>46</v>
      </c>
      <c r="V375" t="s">
        <v>46</v>
      </c>
      <c r="W375" t="s">
        <v>46</v>
      </c>
      <c r="X375" t="s">
        <v>46</v>
      </c>
      <c r="Y375" t="s">
        <v>46</v>
      </c>
      <c r="Z375" t="s">
        <v>46</v>
      </c>
      <c r="AA375" t="s">
        <v>46</v>
      </c>
      <c r="AB375" t="s">
        <v>46</v>
      </c>
      <c r="AC375" t="s">
        <v>46</v>
      </c>
    </row>
    <row r="376" spans="1:29" x14ac:dyDescent="0.25">
      <c r="A376" t="s">
        <v>46</v>
      </c>
      <c r="B376" t="s">
        <v>46</v>
      </c>
      <c r="C376" t="s">
        <v>46</v>
      </c>
      <c r="D376" t="s">
        <v>46</v>
      </c>
      <c r="E376" t="s">
        <v>46</v>
      </c>
      <c r="R376" t="s">
        <v>46</v>
      </c>
      <c r="S376" t="s">
        <v>46</v>
      </c>
      <c r="T376" t="s">
        <v>46</v>
      </c>
      <c r="U376" t="s">
        <v>46</v>
      </c>
      <c r="V376" t="s">
        <v>46</v>
      </c>
      <c r="W376" t="s">
        <v>46</v>
      </c>
      <c r="X376" t="s">
        <v>46</v>
      </c>
      <c r="Y376" t="s">
        <v>46</v>
      </c>
      <c r="Z376" t="s">
        <v>46</v>
      </c>
      <c r="AA376" t="s">
        <v>46</v>
      </c>
      <c r="AB376" t="s">
        <v>46</v>
      </c>
      <c r="AC376" t="s">
        <v>46</v>
      </c>
    </row>
    <row r="377" spans="1:29" x14ac:dyDescent="0.25">
      <c r="A377" t="s">
        <v>46</v>
      </c>
      <c r="B377" t="s">
        <v>46</v>
      </c>
      <c r="C377" t="s">
        <v>46</v>
      </c>
      <c r="D377" t="s">
        <v>46</v>
      </c>
      <c r="E377" t="s">
        <v>46</v>
      </c>
      <c r="R377" t="s">
        <v>46</v>
      </c>
      <c r="S377" t="s">
        <v>46</v>
      </c>
      <c r="T377" t="s">
        <v>46</v>
      </c>
      <c r="U377" t="s">
        <v>46</v>
      </c>
      <c r="V377" t="s">
        <v>46</v>
      </c>
      <c r="W377" t="s">
        <v>46</v>
      </c>
      <c r="X377" t="s">
        <v>46</v>
      </c>
      <c r="Y377" t="s">
        <v>46</v>
      </c>
      <c r="Z377" t="s">
        <v>46</v>
      </c>
      <c r="AA377" t="s">
        <v>46</v>
      </c>
      <c r="AB377" t="s">
        <v>46</v>
      </c>
      <c r="AC377" t="s">
        <v>46</v>
      </c>
    </row>
    <row r="378" spans="1:29" x14ac:dyDescent="0.25">
      <c r="A378" t="s">
        <v>46</v>
      </c>
      <c r="B378" t="s">
        <v>46</v>
      </c>
      <c r="C378" t="s">
        <v>46</v>
      </c>
      <c r="D378" t="s">
        <v>46</v>
      </c>
      <c r="E378" t="s">
        <v>46</v>
      </c>
      <c r="R378" t="s">
        <v>46</v>
      </c>
      <c r="S378" t="s">
        <v>46</v>
      </c>
      <c r="T378" t="s">
        <v>46</v>
      </c>
      <c r="U378" t="s">
        <v>46</v>
      </c>
      <c r="V378" t="s">
        <v>46</v>
      </c>
      <c r="W378" t="s">
        <v>46</v>
      </c>
      <c r="X378" t="s">
        <v>46</v>
      </c>
      <c r="Y378" t="s">
        <v>46</v>
      </c>
      <c r="Z378" t="s">
        <v>46</v>
      </c>
      <c r="AA378" t="s">
        <v>46</v>
      </c>
      <c r="AB378" t="s">
        <v>46</v>
      </c>
      <c r="AC378" t="s">
        <v>46</v>
      </c>
    </row>
    <row r="379" spans="1:29" x14ac:dyDescent="0.25">
      <c r="A379" t="s">
        <v>131</v>
      </c>
      <c r="B379" t="s">
        <v>131</v>
      </c>
      <c r="C379" t="s">
        <v>131</v>
      </c>
      <c r="D379" t="s">
        <v>131</v>
      </c>
      <c r="E379" t="s">
        <v>131</v>
      </c>
      <c r="R379" t="s">
        <v>46</v>
      </c>
      <c r="S379" t="s">
        <v>46</v>
      </c>
      <c r="T379" t="s">
        <v>46</v>
      </c>
      <c r="U379" t="s">
        <v>46</v>
      </c>
      <c r="V379" t="s">
        <v>46</v>
      </c>
      <c r="W379" t="s">
        <v>46</v>
      </c>
      <c r="X379" t="s">
        <v>46</v>
      </c>
      <c r="Y379" t="s">
        <v>46</v>
      </c>
      <c r="Z379" t="s">
        <v>46</v>
      </c>
      <c r="AA379" t="s">
        <v>46</v>
      </c>
      <c r="AB379" t="s">
        <v>46</v>
      </c>
      <c r="AC379" t="s">
        <v>46</v>
      </c>
    </row>
    <row r="380" spans="1:29" x14ac:dyDescent="0.25">
      <c r="A380" t="s">
        <v>132</v>
      </c>
      <c r="R380" t="s">
        <v>46</v>
      </c>
      <c r="S380" t="s">
        <v>46</v>
      </c>
      <c r="T380" t="s">
        <v>46</v>
      </c>
      <c r="U380" t="s">
        <v>46</v>
      </c>
      <c r="V380" t="s">
        <v>46</v>
      </c>
      <c r="W380" t="s">
        <v>46</v>
      </c>
      <c r="X380" t="s">
        <v>46</v>
      </c>
      <c r="Y380" t="s">
        <v>46</v>
      </c>
      <c r="Z380" t="s">
        <v>46</v>
      </c>
      <c r="AA380" t="s">
        <v>46</v>
      </c>
      <c r="AB380" t="s">
        <v>46</v>
      </c>
      <c r="AC380" t="s">
        <v>46</v>
      </c>
    </row>
    <row r="381" spans="1:29" x14ac:dyDescent="0.25">
      <c r="A381" t="s">
        <v>133</v>
      </c>
      <c r="B381">
        <v>43999</v>
      </c>
      <c r="C381" t="s">
        <v>46</v>
      </c>
      <c r="D381" t="s">
        <v>46</v>
      </c>
      <c r="E381" t="s">
        <v>46</v>
      </c>
      <c r="R381" t="s">
        <v>46</v>
      </c>
      <c r="S381" t="s">
        <v>46</v>
      </c>
      <c r="T381" t="s">
        <v>46</v>
      </c>
      <c r="U381" t="s">
        <v>46</v>
      </c>
      <c r="V381" t="s">
        <v>46</v>
      </c>
      <c r="W381" t="s">
        <v>46</v>
      </c>
      <c r="X381" t="s">
        <v>46</v>
      </c>
      <c r="Y381" t="s">
        <v>46</v>
      </c>
      <c r="Z381" t="s">
        <v>46</v>
      </c>
      <c r="AA381" t="s">
        <v>46</v>
      </c>
      <c r="AB381" t="s">
        <v>46</v>
      </c>
      <c r="AC381" t="s">
        <v>46</v>
      </c>
    </row>
    <row r="382" spans="1:29" x14ac:dyDescent="0.25">
      <c r="A382" t="s">
        <v>134</v>
      </c>
      <c r="B382">
        <v>43999</v>
      </c>
      <c r="C382" t="s">
        <v>46</v>
      </c>
      <c r="D382" t="s">
        <v>46</v>
      </c>
      <c r="E382" t="s">
        <v>46</v>
      </c>
      <c r="R382" t="s">
        <v>46</v>
      </c>
      <c r="S382" t="s">
        <v>46</v>
      </c>
      <c r="T382" t="s">
        <v>46</v>
      </c>
      <c r="U382" t="s">
        <v>46</v>
      </c>
      <c r="V382" t="s">
        <v>46</v>
      </c>
      <c r="W382" t="s">
        <v>46</v>
      </c>
      <c r="X382" t="s">
        <v>46</v>
      </c>
      <c r="Y382" t="s">
        <v>46</v>
      </c>
      <c r="Z382" t="s">
        <v>46</v>
      </c>
      <c r="AA382" t="s">
        <v>46</v>
      </c>
      <c r="AB382" t="s">
        <v>46</v>
      </c>
      <c r="AC382" t="s">
        <v>46</v>
      </c>
    </row>
    <row r="383" spans="1:29" x14ac:dyDescent="0.25">
      <c r="A383" t="s">
        <v>28</v>
      </c>
      <c r="B383" t="s">
        <v>29</v>
      </c>
      <c r="C383" t="s">
        <v>30</v>
      </c>
      <c r="D383" t="s">
        <v>31</v>
      </c>
      <c r="E383" t="s">
        <v>32</v>
      </c>
      <c r="R383" t="s">
        <v>46</v>
      </c>
      <c r="S383" t="s">
        <v>46</v>
      </c>
      <c r="T383" t="s">
        <v>46</v>
      </c>
      <c r="U383" t="s">
        <v>46</v>
      </c>
      <c r="V383" t="s">
        <v>46</v>
      </c>
      <c r="W383" t="s">
        <v>46</v>
      </c>
      <c r="X383" t="s">
        <v>46</v>
      </c>
      <c r="Y383" t="s">
        <v>46</v>
      </c>
      <c r="Z383" t="s">
        <v>46</v>
      </c>
      <c r="AA383" t="s">
        <v>46</v>
      </c>
      <c r="AB383" t="s">
        <v>46</v>
      </c>
      <c r="AC383" t="s">
        <v>46</v>
      </c>
    </row>
    <row r="384" spans="1:29" x14ac:dyDescent="0.25">
      <c r="A384" t="s">
        <v>135</v>
      </c>
      <c r="B384">
        <v>43999</v>
      </c>
      <c r="C384" t="s">
        <v>46</v>
      </c>
      <c r="D384" t="s">
        <v>46</v>
      </c>
      <c r="E384" t="s">
        <v>46</v>
      </c>
      <c r="R384" t="s">
        <v>46</v>
      </c>
      <c r="S384" t="s">
        <v>46</v>
      </c>
      <c r="T384" t="s">
        <v>46</v>
      </c>
      <c r="U384" t="s">
        <v>46</v>
      </c>
      <c r="V384" t="s">
        <v>46</v>
      </c>
      <c r="W384" t="s">
        <v>46</v>
      </c>
      <c r="X384" t="s">
        <v>46</v>
      </c>
      <c r="Y384" t="s">
        <v>46</v>
      </c>
      <c r="Z384" t="s">
        <v>46</v>
      </c>
      <c r="AA384" t="s">
        <v>46</v>
      </c>
      <c r="AB384" t="s">
        <v>46</v>
      </c>
      <c r="AC384" t="s">
        <v>46</v>
      </c>
    </row>
    <row r="385" spans="1:29" x14ac:dyDescent="0.25">
      <c r="A385" t="s">
        <v>136</v>
      </c>
      <c r="B385">
        <v>2</v>
      </c>
      <c r="C385" t="s">
        <v>44</v>
      </c>
      <c r="D385" t="s">
        <v>43</v>
      </c>
      <c r="E385" t="s">
        <v>42</v>
      </c>
      <c r="F385" t="s">
        <v>41</v>
      </c>
      <c r="G385" t="s">
        <v>40</v>
      </c>
      <c r="H385" t="s">
        <v>39</v>
      </c>
      <c r="I385" t="s">
        <v>38</v>
      </c>
      <c r="J385" t="s">
        <v>37</v>
      </c>
      <c r="K385" t="s">
        <v>36</v>
      </c>
      <c r="L385" t="s">
        <v>35</v>
      </c>
      <c r="M385" t="s">
        <v>34</v>
      </c>
      <c r="N385" t="s">
        <v>33</v>
      </c>
      <c r="R385" t="s">
        <v>46</v>
      </c>
      <c r="S385" t="s">
        <v>46</v>
      </c>
      <c r="T385" t="s">
        <v>46</v>
      </c>
      <c r="U385" t="s">
        <v>46</v>
      </c>
      <c r="V385" t="s">
        <v>46</v>
      </c>
      <c r="W385" t="s">
        <v>46</v>
      </c>
      <c r="X385" t="s">
        <v>46</v>
      </c>
      <c r="Y385" t="s">
        <v>46</v>
      </c>
      <c r="Z385" t="s">
        <v>46</v>
      </c>
      <c r="AA385" t="s">
        <v>46</v>
      </c>
      <c r="AB385" t="s">
        <v>46</v>
      </c>
      <c r="AC385" t="s">
        <v>46</v>
      </c>
    </row>
    <row r="386" spans="1:29" x14ac:dyDescent="0.25">
      <c r="A386" t="s">
        <v>137</v>
      </c>
      <c r="B386">
        <v>0</v>
      </c>
      <c r="C386" t="s">
        <v>138</v>
      </c>
      <c r="R386" t="s">
        <v>46</v>
      </c>
      <c r="S386" t="s">
        <v>46</v>
      </c>
      <c r="T386" t="s">
        <v>46</v>
      </c>
      <c r="U386" t="s">
        <v>46</v>
      </c>
      <c r="V386" t="s">
        <v>46</v>
      </c>
      <c r="W386" t="s">
        <v>46</v>
      </c>
      <c r="X386" t="s">
        <v>46</v>
      </c>
      <c r="Y386" t="s">
        <v>46</v>
      </c>
      <c r="Z386" t="s">
        <v>46</v>
      </c>
      <c r="AA386" t="s">
        <v>46</v>
      </c>
      <c r="AB386" t="s">
        <v>46</v>
      </c>
      <c r="AC386" t="s">
        <v>46</v>
      </c>
    </row>
    <row r="387" spans="1:29" x14ac:dyDescent="0.25">
      <c r="A387" t="s">
        <v>139</v>
      </c>
      <c r="R387" t="s">
        <v>46</v>
      </c>
      <c r="S387" t="s">
        <v>46</v>
      </c>
      <c r="T387" t="s">
        <v>46</v>
      </c>
      <c r="U387" t="s">
        <v>46</v>
      </c>
      <c r="V387" t="s">
        <v>46</v>
      </c>
      <c r="W387" t="s">
        <v>46</v>
      </c>
      <c r="X387" t="s">
        <v>46</v>
      </c>
      <c r="Y387" t="s">
        <v>46</v>
      </c>
      <c r="Z387" t="s">
        <v>46</v>
      </c>
      <c r="AA387" t="s">
        <v>46</v>
      </c>
      <c r="AB387" t="s">
        <v>46</v>
      </c>
      <c r="AC387" t="s">
        <v>46</v>
      </c>
    </row>
    <row r="388" spans="1:29" x14ac:dyDescent="0.25">
      <c r="A388" t="s">
        <v>140</v>
      </c>
      <c r="B388">
        <v>0</v>
      </c>
      <c r="C388" t="s">
        <v>138</v>
      </c>
      <c r="R388" t="s">
        <v>46</v>
      </c>
      <c r="S388" t="s">
        <v>46</v>
      </c>
      <c r="T388" t="s">
        <v>46</v>
      </c>
      <c r="U388" t="s">
        <v>46</v>
      </c>
      <c r="V388" t="s">
        <v>46</v>
      </c>
      <c r="W388" t="s">
        <v>46</v>
      </c>
      <c r="X388" t="s">
        <v>46</v>
      </c>
      <c r="Y388" t="s">
        <v>46</v>
      </c>
      <c r="Z388" t="s">
        <v>46</v>
      </c>
      <c r="AA388" t="s">
        <v>46</v>
      </c>
      <c r="AB388" t="s">
        <v>46</v>
      </c>
      <c r="AC388" t="s">
        <v>46</v>
      </c>
    </row>
    <row r="389" spans="1:29" x14ac:dyDescent="0.25">
      <c r="A389" t="s">
        <v>141</v>
      </c>
      <c r="R389" t="s">
        <v>46</v>
      </c>
      <c r="S389" t="s">
        <v>46</v>
      </c>
      <c r="T389" t="s">
        <v>46</v>
      </c>
      <c r="U389" t="s">
        <v>46</v>
      </c>
      <c r="V389" t="s">
        <v>46</v>
      </c>
      <c r="W389" t="s">
        <v>46</v>
      </c>
      <c r="X389" t="s">
        <v>46</v>
      </c>
      <c r="Y389" t="s">
        <v>46</v>
      </c>
      <c r="Z389" t="s">
        <v>46</v>
      </c>
      <c r="AA389" t="s">
        <v>46</v>
      </c>
      <c r="AB389" t="s">
        <v>46</v>
      </c>
      <c r="AC389" t="s">
        <v>46</v>
      </c>
    </row>
    <row r="390" spans="1:29" x14ac:dyDescent="0.25">
      <c r="A390" t="s">
        <v>142</v>
      </c>
      <c r="B390">
        <v>0</v>
      </c>
      <c r="C390" t="s">
        <v>138</v>
      </c>
      <c r="R390" t="s">
        <v>46</v>
      </c>
      <c r="S390" t="s">
        <v>46</v>
      </c>
      <c r="T390" t="s">
        <v>46</v>
      </c>
      <c r="U390" t="s">
        <v>46</v>
      </c>
      <c r="V390" t="s">
        <v>46</v>
      </c>
      <c r="W390" t="s">
        <v>46</v>
      </c>
      <c r="X390" t="s">
        <v>46</v>
      </c>
      <c r="Y390" t="s">
        <v>46</v>
      </c>
      <c r="Z390" t="s">
        <v>46</v>
      </c>
      <c r="AA390" t="s">
        <v>46</v>
      </c>
      <c r="AB390" t="s">
        <v>46</v>
      </c>
      <c r="AC390" t="s">
        <v>46</v>
      </c>
    </row>
    <row r="391" spans="1:29" x14ac:dyDescent="0.25">
      <c r="A391" t="s">
        <v>143</v>
      </c>
      <c r="R391" t="s">
        <v>46</v>
      </c>
      <c r="S391" t="s">
        <v>46</v>
      </c>
      <c r="T391" t="s">
        <v>46</v>
      </c>
      <c r="U391" t="s">
        <v>46</v>
      </c>
      <c r="V391" t="s">
        <v>46</v>
      </c>
      <c r="W391" t="s">
        <v>46</v>
      </c>
      <c r="X391" t="s">
        <v>46</v>
      </c>
      <c r="Y391" t="s">
        <v>46</v>
      </c>
      <c r="Z391" t="s">
        <v>46</v>
      </c>
      <c r="AA391" t="s">
        <v>46</v>
      </c>
      <c r="AB391" t="s">
        <v>46</v>
      </c>
      <c r="AC391" t="s">
        <v>46</v>
      </c>
    </row>
    <row r="392" spans="1:29" x14ac:dyDescent="0.25">
      <c r="A392" t="s">
        <v>144</v>
      </c>
      <c r="B392">
        <v>2</v>
      </c>
      <c r="C392" t="s">
        <v>44</v>
      </c>
      <c r="D392" t="s">
        <v>43</v>
      </c>
      <c r="E392" t="s">
        <v>42</v>
      </c>
      <c r="F392" t="s">
        <v>41</v>
      </c>
      <c r="G392" t="s">
        <v>40</v>
      </c>
      <c r="H392" t="s">
        <v>39</v>
      </c>
      <c r="I392" t="s">
        <v>38</v>
      </c>
      <c r="J392" t="s">
        <v>37</v>
      </c>
      <c r="K392" t="s">
        <v>36</v>
      </c>
      <c r="L392" t="s">
        <v>35</v>
      </c>
      <c r="M392" t="s">
        <v>34</v>
      </c>
      <c r="N392" t="s">
        <v>33</v>
      </c>
      <c r="R392" t="s">
        <v>46</v>
      </c>
      <c r="S392" t="s">
        <v>46</v>
      </c>
      <c r="T392" t="s">
        <v>46</v>
      </c>
      <c r="U392" t="s">
        <v>46</v>
      </c>
      <c r="V392" t="s">
        <v>46</v>
      </c>
      <c r="W392" t="s">
        <v>46</v>
      </c>
      <c r="X392" t="s">
        <v>46</v>
      </c>
      <c r="Y392" t="s">
        <v>46</v>
      </c>
      <c r="Z392" t="s">
        <v>46</v>
      </c>
      <c r="AA392" t="s">
        <v>46</v>
      </c>
      <c r="AB392" t="s">
        <v>46</v>
      </c>
      <c r="AC392" t="s">
        <v>46</v>
      </c>
    </row>
    <row r="393" spans="1:29" x14ac:dyDescent="0.25">
      <c r="A393" t="s">
        <v>145</v>
      </c>
      <c r="B393">
        <v>2</v>
      </c>
      <c r="C393" t="s">
        <v>44</v>
      </c>
      <c r="D393" t="s">
        <v>43</v>
      </c>
      <c r="E393" t="s">
        <v>42</v>
      </c>
      <c r="F393" t="s">
        <v>41</v>
      </c>
      <c r="G393" t="s">
        <v>40</v>
      </c>
      <c r="H393" t="s">
        <v>39</v>
      </c>
      <c r="I393" t="s">
        <v>38</v>
      </c>
      <c r="J393" t="s">
        <v>37</v>
      </c>
      <c r="K393" t="s">
        <v>36</v>
      </c>
      <c r="L393" t="s">
        <v>35</v>
      </c>
      <c r="M393" t="s">
        <v>34</v>
      </c>
      <c r="N393" t="s">
        <v>33</v>
      </c>
      <c r="R393" t="s">
        <v>46</v>
      </c>
      <c r="S393" t="s">
        <v>46</v>
      </c>
      <c r="T393" t="s">
        <v>46</v>
      </c>
      <c r="U393" t="s">
        <v>46</v>
      </c>
      <c r="V393" t="s">
        <v>46</v>
      </c>
      <c r="W393" t="s">
        <v>46</v>
      </c>
      <c r="X393" t="s">
        <v>46</v>
      </c>
      <c r="Y393" t="s">
        <v>46</v>
      </c>
      <c r="Z393" t="s">
        <v>46</v>
      </c>
      <c r="AA393" t="s">
        <v>46</v>
      </c>
      <c r="AB393" t="s">
        <v>46</v>
      </c>
      <c r="AC393" t="s">
        <v>46</v>
      </c>
    </row>
    <row r="394" spans="1:29" x14ac:dyDescent="0.25">
      <c r="A394" t="s">
        <v>146</v>
      </c>
      <c r="B394">
        <v>0</v>
      </c>
      <c r="C394" t="s">
        <v>138</v>
      </c>
      <c r="R394" t="s">
        <v>46</v>
      </c>
      <c r="S394" t="s">
        <v>46</v>
      </c>
      <c r="T394" t="s">
        <v>46</v>
      </c>
      <c r="U394" t="s">
        <v>46</v>
      </c>
      <c r="V394" t="s">
        <v>46</v>
      </c>
      <c r="W394" t="s">
        <v>46</v>
      </c>
      <c r="X394" t="s">
        <v>46</v>
      </c>
      <c r="Y394" t="s">
        <v>46</v>
      </c>
      <c r="Z394" t="s">
        <v>46</v>
      </c>
      <c r="AA394" t="s">
        <v>46</v>
      </c>
      <c r="AB394" t="s">
        <v>46</v>
      </c>
      <c r="AC394" t="s">
        <v>46</v>
      </c>
    </row>
    <row r="395" spans="1:29" x14ac:dyDescent="0.25">
      <c r="A395" t="s">
        <v>147</v>
      </c>
      <c r="R395" t="s">
        <v>46</v>
      </c>
      <c r="S395" t="s">
        <v>46</v>
      </c>
      <c r="T395" t="s">
        <v>46</v>
      </c>
      <c r="U395" t="s">
        <v>46</v>
      </c>
      <c r="V395" t="s">
        <v>46</v>
      </c>
      <c r="W395" t="s">
        <v>46</v>
      </c>
      <c r="X395" t="s">
        <v>46</v>
      </c>
      <c r="Y395" t="s">
        <v>46</v>
      </c>
      <c r="Z395" t="s">
        <v>46</v>
      </c>
      <c r="AA395" t="s">
        <v>46</v>
      </c>
      <c r="AB395" t="s">
        <v>46</v>
      </c>
      <c r="AC395" t="s">
        <v>46</v>
      </c>
    </row>
    <row r="396" spans="1:29" x14ac:dyDescent="0.25">
      <c r="A396" t="s">
        <v>148</v>
      </c>
      <c r="B396">
        <v>0</v>
      </c>
      <c r="C396" t="s">
        <v>138</v>
      </c>
      <c r="R396" t="s">
        <v>46</v>
      </c>
      <c r="S396" t="s">
        <v>46</v>
      </c>
      <c r="T396" t="s">
        <v>46</v>
      </c>
      <c r="U396" t="s">
        <v>46</v>
      </c>
      <c r="V396" t="s">
        <v>46</v>
      </c>
      <c r="W396" t="s">
        <v>46</v>
      </c>
      <c r="X396" t="s">
        <v>46</v>
      </c>
      <c r="Y396" t="s">
        <v>46</v>
      </c>
      <c r="Z396" t="s">
        <v>46</v>
      </c>
      <c r="AA396" t="s">
        <v>46</v>
      </c>
      <c r="AB396" t="s">
        <v>46</v>
      </c>
      <c r="AC396" t="s">
        <v>46</v>
      </c>
    </row>
    <row r="397" spans="1:29" x14ac:dyDescent="0.25">
      <c r="A397" t="s">
        <v>149</v>
      </c>
      <c r="R397" t="s">
        <v>46</v>
      </c>
      <c r="S397" t="s">
        <v>46</v>
      </c>
      <c r="T397" t="s">
        <v>46</v>
      </c>
      <c r="U397" t="s">
        <v>46</v>
      </c>
      <c r="V397" t="s">
        <v>46</v>
      </c>
      <c r="W397" t="s">
        <v>46</v>
      </c>
      <c r="X397" t="s">
        <v>46</v>
      </c>
      <c r="Y397" t="s">
        <v>46</v>
      </c>
      <c r="Z397" t="s">
        <v>46</v>
      </c>
      <c r="AA397" t="s">
        <v>46</v>
      </c>
      <c r="AB397" t="s">
        <v>46</v>
      </c>
      <c r="AC397" t="s">
        <v>46</v>
      </c>
    </row>
    <row r="398" spans="1:29" x14ac:dyDescent="0.25">
      <c r="A398" t="s">
        <v>150</v>
      </c>
      <c r="B398">
        <v>0</v>
      </c>
      <c r="C398" t="s">
        <v>138</v>
      </c>
      <c r="R398" t="s">
        <v>46</v>
      </c>
      <c r="S398" t="s">
        <v>46</v>
      </c>
      <c r="T398" t="s">
        <v>46</v>
      </c>
      <c r="U398" t="s">
        <v>46</v>
      </c>
      <c r="V398" t="s">
        <v>46</v>
      </c>
      <c r="W398" t="s">
        <v>46</v>
      </c>
      <c r="X398" t="s">
        <v>46</v>
      </c>
      <c r="Y398" t="s">
        <v>46</v>
      </c>
      <c r="Z398" t="s">
        <v>46</v>
      </c>
      <c r="AA398" t="s">
        <v>46</v>
      </c>
      <c r="AB398" t="s">
        <v>46</v>
      </c>
      <c r="AC398" t="s">
        <v>46</v>
      </c>
    </row>
    <row r="399" spans="1:29" x14ac:dyDescent="0.25">
      <c r="A399" t="s">
        <v>151</v>
      </c>
      <c r="R399" t="s">
        <v>46</v>
      </c>
      <c r="S399" t="s">
        <v>46</v>
      </c>
      <c r="T399" t="s">
        <v>46</v>
      </c>
      <c r="U399" t="s">
        <v>46</v>
      </c>
      <c r="V399" t="s">
        <v>46</v>
      </c>
      <c r="W399" t="s">
        <v>46</v>
      </c>
      <c r="X399" t="s">
        <v>46</v>
      </c>
      <c r="Y399" t="s">
        <v>46</v>
      </c>
      <c r="Z399" t="s">
        <v>46</v>
      </c>
      <c r="AA399" t="s">
        <v>46</v>
      </c>
      <c r="AB399" t="s">
        <v>46</v>
      </c>
      <c r="AC399" t="s">
        <v>46</v>
      </c>
    </row>
    <row r="400" spans="1:29" x14ac:dyDescent="0.25">
      <c r="A400" t="s">
        <v>152</v>
      </c>
      <c r="B400">
        <v>2</v>
      </c>
      <c r="C400" t="s">
        <v>44</v>
      </c>
      <c r="D400" t="s">
        <v>43</v>
      </c>
      <c r="E400" t="s">
        <v>42</v>
      </c>
      <c r="F400" t="s">
        <v>41</v>
      </c>
      <c r="G400" t="s">
        <v>40</v>
      </c>
      <c r="H400" t="s">
        <v>39</v>
      </c>
      <c r="I400" t="s">
        <v>38</v>
      </c>
      <c r="J400" t="s">
        <v>37</v>
      </c>
      <c r="K400" t="s">
        <v>36</v>
      </c>
      <c r="L400" t="s">
        <v>35</v>
      </c>
      <c r="M400" t="s">
        <v>34</v>
      </c>
      <c r="N400" t="s">
        <v>33</v>
      </c>
      <c r="R400" t="s">
        <v>46</v>
      </c>
      <c r="S400" t="s">
        <v>46</v>
      </c>
      <c r="T400" t="s">
        <v>46</v>
      </c>
      <c r="U400" t="s">
        <v>46</v>
      </c>
      <c r="V400" t="s">
        <v>46</v>
      </c>
      <c r="W400" t="s">
        <v>46</v>
      </c>
      <c r="X400" t="s">
        <v>46</v>
      </c>
      <c r="Y400" t="s">
        <v>46</v>
      </c>
      <c r="Z400" t="s">
        <v>46</v>
      </c>
      <c r="AA400" t="s">
        <v>46</v>
      </c>
      <c r="AB400" t="s">
        <v>46</v>
      </c>
      <c r="AC400" t="s">
        <v>46</v>
      </c>
    </row>
    <row r="401" spans="1:29" x14ac:dyDescent="0.25">
      <c r="A401" t="s">
        <v>153</v>
      </c>
      <c r="B401">
        <v>2</v>
      </c>
      <c r="C401" t="s">
        <v>44</v>
      </c>
      <c r="D401" t="s">
        <v>43</v>
      </c>
      <c r="E401" t="s">
        <v>42</v>
      </c>
      <c r="F401" t="s">
        <v>41</v>
      </c>
      <c r="G401" t="s">
        <v>40</v>
      </c>
      <c r="H401" t="s">
        <v>39</v>
      </c>
      <c r="I401" t="s">
        <v>38</v>
      </c>
      <c r="J401" t="s">
        <v>37</v>
      </c>
      <c r="K401" t="s">
        <v>36</v>
      </c>
      <c r="L401" t="s">
        <v>35</v>
      </c>
      <c r="M401" t="s">
        <v>34</v>
      </c>
      <c r="N401" t="s">
        <v>33</v>
      </c>
      <c r="R401" t="s">
        <v>46</v>
      </c>
      <c r="S401" t="s">
        <v>46</v>
      </c>
      <c r="T401" t="s">
        <v>46</v>
      </c>
      <c r="U401" t="s">
        <v>46</v>
      </c>
      <c r="V401" t="s">
        <v>46</v>
      </c>
      <c r="W401" t="s">
        <v>46</v>
      </c>
      <c r="X401" t="s">
        <v>46</v>
      </c>
      <c r="Y401" t="s">
        <v>46</v>
      </c>
      <c r="Z401" t="s">
        <v>46</v>
      </c>
      <c r="AA401" t="s">
        <v>46</v>
      </c>
      <c r="AB401" t="s">
        <v>46</v>
      </c>
      <c r="AC401" t="s">
        <v>46</v>
      </c>
    </row>
    <row r="402" spans="1:29" x14ac:dyDescent="0.25">
      <c r="A402" t="s">
        <v>154</v>
      </c>
      <c r="B402" t="s">
        <v>46</v>
      </c>
      <c r="C402" t="s">
        <v>46</v>
      </c>
      <c r="D402" t="s">
        <v>46</v>
      </c>
      <c r="E402" t="s">
        <v>46</v>
      </c>
      <c r="R402" t="s">
        <v>46</v>
      </c>
      <c r="S402" t="s">
        <v>46</v>
      </c>
      <c r="T402" t="s">
        <v>46</v>
      </c>
      <c r="U402" t="s">
        <v>46</v>
      </c>
      <c r="V402" t="s">
        <v>46</v>
      </c>
      <c r="W402" t="s">
        <v>46</v>
      </c>
      <c r="X402" t="s">
        <v>46</v>
      </c>
      <c r="Y402" t="s">
        <v>46</v>
      </c>
      <c r="Z402" t="s">
        <v>46</v>
      </c>
      <c r="AA402" t="s">
        <v>46</v>
      </c>
      <c r="AB402" t="s">
        <v>46</v>
      </c>
      <c r="AC402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2020-06-17T00:16:27Z</dcterms:modified>
</cp:coreProperties>
</file>