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_admin\blp\data\"/>
    </mc:Choice>
  </mc:AlternateContent>
  <xr:revisionPtr revIDLastSave="0" documentId="13_ncr:1_{A6E8A975-1510-4E70-AD89-BB7FDB1EA887}" xr6:coauthVersionLast="36" xr6:coauthVersionMax="36" xr10:uidLastSave="{00000000-0000-0000-0000-000000000000}"/>
  <bookViews>
    <workbookView xWindow="10395" yWindow="-105" windowWidth="14850" windowHeight="12735" activeTab="1" xr2:uid="{00000000-000D-0000-FFFF-FFFF00000000}"/>
  </bookViews>
  <sheets>
    <sheet name="BIData" sheetId="2" r:id="rId1"/>
    <sheet name="Sheet1" sheetId="5" r:id="rId2"/>
    <sheet name="ReferenceData" sheetId="3" r:id="rId3"/>
    <sheet name="Sheet2" sheetId="6" r:id="rId4"/>
    <sheet name="Help-Reference" sheetId="4" r:id="rId5"/>
  </sheets>
  <calcPr calcId="191029"/>
</workbook>
</file>

<file path=xl/calcChain.xml><?xml version="1.0" encoding="utf-8"?>
<calcChain xmlns="http://schemas.openxmlformats.org/spreadsheetml/2006/main">
  <c r="Y204" i="3" l="1"/>
  <c r="X204" i="3"/>
  <c r="W204" i="3"/>
  <c r="V204" i="3"/>
  <c r="U204" i="3"/>
  <c r="T204" i="3"/>
  <c r="S204" i="3"/>
  <c r="R204" i="3"/>
  <c r="Q204" i="3"/>
  <c r="P204" i="3"/>
  <c r="E204" i="3"/>
  <c r="D204" i="3"/>
  <c r="C204" i="3"/>
  <c r="B204" i="3"/>
  <c r="A204" i="3"/>
  <c r="Y203" i="3"/>
  <c r="X203" i="3"/>
  <c r="W203" i="3"/>
  <c r="V203" i="3"/>
  <c r="U203" i="3"/>
  <c r="T203" i="3"/>
  <c r="S203" i="3"/>
  <c r="R203" i="3"/>
  <c r="Q203" i="3"/>
  <c r="P203" i="3"/>
  <c r="A203" i="3"/>
  <c r="Y202" i="3"/>
  <c r="X202" i="3"/>
  <c r="W202" i="3"/>
  <c r="V202" i="3"/>
  <c r="U202" i="3"/>
  <c r="T202" i="3"/>
  <c r="S202" i="3"/>
  <c r="R202" i="3"/>
  <c r="Q202" i="3"/>
  <c r="P202" i="3"/>
  <c r="A202" i="3"/>
  <c r="Y201" i="3"/>
  <c r="X201" i="3"/>
  <c r="W201" i="3"/>
  <c r="V201" i="3"/>
  <c r="U201" i="3"/>
  <c r="T201" i="3"/>
  <c r="S201" i="3"/>
  <c r="R201" i="3"/>
  <c r="Q201" i="3"/>
  <c r="P201" i="3"/>
  <c r="A201" i="3"/>
  <c r="Y200" i="3"/>
  <c r="X200" i="3"/>
  <c r="W200" i="3"/>
  <c r="V200" i="3"/>
  <c r="U200" i="3"/>
  <c r="T200" i="3"/>
  <c r="S200" i="3"/>
  <c r="R200" i="3"/>
  <c r="Q200" i="3"/>
  <c r="P200" i="3"/>
  <c r="A200" i="3"/>
  <c r="Y199" i="3"/>
  <c r="X199" i="3"/>
  <c r="W199" i="3"/>
  <c r="V199" i="3"/>
  <c r="U199" i="3"/>
  <c r="T199" i="3"/>
  <c r="S199" i="3"/>
  <c r="R199" i="3"/>
  <c r="Q199" i="3"/>
  <c r="P199" i="3"/>
  <c r="A199" i="3"/>
  <c r="Y198" i="3"/>
  <c r="X198" i="3"/>
  <c r="W198" i="3"/>
  <c r="V198" i="3"/>
  <c r="U198" i="3"/>
  <c r="T198" i="3"/>
  <c r="S198" i="3"/>
  <c r="R198" i="3"/>
  <c r="Q198" i="3"/>
  <c r="P198" i="3"/>
  <c r="A198" i="3"/>
  <c r="Y197" i="3"/>
  <c r="X197" i="3"/>
  <c r="W197" i="3"/>
  <c r="V197" i="3"/>
  <c r="U197" i="3"/>
  <c r="T197" i="3"/>
  <c r="S197" i="3"/>
  <c r="R197" i="3"/>
  <c r="Q197" i="3"/>
  <c r="P197" i="3"/>
  <c r="A197" i="3"/>
  <c r="Y196" i="3"/>
  <c r="X196" i="3"/>
  <c r="W196" i="3"/>
  <c r="V196" i="3"/>
  <c r="U196" i="3"/>
  <c r="T196" i="3"/>
  <c r="S196" i="3"/>
  <c r="R196" i="3"/>
  <c r="Q196" i="3"/>
  <c r="P196" i="3"/>
  <c r="A196" i="3"/>
  <c r="Y195" i="3"/>
  <c r="X195" i="3"/>
  <c r="W195" i="3"/>
  <c r="V195" i="3"/>
  <c r="U195" i="3"/>
  <c r="T195" i="3"/>
  <c r="S195" i="3"/>
  <c r="R195" i="3"/>
  <c r="Q195" i="3"/>
  <c r="P195" i="3"/>
  <c r="A195" i="3"/>
  <c r="Y194" i="3"/>
  <c r="X194" i="3"/>
  <c r="W194" i="3"/>
  <c r="V194" i="3"/>
  <c r="U194" i="3"/>
  <c r="T194" i="3"/>
  <c r="S194" i="3"/>
  <c r="R194" i="3"/>
  <c r="Q194" i="3"/>
  <c r="P194" i="3"/>
  <c r="A194" i="3"/>
  <c r="Y193" i="3"/>
  <c r="X193" i="3"/>
  <c r="W193" i="3"/>
  <c r="V193" i="3"/>
  <c r="U193" i="3"/>
  <c r="T193" i="3"/>
  <c r="S193" i="3"/>
  <c r="R193" i="3"/>
  <c r="Q193" i="3"/>
  <c r="P193" i="3"/>
  <c r="A193" i="3"/>
  <c r="Y192" i="3"/>
  <c r="X192" i="3"/>
  <c r="W192" i="3"/>
  <c r="V192" i="3"/>
  <c r="U192" i="3"/>
  <c r="T192" i="3"/>
  <c r="S192" i="3"/>
  <c r="R192" i="3"/>
  <c r="Q192" i="3"/>
  <c r="P192" i="3"/>
  <c r="A192" i="3"/>
  <c r="Y191" i="3"/>
  <c r="X191" i="3"/>
  <c r="W191" i="3"/>
  <c r="V191" i="3"/>
  <c r="U191" i="3"/>
  <c r="T191" i="3"/>
  <c r="S191" i="3"/>
  <c r="R191" i="3"/>
  <c r="Q191" i="3"/>
  <c r="P191" i="3"/>
  <c r="A191" i="3"/>
  <c r="Y190" i="3"/>
  <c r="X190" i="3"/>
  <c r="W190" i="3"/>
  <c r="V190" i="3"/>
  <c r="U190" i="3"/>
  <c r="T190" i="3"/>
  <c r="S190" i="3"/>
  <c r="R190" i="3"/>
  <c r="Q190" i="3"/>
  <c r="P190" i="3"/>
  <c r="A190" i="3"/>
  <c r="Y189" i="3"/>
  <c r="X189" i="3"/>
  <c r="W189" i="3"/>
  <c r="V189" i="3"/>
  <c r="U189" i="3"/>
  <c r="T189" i="3"/>
  <c r="S189" i="3"/>
  <c r="R189" i="3"/>
  <c r="Q189" i="3"/>
  <c r="P189" i="3"/>
  <c r="A189" i="3"/>
  <c r="Y188" i="3"/>
  <c r="X188" i="3"/>
  <c r="W188" i="3"/>
  <c r="V188" i="3"/>
  <c r="U188" i="3"/>
  <c r="T188" i="3"/>
  <c r="S188" i="3"/>
  <c r="R188" i="3"/>
  <c r="Q188" i="3"/>
  <c r="P188" i="3"/>
  <c r="A188" i="3"/>
  <c r="Y187" i="3"/>
  <c r="X187" i="3"/>
  <c r="W187" i="3"/>
  <c r="V187" i="3"/>
  <c r="U187" i="3"/>
  <c r="T187" i="3"/>
  <c r="S187" i="3"/>
  <c r="R187" i="3"/>
  <c r="Q187" i="3"/>
  <c r="P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Y186" i="3"/>
  <c r="X186" i="3"/>
  <c r="W186" i="3"/>
  <c r="V186" i="3"/>
  <c r="U186" i="3"/>
  <c r="T186" i="3"/>
  <c r="S186" i="3"/>
  <c r="R186" i="3"/>
  <c r="Q186" i="3"/>
  <c r="P186" i="3"/>
  <c r="E186" i="3"/>
  <c r="D186" i="3"/>
  <c r="C186" i="3"/>
  <c r="B186" i="3"/>
  <c r="A186" i="3"/>
  <c r="Y185" i="3"/>
  <c r="X185" i="3"/>
  <c r="W185" i="3"/>
  <c r="V185" i="3"/>
  <c r="U185" i="3"/>
  <c r="T185" i="3"/>
  <c r="S185" i="3"/>
  <c r="R185" i="3"/>
  <c r="Q185" i="3"/>
  <c r="P185" i="3"/>
  <c r="E185" i="3"/>
  <c r="D185" i="3"/>
  <c r="C185" i="3"/>
  <c r="B185" i="3"/>
  <c r="A185" i="3"/>
  <c r="Y184" i="3"/>
  <c r="X184" i="3"/>
  <c r="W184" i="3"/>
  <c r="V184" i="3"/>
  <c r="U184" i="3"/>
  <c r="T184" i="3"/>
  <c r="S184" i="3"/>
  <c r="R184" i="3"/>
  <c r="Q184" i="3"/>
  <c r="P184" i="3"/>
  <c r="E184" i="3"/>
  <c r="D184" i="3"/>
  <c r="C184" i="3"/>
  <c r="A184" i="3"/>
  <c r="Y183" i="3"/>
  <c r="X183" i="3"/>
  <c r="W183" i="3"/>
  <c r="V183" i="3"/>
  <c r="U183" i="3"/>
  <c r="T183" i="3"/>
  <c r="S183" i="3"/>
  <c r="R183" i="3"/>
  <c r="Q183" i="3"/>
  <c r="P183" i="3"/>
  <c r="E183" i="3"/>
  <c r="D183" i="3"/>
  <c r="C183" i="3"/>
  <c r="B183" i="3"/>
  <c r="A183" i="3"/>
  <c r="Y182" i="3"/>
  <c r="X182" i="3"/>
  <c r="W182" i="3"/>
  <c r="V182" i="3"/>
  <c r="U182" i="3"/>
  <c r="T182" i="3"/>
  <c r="S182" i="3"/>
  <c r="R182" i="3"/>
  <c r="Q182" i="3"/>
  <c r="P182" i="3"/>
  <c r="A182" i="3"/>
  <c r="Y181" i="3"/>
  <c r="X181" i="3"/>
  <c r="W181" i="3"/>
  <c r="V181" i="3"/>
  <c r="U181" i="3"/>
  <c r="T181" i="3"/>
  <c r="S181" i="3"/>
  <c r="R181" i="3"/>
  <c r="Q181" i="3"/>
  <c r="P181" i="3"/>
  <c r="E181" i="3"/>
  <c r="D181" i="3"/>
  <c r="C181" i="3"/>
  <c r="B181" i="3"/>
  <c r="A181" i="3"/>
  <c r="Y180" i="3"/>
  <c r="X180" i="3"/>
  <c r="W180" i="3"/>
  <c r="V180" i="3"/>
  <c r="U180" i="3"/>
  <c r="T180" i="3"/>
  <c r="S180" i="3"/>
  <c r="R180" i="3"/>
  <c r="Q180" i="3"/>
  <c r="P180" i="3"/>
  <c r="E180" i="3"/>
  <c r="D180" i="3"/>
  <c r="C180" i="3"/>
  <c r="B180" i="3"/>
  <c r="A180" i="3"/>
  <c r="Y179" i="3"/>
  <c r="X179" i="3"/>
  <c r="W179" i="3"/>
  <c r="V179" i="3"/>
  <c r="U179" i="3"/>
  <c r="T179" i="3"/>
  <c r="S179" i="3"/>
  <c r="R179" i="3"/>
  <c r="Q179" i="3"/>
  <c r="P179" i="3"/>
  <c r="E179" i="3"/>
  <c r="D179" i="3"/>
  <c r="C179" i="3"/>
  <c r="B179" i="3"/>
  <c r="A179" i="3"/>
  <c r="Y178" i="3"/>
  <c r="X178" i="3"/>
  <c r="W178" i="3"/>
  <c r="V178" i="3"/>
  <c r="U178" i="3"/>
  <c r="T178" i="3"/>
  <c r="S178" i="3"/>
  <c r="R178" i="3"/>
  <c r="Q178" i="3"/>
  <c r="P178" i="3"/>
  <c r="E178" i="3"/>
  <c r="D178" i="3"/>
  <c r="C178" i="3"/>
  <c r="B178" i="3"/>
  <c r="A178" i="3"/>
  <c r="Y177" i="3"/>
  <c r="X177" i="3"/>
  <c r="W177" i="3"/>
  <c r="V177" i="3"/>
  <c r="U177" i="3"/>
  <c r="T177" i="3"/>
  <c r="S177" i="3"/>
  <c r="R177" i="3"/>
  <c r="Q177" i="3"/>
  <c r="P177" i="3"/>
  <c r="E177" i="3"/>
  <c r="D177" i="3"/>
  <c r="C177" i="3"/>
  <c r="B177" i="3"/>
  <c r="A177" i="3"/>
  <c r="Y176" i="3"/>
  <c r="X176" i="3"/>
  <c r="W176" i="3"/>
  <c r="V176" i="3"/>
  <c r="U176" i="3"/>
  <c r="T176" i="3"/>
  <c r="S176" i="3"/>
  <c r="R176" i="3"/>
  <c r="Q176" i="3"/>
  <c r="P176" i="3"/>
  <c r="E176" i="3"/>
  <c r="D176" i="3"/>
  <c r="C176" i="3"/>
  <c r="B176" i="3"/>
  <c r="A176" i="3"/>
  <c r="Y175" i="3"/>
  <c r="X175" i="3"/>
  <c r="W175" i="3"/>
  <c r="V175" i="3"/>
  <c r="U175" i="3"/>
  <c r="T175" i="3"/>
  <c r="S175" i="3"/>
  <c r="R175" i="3"/>
  <c r="Q175" i="3"/>
  <c r="P175" i="3"/>
  <c r="C175" i="3"/>
  <c r="Y174" i="3"/>
  <c r="X174" i="3"/>
  <c r="W174" i="3"/>
  <c r="V174" i="3"/>
  <c r="U174" i="3"/>
  <c r="T174" i="3"/>
  <c r="S174" i="3"/>
  <c r="R174" i="3"/>
  <c r="Q174" i="3"/>
  <c r="P174" i="3"/>
  <c r="E174" i="3"/>
  <c r="Y173" i="3"/>
  <c r="X173" i="3"/>
  <c r="W173" i="3"/>
  <c r="V173" i="3"/>
  <c r="U173" i="3"/>
  <c r="T173" i="3"/>
  <c r="S173" i="3"/>
  <c r="R173" i="3"/>
  <c r="Q173" i="3"/>
  <c r="P173" i="3"/>
  <c r="E173" i="3"/>
  <c r="Y172" i="3"/>
  <c r="X172" i="3"/>
  <c r="W172" i="3"/>
  <c r="V172" i="3"/>
  <c r="U172" i="3"/>
  <c r="T172" i="3"/>
  <c r="S172" i="3"/>
  <c r="R172" i="3"/>
  <c r="Q172" i="3"/>
  <c r="P172" i="3"/>
  <c r="A172" i="3"/>
  <c r="Y171" i="3"/>
  <c r="X171" i="3"/>
  <c r="W171" i="3"/>
  <c r="V171" i="3"/>
  <c r="U171" i="3"/>
  <c r="T171" i="3"/>
  <c r="S171" i="3"/>
  <c r="R171" i="3"/>
  <c r="Q171" i="3"/>
  <c r="P171" i="3"/>
  <c r="C171" i="3"/>
  <c r="A171" i="3"/>
  <c r="Y170" i="3"/>
  <c r="X170" i="3"/>
  <c r="W170" i="3"/>
  <c r="V170" i="3"/>
  <c r="U170" i="3"/>
  <c r="T170" i="3"/>
  <c r="S170" i="3"/>
  <c r="R170" i="3"/>
  <c r="Q170" i="3"/>
  <c r="P170" i="3"/>
  <c r="C170" i="3"/>
  <c r="Y169" i="3"/>
  <c r="X169" i="3"/>
  <c r="W169" i="3"/>
  <c r="V169" i="3"/>
  <c r="U169" i="3"/>
  <c r="T169" i="3"/>
  <c r="S169" i="3"/>
  <c r="R169" i="3"/>
  <c r="Q169" i="3"/>
  <c r="P169" i="3"/>
  <c r="E169" i="3"/>
  <c r="Y168" i="3"/>
  <c r="X168" i="3"/>
  <c r="W168" i="3"/>
  <c r="V168" i="3"/>
  <c r="U168" i="3"/>
  <c r="T168" i="3"/>
  <c r="S168" i="3"/>
  <c r="R168" i="3"/>
  <c r="Q168" i="3"/>
  <c r="P168" i="3"/>
  <c r="A168" i="3"/>
  <c r="Y167" i="3"/>
  <c r="X167" i="3"/>
  <c r="W167" i="3"/>
  <c r="V167" i="3"/>
  <c r="U167" i="3"/>
  <c r="T167" i="3"/>
  <c r="S167" i="3"/>
  <c r="R167" i="3"/>
  <c r="Q167" i="3"/>
  <c r="P167" i="3"/>
  <c r="C167" i="3"/>
  <c r="Y166" i="3"/>
  <c r="X166" i="3"/>
  <c r="W166" i="3"/>
  <c r="V166" i="3"/>
  <c r="U166" i="3"/>
  <c r="T166" i="3"/>
  <c r="S166" i="3"/>
  <c r="R166" i="3"/>
  <c r="Q166" i="3"/>
  <c r="P166" i="3"/>
  <c r="C166" i="3"/>
  <c r="Y165" i="3"/>
  <c r="X165" i="3"/>
  <c r="W165" i="3"/>
  <c r="V165" i="3"/>
  <c r="U165" i="3"/>
  <c r="T165" i="3"/>
  <c r="S165" i="3"/>
  <c r="R165" i="3"/>
  <c r="Q165" i="3"/>
  <c r="P165" i="3"/>
  <c r="Y164" i="3"/>
  <c r="X164" i="3"/>
  <c r="W164" i="3"/>
  <c r="V164" i="3"/>
  <c r="U164" i="3"/>
  <c r="T164" i="3"/>
  <c r="S164" i="3"/>
  <c r="R164" i="3"/>
  <c r="Q164" i="3"/>
  <c r="P164" i="3"/>
  <c r="Y163" i="3"/>
  <c r="X163" i="3"/>
  <c r="W163" i="3"/>
  <c r="V163" i="3"/>
  <c r="U163" i="3"/>
  <c r="T163" i="3"/>
  <c r="S163" i="3"/>
  <c r="R163" i="3"/>
  <c r="Q163" i="3"/>
  <c r="P163" i="3"/>
  <c r="A163" i="3"/>
  <c r="Y162" i="3"/>
  <c r="X162" i="3"/>
  <c r="W162" i="3"/>
  <c r="V162" i="3"/>
  <c r="U162" i="3"/>
  <c r="T162" i="3"/>
  <c r="S162" i="3"/>
  <c r="R162" i="3"/>
  <c r="Q162" i="3"/>
  <c r="P162" i="3"/>
  <c r="Y161" i="3"/>
  <c r="X161" i="3"/>
  <c r="W161" i="3"/>
  <c r="V161" i="3"/>
  <c r="U161" i="3"/>
  <c r="T161" i="3"/>
  <c r="S161" i="3"/>
  <c r="R161" i="3"/>
  <c r="Q161" i="3"/>
  <c r="P161" i="3"/>
  <c r="Y160" i="3"/>
  <c r="X160" i="3"/>
  <c r="W160" i="3"/>
  <c r="V160" i="3"/>
  <c r="U160" i="3"/>
  <c r="T160" i="3"/>
  <c r="S160" i="3"/>
  <c r="R160" i="3"/>
  <c r="Q160" i="3"/>
  <c r="P160" i="3"/>
  <c r="Y159" i="3"/>
  <c r="X159" i="3"/>
  <c r="W159" i="3"/>
  <c r="V159" i="3"/>
  <c r="U159" i="3"/>
  <c r="T159" i="3"/>
  <c r="S159" i="3"/>
  <c r="R159" i="3"/>
  <c r="Q159" i="3"/>
  <c r="P159" i="3"/>
  <c r="Y158" i="3"/>
  <c r="X158" i="3"/>
  <c r="W158" i="3"/>
  <c r="V158" i="3"/>
  <c r="U158" i="3"/>
  <c r="T158" i="3"/>
  <c r="S158" i="3"/>
  <c r="R158" i="3"/>
  <c r="Q158" i="3"/>
  <c r="P158" i="3"/>
  <c r="Y157" i="3"/>
  <c r="X157" i="3"/>
  <c r="W157" i="3"/>
  <c r="V157" i="3"/>
  <c r="U157" i="3"/>
  <c r="T157" i="3"/>
  <c r="S157" i="3"/>
  <c r="R157" i="3"/>
  <c r="Q157" i="3"/>
  <c r="P157" i="3"/>
  <c r="Y156" i="3"/>
  <c r="X156" i="3"/>
  <c r="W156" i="3"/>
  <c r="V156" i="3"/>
  <c r="U156" i="3"/>
  <c r="T156" i="3"/>
  <c r="S156" i="3"/>
  <c r="R156" i="3"/>
  <c r="Q156" i="3"/>
  <c r="P156" i="3"/>
  <c r="A156" i="3"/>
  <c r="Y155" i="3"/>
  <c r="X155" i="3"/>
  <c r="W155" i="3"/>
  <c r="V155" i="3"/>
  <c r="U155" i="3"/>
  <c r="T155" i="3"/>
  <c r="S155" i="3"/>
  <c r="R155" i="3"/>
  <c r="Q155" i="3"/>
  <c r="P155" i="3"/>
  <c r="A155" i="3"/>
  <c r="Y154" i="3"/>
  <c r="X154" i="3"/>
  <c r="W154" i="3"/>
  <c r="V154" i="3"/>
  <c r="U154" i="3"/>
  <c r="T154" i="3"/>
  <c r="S154" i="3"/>
  <c r="R154" i="3"/>
  <c r="Q154" i="3"/>
  <c r="P154" i="3"/>
  <c r="C154" i="3"/>
  <c r="Y153" i="3"/>
  <c r="X153" i="3"/>
  <c r="W153" i="3"/>
  <c r="V153" i="3"/>
  <c r="U153" i="3"/>
  <c r="T153" i="3"/>
  <c r="S153" i="3"/>
  <c r="R153" i="3"/>
  <c r="Q153" i="3"/>
  <c r="P153" i="3"/>
  <c r="Y152" i="3"/>
  <c r="X152" i="3"/>
  <c r="W152" i="3"/>
  <c r="V152" i="3"/>
  <c r="U152" i="3"/>
  <c r="T152" i="3"/>
  <c r="S152" i="3"/>
  <c r="R152" i="3"/>
  <c r="Q152" i="3"/>
  <c r="P152" i="3"/>
  <c r="Y151" i="3"/>
  <c r="X151" i="3"/>
  <c r="W151" i="3"/>
  <c r="V151" i="3"/>
  <c r="U151" i="3"/>
  <c r="T151" i="3"/>
  <c r="S151" i="3"/>
  <c r="R151" i="3"/>
  <c r="Q151" i="3"/>
  <c r="P151" i="3"/>
  <c r="Y150" i="3"/>
  <c r="X150" i="3"/>
  <c r="W150" i="3"/>
  <c r="V150" i="3"/>
  <c r="U150" i="3"/>
  <c r="T150" i="3"/>
  <c r="S150" i="3"/>
  <c r="R150" i="3"/>
  <c r="Q150" i="3"/>
  <c r="P150" i="3"/>
  <c r="Y149" i="3"/>
  <c r="X149" i="3"/>
  <c r="W149" i="3"/>
  <c r="V149" i="3"/>
  <c r="U149" i="3"/>
  <c r="T149" i="3"/>
  <c r="S149" i="3"/>
  <c r="R149" i="3"/>
  <c r="Q149" i="3"/>
  <c r="P149" i="3"/>
  <c r="Y148" i="3"/>
  <c r="X148" i="3"/>
  <c r="W148" i="3"/>
  <c r="V148" i="3"/>
  <c r="U148" i="3"/>
  <c r="T148" i="3"/>
  <c r="S148" i="3"/>
  <c r="R148" i="3"/>
  <c r="Q148" i="3"/>
  <c r="P148" i="3"/>
  <c r="Y147" i="3"/>
  <c r="X147" i="3"/>
  <c r="W147" i="3"/>
  <c r="V147" i="3"/>
  <c r="U147" i="3"/>
  <c r="T147" i="3"/>
  <c r="S147" i="3"/>
  <c r="R147" i="3"/>
  <c r="Q147" i="3"/>
  <c r="P147" i="3"/>
  <c r="Y146" i="3"/>
  <c r="X146" i="3"/>
  <c r="W146" i="3"/>
  <c r="V146" i="3"/>
  <c r="U146" i="3"/>
  <c r="T146" i="3"/>
  <c r="S146" i="3"/>
  <c r="R146" i="3"/>
  <c r="Q146" i="3"/>
  <c r="P146" i="3"/>
  <c r="E146" i="3"/>
  <c r="Y145" i="3"/>
  <c r="X145" i="3"/>
  <c r="W145" i="3"/>
  <c r="V145" i="3"/>
  <c r="U145" i="3"/>
  <c r="T145" i="3"/>
  <c r="S145" i="3"/>
  <c r="R145" i="3"/>
  <c r="Q145" i="3"/>
  <c r="P145" i="3"/>
  <c r="Y144" i="3"/>
  <c r="X144" i="3"/>
  <c r="W144" i="3"/>
  <c r="V144" i="3"/>
  <c r="U144" i="3"/>
  <c r="T144" i="3"/>
  <c r="S144" i="3"/>
  <c r="R144" i="3"/>
  <c r="Q144" i="3"/>
  <c r="P144" i="3"/>
  <c r="Y143" i="3"/>
  <c r="X143" i="3"/>
  <c r="W143" i="3"/>
  <c r="V143" i="3"/>
  <c r="U143" i="3"/>
  <c r="T143" i="3"/>
  <c r="S143" i="3"/>
  <c r="R143" i="3"/>
  <c r="Q143" i="3"/>
  <c r="P143" i="3"/>
  <c r="Y142" i="3"/>
  <c r="X142" i="3"/>
  <c r="W142" i="3"/>
  <c r="V142" i="3"/>
  <c r="U142" i="3"/>
  <c r="T142" i="3"/>
  <c r="S142" i="3"/>
  <c r="R142" i="3"/>
  <c r="Q142" i="3"/>
  <c r="P142" i="3"/>
  <c r="Y141" i="3"/>
  <c r="X141" i="3"/>
  <c r="W141" i="3"/>
  <c r="V141" i="3"/>
  <c r="U141" i="3"/>
  <c r="T141" i="3"/>
  <c r="S141" i="3"/>
  <c r="R141" i="3"/>
  <c r="Q141" i="3"/>
  <c r="P141" i="3"/>
  <c r="Y140" i="3"/>
  <c r="X140" i="3"/>
  <c r="W140" i="3"/>
  <c r="V140" i="3"/>
  <c r="U140" i="3"/>
  <c r="T140" i="3"/>
  <c r="S140" i="3"/>
  <c r="R140" i="3"/>
  <c r="Q140" i="3"/>
  <c r="P140" i="3"/>
  <c r="A140" i="3"/>
  <c r="Y139" i="3"/>
  <c r="X139" i="3"/>
  <c r="W139" i="3"/>
  <c r="V139" i="3"/>
  <c r="U139" i="3"/>
  <c r="T139" i="3"/>
  <c r="S139" i="3"/>
  <c r="R139" i="3"/>
  <c r="Q139" i="3"/>
  <c r="P139" i="3"/>
  <c r="Y138" i="3"/>
  <c r="X138" i="3"/>
  <c r="W138" i="3"/>
  <c r="V138" i="3"/>
  <c r="U138" i="3"/>
  <c r="T138" i="3"/>
  <c r="S138" i="3"/>
  <c r="R138" i="3"/>
  <c r="Q138" i="3"/>
  <c r="P138" i="3"/>
  <c r="Y137" i="3"/>
  <c r="X137" i="3"/>
  <c r="W137" i="3"/>
  <c r="V137" i="3"/>
  <c r="U137" i="3"/>
  <c r="T137" i="3"/>
  <c r="S137" i="3"/>
  <c r="R137" i="3"/>
  <c r="Q137" i="3"/>
  <c r="P137" i="3"/>
  <c r="Y136" i="3"/>
  <c r="X136" i="3"/>
  <c r="W136" i="3"/>
  <c r="V136" i="3"/>
  <c r="U136" i="3"/>
  <c r="T136" i="3"/>
  <c r="S136" i="3"/>
  <c r="R136" i="3"/>
  <c r="Q136" i="3"/>
  <c r="P136" i="3"/>
  <c r="A136" i="3"/>
  <c r="Y135" i="3"/>
  <c r="X135" i="3"/>
  <c r="W135" i="3"/>
  <c r="V135" i="3"/>
  <c r="U135" i="3"/>
  <c r="T135" i="3"/>
  <c r="S135" i="3"/>
  <c r="R135" i="3"/>
  <c r="Q135" i="3"/>
  <c r="P135" i="3"/>
  <c r="Y134" i="3"/>
  <c r="X134" i="3"/>
  <c r="W134" i="3"/>
  <c r="V134" i="3"/>
  <c r="U134" i="3"/>
  <c r="T134" i="3"/>
  <c r="S134" i="3"/>
  <c r="R134" i="3"/>
  <c r="Q134" i="3"/>
  <c r="P134" i="3"/>
  <c r="Y133" i="3"/>
  <c r="X133" i="3"/>
  <c r="W133" i="3"/>
  <c r="V133" i="3"/>
  <c r="U133" i="3"/>
  <c r="T133" i="3"/>
  <c r="S133" i="3"/>
  <c r="R133" i="3"/>
  <c r="Q133" i="3"/>
  <c r="P133" i="3"/>
  <c r="E133" i="3"/>
  <c r="Y132" i="3"/>
  <c r="X132" i="3"/>
  <c r="W132" i="3"/>
  <c r="V132" i="3"/>
  <c r="U132" i="3"/>
  <c r="T132" i="3"/>
  <c r="S132" i="3"/>
  <c r="R132" i="3"/>
  <c r="Q132" i="3"/>
  <c r="P132" i="3"/>
  <c r="Y131" i="3"/>
  <c r="X131" i="3"/>
  <c r="W131" i="3"/>
  <c r="V131" i="3"/>
  <c r="U131" i="3"/>
  <c r="T131" i="3"/>
  <c r="S131" i="3"/>
  <c r="R131" i="3"/>
  <c r="Q131" i="3"/>
  <c r="P131" i="3"/>
  <c r="Y130" i="3"/>
  <c r="X130" i="3"/>
  <c r="W130" i="3"/>
  <c r="V130" i="3"/>
  <c r="U130" i="3"/>
  <c r="T130" i="3"/>
  <c r="S130" i="3"/>
  <c r="R130" i="3"/>
  <c r="Q130" i="3"/>
  <c r="P130" i="3"/>
  <c r="Y129" i="3"/>
  <c r="X129" i="3"/>
  <c r="W129" i="3"/>
  <c r="V129" i="3"/>
  <c r="U129" i="3"/>
  <c r="T129" i="3"/>
  <c r="S129" i="3"/>
  <c r="R129" i="3"/>
  <c r="Q129" i="3"/>
  <c r="P129" i="3"/>
  <c r="E129" i="3"/>
  <c r="Y128" i="3"/>
  <c r="X128" i="3"/>
  <c r="W128" i="3"/>
  <c r="V128" i="3"/>
  <c r="U128" i="3"/>
  <c r="T128" i="3"/>
  <c r="S128" i="3"/>
  <c r="R128" i="3"/>
  <c r="Q128" i="3"/>
  <c r="P128" i="3"/>
  <c r="Y127" i="3"/>
  <c r="X127" i="3"/>
  <c r="W127" i="3"/>
  <c r="V127" i="3"/>
  <c r="U127" i="3"/>
  <c r="T127" i="3"/>
  <c r="S127" i="3"/>
  <c r="R127" i="3"/>
  <c r="Q127" i="3"/>
  <c r="P127" i="3"/>
  <c r="Y126" i="3"/>
  <c r="X126" i="3"/>
  <c r="W126" i="3"/>
  <c r="V126" i="3"/>
  <c r="U126" i="3"/>
  <c r="T126" i="3"/>
  <c r="S126" i="3"/>
  <c r="R126" i="3"/>
  <c r="Q126" i="3"/>
  <c r="P126" i="3"/>
  <c r="Y125" i="3"/>
  <c r="X125" i="3"/>
  <c r="W125" i="3"/>
  <c r="V125" i="3"/>
  <c r="U125" i="3"/>
  <c r="T125" i="3"/>
  <c r="S125" i="3"/>
  <c r="R125" i="3"/>
  <c r="Q125" i="3"/>
  <c r="P125" i="3"/>
  <c r="Y124" i="3"/>
  <c r="X124" i="3"/>
  <c r="W124" i="3"/>
  <c r="V124" i="3"/>
  <c r="U124" i="3"/>
  <c r="T124" i="3"/>
  <c r="S124" i="3"/>
  <c r="R124" i="3"/>
  <c r="Q124" i="3"/>
  <c r="P124" i="3"/>
  <c r="Y123" i="3"/>
  <c r="X123" i="3"/>
  <c r="W123" i="3"/>
  <c r="V123" i="3"/>
  <c r="U123" i="3"/>
  <c r="T123" i="3"/>
  <c r="S123" i="3"/>
  <c r="R123" i="3"/>
  <c r="Q123" i="3"/>
  <c r="P123" i="3"/>
  <c r="Y122" i="3"/>
  <c r="X122" i="3"/>
  <c r="W122" i="3"/>
  <c r="V122" i="3"/>
  <c r="U122" i="3"/>
  <c r="T122" i="3"/>
  <c r="S122" i="3"/>
  <c r="R122" i="3"/>
  <c r="Q122" i="3"/>
  <c r="P122" i="3"/>
  <c r="Y121" i="3"/>
  <c r="X121" i="3"/>
  <c r="W121" i="3"/>
  <c r="V121" i="3"/>
  <c r="U121" i="3"/>
  <c r="T121" i="3"/>
  <c r="S121" i="3"/>
  <c r="R121" i="3"/>
  <c r="Q121" i="3"/>
  <c r="P121" i="3"/>
  <c r="Y120" i="3"/>
  <c r="X120" i="3"/>
  <c r="W120" i="3"/>
  <c r="V120" i="3"/>
  <c r="U120" i="3"/>
  <c r="T120" i="3"/>
  <c r="S120" i="3"/>
  <c r="R120" i="3"/>
  <c r="Q120" i="3"/>
  <c r="P120" i="3"/>
  <c r="A120" i="3"/>
  <c r="Y119" i="3"/>
  <c r="X119" i="3"/>
  <c r="W119" i="3"/>
  <c r="V119" i="3"/>
  <c r="U119" i="3"/>
  <c r="T119" i="3"/>
  <c r="S119" i="3"/>
  <c r="R119" i="3"/>
  <c r="Q119" i="3"/>
  <c r="P119" i="3"/>
  <c r="E119" i="3"/>
  <c r="Y118" i="3"/>
  <c r="X118" i="3"/>
  <c r="W118" i="3"/>
  <c r="V118" i="3"/>
  <c r="U118" i="3"/>
  <c r="T118" i="3"/>
  <c r="S118" i="3"/>
  <c r="R118" i="3"/>
  <c r="Q118" i="3"/>
  <c r="P118" i="3"/>
  <c r="Y117" i="3"/>
  <c r="X117" i="3"/>
  <c r="W117" i="3"/>
  <c r="V117" i="3"/>
  <c r="U117" i="3"/>
  <c r="T117" i="3"/>
  <c r="S117" i="3"/>
  <c r="R117" i="3"/>
  <c r="Q117" i="3"/>
  <c r="P117" i="3"/>
  <c r="Y116" i="3"/>
  <c r="X116" i="3"/>
  <c r="W116" i="3"/>
  <c r="V116" i="3"/>
  <c r="U116" i="3"/>
  <c r="T116" i="3"/>
  <c r="S116" i="3"/>
  <c r="R116" i="3"/>
  <c r="Q116" i="3"/>
  <c r="P116" i="3"/>
  <c r="A116" i="3"/>
  <c r="Y115" i="3"/>
  <c r="X115" i="3"/>
  <c r="W115" i="3"/>
  <c r="V115" i="3"/>
  <c r="U115" i="3"/>
  <c r="T115" i="3"/>
  <c r="S115" i="3"/>
  <c r="R115" i="3"/>
  <c r="Q115" i="3"/>
  <c r="P115" i="3"/>
  <c r="E115" i="3"/>
  <c r="Y114" i="3"/>
  <c r="X114" i="3"/>
  <c r="W114" i="3"/>
  <c r="V114" i="3"/>
  <c r="U114" i="3"/>
  <c r="T114" i="3"/>
  <c r="S114" i="3"/>
  <c r="R114" i="3"/>
  <c r="Q114" i="3"/>
  <c r="P114" i="3"/>
  <c r="Y113" i="3"/>
  <c r="X113" i="3"/>
  <c r="W113" i="3"/>
  <c r="V113" i="3"/>
  <c r="U113" i="3"/>
  <c r="T113" i="3"/>
  <c r="S113" i="3"/>
  <c r="R113" i="3"/>
  <c r="Q113" i="3"/>
  <c r="P113" i="3"/>
  <c r="Y112" i="3"/>
  <c r="X112" i="3"/>
  <c r="W112" i="3"/>
  <c r="V112" i="3"/>
  <c r="U112" i="3"/>
  <c r="T112" i="3"/>
  <c r="S112" i="3"/>
  <c r="R112" i="3"/>
  <c r="Q112" i="3"/>
  <c r="P112" i="3"/>
  <c r="Y111" i="3"/>
  <c r="X111" i="3"/>
  <c r="W111" i="3"/>
  <c r="V111" i="3"/>
  <c r="U111" i="3"/>
  <c r="T111" i="3"/>
  <c r="S111" i="3"/>
  <c r="R111" i="3"/>
  <c r="Q111" i="3"/>
  <c r="P111" i="3"/>
  <c r="E111" i="3"/>
  <c r="Y110" i="3"/>
  <c r="X110" i="3"/>
  <c r="W110" i="3"/>
  <c r="V110" i="3"/>
  <c r="U110" i="3"/>
  <c r="T110" i="3"/>
  <c r="S110" i="3"/>
  <c r="R110" i="3"/>
  <c r="Q110" i="3"/>
  <c r="P110" i="3"/>
  <c r="Y109" i="3"/>
  <c r="X109" i="3"/>
  <c r="W109" i="3"/>
  <c r="V109" i="3"/>
  <c r="U109" i="3"/>
  <c r="T109" i="3"/>
  <c r="S109" i="3"/>
  <c r="R109" i="3"/>
  <c r="Q109" i="3"/>
  <c r="P109" i="3"/>
  <c r="Y108" i="3"/>
  <c r="X108" i="3"/>
  <c r="W108" i="3"/>
  <c r="V108" i="3"/>
  <c r="U108" i="3"/>
  <c r="T108" i="3"/>
  <c r="S108" i="3"/>
  <c r="R108" i="3"/>
  <c r="Q108" i="3"/>
  <c r="P108" i="3"/>
  <c r="A108" i="3"/>
  <c r="Y107" i="3"/>
  <c r="X107" i="3"/>
  <c r="W107" i="3"/>
  <c r="V107" i="3"/>
  <c r="U107" i="3"/>
  <c r="T107" i="3"/>
  <c r="S107" i="3"/>
  <c r="R107" i="3"/>
  <c r="Q107" i="3"/>
  <c r="P107" i="3"/>
  <c r="B107" i="3"/>
  <c r="B184" i="3" s="1"/>
  <c r="A107" i="3"/>
  <c r="Y106" i="3"/>
  <c r="X106" i="3"/>
  <c r="W106" i="3"/>
  <c r="V106" i="3"/>
  <c r="U106" i="3"/>
  <c r="T106" i="3"/>
  <c r="S106" i="3"/>
  <c r="R106" i="3"/>
  <c r="Q106" i="3"/>
  <c r="P106" i="3"/>
  <c r="C106" i="3"/>
  <c r="A106" i="3"/>
  <c r="Y105" i="3"/>
  <c r="X105" i="3"/>
  <c r="W105" i="3"/>
  <c r="V105" i="3"/>
  <c r="U105" i="3"/>
  <c r="T105" i="3"/>
  <c r="S105" i="3"/>
  <c r="R105" i="3"/>
  <c r="Q105" i="3"/>
  <c r="P105" i="3"/>
  <c r="B105" i="3"/>
  <c r="B106" i="3" s="1"/>
  <c r="A105" i="3"/>
  <c r="Y104" i="3"/>
  <c r="X104" i="3"/>
  <c r="W104" i="3"/>
  <c r="V104" i="3"/>
  <c r="U104" i="3"/>
  <c r="T104" i="3"/>
  <c r="S104" i="3"/>
  <c r="R104" i="3"/>
  <c r="Q104" i="3"/>
  <c r="P104" i="3"/>
  <c r="C104" i="3"/>
  <c r="B104" i="3"/>
  <c r="A104" i="3"/>
  <c r="Y103" i="3"/>
  <c r="X103" i="3"/>
  <c r="W103" i="3"/>
  <c r="V103" i="3"/>
  <c r="U103" i="3"/>
  <c r="T103" i="3"/>
  <c r="S103" i="3"/>
  <c r="R103" i="3"/>
  <c r="Q103" i="3"/>
  <c r="P103" i="3"/>
  <c r="B103" i="3"/>
  <c r="A103" i="3"/>
  <c r="Y102" i="3"/>
  <c r="X102" i="3"/>
  <c r="W102" i="3"/>
  <c r="V102" i="3"/>
  <c r="U102" i="3"/>
  <c r="T102" i="3"/>
  <c r="S102" i="3"/>
  <c r="R102" i="3"/>
  <c r="Q102" i="3"/>
  <c r="P102" i="3"/>
  <c r="Y101" i="3"/>
  <c r="X101" i="3"/>
  <c r="W101" i="3"/>
  <c r="V101" i="3"/>
  <c r="U101" i="3"/>
  <c r="T101" i="3"/>
  <c r="S101" i="3"/>
  <c r="R101" i="3"/>
  <c r="Q101" i="3"/>
  <c r="P101" i="3"/>
  <c r="A101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Y99" i="3"/>
  <c r="X99" i="3"/>
  <c r="W99" i="3"/>
  <c r="V99" i="3"/>
  <c r="U99" i="3"/>
  <c r="T99" i="3"/>
  <c r="S99" i="3"/>
  <c r="R99" i="3"/>
  <c r="Q99" i="3"/>
  <c r="P99" i="3"/>
  <c r="Y98" i="3"/>
  <c r="X98" i="3"/>
  <c r="W98" i="3"/>
  <c r="V98" i="3"/>
  <c r="U98" i="3"/>
  <c r="T98" i="3"/>
  <c r="S98" i="3"/>
  <c r="R98" i="3"/>
  <c r="Q98" i="3"/>
  <c r="P98" i="3"/>
  <c r="Y97" i="3"/>
  <c r="X97" i="3"/>
  <c r="W97" i="3"/>
  <c r="V97" i="3"/>
  <c r="U97" i="3"/>
  <c r="T97" i="3"/>
  <c r="S97" i="3"/>
  <c r="R97" i="3"/>
  <c r="Q97" i="3"/>
  <c r="P97" i="3"/>
  <c r="Y96" i="3"/>
  <c r="X96" i="3"/>
  <c r="W96" i="3"/>
  <c r="V96" i="3"/>
  <c r="U96" i="3"/>
  <c r="T96" i="3"/>
  <c r="S96" i="3"/>
  <c r="R96" i="3"/>
  <c r="Q96" i="3"/>
  <c r="P96" i="3"/>
  <c r="Y95" i="3"/>
  <c r="X95" i="3"/>
  <c r="W95" i="3"/>
  <c r="V95" i="3"/>
  <c r="U95" i="3"/>
  <c r="T95" i="3"/>
  <c r="S95" i="3"/>
  <c r="R95" i="3"/>
  <c r="Q95" i="3"/>
  <c r="P95" i="3"/>
  <c r="Y94" i="3"/>
  <c r="X94" i="3"/>
  <c r="W94" i="3"/>
  <c r="V94" i="3"/>
  <c r="U94" i="3"/>
  <c r="T94" i="3"/>
  <c r="S94" i="3"/>
  <c r="R94" i="3"/>
  <c r="Q94" i="3"/>
  <c r="P94" i="3"/>
  <c r="Y93" i="3"/>
  <c r="X93" i="3"/>
  <c r="W93" i="3"/>
  <c r="V93" i="3"/>
  <c r="U93" i="3"/>
  <c r="T93" i="3"/>
  <c r="S93" i="3"/>
  <c r="R93" i="3"/>
  <c r="Q93" i="3"/>
  <c r="P93" i="3"/>
  <c r="Y92" i="3"/>
  <c r="X92" i="3"/>
  <c r="W92" i="3"/>
  <c r="V92" i="3"/>
  <c r="U92" i="3"/>
  <c r="T92" i="3"/>
  <c r="S92" i="3"/>
  <c r="R92" i="3"/>
  <c r="Q92" i="3"/>
  <c r="P92" i="3"/>
  <c r="E92" i="3"/>
  <c r="B92" i="3"/>
  <c r="A92" i="3"/>
  <c r="Y91" i="3"/>
  <c r="X91" i="3"/>
  <c r="W91" i="3"/>
  <c r="V91" i="3"/>
  <c r="U91" i="3"/>
  <c r="T91" i="3"/>
  <c r="S91" i="3"/>
  <c r="R91" i="3"/>
  <c r="Q91" i="3"/>
  <c r="P91" i="3"/>
  <c r="E91" i="3"/>
  <c r="E175" i="3" s="1"/>
  <c r="D91" i="3"/>
  <c r="D175" i="3" s="1"/>
  <c r="C91" i="3"/>
  <c r="B91" i="3"/>
  <c r="B175" i="3" s="1"/>
  <c r="A91" i="3"/>
  <c r="A175" i="3" s="1"/>
  <c r="Y90" i="3"/>
  <c r="X90" i="3"/>
  <c r="W90" i="3"/>
  <c r="V90" i="3"/>
  <c r="U90" i="3"/>
  <c r="T90" i="3"/>
  <c r="S90" i="3"/>
  <c r="R90" i="3"/>
  <c r="Q90" i="3"/>
  <c r="P90" i="3"/>
  <c r="E90" i="3"/>
  <c r="D90" i="3"/>
  <c r="D174" i="3" s="1"/>
  <c r="C90" i="3"/>
  <c r="C174" i="3" s="1"/>
  <c r="B90" i="3"/>
  <c r="B174" i="3" s="1"/>
  <c r="A90" i="3"/>
  <c r="A174" i="3" s="1"/>
  <c r="Y89" i="3"/>
  <c r="X89" i="3"/>
  <c r="W89" i="3"/>
  <c r="V89" i="3"/>
  <c r="U89" i="3"/>
  <c r="T89" i="3"/>
  <c r="S89" i="3"/>
  <c r="R89" i="3"/>
  <c r="Q89" i="3"/>
  <c r="P89" i="3"/>
  <c r="E89" i="3"/>
  <c r="D89" i="3"/>
  <c r="D173" i="3" s="1"/>
  <c r="C89" i="3"/>
  <c r="B89" i="3"/>
  <c r="B173" i="3" s="1"/>
  <c r="A89" i="3"/>
  <c r="A173" i="3" s="1"/>
  <c r="Y88" i="3"/>
  <c r="X88" i="3"/>
  <c r="W88" i="3"/>
  <c r="V88" i="3"/>
  <c r="U88" i="3"/>
  <c r="T88" i="3"/>
  <c r="S88" i="3"/>
  <c r="R88" i="3"/>
  <c r="Q88" i="3"/>
  <c r="P88" i="3"/>
  <c r="E88" i="3"/>
  <c r="E172" i="3" s="1"/>
  <c r="D88" i="3"/>
  <c r="D172" i="3" s="1"/>
  <c r="C88" i="3"/>
  <c r="C172" i="3" s="1"/>
  <c r="B88" i="3"/>
  <c r="B172" i="3" s="1"/>
  <c r="A88" i="3"/>
  <c r="Y87" i="3"/>
  <c r="X87" i="3"/>
  <c r="W87" i="3"/>
  <c r="V87" i="3"/>
  <c r="U87" i="3"/>
  <c r="T87" i="3"/>
  <c r="S87" i="3"/>
  <c r="R87" i="3"/>
  <c r="Q87" i="3"/>
  <c r="P87" i="3"/>
  <c r="E87" i="3"/>
  <c r="B87" i="3"/>
  <c r="A87" i="3"/>
  <c r="Y86" i="3"/>
  <c r="X86" i="3"/>
  <c r="W86" i="3"/>
  <c r="V86" i="3"/>
  <c r="U86" i="3"/>
  <c r="T86" i="3"/>
  <c r="S86" i="3"/>
  <c r="R86" i="3"/>
  <c r="Q86" i="3"/>
  <c r="P86" i="3"/>
  <c r="E86" i="3"/>
  <c r="E171" i="3" s="1"/>
  <c r="D86" i="3"/>
  <c r="D171" i="3" s="1"/>
  <c r="C86" i="3"/>
  <c r="B86" i="3"/>
  <c r="B171" i="3" s="1"/>
  <c r="A86" i="3"/>
  <c r="Y85" i="3"/>
  <c r="X85" i="3"/>
  <c r="W85" i="3"/>
  <c r="V85" i="3"/>
  <c r="U85" i="3"/>
  <c r="T85" i="3"/>
  <c r="S85" i="3"/>
  <c r="R85" i="3"/>
  <c r="Q85" i="3"/>
  <c r="P85" i="3"/>
  <c r="E85" i="3"/>
  <c r="E170" i="3" s="1"/>
  <c r="D85" i="3"/>
  <c r="D170" i="3" s="1"/>
  <c r="C85" i="3"/>
  <c r="B85" i="3"/>
  <c r="B170" i="3" s="1"/>
  <c r="A85" i="3"/>
  <c r="A170" i="3" s="1"/>
  <c r="Y84" i="3"/>
  <c r="X84" i="3"/>
  <c r="W84" i="3"/>
  <c r="V84" i="3"/>
  <c r="U84" i="3"/>
  <c r="T84" i="3"/>
  <c r="S84" i="3"/>
  <c r="R84" i="3"/>
  <c r="Q84" i="3"/>
  <c r="P84" i="3"/>
  <c r="E84" i="3"/>
  <c r="D84" i="3"/>
  <c r="D169" i="3" s="1"/>
  <c r="C84" i="3"/>
  <c r="C169" i="3" s="1"/>
  <c r="B84" i="3"/>
  <c r="B169" i="3" s="1"/>
  <c r="A84" i="3"/>
  <c r="A169" i="3" s="1"/>
  <c r="Y83" i="3"/>
  <c r="X83" i="3"/>
  <c r="W83" i="3"/>
  <c r="V83" i="3"/>
  <c r="U83" i="3"/>
  <c r="T83" i="3"/>
  <c r="S83" i="3"/>
  <c r="R83" i="3"/>
  <c r="Q83" i="3"/>
  <c r="P83" i="3"/>
  <c r="E83" i="3"/>
  <c r="E168" i="3" s="1"/>
  <c r="D83" i="3"/>
  <c r="D168" i="3" s="1"/>
  <c r="C83" i="3"/>
  <c r="C168" i="3" s="1"/>
  <c r="B83" i="3"/>
  <c r="B168" i="3" s="1"/>
  <c r="A83" i="3"/>
  <c r="Y82" i="3"/>
  <c r="X82" i="3"/>
  <c r="W82" i="3"/>
  <c r="V82" i="3"/>
  <c r="U82" i="3"/>
  <c r="T82" i="3"/>
  <c r="S82" i="3"/>
  <c r="R82" i="3"/>
  <c r="Q82" i="3"/>
  <c r="P82" i="3"/>
  <c r="E82" i="3"/>
  <c r="E167" i="3" s="1"/>
  <c r="D82" i="3"/>
  <c r="D167" i="3" s="1"/>
  <c r="C82" i="3"/>
  <c r="B82" i="3"/>
  <c r="B167" i="3" s="1"/>
  <c r="A82" i="3"/>
  <c r="A167" i="3" s="1"/>
  <c r="Y81" i="3"/>
  <c r="X81" i="3"/>
  <c r="W81" i="3"/>
  <c r="V81" i="3"/>
  <c r="U81" i="3"/>
  <c r="T81" i="3"/>
  <c r="S81" i="3"/>
  <c r="R81" i="3"/>
  <c r="Q81" i="3"/>
  <c r="P81" i="3"/>
  <c r="E81" i="3"/>
  <c r="B81" i="3"/>
  <c r="A81" i="3"/>
  <c r="Y80" i="3"/>
  <c r="X80" i="3"/>
  <c r="W80" i="3"/>
  <c r="V80" i="3"/>
  <c r="U80" i="3"/>
  <c r="T80" i="3"/>
  <c r="S80" i="3"/>
  <c r="R80" i="3"/>
  <c r="Q80" i="3"/>
  <c r="P80" i="3"/>
  <c r="E80" i="3"/>
  <c r="E166" i="3" s="1"/>
  <c r="D80" i="3"/>
  <c r="D166" i="3" s="1"/>
  <c r="C80" i="3"/>
  <c r="B80" i="3"/>
  <c r="B166" i="3" s="1"/>
  <c r="A80" i="3"/>
  <c r="A166" i="3" s="1"/>
  <c r="Y79" i="3"/>
  <c r="X79" i="3"/>
  <c r="W79" i="3"/>
  <c r="V79" i="3"/>
  <c r="U79" i="3"/>
  <c r="T79" i="3"/>
  <c r="S79" i="3"/>
  <c r="R79" i="3"/>
  <c r="Q79" i="3"/>
  <c r="P79" i="3"/>
  <c r="E79" i="3"/>
  <c r="B79" i="3"/>
  <c r="A79" i="3"/>
  <c r="Y78" i="3"/>
  <c r="X78" i="3"/>
  <c r="W78" i="3"/>
  <c r="V78" i="3"/>
  <c r="U78" i="3"/>
  <c r="T78" i="3"/>
  <c r="S78" i="3"/>
  <c r="R78" i="3"/>
  <c r="Q78" i="3"/>
  <c r="P78" i="3"/>
  <c r="E78" i="3"/>
  <c r="D78" i="3"/>
  <c r="D165" i="3" s="1"/>
  <c r="C78" i="3"/>
  <c r="C165" i="3" s="1"/>
  <c r="B78" i="3"/>
  <c r="B165" i="3" s="1"/>
  <c r="A78" i="3"/>
  <c r="Y77" i="3"/>
  <c r="X77" i="3"/>
  <c r="W77" i="3"/>
  <c r="V77" i="3"/>
  <c r="U77" i="3"/>
  <c r="T77" i="3"/>
  <c r="S77" i="3"/>
  <c r="R77" i="3"/>
  <c r="Q77" i="3"/>
  <c r="P77" i="3"/>
  <c r="E77" i="3"/>
  <c r="E164" i="3" s="1"/>
  <c r="D77" i="3"/>
  <c r="D164" i="3" s="1"/>
  <c r="C77" i="3"/>
  <c r="C164" i="3" s="1"/>
  <c r="B77" i="3"/>
  <c r="B164" i="3" s="1"/>
  <c r="A77" i="3"/>
  <c r="A164" i="3" s="1"/>
  <c r="Y76" i="3"/>
  <c r="X76" i="3"/>
  <c r="W76" i="3"/>
  <c r="V76" i="3"/>
  <c r="U76" i="3"/>
  <c r="T76" i="3"/>
  <c r="S76" i="3"/>
  <c r="R76" i="3"/>
  <c r="Q76" i="3"/>
  <c r="P76" i="3"/>
  <c r="E76" i="3"/>
  <c r="E163" i="3" s="1"/>
  <c r="D76" i="3"/>
  <c r="D163" i="3" s="1"/>
  <c r="C76" i="3"/>
  <c r="C163" i="3" s="1"/>
  <c r="B76" i="3"/>
  <c r="A76" i="3"/>
  <c r="Y75" i="3"/>
  <c r="X75" i="3"/>
  <c r="W75" i="3"/>
  <c r="V75" i="3"/>
  <c r="U75" i="3"/>
  <c r="T75" i="3"/>
  <c r="S75" i="3"/>
  <c r="R75" i="3"/>
  <c r="Q75" i="3"/>
  <c r="P75" i="3"/>
  <c r="E75" i="3"/>
  <c r="E162" i="3" s="1"/>
  <c r="D75" i="3"/>
  <c r="D162" i="3" s="1"/>
  <c r="C75" i="3"/>
  <c r="C162" i="3" s="1"/>
  <c r="B75" i="3"/>
  <c r="B162" i="3" s="1"/>
  <c r="A75" i="3"/>
  <c r="A162" i="3" s="1"/>
  <c r="Y74" i="3"/>
  <c r="X74" i="3"/>
  <c r="W74" i="3"/>
  <c r="V74" i="3"/>
  <c r="U74" i="3"/>
  <c r="T74" i="3"/>
  <c r="S74" i="3"/>
  <c r="R74" i="3"/>
  <c r="Q74" i="3"/>
  <c r="P74" i="3"/>
  <c r="E74" i="3"/>
  <c r="E161" i="3" s="1"/>
  <c r="D74" i="3"/>
  <c r="D161" i="3" s="1"/>
  <c r="C74" i="3"/>
  <c r="C161" i="3" s="1"/>
  <c r="B74" i="3"/>
  <c r="B161" i="3" s="1"/>
  <c r="A74" i="3"/>
  <c r="A161" i="3" s="1"/>
  <c r="Y73" i="3"/>
  <c r="X73" i="3"/>
  <c r="W73" i="3"/>
  <c r="V73" i="3"/>
  <c r="U73" i="3"/>
  <c r="T73" i="3"/>
  <c r="S73" i="3"/>
  <c r="R73" i="3"/>
  <c r="Q73" i="3"/>
  <c r="P73" i="3"/>
  <c r="E73" i="3"/>
  <c r="E160" i="3" s="1"/>
  <c r="D73" i="3"/>
  <c r="D160" i="3" s="1"/>
  <c r="C73" i="3"/>
  <c r="C160" i="3" s="1"/>
  <c r="B73" i="3"/>
  <c r="B160" i="3" s="1"/>
  <c r="A73" i="3"/>
  <c r="A160" i="3" s="1"/>
  <c r="Y72" i="3"/>
  <c r="X72" i="3"/>
  <c r="W72" i="3"/>
  <c r="V72" i="3"/>
  <c r="U72" i="3"/>
  <c r="T72" i="3"/>
  <c r="S72" i="3"/>
  <c r="R72" i="3"/>
  <c r="Q72" i="3"/>
  <c r="P72" i="3"/>
  <c r="E72" i="3"/>
  <c r="E159" i="3" s="1"/>
  <c r="D72" i="3"/>
  <c r="D159" i="3" s="1"/>
  <c r="C72" i="3"/>
  <c r="C159" i="3" s="1"/>
  <c r="B72" i="3"/>
  <c r="B159" i="3" s="1"/>
  <c r="A72" i="3"/>
  <c r="A159" i="3" s="1"/>
  <c r="Y71" i="3"/>
  <c r="X71" i="3"/>
  <c r="W71" i="3"/>
  <c r="V71" i="3"/>
  <c r="U71" i="3"/>
  <c r="T71" i="3"/>
  <c r="S71" i="3"/>
  <c r="R71" i="3"/>
  <c r="Q71" i="3"/>
  <c r="P71" i="3"/>
  <c r="E71" i="3"/>
  <c r="B71" i="3"/>
  <c r="A71" i="3"/>
  <c r="Y70" i="3"/>
  <c r="X70" i="3"/>
  <c r="W70" i="3"/>
  <c r="V70" i="3"/>
  <c r="U70" i="3"/>
  <c r="T70" i="3"/>
  <c r="S70" i="3"/>
  <c r="R70" i="3"/>
  <c r="Q70" i="3"/>
  <c r="P70" i="3"/>
  <c r="E70" i="3"/>
  <c r="B70" i="3"/>
  <c r="A70" i="3"/>
  <c r="Y69" i="3"/>
  <c r="X69" i="3"/>
  <c r="W69" i="3"/>
  <c r="V69" i="3"/>
  <c r="U69" i="3"/>
  <c r="T69" i="3"/>
  <c r="S69" i="3"/>
  <c r="R69" i="3"/>
  <c r="Q69" i="3"/>
  <c r="P69" i="3"/>
  <c r="E69" i="3"/>
  <c r="B69" i="3"/>
  <c r="A69" i="3"/>
  <c r="Y68" i="3"/>
  <c r="X68" i="3"/>
  <c r="W68" i="3"/>
  <c r="V68" i="3"/>
  <c r="U68" i="3"/>
  <c r="T68" i="3"/>
  <c r="S68" i="3"/>
  <c r="R68" i="3"/>
  <c r="Q68" i="3"/>
  <c r="P68" i="3"/>
  <c r="E68" i="3"/>
  <c r="E158" i="3" s="1"/>
  <c r="D68" i="3"/>
  <c r="D158" i="3" s="1"/>
  <c r="C68" i="3"/>
  <c r="C158" i="3" s="1"/>
  <c r="B68" i="3"/>
  <c r="B158" i="3" s="1"/>
  <c r="A68" i="3"/>
  <c r="A158" i="3" s="1"/>
  <c r="Y67" i="3"/>
  <c r="X67" i="3"/>
  <c r="W67" i="3"/>
  <c r="V67" i="3"/>
  <c r="U67" i="3"/>
  <c r="T67" i="3"/>
  <c r="S67" i="3"/>
  <c r="R67" i="3"/>
  <c r="Q67" i="3"/>
  <c r="P67" i="3"/>
  <c r="E67" i="3"/>
  <c r="E157" i="3" s="1"/>
  <c r="D67" i="3"/>
  <c r="D157" i="3" s="1"/>
  <c r="C67" i="3"/>
  <c r="C157" i="3" s="1"/>
  <c r="B67" i="3"/>
  <c r="B157" i="3" s="1"/>
  <c r="A67" i="3"/>
  <c r="A157" i="3" s="1"/>
  <c r="Y66" i="3"/>
  <c r="X66" i="3"/>
  <c r="W66" i="3"/>
  <c r="V66" i="3"/>
  <c r="U66" i="3"/>
  <c r="T66" i="3"/>
  <c r="S66" i="3"/>
  <c r="R66" i="3"/>
  <c r="Q66" i="3"/>
  <c r="P66" i="3"/>
  <c r="E66" i="3"/>
  <c r="E156" i="3" s="1"/>
  <c r="D66" i="3"/>
  <c r="D156" i="3" s="1"/>
  <c r="C66" i="3"/>
  <c r="C156" i="3" s="1"/>
  <c r="B66" i="3"/>
  <c r="B156" i="3" s="1"/>
  <c r="A66" i="3"/>
  <c r="Y65" i="3"/>
  <c r="X65" i="3"/>
  <c r="W65" i="3"/>
  <c r="V65" i="3"/>
  <c r="U65" i="3"/>
  <c r="T65" i="3"/>
  <c r="S65" i="3"/>
  <c r="R65" i="3"/>
  <c r="Q65" i="3"/>
  <c r="P65" i="3"/>
  <c r="E65" i="3"/>
  <c r="E155" i="3" s="1"/>
  <c r="D65" i="3"/>
  <c r="D155" i="3" s="1"/>
  <c r="C65" i="3"/>
  <c r="C155" i="3" s="1"/>
  <c r="B65" i="3"/>
  <c r="B155" i="3" s="1"/>
  <c r="A65" i="3"/>
  <c r="Y64" i="3"/>
  <c r="X64" i="3"/>
  <c r="W64" i="3"/>
  <c r="V64" i="3"/>
  <c r="U64" i="3"/>
  <c r="T64" i="3"/>
  <c r="S64" i="3"/>
  <c r="R64" i="3"/>
  <c r="Q64" i="3"/>
  <c r="P64" i="3"/>
  <c r="E64" i="3"/>
  <c r="E154" i="3" s="1"/>
  <c r="D64" i="3"/>
  <c r="D154" i="3" s="1"/>
  <c r="C64" i="3"/>
  <c r="B64" i="3"/>
  <c r="B154" i="3" s="1"/>
  <c r="A64" i="3"/>
  <c r="A154" i="3" s="1"/>
  <c r="Y63" i="3"/>
  <c r="X63" i="3"/>
  <c r="W63" i="3"/>
  <c r="V63" i="3"/>
  <c r="U63" i="3"/>
  <c r="T63" i="3"/>
  <c r="S63" i="3"/>
  <c r="R63" i="3"/>
  <c r="Q63" i="3"/>
  <c r="P63" i="3"/>
  <c r="E63" i="3"/>
  <c r="E153" i="3" s="1"/>
  <c r="D63" i="3"/>
  <c r="D153" i="3" s="1"/>
  <c r="C63" i="3"/>
  <c r="C153" i="3" s="1"/>
  <c r="B63" i="3"/>
  <c r="B153" i="3" s="1"/>
  <c r="A63" i="3"/>
  <c r="A153" i="3" s="1"/>
  <c r="Y62" i="3"/>
  <c r="X62" i="3"/>
  <c r="W62" i="3"/>
  <c r="V62" i="3"/>
  <c r="U62" i="3"/>
  <c r="T62" i="3"/>
  <c r="S62" i="3"/>
  <c r="R62" i="3"/>
  <c r="Q62" i="3"/>
  <c r="P62" i="3"/>
  <c r="E62" i="3"/>
  <c r="E152" i="3" s="1"/>
  <c r="D62" i="3"/>
  <c r="D152" i="3" s="1"/>
  <c r="C62" i="3"/>
  <c r="C152" i="3" s="1"/>
  <c r="B62" i="3"/>
  <c r="B152" i="3" s="1"/>
  <c r="A62" i="3"/>
  <c r="A152" i="3" s="1"/>
  <c r="Y61" i="3"/>
  <c r="X61" i="3"/>
  <c r="W61" i="3"/>
  <c r="V61" i="3"/>
  <c r="U61" i="3"/>
  <c r="T61" i="3"/>
  <c r="S61" i="3"/>
  <c r="R61" i="3"/>
  <c r="Q61" i="3"/>
  <c r="P61" i="3"/>
  <c r="E61" i="3"/>
  <c r="E151" i="3" s="1"/>
  <c r="D61" i="3"/>
  <c r="D151" i="3" s="1"/>
  <c r="C61" i="3"/>
  <c r="C151" i="3" s="1"/>
  <c r="B61" i="3"/>
  <c r="B151" i="3" s="1"/>
  <c r="A61" i="3"/>
  <c r="A151" i="3" s="1"/>
  <c r="Y60" i="3"/>
  <c r="X60" i="3"/>
  <c r="W60" i="3"/>
  <c r="V60" i="3"/>
  <c r="U60" i="3"/>
  <c r="T60" i="3"/>
  <c r="S60" i="3"/>
  <c r="R60" i="3"/>
  <c r="Q60" i="3"/>
  <c r="P60" i="3"/>
  <c r="E60" i="3"/>
  <c r="B60" i="3"/>
  <c r="B60" i="2" s="1"/>
  <c r="A60" i="3"/>
  <c r="Y59" i="3"/>
  <c r="X59" i="3"/>
  <c r="W59" i="3"/>
  <c r="V59" i="3"/>
  <c r="U59" i="3"/>
  <c r="T59" i="3"/>
  <c r="S59" i="3"/>
  <c r="R59" i="3"/>
  <c r="Q59" i="3"/>
  <c r="P59" i="3"/>
  <c r="E59" i="3"/>
  <c r="E150" i="3" s="1"/>
  <c r="D59" i="3"/>
  <c r="D150" i="3" s="1"/>
  <c r="C59" i="3"/>
  <c r="C150" i="3" s="1"/>
  <c r="B59" i="3"/>
  <c r="B150" i="3" s="1"/>
  <c r="A59" i="3"/>
  <c r="A150" i="3" s="1"/>
  <c r="Y58" i="3"/>
  <c r="X58" i="3"/>
  <c r="W58" i="3"/>
  <c r="V58" i="3"/>
  <c r="U58" i="3"/>
  <c r="T58" i="3"/>
  <c r="S58" i="3"/>
  <c r="R58" i="3"/>
  <c r="Q58" i="3"/>
  <c r="P58" i="3"/>
  <c r="E58" i="3"/>
  <c r="E149" i="3" s="1"/>
  <c r="D58" i="3"/>
  <c r="D149" i="3" s="1"/>
  <c r="C58" i="3"/>
  <c r="C149" i="3" s="1"/>
  <c r="B58" i="3"/>
  <c r="B149" i="3" s="1"/>
  <c r="A58" i="3"/>
  <c r="A149" i="3" s="1"/>
  <c r="Y57" i="3"/>
  <c r="X57" i="3"/>
  <c r="W57" i="3"/>
  <c r="V57" i="3"/>
  <c r="U57" i="3"/>
  <c r="T57" i="3"/>
  <c r="S57" i="3"/>
  <c r="R57" i="3"/>
  <c r="Q57" i="3"/>
  <c r="P57" i="3"/>
  <c r="E57" i="3"/>
  <c r="D57" i="3"/>
  <c r="D148" i="3" s="1"/>
  <c r="C57" i="3"/>
  <c r="C148" i="3" s="1"/>
  <c r="B57" i="3"/>
  <c r="B148" i="3" s="1"/>
  <c r="A57" i="3"/>
  <c r="Y56" i="3"/>
  <c r="X56" i="3"/>
  <c r="W56" i="3"/>
  <c r="V56" i="3"/>
  <c r="U56" i="3"/>
  <c r="T56" i="3"/>
  <c r="S56" i="3"/>
  <c r="R56" i="3"/>
  <c r="Q56" i="3"/>
  <c r="P56" i="3"/>
  <c r="E56" i="3"/>
  <c r="E147" i="3" s="1"/>
  <c r="D56" i="3"/>
  <c r="D147" i="3" s="1"/>
  <c r="C56" i="3"/>
  <c r="C147" i="3" s="1"/>
  <c r="B56" i="3"/>
  <c r="B147" i="3" s="1"/>
  <c r="A56" i="3"/>
  <c r="A147" i="3" s="1"/>
  <c r="Y55" i="3"/>
  <c r="X55" i="3"/>
  <c r="W55" i="3"/>
  <c r="V55" i="3"/>
  <c r="U55" i="3"/>
  <c r="T55" i="3"/>
  <c r="S55" i="3"/>
  <c r="R55" i="3"/>
  <c r="Q55" i="3"/>
  <c r="P55" i="3"/>
  <c r="E55" i="3"/>
  <c r="D55" i="3"/>
  <c r="D146" i="3" s="1"/>
  <c r="C55" i="3"/>
  <c r="C146" i="3" s="1"/>
  <c r="B55" i="3"/>
  <c r="B146" i="3" s="1"/>
  <c r="A55" i="3"/>
  <c r="A146" i="3" s="1"/>
  <c r="Y54" i="3"/>
  <c r="X54" i="3"/>
  <c r="W54" i="3"/>
  <c r="V54" i="3"/>
  <c r="U54" i="3"/>
  <c r="T54" i="3"/>
  <c r="S54" i="3"/>
  <c r="R54" i="3"/>
  <c r="Q54" i="3"/>
  <c r="P54" i="3"/>
  <c r="E54" i="3"/>
  <c r="E145" i="3" s="1"/>
  <c r="D54" i="3"/>
  <c r="D145" i="3" s="1"/>
  <c r="C54" i="3"/>
  <c r="C145" i="3" s="1"/>
  <c r="B54" i="3"/>
  <c r="B145" i="3" s="1"/>
  <c r="A54" i="3"/>
  <c r="A145" i="3" s="1"/>
  <c r="Y53" i="3"/>
  <c r="X53" i="3"/>
  <c r="W53" i="3"/>
  <c r="V53" i="3"/>
  <c r="U53" i="3"/>
  <c r="T53" i="3"/>
  <c r="S53" i="3"/>
  <c r="R53" i="3"/>
  <c r="Q53" i="3"/>
  <c r="P53" i="3"/>
  <c r="E53" i="3"/>
  <c r="E144" i="3" s="1"/>
  <c r="D53" i="3"/>
  <c r="D144" i="3" s="1"/>
  <c r="C53" i="3"/>
  <c r="C144" i="3" s="1"/>
  <c r="B53" i="3"/>
  <c r="B144" i="3" s="1"/>
  <c r="A53" i="3"/>
  <c r="A144" i="3" s="1"/>
  <c r="Y52" i="3"/>
  <c r="X52" i="3"/>
  <c r="W52" i="3"/>
  <c r="V52" i="3"/>
  <c r="U52" i="3"/>
  <c r="T52" i="3"/>
  <c r="S52" i="3"/>
  <c r="R52" i="3"/>
  <c r="Q52" i="3"/>
  <c r="P52" i="3"/>
  <c r="E52" i="3"/>
  <c r="E143" i="3" s="1"/>
  <c r="D52" i="3"/>
  <c r="D143" i="3" s="1"/>
  <c r="C52" i="3"/>
  <c r="C143" i="3" s="1"/>
  <c r="B52" i="3"/>
  <c r="B143" i="3" s="1"/>
  <c r="A52" i="3"/>
  <c r="A143" i="3" s="1"/>
  <c r="Y51" i="3"/>
  <c r="X51" i="3"/>
  <c r="W51" i="3"/>
  <c r="V51" i="3"/>
  <c r="U51" i="3"/>
  <c r="T51" i="3"/>
  <c r="S51" i="3"/>
  <c r="R51" i="3"/>
  <c r="Q51" i="3"/>
  <c r="P51" i="3"/>
  <c r="E51" i="3"/>
  <c r="B51" i="3"/>
  <c r="A51" i="3"/>
  <c r="Y50" i="3"/>
  <c r="X50" i="3"/>
  <c r="W50" i="3"/>
  <c r="V50" i="3"/>
  <c r="U50" i="3"/>
  <c r="T50" i="3"/>
  <c r="S50" i="3"/>
  <c r="R50" i="3"/>
  <c r="Q50" i="3"/>
  <c r="P50" i="3"/>
  <c r="E50" i="3"/>
  <c r="B50" i="3"/>
  <c r="A50" i="3"/>
  <c r="Y49" i="3"/>
  <c r="X49" i="3"/>
  <c r="W49" i="3"/>
  <c r="V49" i="3"/>
  <c r="U49" i="3"/>
  <c r="T49" i="3"/>
  <c r="S49" i="3"/>
  <c r="R49" i="3"/>
  <c r="Q49" i="3"/>
  <c r="P49" i="3"/>
  <c r="E49" i="3"/>
  <c r="B49" i="3"/>
  <c r="A49" i="3"/>
  <c r="Y48" i="3"/>
  <c r="X48" i="3"/>
  <c r="W48" i="3"/>
  <c r="V48" i="3"/>
  <c r="U48" i="3"/>
  <c r="T48" i="3"/>
  <c r="S48" i="3"/>
  <c r="R48" i="3"/>
  <c r="Q48" i="3"/>
  <c r="P48" i="3"/>
  <c r="E48" i="3"/>
  <c r="B48" i="3"/>
  <c r="A48" i="3"/>
  <c r="Y47" i="3"/>
  <c r="X47" i="3"/>
  <c r="W47" i="3"/>
  <c r="V47" i="3"/>
  <c r="U47" i="3"/>
  <c r="T47" i="3"/>
  <c r="S47" i="3"/>
  <c r="R47" i="3"/>
  <c r="Q47" i="3"/>
  <c r="P47" i="3"/>
  <c r="E47" i="3"/>
  <c r="E142" i="3" s="1"/>
  <c r="D47" i="3"/>
  <c r="D142" i="3" s="1"/>
  <c r="C47" i="3"/>
  <c r="C142" i="3" s="1"/>
  <c r="B47" i="3"/>
  <c r="B142" i="3" s="1"/>
  <c r="A47" i="3"/>
  <c r="A142" i="3" s="1"/>
  <c r="Y46" i="3"/>
  <c r="X46" i="3"/>
  <c r="W46" i="3"/>
  <c r="V46" i="3"/>
  <c r="U46" i="3"/>
  <c r="T46" i="3"/>
  <c r="S46" i="3"/>
  <c r="R46" i="3"/>
  <c r="Q46" i="3"/>
  <c r="P46" i="3"/>
  <c r="E46" i="3"/>
  <c r="E141" i="3" s="1"/>
  <c r="D46" i="3"/>
  <c r="D141" i="3" s="1"/>
  <c r="C46" i="3"/>
  <c r="C141" i="3" s="1"/>
  <c r="B46" i="3"/>
  <c r="B141" i="3" s="1"/>
  <c r="A46" i="3"/>
  <c r="A141" i="3" s="1"/>
  <c r="Y45" i="3"/>
  <c r="X45" i="3"/>
  <c r="W45" i="3"/>
  <c r="V45" i="3"/>
  <c r="U45" i="3"/>
  <c r="T45" i="3"/>
  <c r="S45" i="3"/>
  <c r="R45" i="3"/>
  <c r="Q45" i="3"/>
  <c r="P45" i="3"/>
  <c r="E45" i="3"/>
  <c r="E140" i="3" s="1"/>
  <c r="D45" i="3"/>
  <c r="D140" i="3" s="1"/>
  <c r="C45" i="3"/>
  <c r="C140" i="3" s="1"/>
  <c r="B45" i="3"/>
  <c r="B140" i="3" s="1"/>
  <c r="A45" i="3"/>
  <c r="Y44" i="3"/>
  <c r="X44" i="3"/>
  <c r="W44" i="3"/>
  <c r="V44" i="3"/>
  <c r="U44" i="3"/>
  <c r="T44" i="3"/>
  <c r="S44" i="3"/>
  <c r="R44" i="3"/>
  <c r="Q44" i="3"/>
  <c r="P44" i="3"/>
  <c r="E44" i="3"/>
  <c r="E139" i="3" s="1"/>
  <c r="D44" i="3"/>
  <c r="D139" i="3" s="1"/>
  <c r="C44" i="3"/>
  <c r="C139" i="3" s="1"/>
  <c r="B44" i="3"/>
  <c r="B139" i="3" s="1"/>
  <c r="A44" i="3"/>
  <c r="A139" i="3" s="1"/>
  <c r="Y43" i="3"/>
  <c r="X43" i="3"/>
  <c r="W43" i="3"/>
  <c r="V43" i="3"/>
  <c r="U43" i="3"/>
  <c r="T43" i="3"/>
  <c r="S43" i="3"/>
  <c r="R43" i="3"/>
  <c r="Q43" i="3"/>
  <c r="P43" i="3"/>
  <c r="E43" i="3"/>
  <c r="E138" i="3" s="1"/>
  <c r="D43" i="3"/>
  <c r="D138" i="3" s="1"/>
  <c r="C43" i="3"/>
  <c r="C138" i="3" s="1"/>
  <c r="B43" i="3"/>
  <c r="B138" i="3" s="1"/>
  <c r="A43" i="3"/>
  <c r="A138" i="3" s="1"/>
  <c r="Y42" i="3"/>
  <c r="X42" i="3"/>
  <c r="W42" i="3"/>
  <c r="V42" i="3"/>
  <c r="U42" i="3"/>
  <c r="T42" i="3"/>
  <c r="S42" i="3"/>
  <c r="R42" i="3"/>
  <c r="Q42" i="3"/>
  <c r="P42" i="3"/>
  <c r="E42" i="3"/>
  <c r="D42" i="3"/>
  <c r="D137" i="3" s="1"/>
  <c r="C42" i="3"/>
  <c r="C137" i="3" s="1"/>
  <c r="B42" i="3"/>
  <c r="B137" i="3" s="1"/>
  <c r="A42" i="3"/>
  <c r="Y41" i="3"/>
  <c r="X41" i="3"/>
  <c r="W41" i="3"/>
  <c r="V41" i="3"/>
  <c r="U41" i="3"/>
  <c r="T41" i="3"/>
  <c r="S41" i="3"/>
  <c r="R41" i="3"/>
  <c r="Q41" i="3"/>
  <c r="P41" i="3"/>
  <c r="E41" i="3"/>
  <c r="E136" i="3" s="1"/>
  <c r="D41" i="3"/>
  <c r="D136" i="3" s="1"/>
  <c r="C41" i="3"/>
  <c r="C136" i="3" s="1"/>
  <c r="B41" i="3"/>
  <c r="B136" i="3" s="1"/>
  <c r="A41" i="3"/>
  <c r="Y40" i="3"/>
  <c r="X40" i="3"/>
  <c r="W40" i="3"/>
  <c r="V40" i="3"/>
  <c r="U40" i="3"/>
  <c r="T40" i="3"/>
  <c r="S40" i="3"/>
  <c r="R40" i="3"/>
  <c r="Q40" i="3"/>
  <c r="P40" i="3"/>
  <c r="E40" i="3"/>
  <c r="E135" i="3" s="1"/>
  <c r="D40" i="3"/>
  <c r="D135" i="3" s="1"/>
  <c r="C40" i="3"/>
  <c r="C135" i="3" s="1"/>
  <c r="B40" i="3"/>
  <c r="B135" i="3" s="1"/>
  <c r="A40" i="3"/>
  <c r="A135" i="3" s="1"/>
  <c r="Y39" i="3"/>
  <c r="X39" i="3"/>
  <c r="W39" i="3"/>
  <c r="V39" i="3"/>
  <c r="U39" i="3"/>
  <c r="T39" i="3"/>
  <c r="S39" i="3"/>
  <c r="R39" i="3"/>
  <c r="Q39" i="3"/>
  <c r="P39" i="3"/>
  <c r="E39" i="3"/>
  <c r="E134" i="3" s="1"/>
  <c r="D39" i="3"/>
  <c r="D134" i="3" s="1"/>
  <c r="C39" i="3"/>
  <c r="C134" i="3" s="1"/>
  <c r="B39" i="3"/>
  <c r="B134" i="3" s="1"/>
  <c r="A39" i="3"/>
  <c r="A134" i="3" s="1"/>
  <c r="Y38" i="3"/>
  <c r="X38" i="3"/>
  <c r="W38" i="3"/>
  <c r="V38" i="3"/>
  <c r="U38" i="3"/>
  <c r="T38" i="3"/>
  <c r="S38" i="3"/>
  <c r="R38" i="3"/>
  <c r="Q38" i="3"/>
  <c r="P38" i="3"/>
  <c r="E38" i="3"/>
  <c r="B38" i="3"/>
  <c r="A38" i="3"/>
  <c r="Y37" i="3"/>
  <c r="X37" i="3"/>
  <c r="W37" i="3"/>
  <c r="V37" i="3"/>
  <c r="U37" i="3"/>
  <c r="T37" i="3"/>
  <c r="S37" i="3"/>
  <c r="R37" i="3"/>
  <c r="Q37" i="3"/>
  <c r="P37" i="3"/>
  <c r="E37" i="3"/>
  <c r="D37" i="3"/>
  <c r="D133" i="3" s="1"/>
  <c r="C37" i="3"/>
  <c r="C133" i="3" s="1"/>
  <c r="B37" i="3"/>
  <c r="B133" i="3" s="1"/>
  <c r="A37" i="3"/>
  <c r="A133" i="3" s="1"/>
  <c r="Y36" i="3"/>
  <c r="X36" i="3"/>
  <c r="W36" i="3"/>
  <c r="V36" i="3"/>
  <c r="U36" i="3"/>
  <c r="T36" i="3"/>
  <c r="S36" i="3"/>
  <c r="R36" i="3"/>
  <c r="Q36" i="3"/>
  <c r="P36" i="3"/>
  <c r="E36" i="3"/>
  <c r="B36" i="3"/>
  <c r="A36" i="3"/>
  <c r="Y35" i="3"/>
  <c r="X35" i="3"/>
  <c r="W35" i="3"/>
  <c r="V35" i="3"/>
  <c r="U35" i="3"/>
  <c r="T35" i="3"/>
  <c r="S35" i="3"/>
  <c r="R35" i="3"/>
  <c r="Q35" i="3"/>
  <c r="P35" i="3"/>
  <c r="E35" i="3"/>
  <c r="B35" i="3"/>
  <c r="A35" i="3"/>
  <c r="Y34" i="3"/>
  <c r="X34" i="3"/>
  <c r="W34" i="3"/>
  <c r="V34" i="3"/>
  <c r="U34" i="3"/>
  <c r="T34" i="3"/>
  <c r="S34" i="3"/>
  <c r="R34" i="3"/>
  <c r="Q34" i="3"/>
  <c r="P34" i="3"/>
  <c r="E34" i="3"/>
  <c r="B34" i="3"/>
  <c r="A34" i="3"/>
  <c r="Y33" i="3"/>
  <c r="X33" i="3"/>
  <c r="W33" i="3"/>
  <c r="V33" i="3"/>
  <c r="U33" i="3"/>
  <c r="T33" i="3"/>
  <c r="S33" i="3"/>
  <c r="R33" i="3"/>
  <c r="Q33" i="3"/>
  <c r="P33" i="3"/>
  <c r="E33" i="3"/>
  <c r="B33" i="3"/>
  <c r="A33" i="3"/>
  <c r="Y32" i="3"/>
  <c r="X32" i="3"/>
  <c r="W32" i="3"/>
  <c r="V32" i="3"/>
  <c r="U32" i="3"/>
  <c r="T32" i="3"/>
  <c r="S32" i="3"/>
  <c r="R32" i="3"/>
  <c r="Q32" i="3"/>
  <c r="P32" i="3"/>
  <c r="E32" i="3"/>
  <c r="E132" i="3" s="1"/>
  <c r="D32" i="3"/>
  <c r="D132" i="3" s="1"/>
  <c r="C32" i="3"/>
  <c r="C132" i="3" s="1"/>
  <c r="B32" i="3"/>
  <c r="B132" i="3" s="1"/>
  <c r="A32" i="3"/>
  <c r="A132" i="3" s="1"/>
  <c r="Y31" i="3"/>
  <c r="X31" i="3"/>
  <c r="W31" i="3"/>
  <c r="V31" i="3"/>
  <c r="U31" i="3"/>
  <c r="T31" i="3"/>
  <c r="S31" i="3"/>
  <c r="R31" i="3"/>
  <c r="Q31" i="3"/>
  <c r="P31" i="3"/>
  <c r="E31" i="3"/>
  <c r="E131" i="3" s="1"/>
  <c r="D31" i="3"/>
  <c r="D131" i="3" s="1"/>
  <c r="C31" i="3"/>
  <c r="C131" i="3" s="1"/>
  <c r="B31" i="3"/>
  <c r="B131" i="3" s="1"/>
  <c r="A31" i="3"/>
  <c r="A131" i="3" s="1"/>
  <c r="Y30" i="3"/>
  <c r="X30" i="3"/>
  <c r="W30" i="3"/>
  <c r="V30" i="3"/>
  <c r="U30" i="3"/>
  <c r="T30" i="3"/>
  <c r="S30" i="3"/>
  <c r="R30" i="3"/>
  <c r="Q30" i="3"/>
  <c r="P30" i="3"/>
  <c r="E30" i="3"/>
  <c r="E130" i="3" s="1"/>
  <c r="D30" i="3"/>
  <c r="D130" i="3" s="1"/>
  <c r="C30" i="3"/>
  <c r="C130" i="3" s="1"/>
  <c r="B30" i="3"/>
  <c r="A30" i="3"/>
  <c r="A130" i="3" s="1"/>
  <c r="Y29" i="3"/>
  <c r="X29" i="3"/>
  <c r="W29" i="3"/>
  <c r="V29" i="3"/>
  <c r="U29" i="3"/>
  <c r="T29" i="3"/>
  <c r="S29" i="3"/>
  <c r="R29" i="3"/>
  <c r="Q29" i="3"/>
  <c r="P29" i="3"/>
  <c r="E29" i="3"/>
  <c r="D29" i="3"/>
  <c r="D129" i="3" s="1"/>
  <c r="C29" i="3"/>
  <c r="C129" i="3" s="1"/>
  <c r="B29" i="3"/>
  <c r="B129" i="3" s="1"/>
  <c r="A29" i="3"/>
  <c r="A129" i="3" s="1"/>
  <c r="Y28" i="3"/>
  <c r="X28" i="3"/>
  <c r="W28" i="3"/>
  <c r="V28" i="3"/>
  <c r="U28" i="3"/>
  <c r="T28" i="3"/>
  <c r="S28" i="3"/>
  <c r="R28" i="3"/>
  <c r="Q28" i="3"/>
  <c r="P28" i="3"/>
  <c r="E28" i="3"/>
  <c r="E128" i="3" s="1"/>
  <c r="D28" i="3"/>
  <c r="D128" i="3" s="1"/>
  <c r="C28" i="3"/>
  <c r="C128" i="3" s="1"/>
  <c r="B28" i="3"/>
  <c r="B128" i="3" s="1"/>
  <c r="A28" i="3"/>
  <c r="A128" i="3" s="1"/>
  <c r="Y27" i="3"/>
  <c r="X27" i="3"/>
  <c r="W27" i="3"/>
  <c r="V27" i="3"/>
  <c r="U27" i="3"/>
  <c r="T27" i="3"/>
  <c r="S27" i="3"/>
  <c r="R27" i="3"/>
  <c r="Q27" i="3"/>
  <c r="P27" i="3"/>
  <c r="E27" i="3"/>
  <c r="E127" i="3" s="1"/>
  <c r="D27" i="3"/>
  <c r="D127" i="3" s="1"/>
  <c r="C27" i="3"/>
  <c r="C127" i="3" s="1"/>
  <c r="B27" i="3"/>
  <c r="B127" i="3" s="1"/>
  <c r="A27" i="3"/>
  <c r="A127" i="3" s="1"/>
  <c r="Y26" i="3"/>
  <c r="X26" i="3"/>
  <c r="W26" i="3"/>
  <c r="V26" i="3"/>
  <c r="U26" i="3"/>
  <c r="T26" i="3"/>
  <c r="S26" i="3"/>
  <c r="R26" i="3"/>
  <c r="Q26" i="3"/>
  <c r="P26" i="3"/>
  <c r="E26" i="3"/>
  <c r="E126" i="3" s="1"/>
  <c r="D26" i="3"/>
  <c r="D126" i="3" s="1"/>
  <c r="C26" i="3"/>
  <c r="C126" i="3" s="1"/>
  <c r="B26" i="3"/>
  <c r="B126" i="3" s="1"/>
  <c r="A26" i="3"/>
  <c r="A126" i="3" s="1"/>
  <c r="Y25" i="3"/>
  <c r="X25" i="3"/>
  <c r="W25" i="3"/>
  <c r="V25" i="3"/>
  <c r="U25" i="3"/>
  <c r="T25" i="3"/>
  <c r="S25" i="3"/>
  <c r="R25" i="3"/>
  <c r="Q25" i="3"/>
  <c r="P25" i="3"/>
  <c r="E25" i="3"/>
  <c r="B25" i="3"/>
  <c r="B25" i="2" s="1"/>
  <c r="A25" i="3"/>
  <c r="Y24" i="3"/>
  <c r="X24" i="3"/>
  <c r="W24" i="3"/>
  <c r="V24" i="3"/>
  <c r="U24" i="3"/>
  <c r="T24" i="3"/>
  <c r="S24" i="3"/>
  <c r="R24" i="3"/>
  <c r="Q24" i="3"/>
  <c r="P24" i="3"/>
  <c r="E24" i="3"/>
  <c r="B24" i="3"/>
  <c r="A24" i="3"/>
  <c r="Y23" i="3"/>
  <c r="X23" i="3"/>
  <c r="W23" i="3"/>
  <c r="V23" i="3"/>
  <c r="U23" i="3"/>
  <c r="T23" i="3"/>
  <c r="S23" i="3"/>
  <c r="R23" i="3"/>
  <c r="Q23" i="3"/>
  <c r="P23" i="3"/>
  <c r="E23" i="3"/>
  <c r="E125" i="3" s="1"/>
  <c r="D23" i="3"/>
  <c r="D125" i="3" s="1"/>
  <c r="C23" i="3"/>
  <c r="C125" i="3" s="1"/>
  <c r="B23" i="3"/>
  <c r="B125" i="3" s="1"/>
  <c r="A23" i="3"/>
  <c r="A125" i="3" s="1"/>
  <c r="Y22" i="3"/>
  <c r="X22" i="3"/>
  <c r="W22" i="3"/>
  <c r="V22" i="3"/>
  <c r="U22" i="3"/>
  <c r="T22" i="3"/>
  <c r="S22" i="3"/>
  <c r="R22" i="3"/>
  <c r="Q22" i="3"/>
  <c r="P22" i="3"/>
  <c r="E22" i="3"/>
  <c r="E124" i="3" s="1"/>
  <c r="D22" i="3"/>
  <c r="D124" i="3" s="1"/>
  <c r="C22" i="3"/>
  <c r="C124" i="3" s="1"/>
  <c r="B22" i="3"/>
  <c r="B124" i="3" s="1"/>
  <c r="A22" i="3"/>
  <c r="A124" i="3" s="1"/>
  <c r="Y21" i="3"/>
  <c r="X21" i="3"/>
  <c r="W21" i="3"/>
  <c r="V21" i="3"/>
  <c r="U21" i="3"/>
  <c r="T21" i="3"/>
  <c r="S21" i="3"/>
  <c r="R21" i="3"/>
  <c r="Q21" i="3"/>
  <c r="P21" i="3"/>
  <c r="E21" i="3"/>
  <c r="E123" i="3" s="1"/>
  <c r="D21" i="3"/>
  <c r="D123" i="3" s="1"/>
  <c r="C21" i="3"/>
  <c r="C123" i="3" s="1"/>
  <c r="B21" i="3"/>
  <c r="B123" i="3" s="1"/>
  <c r="A21" i="3"/>
  <c r="A123" i="3" s="1"/>
  <c r="Y20" i="3"/>
  <c r="X20" i="3"/>
  <c r="W20" i="3"/>
  <c r="V20" i="3"/>
  <c r="U20" i="3"/>
  <c r="T20" i="3"/>
  <c r="S20" i="3"/>
  <c r="R20" i="3"/>
  <c r="Q20" i="3"/>
  <c r="P20" i="3"/>
  <c r="E20" i="3"/>
  <c r="E122" i="3" s="1"/>
  <c r="D20" i="3"/>
  <c r="D122" i="3" s="1"/>
  <c r="C20" i="3"/>
  <c r="C122" i="3" s="1"/>
  <c r="B20" i="3"/>
  <c r="B122" i="3" s="1"/>
  <c r="A20" i="3"/>
  <c r="A122" i="3" s="1"/>
  <c r="Y19" i="3"/>
  <c r="X19" i="3"/>
  <c r="W19" i="3"/>
  <c r="V19" i="3"/>
  <c r="U19" i="3"/>
  <c r="T19" i="3"/>
  <c r="S19" i="3"/>
  <c r="R19" i="3"/>
  <c r="Q19" i="3"/>
  <c r="P19" i="3"/>
  <c r="E19" i="3"/>
  <c r="B19" i="3"/>
  <c r="A19" i="3"/>
  <c r="Y18" i="3"/>
  <c r="X18" i="3"/>
  <c r="W18" i="3"/>
  <c r="V18" i="3"/>
  <c r="U18" i="3"/>
  <c r="T18" i="3"/>
  <c r="S18" i="3"/>
  <c r="R18" i="3"/>
  <c r="Q18" i="3"/>
  <c r="P18" i="3"/>
  <c r="E18" i="3"/>
  <c r="B18" i="3"/>
  <c r="A18" i="3"/>
  <c r="Y17" i="3"/>
  <c r="X17" i="3"/>
  <c r="W17" i="3"/>
  <c r="V17" i="3"/>
  <c r="U17" i="3"/>
  <c r="T17" i="3"/>
  <c r="S17" i="3"/>
  <c r="R17" i="3"/>
  <c r="Q17" i="3"/>
  <c r="P17" i="3"/>
  <c r="E17" i="3"/>
  <c r="E121" i="3" s="1"/>
  <c r="D17" i="3"/>
  <c r="D121" i="3" s="1"/>
  <c r="C17" i="3"/>
  <c r="C121" i="3" s="1"/>
  <c r="B17" i="3"/>
  <c r="B121" i="3" s="1"/>
  <c r="A17" i="3"/>
  <c r="A121" i="3" s="1"/>
  <c r="Y16" i="3"/>
  <c r="X16" i="3"/>
  <c r="W16" i="3"/>
  <c r="V16" i="3"/>
  <c r="U16" i="3"/>
  <c r="T16" i="3"/>
  <c r="S16" i="3"/>
  <c r="R16" i="3"/>
  <c r="Q16" i="3"/>
  <c r="P16" i="3"/>
  <c r="E16" i="3"/>
  <c r="E120" i="3" s="1"/>
  <c r="D16" i="3"/>
  <c r="D120" i="3" s="1"/>
  <c r="C16" i="3"/>
  <c r="C120" i="3" s="1"/>
  <c r="B16" i="3"/>
  <c r="B120" i="3" s="1"/>
  <c r="A16" i="3"/>
  <c r="Y15" i="3"/>
  <c r="X15" i="3"/>
  <c r="W15" i="3"/>
  <c r="V15" i="3"/>
  <c r="U15" i="3"/>
  <c r="T15" i="3"/>
  <c r="S15" i="3"/>
  <c r="R15" i="3"/>
  <c r="Q15" i="3"/>
  <c r="P15" i="3"/>
  <c r="E15" i="3"/>
  <c r="D15" i="3"/>
  <c r="D119" i="3" s="1"/>
  <c r="C15" i="3"/>
  <c r="C119" i="3" s="1"/>
  <c r="B15" i="3"/>
  <c r="B119" i="3" s="1"/>
  <c r="A15" i="3"/>
  <c r="A119" i="3" s="1"/>
  <c r="Y14" i="3"/>
  <c r="X14" i="3"/>
  <c r="W14" i="3"/>
  <c r="V14" i="3"/>
  <c r="U14" i="3"/>
  <c r="T14" i="3"/>
  <c r="S14" i="3"/>
  <c r="R14" i="3"/>
  <c r="Q14" i="3"/>
  <c r="P14" i="3"/>
  <c r="E14" i="3"/>
  <c r="E118" i="3" s="1"/>
  <c r="D14" i="3"/>
  <c r="D118" i="3" s="1"/>
  <c r="C14" i="3"/>
  <c r="C118" i="3" s="1"/>
  <c r="B14" i="3"/>
  <c r="B118" i="3" s="1"/>
  <c r="A14" i="3"/>
  <c r="A118" i="3" s="1"/>
  <c r="Y13" i="3"/>
  <c r="X13" i="3"/>
  <c r="W13" i="3"/>
  <c r="V13" i="3"/>
  <c r="U13" i="3"/>
  <c r="T13" i="3"/>
  <c r="S13" i="3"/>
  <c r="R13" i="3"/>
  <c r="Q13" i="3"/>
  <c r="P13" i="3"/>
  <c r="E13" i="3"/>
  <c r="E117" i="3" s="1"/>
  <c r="D13" i="3"/>
  <c r="D117" i="3" s="1"/>
  <c r="C13" i="3"/>
  <c r="C117" i="3" s="1"/>
  <c r="B13" i="3"/>
  <c r="B117" i="3" s="1"/>
  <c r="A13" i="3"/>
  <c r="A117" i="3" s="1"/>
  <c r="Y12" i="3"/>
  <c r="X12" i="3"/>
  <c r="W12" i="3"/>
  <c r="V12" i="3"/>
  <c r="U12" i="3"/>
  <c r="T12" i="3"/>
  <c r="S12" i="3"/>
  <c r="R12" i="3"/>
  <c r="Q12" i="3"/>
  <c r="P12" i="3"/>
  <c r="E12" i="3"/>
  <c r="E116" i="3" s="1"/>
  <c r="D12" i="3"/>
  <c r="D116" i="3" s="1"/>
  <c r="C12" i="3"/>
  <c r="C116" i="3" s="1"/>
  <c r="B12" i="3"/>
  <c r="B116" i="3" s="1"/>
  <c r="A12" i="3"/>
  <c r="Y11" i="3"/>
  <c r="X11" i="3"/>
  <c r="W11" i="3"/>
  <c r="V11" i="3"/>
  <c r="U11" i="3"/>
  <c r="T11" i="3"/>
  <c r="S11" i="3"/>
  <c r="R11" i="3"/>
  <c r="Q11" i="3"/>
  <c r="P11" i="3"/>
  <c r="E11" i="3"/>
  <c r="D11" i="3"/>
  <c r="D115" i="3" s="1"/>
  <c r="C11" i="3"/>
  <c r="B11" i="3"/>
  <c r="B115" i="3" s="1"/>
  <c r="A11" i="3"/>
  <c r="A115" i="3" s="1"/>
  <c r="Y10" i="3"/>
  <c r="X10" i="3"/>
  <c r="W10" i="3"/>
  <c r="V10" i="3"/>
  <c r="U10" i="3"/>
  <c r="T10" i="3"/>
  <c r="S10" i="3"/>
  <c r="R10" i="3"/>
  <c r="Q10" i="3"/>
  <c r="P10" i="3"/>
  <c r="E10" i="3"/>
  <c r="D10" i="3"/>
  <c r="D114" i="3" s="1"/>
  <c r="C10" i="3"/>
  <c r="C114" i="3" s="1"/>
  <c r="B10" i="3"/>
  <c r="B114" i="3" s="1"/>
  <c r="A10" i="3"/>
  <c r="A114" i="3" s="1"/>
  <c r="Y9" i="3"/>
  <c r="X9" i="3"/>
  <c r="W9" i="3"/>
  <c r="V9" i="3"/>
  <c r="U9" i="3"/>
  <c r="T9" i="3"/>
  <c r="S9" i="3"/>
  <c r="R9" i="3"/>
  <c r="Q9" i="3"/>
  <c r="P9" i="3"/>
  <c r="E9" i="3"/>
  <c r="E113" i="3" s="1"/>
  <c r="D9" i="3"/>
  <c r="D113" i="3" s="1"/>
  <c r="C9" i="3"/>
  <c r="C113" i="3" s="1"/>
  <c r="B9" i="3"/>
  <c r="B113" i="3" s="1"/>
  <c r="A9" i="3"/>
  <c r="A113" i="3" s="1"/>
  <c r="Y8" i="3"/>
  <c r="X8" i="3"/>
  <c r="W8" i="3"/>
  <c r="V8" i="3"/>
  <c r="U8" i="3"/>
  <c r="T8" i="3"/>
  <c r="S8" i="3"/>
  <c r="R8" i="3"/>
  <c r="Q8" i="3"/>
  <c r="P8" i="3"/>
  <c r="E8" i="3"/>
  <c r="B8" i="3"/>
  <c r="A8" i="3"/>
  <c r="Y7" i="3"/>
  <c r="X7" i="3"/>
  <c r="W7" i="3"/>
  <c r="V7" i="3"/>
  <c r="U7" i="3"/>
  <c r="T7" i="3"/>
  <c r="S7" i="3"/>
  <c r="R7" i="3"/>
  <c r="Q7" i="3"/>
  <c r="P7" i="3"/>
  <c r="E7" i="3"/>
  <c r="B7" i="3"/>
  <c r="A7" i="3"/>
  <c r="Y6" i="3"/>
  <c r="X6" i="3"/>
  <c r="W6" i="3"/>
  <c r="V6" i="3"/>
  <c r="U6" i="3"/>
  <c r="T6" i="3"/>
  <c r="S6" i="3"/>
  <c r="R6" i="3"/>
  <c r="Q6" i="3"/>
  <c r="P6" i="3"/>
  <c r="E6" i="3"/>
  <c r="E112" i="3" s="1"/>
  <c r="D6" i="3"/>
  <c r="D112" i="3" s="1"/>
  <c r="C6" i="3"/>
  <c r="C112" i="3" s="1"/>
  <c r="B6" i="3"/>
  <c r="B112" i="3" s="1"/>
  <c r="A6" i="3"/>
  <c r="A112" i="3" s="1"/>
  <c r="Y5" i="3"/>
  <c r="X5" i="3"/>
  <c r="W5" i="3"/>
  <c r="V5" i="3"/>
  <c r="U5" i="3"/>
  <c r="T5" i="3"/>
  <c r="S5" i="3"/>
  <c r="R5" i="3"/>
  <c r="Q5" i="3"/>
  <c r="P5" i="3"/>
  <c r="E5" i="3"/>
  <c r="D5" i="3"/>
  <c r="D111" i="3" s="1"/>
  <c r="C5" i="3"/>
  <c r="C111" i="3" s="1"/>
  <c r="B5" i="3"/>
  <c r="B111" i="3" s="1"/>
  <c r="A5" i="3"/>
  <c r="A111" i="3" s="1"/>
  <c r="Y4" i="3"/>
  <c r="X4" i="3"/>
  <c r="W4" i="3"/>
  <c r="V4" i="3"/>
  <c r="U4" i="3"/>
  <c r="T4" i="3"/>
  <c r="S4" i="3"/>
  <c r="R4" i="3"/>
  <c r="Q4" i="3"/>
  <c r="P4" i="3"/>
  <c r="E4" i="3"/>
  <c r="E110" i="3" s="1"/>
  <c r="D4" i="3"/>
  <c r="D110" i="3" s="1"/>
  <c r="C4" i="3"/>
  <c r="C110" i="3" s="1"/>
  <c r="B4" i="3"/>
  <c r="B110" i="3" s="1"/>
  <c r="A4" i="3"/>
  <c r="A110" i="3" s="1"/>
  <c r="Y3" i="3"/>
  <c r="X3" i="3"/>
  <c r="W3" i="3"/>
  <c r="V3" i="3"/>
  <c r="U3" i="3"/>
  <c r="T3" i="3"/>
  <c r="S3" i="3"/>
  <c r="R3" i="3"/>
  <c r="Q3" i="3"/>
  <c r="P3" i="3"/>
  <c r="E3" i="3"/>
  <c r="B3" i="3"/>
  <c r="A3" i="3"/>
  <c r="E2" i="3"/>
  <c r="D2" i="3"/>
  <c r="C2" i="3"/>
  <c r="B2" i="3"/>
  <c r="A2" i="3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D78" i="2"/>
  <c r="C78" i="2"/>
  <c r="B78" i="2"/>
  <c r="E77" i="2"/>
  <c r="D77" i="2"/>
  <c r="C77" i="2"/>
  <c r="B77" i="2"/>
  <c r="A77" i="2"/>
  <c r="E76" i="2"/>
  <c r="D76" i="2"/>
  <c r="C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A60" i="2"/>
  <c r="E59" i="2"/>
  <c r="D59" i="2"/>
  <c r="C59" i="2"/>
  <c r="B59" i="2"/>
  <c r="A59" i="2"/>
  <c r="E58" i="2"/>
  <c r="D58" i="2"/>
  <c r="C58" i="2"/>
  <c r="B58" i="2"/>
  <c r="A58" i="2"/>
  <c r="D57" i="2"/>
  <c r="C57" i="2"/>
  <c r="B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D42" i="2"/>
  <c r="C42" i="2"/>
  <c r="B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B11" i="2"/>
  <c r="A11" i="2"/>
  <c r="D10" i="2"/>
  <c r="C10" i="2"/>
  <c r="B10" i="2"/>
  <c r="A10" i="2"/>
  <c r="E9" i="2"/>
  <c r="D9" i="2"/>
  <c r="C9" i="2"/>
  <c r="B9" i="2"/>
  <c r="A9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E2" i="2"/>
  <c r="D2" i="2"/>
  <c r="C2" i="2"/>
  <c r="B2" i="2"/>
  <c r="A2" i="2"/>
  <c r="C200" i="3"/>
  <c r="C198" i="3"/>
  <c r="C196" i="3"/>
  <c r="C192" i="3"/>
  <c r="C190" i="3"/>
  <c r="C188" i="3"/>
  <c r="A102" i="3"/>
  <c r="F140" i="3"/>
  <c r="F138" i="3"/>
  <c r="F136" i="3"/>
  <c r="F134" i="3"/>
  <c r="F132" i="3"/>
  <c r="F130" i="3"/>
  <c r="F128" i="3"/>
  <c r="F126" i="3"/>
  <c r="F124" i="3"/>
  <c r="F122" i="3"/>
  <c r="F120" i="3"/>
  <c r="F118" i="3"/>
  <c r="F116" i="3"/>
  <c r="F114" i="3"/>
  <c r="F112" i="3"/>
  <c r="F110" i="3"/>
  <c r="F139" i="3"/>
  <c r="F137" i="3"/>
  <c r="F135" i="3"/>
  <c r="F133" i="3"/>
  <c r="F131" i="3"/>
  <c r="F129" i="3"/>
  <c r="F127" i="3"/>
  <c r="F125" i="3"/>
  <c r="F123" i="3"/>
  <c r="F121" i="3"/>
  <c r="F119" i="3"/>
  <c r="F117" i="3"/>
  <c r="F115" i="3"/>
  <c r="F113" i="3"/>
  <c r="F111" i="3"/>
  <c r="B188" i="3" l="1"/>
  <c r="B190" i="3"/>
  <c r="B192" i="3"/>
  <c r="B196" i="3"/>
  <c r="B198" i="3"/>
  <c r="B200" i="3"/>
  <c r="C115" i="3"/>
  <c r="C11" i="2"/>
  <c r="B130" i="3"/>
  <c r="B30" i="2"/>
  <c r="A148" i="3"/>
  <c r="A57" i="2"/>
  <c r="E148" i="3"/>
  <c r="E57" i="2"/>
  <c r="A137" i="3"/>
  <c r="A42" i="2"/>
  <c r="E137" i="3"/>
  <c r="E42" i="2"/>
  <c r="E114" i="3"/>
  <c r="E10" i="2"/>
  <c r="A165" i="3"/>
  <c r="A78" i="2"/>
  <c r="E165" i="3"/>
  <c r="E78" i="2"/>
  <c r="C173" i="3"/>
  <c r="C89" i="2"/>
  <c r="B163" i="3"/>
  <c r="B76" i="2"/>
  <c r="F174" i="3"/>
  <c r="F170" i="3"/>
  <c r="F166" i="3"/>
  <c r="F162" i="3"/>
  <c r="F158" i="3"/>
  <c r="F154" i="3"/>
  <c r="F150" i="3"/>
  <c r="F146" i="3"/>
  <c r="F142" i="3"/>
  <c r="F173" i="3"/>
  <c r="F169" i="3"/>
  <c r="F165" i="3"/>
  <c r="F161" i="3"/>
  <c r="F157" i="3"/>
  <c r="F153" i="3"/>
  <c r="F149" i="3"/>
  <c r="F145" i="3"/>
  <c r="F141" i="3"/>
  <c r="F172" i="3"/>
  <c r="F168" i="3"/>
  <c r="F164" i="3"/>
  <c r="F160" i="3"/>
  <c r="F156" i="3"/>
  <c r="F152" i="3"/>
  <c r="F148" i="3"/>
  <c r="F144" i="3"/>
  <c r="F175" i="3"/>
  <c r="F171" i="3"/>
  <c r="F167" i="3"/>
  <c r="F163" i="3"/>
  <c r="F159" i="3"/>
  <c r="F155" i="3"/>
  <c r="F151" i="3"/>
  <c r="F147" i="3"/>
  <c r="F143" i="3"/>
  <c r="K194" i="3" l="1"/>
  <c r="K195" i="3" s="1"/>
  <c r="G194" i="3"/>
  <c r="G195" i="3" s="1"/>
  <c r="C194" i="3"/>
  <c r="C195" i="3" s="1"/>
  <c r="J194" i="3"/>
  <c r="J195" i="3" s="1"/>
  <c r="F194" i="3"/>
  <c r="F195" i="3" s="1"/>
  <c r="B194" i="3"/>
  <c r="B195" i="3" s="1"/>
  <c r="I194" i="3"/>
  <c r="I195" i="3" s="1"/>
  <c r="E194" i="3"/>
  <c r="E195" i="3" s="1"/>
  <c r="H194" i="3"/>
  <c r="H195" i="3" s="1"/>
  <c r="D194" i="3"/>
  <c r="D195" i="3" s="1"/>
  <c r="L194" i="3"/>
  <c r="L195" i="3" s="1"/>
  <c r="K202" i="3"/>
  <c r="K203" i="3" s="1"/>
  <c r="G202" i="3"/>
  <c r="G203" i="3" s="1"/>
  <c r="C202" i="3"/>
  <c r="C203" i="3" s="1"/>
  <c r="J202" i="3"/>
  <c r="J203" i="3" s="1"/>
  <c r="F202" i="3"/>
  <c r="F203" i="3" s="1"/>
  <c r="B202" i="3"/>
  <c r="B203" i="3" s="1"/>
  <c r="I202" i="3"/>
  <c r="I203" i="3" s="1"/>
  <c r="E202" i="3"/>
  <c r="E203" i="3" s="1"/>
  <c r="L202" i="3"/>
  <c r="L203" i="3" s="1"/>
  <c r="H202" i="3"/>
  <c r="H203" i="3" s="1"/>
  <c r="D202" i="3"/>
  <c r="D203" i="3" s="1"/>
  <c r="K2" i="3" l="1"/>
  <c r="U2" i="3"/>
  <c r="S2" i="3"/>
  <c r="I2" i="3"/>
  <c r="X2" i="3"/>
  <c r="N2" i="3"/>
  <c r="H2" i="3"/>
  <c r="R2" i="3"/>
  <c r="W2" i="3"/>
  <c r="M2" i="3"/>
  <c r="O2" i="3"/>
  <c r="Y2" i="3"/>
  <c r="L2" i="3"/>
  <c r="V2" i="3"/>
  <c r="P2" i="3"/>
  <c r="F2" i="3"/>
  <c r="G2" i="3"/>
  <c r="Q2" i="3"/>
  <c r="T2" i="3"/>
  <c r="J2" i="3"/>
  <c r="K62" i="3"/>
  <c r="K12" i="3"/>
  <c r="K15" i="3"/>
  <c r="K54" i="3"/>
  <c r="K4" i="3"/>
  <c r="K21" i="3"/>
  <c r="K5" i="3"/>
  <c r="K25" i="3"/>
  <c r="K13" i="3"/>
  <c r="K29" i="3"/>
  <c r="K6" i="3"/>
  <c r="K7" i="3"/>
  <c r="K9" i="3"/>
  <c r="K11" i="3"/>
  <c r="K17" i="3"/>
  <c r="K23" i="3"/>
  <c r="K24" i="3"/>
  <c r="K45" i="3"/>
  <c r="K16" i="3"/>
  <c r="K18" i="3"/>
  <c r="K22" i="3"/>
  <c r="K50" i="3"/>
  <c r="K52" i="3"/>
  <c r="K66" i="3"/>
  <c r="K70" i="3"/>
  <c r="K84" i="3"/>
  <c r="K89" i="3"/>
  <c r="K26" i="3"/>
  <c r="K30" i="3"/>
  <c r="K42" i="3"/>
  <c r="K44" i="3"/>
  <c r="K51" i="3"/>
  <c r="K59" i="3"/>
  <c r="K60" i="3"/>
  <c r="K27" i="3"/>
  <c r="K31" i="3"/>
  <c r="K34" i="3"/>
  <c r="K41" i="3"/>
  <c r="K48" i="3"/>
  <c r="K56" i="3"/>
  <c r="K58" i="3"/>
  <c r="K71" i="3"/>
  <c r="K75" i="3"/>
  <c r="K83" i="3"/>
  <c r="K10" i="3"/>
  <c r="K14" i="3"/>
  <c r="K20" i="3"/>
  <c r="K28" i="3"/>
  <c r="K32" i="3"/>
  <c r="K35" i="3"/>
  <c r="K40" i="3"/>
  <c r="K46" i="3"/>
  <c r="K55" i="3"/>
  <c r="K61" i="3"/>
  <c r="K65" i="3"/>
  <c r="K72" i="3"/>
  <c r="K76" i="3"/>
  <c r="K92" i="3"/>
  <c r="K33" i="3"/>
  <c r="K37" i="3"/>
  <c r="K39" i="3"/>
  <c r="K43" i="3"/>
  <c r="K47" i="3"/>
  <c r="K53" i="3"/>
  <c r="K57" i="3"/>
  <c r="K63" i="3"/>
  <c r="K67" i="3"/>
  <c r="K69" i="3"/>
  <c r="K73" i="3"/>
  <c r="K77" i="3"/>
  <c r="K81" i="3"/>
  <c r="K90" i="3"/>
  <c r="K64" i="3"/>
  <c r="K68" i="3"/>
  <c r="K74" i="3"/>
  <c r="K79" i="3"/>
  <c r="K85" i="3"/>
  <c r="K87" i="3"/>
  <c r="K91" i="3"/>
  <c r="K78" i="3"/>
  <c r="K80" i="3"/>
  <c r="K82" i="3"/>
  <c r="K86" i="3"/>
  <c r="K88" i="3"/>
  <c r="G40" i="3"/>
  <c r="G21" i="3"/>
  <c r="G5" i="3"/>
  <c r="G55" i="3"/>
  <c r="G16" i="3"/>
  <c r="G18" i="3"/>
  <c r="G13" i="3"/>
  <c r="G22" i="3"/>
  <c r="G24" i="3"/>
  <c r="G35" i="3"/>
  <c r="G4" i="3"/>
  <c r="G15" i="3"/>
  <c r="G6" i="3"/>
  <c r="G12" i="3"/>
  <c r="G25" i="3"/>
  <c r="G46" i="3"/>
  <c r="G71" i="3"/>
  <c r="G7" i="3"/>
  <c r="G9" i="3"/>
  <c r="G11" i="3"/>
  <c r="G17" i="3"/>
  <c r="G23" i="3"/>
  <c r="G26" i="3"/>
  <c r="G29" i="3"/>
  <c r="G75" i="3"/>
  <c r="G90" i="3"/>
  <c r="G30" i="3"/>
  <c r="G45" i="3"/>
  <c r="G50" i="3"/>
  <c r="G52" i="3"/>
  <c r="G54" i="3"/>
  <c r="G61" i="3"/>
  <c r="G65" i="3"/>
  <c r="G72" i="3"/>
  <c r="G76" i="3"/>
  <c r="G27" i="3"/>
  <c r="G31" i="3"/>
  <c r="G33" i="3"/>
  <c r="G42" i="3"/>
  <c r="G44" i="3"/>
  <c r="G51" i="3"/>
  <c r="G59" i="3"/>
  <c r="G60" i="3"/>
  <c r="G62" i="3"/>
  <c r="G66" i="3"/>
  <c r="G70" i="3"/>
  <c r="G79" i="3"/>
  <c r="G10" i="3"/>
  <c r="G14" i="3"/>
  <c r="G20" i="3"/>
  <c r="G28" i="3"/>
  <c r="G32" i="3"/>
  <c r="G34" i="3"/>
  <c r="G41" i="3"/>
  <c r="G48" i="3"/>
  <c r="G56" i="3"/>
  <c r="G58" i="3"/>
  <c r="G37" i="3"/>
  <c r="G39" i="3"/>
  <c r="G43" i="3"/>
  <c r="G47" i="3"/>
  <c r="G53" i="3"/>
  <c r="G57" i="3"/>
  <c r="G63" i="3"/>
  <c r="G67" i="3"/>
  <c r="G69" i="3"/>
  <c r="G73" i="3"/>
  <c r="G77" i="3"/>
  <c r="G83" i="3"/>
  <c r="G64" i="3"/>
  <c r="G68" i="3"/>
  <c r="G74" i="3"/>
  <c r="G78" i="3"/>
  <c r="G81" i="3"/>
  <c r="G84" i="3"/>
  <c r="G89" i="3"/>
  <c r="G92" i="3"/>
  <c r="G85" i="3"/>
  <c r="G87" i="3"/>
  <c r="G91" i="3"/>
  <c r="G80" i="3"/>
  <c r="G82" i="3"/>
  <c r="G86" i="3"/>
  <c r="G88" i="3"/>
  <c r="H32" i="3"/>
  <c r="H4" i="3"/>
  <c r="H14" i="3"/>
  <c r="H20" i="3"/>
  <c r="H41" i="3"/>
  <c r="H7" i="3"/>
  <c r="H16" i="3"/>
  <c r="H18" i="3"/>
  <c r="H11" i="3"/>
  <c r="H22" i="3"/>
  <c r="H5" i="3"/>
  <c r="H10" i="3"/>
  <c r="H15" i="3"/>
  <c r="H21" i="3"/>
  <c r="H28" i="3"/>
  <c r="H58" i="3"/>
  <c r="H6" i="3"/>
  <c r="H12" i="3"/>
  <c r="H25" i="3"/>
  <c r="H37" i="3"/>
  <c r="H53" i="3"/>
  <c r="H29" i="3"/>
  <c r="H35" i="3"/>
  <c r="H40" i="3"/>
  <c r="H43" i="3"/>
  <c r="H55" i="3"/>
  <c r="H71" i="3"/>
  <c r="H74" i="3"/>
  <c r="H75" i="3"/>
  <c r="H78" i="3"/>
  <c r="H24" i="3"/>
  <c r="H26" i="3"/>
  <c r="H30" i="3"/>
  <c r="H45" i="3"/>
  <c r="H54" i="3"/>
  <c r="H57" i="3"/>
  <c r="H61" i="3"/>
  <c r="H64" i="3"/>
  <c r="H65" i="3"/>
  <c r="H68" i="3"/>
  <c r="H88" i="3"/>
  <c r="H9" i="3"/>
  <c r="H13" i="3"/>
  <c r="H17" i="3"/>
  <c r="H23" i="3"/>
  <c r="H27" i="3"/>
  <c r="H31" i="3"/>
  <c r="H33" i="3"/>
  <c r="H39" i="3"/>
  <c r="H44" i="3"/>
  <c r="H47" i="3"/>
  <c r="H51" i="3"/>
  <c r="H59" i="3"/>
  <c r="H60" i="3"/>
  <c r="H89" i="3"/>
  <c r="H34" i="3"/>
  <c r="H42" i="3"/>
  <c r="H46" i="3"/>
  <c r="H48" i="3"/>
  <c r="H50" i="3"/>
  <c r="H52" i="3"/>
  <c r="H56" i="3"/>
  <c r="H62" i="3"/>
  <c r="H66" i="3"/>
  <c r="H70" i="3"/>
  <c r="H72" i="3"/>
  <c r="H76" i="3"/>
  <c r="H82" i="3"/>
  <c r="H63" i="3"/>
  <c r="H67" i="3"/>
  <c r="H69" i="3"/>
  <c r="H73" i="3"/>
  <c r="H77" i="3"/>
  <c r="H80" i="3"/>
  <c r="H83" i="3"/>
  <c r="H86" i="3"/>
  <c r="H84" i="3"/>
  <c r="H90" i="3"/>
  <c r="H92" i="3"/>
  <c r="H79" i="3"/>
  <c r="H81" i="3"/>
  <c r="H85" i="3"/>
  <c r="H87" i="3"/>
  <c r="H91" i="3"/>
  <c r="N9" i="3"/>
  <c r="N39" i="3"/>
  <c r="N47" i="3"/>
  <c r="N18" i="3"/>
  <c r="N26" i="3"/>
  <c r="N20" i="3"/>
  <c r="N16" i="3"/>
  <c r="N22" i="3"/>
  <c r="N17" i="3"/>
  <c r="N5" i="3"/>
  <c r="N6" i="3"/>
  <c r="N14" i="3"/>
  <c r="N23" i="3"/>
  <c r="N33" i="3"/>
  <c r="N13" i="3"/>
  <c r="N41" i="3"/>
  <c r="N56" i="3"/>
  <c r="N76" i="3"/>
  <c r="N78" i="3"/>
  <c r="N4" i="3"/>
  <c r="N10" i="3"/>
  <c r="N12" i="3"/>
  <c r="N24" i="3"/>
  <c r="N30" i="3"/>
  <c r="N34" i="3"/>
  <c r="N48" i="3"/>
  <c r="N72" i="3"/>
  <c r="N91" i="3"/>
  <c r="N27" i="3"/>
  <c r="N31" i="3"/>
  <c r="N35" i="3"/>
  <c r="N37" i="3"/>
  <c r="N46" i="3"/>
  <c r="N53" i="3"/>
  <c r="N55" i="3"/>
  <c r="N62" i="3"/>
  <c r="N66" i="3"/>
  <c r="N70" i="3"/>
  <c r="N73" i="3"/>
  <c r="N77" i="3"/>
  <c r="N79" i="3"/>
  <c r="N28" i="3"/>
  <c r="N32" i="3"/>
  <c r="N43" i="3"/>
  <c r="N45" i="3"/>
  <c r="N50" i="3"/>
  <c r="N52" i="3"/>
  <c r="N63" i="3"/>
  <c r="N67" i="3"/>
  <c r="N87" i="3"/>
  <c r="N7" i="3"/>
  <c r="N11" i="3"/>
  <c r="N15" i="3"/>
  <c r="N21" i="3"/>
  <c r="N25" i="3"/>
  <c r="N29" i="3"/>
  <c r="N42" i="3"/>
  <c r="N51" i="3"/>
  <c r="N57" i="3"/>
  <c r="N59" i="3"/>
  <c r="N69" i="3"/>
  <c r="N80" i="3"/>
  <c r="N81" i="3"/>
  <c r="N40" i="3"/>
  <c r="N44" i="3"/>
  <c r="N54" i="3"/>
  <c r="N58" i="3"/>
  <c r="N60" i="3"/>
  <c r="N64" i="3"/>
  <c r="N68" i="3"/>
  <c r="N74" i="3"/>
  <c r="N84" i="3"/>
  <c r="N92" i="3"/>
  <c r="N61" i="3"/>
  <c r="N65" i="3"/>
  <c r="N71" i="3"/>
  <c r="N75" i="3"/>
  <c r="N85" i="3"/>
  <c r="N90" i="3"/>
  <c r="N82" i="3"/>
  <c r="N86" i="3"/>
  <c r="N88" i="3"/>
  <c r="N83" i="3"/>
  <c r="N89" i="3"/>
  <c r="I27" i="3"/>
  <c r="I44" i="3"/>
  <c r="I11" i="3"/>
  <c r="I17" i="3"/>
  <c r="I6" i="3"/>
  <c r="I14" i="3"/>
  <c r="I23" i="3"/>
  <c r="I56" i="3"/>
  <c r="I9" i="3"/>
  <c r="I20" i="3"/>
  <c r="I7" i="3"/>
  <c r="I4" i="3"/>
  <c r="I13" i="3"/>
  <c r="I34" i="3"/>
  <c r="I48" i="3"/>
  <c r="I60" i="3"/>
  <c r="I69" i="3"/>
  <c r="I5" i="3"/>
  <c r="I10" i="3"/>
  <c r="I15" i="3"/>
  <c r="I21" i="3"/>
  <c r="I31" i="3"/>
  <c r="I33" i="3"/>
  <c r="I39" i="3"/>
  <c r="I47" i="3"/>
  <c r="I85" i="3"/>
  <c r="I28" i="3"/>
  <c r="I32" i="3"/>
  <c r="I37" i="3"/>
  <c r="I46" i="3"/>
  <c r="I53" i="3"/>
  <c r="I58" i="3"/>
  <c r="I80" i="3"/>
  <c r="I81" i="3"/>
  <c r="I86" i="3"/>
  <c r="I87" i="3"/>
  <c r="I25" i="3"/>
  <c r="I29" i="3"/>
  <c r="I40" i="3"/>
  <c r="I43" i="3"/>
  <c r="I50" i="3"/>
  <c r="I52" i="3"/>
  <c r="I73" i="3"/>
  <c r="I74" i="3"/>
  <c r="I77" i="3"/>
  <c r="I78" i="3"/>
  <c r="I12" i="3"/>
  <c r="I16" i="3"/>
  <c r="I18" i="3"/>
  <c r="I22" i="3"/>
  <c r="I24" i="3"/>
  <c r="I26" i="3"/>
  <c r="I30" i="3"/>
  <c r="I42" i="3"/>
  <c r="I54" i="3"/>
  <c r="I57" i="3"/>
  <c r="I63" i="3"/>
  <c r="I64" i="3"/>
  <c r="I67" i="3"/>
  <c r="I68" i="3"/>
  <c r="I79" i="3"/>
  <c r="I88" i="3"/>
  <c r="I91" i="3"/>
  <c r="I35" i="3"/>
  <c r="I41" i="3"/>
  <c r="I45" i="3"/>
  <c r="I51" i="3"/>
  <c r="I55" i="3"/>
  <c r="I59" i="3"/>
  <c r="I61" i="3"/>
  <c r="I65" i="3"/>
  <c r="I71" i="3"/>
  <c r="I75" i="3"/>
  <c r="I62" i="3"/>
  <c r="I66" i="3"/>
  <c r="I70" i="3"/>
  <c r="I72" i="3"/>
  <c r="I76" i="3"/>
  <c r="I82" i="3"/>
  <c r="I83" i="3"/>
  <c r="I89" i="3"/>
  <c r="I84" i="3"/>
  <c r="I90" i="3"/>
  <c r="I92" i="3"/>
  <c r="F75" i="3"/>
  <c r="F55" i="3"/>
  <c r="F78" i="3"/>
  <c r="F58" i="3"/>
  <c r="F83" i="3"/>
  <c r="F62" i="3"/>
  <c r="F86" i="3"/>
  <c r="F65" i="3"/>
  <c r="F90" i="3"/>
  <c r="F68" i="3"/>
  <c r="F47" i="3"/>
  <c r="F74" i="3"/>
  <c r="F54" i="3"/>
  <c r="F77" i="3"/>
  <c r="F57" i="3"/>
  <c r="F82" i="3"/>
  <c r="F61" i="3"/>
  <c r="F85" i="3"/>
  <c r="F64" i="3"/>
  <c r="F89" i="3"/>
  <c r="F67" i="3"/>
  <c r="F46" i="3"/>
  <c r="F73" i="3"/>
  <c r="F53" i="3"/>
  <c r="F76" i="3"/>
  <c r="F56" i="3"/>
  <c r="F80" i="3"/>
  <c r="F59" i="3"/>
  <c r="F84" i="3"/>
  <c r="F63" i="3"/>
  <c r="F88" i="3"/>
  <c r="F66" i="3"/>
  <c r="F91" i="3"/>
  <c r="F72" i="3"/>
  <c r="F52" i="3"/>
  <c r="F39" i="3"/>
  <c r="F26" i="3"/>
  <c r="F14" i="3"/>
  <c r="F4" i="3"/>
  <c r="F37" i="3"/>
  <c r="F23" i="3"/>
  <c r="F13" i="3"/>
  <c r="F45" i="3"/>
  <c r="F32" i="3"/>
  <c r="F22" i="3"/>
  <c r="F12" i="3"/>
  <c r="F44" i="3"/>
  <c r="F31" i="3"/>
  <c r="F21" i="3"/>
  <c r="F11" i="3"/>
  <c r="F43" i="3"/>
  <c r="F30" i="3"/>
  <c r="F20" i="3"/>
  <c r="F10" i="3"/>
  <c r="F42" i="3"/>
  <c r="F29" i="3"/>
  <c r="F17" i="3"/>
  <c r="F9" i="3"/>
  <c r="F41" i="3"/>
  <c r="F28" i="3"/>
  <c r="F16" i="3"/>
  <c r="F6" i="3"/>
  <c r="F40" i="3"/>
  <c r="F27" i="3"/>
  <c r="F15" i="3"/>
  <c r="F5" i="3"/>
  <c r="F87" i="3"/>
  <c r="F50" i="3"/>
  <c r="F18" i="3"/>
  <c r="F24" i="3"/>
  <c r="F33" i="3"/>
  <c r="F51" i="3"/>
  <c r="F70" i="3"/>
  <c r="F34" i="3"/>
  <c r="F48" i="3"/>
  <c r="F7" i="3"/>
  <c r="F25" i="3"/>
  <c r="F35" i="3"/>
  <c r="F69" i="3"/>
  <c r="F60" i="3"/>
  <c r="F81" i="3"/>
  <c r="F92" i="3"/>
  <c r="F71" i="3"/>
  <c r="F79" i="3"/>
  <c r="J63" i="3"/>
  <c r="J5" i="3"/>
  <c r="J17" i="3"/>
  <c r="J51" i="3"/>
  <c r="J6" i="3"/>
  <c r="J10" i="3"/>
  <c r="J23" i="3"/>
  <c r="J9" i="3"/>
  <c r="J12" i="3"/>
  <c r="J24" i="3"/>
  <c r="J26" i="3"/>
  <c r="J14" i="3"/>
  <c r="J16" i="3"/>
  <c r="J18" i="3"/>
  <c r="J20" i="3"/>
  <c r="J22" i="3"/>
  <c r="J30" i="3"/>
  <c r="J42" i="3"/>
  <c r="J57" i="3"/>
  <c r="J4" i="3"/>
  <c r="J13" i="3"/>
  <c r="J59" i="3"/>
  <c r="J67" i="3"/>
  <c r="J27" i="3"/>
  <c r="J31" i="3"/>
  <c r="J33" i="3"/>
  <c r="J34" i="3"/>
  <c r="J39" i="3"/>
  <c r="J41" i="3"/>
  <c r="J47" i="3"/>
  <c r="J48" i="3"/>
  <c r="J56" i="3"/>
  <c r="J69" i="3"/>
  <c r="J82" i="3"/>
  <c r="J85" i="3"/>
  <c r="J90" i="3"/>
  <c r="J28" i="3"/>
  <c r="J32" i="3"/>
  <c r="J35" i="3"/>
  <c r="J37" i="3"/>
  <c r="J46" i="3"/>
  <c r="J53" i="3"/>
  <c r="J55" i="3"/>
  <c r="J72" i="3"/>
  <c r="J76" i="3"/>
  <c r="J80" i="3"/>
  <c r="J81" i="3"/>
  <c r="J92" i="3"/>
  <c r="J7" i="3"/>
  <c r="J11" i="3"/>
  <c r="J15" i="3"/>
  <c r="J21" i="3"/>
  <c r="J25" i="3"/>
  <c r="J29" i="3"/>
  <c r="J43" i="3"/>
  <c r="J45" i="3"/>
  <c r="J50" i="3"/>
  <c r="J52" i="3"/>
  <c r="J62" i="3"/>
  <c r="J66" i="3"/>
  <c r="J70" i="3"/>
  <c r="J73" i="3"/>
  <c r="J77" i="3"/>
  <c r="J84" i="3"/>
  <c r="J40" i="3"/>
  <c r="J44" i="3"/>
  <c r="J54" i="3"/>
  <c r="J58" i="3"/>
  <c r="J60" i="3"/>
  <c r="J64" i="3"/>
  <c r="J68" i="3"/>
  <c r="J74" i="3"/>
  <c r="J78" i="3"/>
  <c r="J79" i="3"/>
  <c r="J87" i="3"/>
  <c r="J91" i="3"/>
  <c r="J61" i="3"/>
  <c r="J65" i="3"/>
  <c r="J71" i="3"/>
  <c r="J75" i="3"/>
  <c r="J86" i="3"/>
  <c r="J88" i="3"/>
  <c r="J83" i="3"/>
  <c r="J89" i="3"/>
  <c r="L61" i="3"/>
  <c r="L22" i="3"/>
  <c r="L43" i="3"/>
  <c r="L15" i="3"/>
  <c r="L32" i="3"/>
  <c r="L40" i="3"/>
  <c r="L55" i="3"/>
  <c r="L4" i="3"/>
  <c r="L21" i="3"/>
  <c r="L10" i="3"/>
  <c r="L16" i="3"/>
  <c r="L18" i="3"/>
  <c r="L25" i="3"/>
  <c r="L5" i="3"/>
  <c r="L12" i="3"/>
  <c r="L35" i="3"/>
  <c r="L6" i="3"/>
  <c r="L7" i="3"/>
  <c r="L11" i="3"/>
  <c r="L14" i="3"/>
  <c r="L20" i="3"/>
  <c r="L28" i="3"/>
  <c r="L64" i="3"/>
  <c r="L65" i="3"/>
  <c r="L68" i="3"/>
  <c r="L29" i="3"/>
  <c r="L45" i="3"/>
  <c r="L54" i="3"/>
  <c r="L57" i="3"/>
  <c r="L24" i="3"/>
  <c r="L26" i="3"/>
  <c r="L30" i="3"/>
  <c r="L33" i="3"/>
  <c r="L39" i="3"/>
  <c r="L44" i="3"/>
  <c r="L47" i="3"/>
  <c r="L51" i="3"/>
  <c r="L59" i="3"/>
  <c r="L60" i="3"/>
  <c r="L82" i="3"/>
  <c r="L86" i="3"/>
  <c r="L9" i="3"/>
  <c r="L13" i="3"/>
  <c r="L17" i="3"/>
  <c r="L23" i="3"/>
  <c r="L27" i="3"/>
  <c r="L31" i="3"/>
  <c r="L37" i="3"/>
  <c r="L41" i="3"/>
  <c r="L53" i="3"/>
  <c r="L58" i="3"/>
  <c r="L71" i="3"/>
  <c r="L74" i="3"/>
  <c r="L75" i="3"/>
  <c r="L83" i="3"/>
  <c r="L34" i="3"/>
  <c r="L42" i="3"/>
  <c r="L46" i="3"/>
  <c r="L48" i="3"/>
  <c r="L50" i="3"/>
  <c r="L52" i="3"/>
  <c r="L56" i="3"/>
  <c r="L62" i="3"/>
  <c r="L66" i="3"/>
  <c r="L70" i="3"/>
  <c r="L72" i="3"/>
  <c r="L76" i="3"/>
  <c r="L80" i="3"/>
  <c r="L88" i="3"/>
  <c r="L89" i="3"/>
  <c r="L63" i="3"/>
  <c r="L67" i="3"/>
  <c r="L69" i="3"/>
  <c r="L73" i="3"/>
  <c r="L77" i="3"/>
  <c r="L78" i="3"/>
  <c r="L84" i="3"/>
  <c r="L90" i="3"/>
  <c r="L92" i="3"/>
  <c r="L79" i="3"/>
  <c r="L81" i="3"/>
  <c r="L85" i="3"/>
  <c r="L87" i="3"/>
  <c r="L91" i="3"/>
  <c r="M31" i="3"/>
  <c r="M7" i="3"/>
  <c r="M13" i="3"/>
  <c r="M53" i="3"/>
  <c r="M11" i="3"/>
  <c r="M14" i="3"/>
  <c r="M20" i="3"/>
  <c r="M37" i="3"/>
  <c r="M4" i="3"/>
  <c r="M10" i="3"/>
  <c r="M15" i="3"/>
  <c r="M21" i="3"/>
  <c r="M27" i="3"/>
  <c r="M77" i="3"/>
  <c r="M5" i="3"/>
  <c r="M9" i="3"/>
  <c r="M17" i="3"/>
  <c r="M23" i="3"/>
  <c r="M46" i="3"/>
  <c r="M58" i="3"/>
  <c r="M73" i="3"/>
  <c r="M74" i="3"/>
  <c r="M79" i="3"/>
  <c r="M28" i="3"/>
  <c r="M32" i="3"/>
  <c r="M40" i="3"/>
  <c r="M43" i="3"/>
  <c r="M50" i="3"/>
  <c r="M52" i="3"/>
  <c r="M63" i="3"/>
  <c r="M64" i="3"/>
  <c r="M67" i="3"/>
  <c r="M68" i="3"/>
  <c r="M25" i="3"/>
  <c r="M29" i="3"/>
  <c r="M42" i="3"/>
  <c r="M54" i="3"/>
  <c r="M57" i="3"/>
  <c r="M69" i="3"/>
  <c r="M6" i="3"/>
  <c r="M12" i="3"/>
  <c r="M16" i="3"/>
  <c r="M18" i="3"/>
  <c r="M22" i="3"/>
  <c r="M24" i="3"/>
  <c r="M26" i="3"/>
  <c r="M30" i="3"/>
  <c r="M33" i="3"/>
  <c r="M34" i="3"/>
  <c r="M39" i="3"/>
  <c r="M44" i="3"/>
  <c r="M47" i="3"/>
  <c r="M48" i="3"/>
  <c r="M56" i="3"/>
  <c r="M60" i="3"/>
  <c r="M78" i="3"/>
  <c r="M35" i="3"/>
  <c r="M41" i="3"/>
  <c r="M45" i="3"/>
  <c r="M51" i="3"/>
  <c r="M55" i="3"/>
  <c r="M59" i="3"/>
  <c r="M61" i="3"/>
  <c r="M65" i="3"/>
  <c r="M71" i="3"/>
  <c r="M75" i="3"/>
  <c r="M82" i="3"/>
  <c r="M85" i="3"/>
  <c r="M86" i="3"/>
  <c r="M62" i="3"/>
  <c r="M66" i="3"/>
  <c r="M70" i="3"/>
  <c r="M72" i="3"/>
  <c r="M76" i="3"/>
  <c r="M80" i="3"/>
  <c r="M81" i="3"/>
  <c r="M87" i="3"/>
  <c r="M88" i="3"/>
  <c r="M91" i="3"/>
  <c r="M83" i="3"/>
  <c r="M89" i="3"/>
  <c r="M84" i="3"/>
  <c r="M90" i="3"/>
  <c r="M92" i="3"/>
  <c r="O5" i="3"/>
  <c r="O24" i="3"/>
  <c r="O29" i="3"/>
  <c r="O6" i="3"/>
  <c r="O23" i="3"/>
  <c r="O7" i="3"/>
  <c r="O9" i="3"/>
  <c r="O12" i="3"/>
  <c r="O44" i="3"/>
  <c r="O11" i="3"/>
  <c r="O4" i="3"/>
  <c r="O17" i="3"/>
  <c r="O59" i="3"/>
  <c r="O75" i="3"/>
  <c r="O81" i="3"/>
  <c r="O16" i="3"/>
  <c r="O18" i="3"/>
  <c r="O22" i="3"/>
  <c r="O25" i="3"/>
  <c r="O51" i="3"/>
  <c r="O13" i="3"/>
  <c r="O15" i="3"/>
  <c r="O21" i="3"/>
  <c r="O42" i="3"/>
  <c r="O60" i="3"/>
  <c r="O71" i="3"/>
  <c r="O26" i="3"/>
  <c r="O30" i="3"/>
  <c r="O34" i="3"/>
  <c r="O41" i="3"/>
  <c r="O48" i="3"/>
  <c r="O56" i="3"/>
  <c r="O58" i="3"/>
  <c r="O61" i="3"/>
  <c r="O65" i="3"/>
  <c r="O72" i="3"/>
  <c r="O76" i="3"/>
  <c r="O27" i="3"/>
  <c r="O31" i="3"/>
  <c r="O35" i="3"/>
  <c r="O40" i="3"/>
  <c r="O46" i="3"/>
  <c r="O55" i="3"/>
  <c r="O62" i="3"/>
  <c r="O66" i="3"/>
  <c r="O70" i="3"/>
  <c r="O90" i="3"/>
  <c r="O10" i="3"/>
  <c r="O14" i="3"/>
  <c r="O20" i="3"/>
  <c r="O28" i="3"/>
  <c r="O32" i="3"/>
  <c r="O45" i="3"/>
  <c r="O50" i="3"/>
  <c r="O52" i="3"/>
  <c r="O54" i="3"/>
  <c r="O33" i="3"/>
  <c r="O37" i="3"/>
  <c r="O39" i="3"/>
  <c r="O43" i="3"/>
  <c r="O47" i="3"/>
  <c r="O53" i="3"/>
  <c r="O57" i="3"/>
  <c r="O63" i="3"/>
  <c r="O67" i="3"/>
  <c r="O69" i="3"/>
  <c r="O73" i="3"/>
  <c r="O77" i="3"/>
  <c r="O79" i="3"/>
  <c r="O83" i="3"/>
  <c r="O64" i="3"/>
  <c r="O68" i="3"/>
  <c r="O74" i="3"/>
  <c r="O84" i="3"/>
  <c r="O89" i="3"/>
  <c r="O92" i="3"/>
  <c r="O85" i="3"/>
  <c r="O87" i="3"/>
  <c r="O91" i="3"/>
  <c r="O78" i="3"/>
  <c r="O80" i="3"/>
  <c r="O82" i="3"/>
  <c r="O86" i="3"/>
  <c r="O88" i="3"/>
  <c r="F88" i="2" l="1"/>
  <c r="F86" i="2"/>
  <c r="F82" i="2"/>
  <c r="F80" i="2"/>
  <c r="F78" i="2"/>
  <c r="F91" i="2"/>
  <c r="F87" i="2"/>
  <c r="F85" i="2"/>
  <c r="F92" i="2"/>
  <c r="F89" i="2"/>
  <c r="F84" i="2"/>
  <c r="F74" i="2"/>
  <c r="F68" i="2"/>
  <c r="F64" i="2"/>
  <c r="F83" i="2"/>
  <c r="F79" i="2"/>
  <c r="F77" i="2"/>
  <c r="F73" i="2"/>
  <c r="F69" i="2"/>
  <c r="F67" i="2"/>
  <c r="F63" i="2"/>
  <c r="F57" i="2"/>
  <c r="F53" i="2"/>
  <c r="F47" i="2"/>
  <c r="F43" i="2"/>
  <c r="O38" i="3"/>
  <c r="F38" i="2" s="1"/>
  <c r="F39" i="2"/>
  <c r="F37" i="2"/>
  <c r="F33" i="2"/>
  <c r="F54" i="2"/>
  <c r="F52" i="2"/>
  <c r="F50" i="2"/>
  <c r="F45" i="2"/>
  <c r="F32" i="2"/>
  <c r="F28" i="2"/>
  <c r="F20" i="2"/>
  <c r="F14" i="2"/>
  <c r="F10" i="2"/>
  <c r="F90" i="2"/>
  <c r="F70" i="2"/>
  <c r="F66" i="2"/>
  <c r="F62" i="2"/>
  <c r="F55" i="2"/>
  <c r="F46" i="2"/>
  <c r="F40" i="2"/>
  <c r="F35" i="2"/>
  <c r="F31" i="2"/>
  <c r="F27" i="2"/>
  <c r="F76" i="2"/>
  <c r="F72" i="2"/>
  <c r="F65" i="2"/>
  <c r="F61" i="2"/>
  <c r="F58" i="2"/>
  <c r="F56" i="2"/>
  <c r="F48" i="2"/>
  <c r="F41" i="2"/>
  <c r="F34" i="2"/>
  <c r="F30" i="2"/>
  <c r="F26" i="2"/>
  <c r="F71" i="2"/>
  <c r="F60" i="2"/>
  <c r="F42" i="2"/>
  <c r="F21" i="2"/>
  <c r="F15" i="2"/>
  <c r="F13" i="2"/>
  <c r="F51" i="2"/>
  <c r="F25" i="2"/>
  <c r="F22" i="2"/>
  <c r="F18" i="2"/>
  <c r="F16" i="2"/>
  <c r="F81" i="2"/>
  <c r="F75" i="2"/>
  <c r="F59" i="2"/>
  <c r="F17" i="2"/>
  <c r="F4" i="2"/>
  <c r="F11" i="2"/>
  <c r="F44" i="2"/>
  <c r="F12" i="2"/>
  <c r="F9" i="2"/>
  <c r="F7" i="2"/>
  <c r="F23" i="2"/>
  <c r="F6" i="2"/>
  <c r="F29" i="2"/>
  <c r="F24" i="2"/>
  <c r="F5" i="2"/>
  <c r="H92" i="2"/>
  <c r="H90" i="2"/>
  <c r="H84" i="2"/>
  <c r="H89" i="2"/>
  <c r="H83" i="2"/>
  <c r="H91" i="2"/>
  <c r="H88" i="2"/>
  <c r="H87" i="2"/>
  <c r="H81" i="2"/>
  <c r="H80" i="2"/>
  <c r="H76" i="2"/>
  <c r="H72" i="2"/>
  <c r="H70" i="2"/>
  <c r="H66" i="2"/>
  <c r="H62" i="2"/>
  <c r="H86" i="2"/>
  <c r="H85" i="2"/>
  <c r="H82" i="2"/>
  <c r="H75" i="2"/>
  <c r="H71" i="2"/>
  <c r="H65" i="2"/>
  <c r="H61" i="2"/>
  <c r="H59" i="2"/>
  <c r="H55" i="2"/>
  <c r="H51" i="2"/>
  <c r="H45" i="2"/>
  <c r="H41" i="2"/>
  <c r="H35" i="2"/>
  <c r="H78" i="2"/>
  <c r="H60" i="2"/>
  <c r="H56" i="2"/>
  <c r="H48" i="2"/>
  <c r="H47" i="2"/>
  <c r="H44" i="2"/>
  <c r="M38" i="3"/>
  <c r="H38" i="2" s="1"/>
  <c r="H39" i="2"/>
  <c r="H34" i="2"/>
  <c r="H33" i="2"/>
  <c r="H30" i="2"/>
  <c r="H26" i="2"/>
  <c r="H24" i="2"/>
  <c r="H22" i="2"/>
  <c r="H18" i="2"/>
  <c r="H16" i="2"/>
  <c r="H12" i="2"/>
  <c r="H6" i="2"/>
  <c r="H69" i="2"/>
  <c r="H57" i="2"/>
  <c r="H54" i="2"/>
  <c r="H42" i="2"/>
  <c r="H29" i="2"/>
  <c r="H25" i="2"/>
  <c r="H68" i="2"/>
  <c r="H67" i="2"/>
  <c r="H64" i="2"/>
  <c r="H63" i="2"/>
  <c r="H52" i="2"/>
  <c r="H50" i="2"/>
  <c r="H43" i="2"/>
  <c r="H40" i="2"/>
  <c r="H32" i="2"/>
  <c r="H28" i="2"/>
  <c r="H79" i="2"/>
  <c r="H74" i="2"/>
  <c r="H73" i="2"/>
  <c r="H58" i="2"/>
  <c r="H46" i="2"/>
  <c r="H23" i="2"/>
  <c r="H17" i="2"/>
  <c r="H9" i="2"/>
  <c r="H5" i="2"/>
  <c r="H77" i="2"/>
  <c r="H27" i="2"/>
  <c r="H21" i="2"/>
  <c r="H15" i="2"/>
  <c r="H10" i="2"/>
  <c r="H4" i="2"/>
  <c r="H37" i="2"/>
  <c r="H20" i="2"/>
  <c r="H14" i="2"/>
  <c r="H11" i="2"/>
  <c r="H53" i="2"/>
  <c r="H13" i="2"/>
  <c r="H7" i="2"/>
  <c r="H31" i="2"/>
  <c r="I91" i="2"/>
  <c r="I87" i="2"/>
  <c r="I85" i="2"/>
  <c r="I81" i="2"/>
  <c r="I79" i="2"/>
  <c r="I92" i="2"/>
  <c r="I90" i="2"/>
  <c r="I84" i="2"/>
  <c r="I78" i="2"/>
  <c r="I77" i="2"/>
  <c r="I73" i="2"/>
  <c r="I69" i="2"/>
  <c r="I67" i="2"/>
  <c r="I63" i="2"/>
  <c r="I89" i="2"/>
  <c r="I88" i="2"/>
  <c r="I80" i="2"/>
  <c r="I76" i="2"/>
  <c r="I72" i="2"/>
  <c r="I70" i="2"/>
  <c r="I66" i="2"/>
  <c r="I62" i="2"/>
  <c r="I56" i="2"/>
  <c r="I52" i="2"/>
  <c r="I50" i="2"/>
  <c r="I48" i="2"/>
  <c r="I46" i="2"/>
  <c r="I42" i="2"/>
  <c r="I34" i="2"/>
  <c r="I83" i="2"/>
  <c r="I75" i="2"/>
  <c r="I74" i="2"/>
  <c r="I71" i="2"/>
  <c r="I58" i="2"/>
  <c r="I53" i="2"/>
  <c r="I41" i="2"/>
  <c r="I37" i="2"/>
  <c r="I31" i="2"/>
  <c r="I27" i="2"/>
  <c r="I23" i="2"/>
  <c r="I17" i="2"/>
  <c r="I13" i="2"/>
  <c r="I9" i="2"/>
  <c r="I86" i="2"/>
  <c r="I82" i="2"/>
  <c r="I60" i="2"/>
  <c r="I59" i="2"/>
  <c r="I51" i="2"/>
  <c r="I47" i="2"/>
  <c r="I44" i="2"/>
  <c r="L38" i="3"/>
  <c r="I38" i="2" s="1"/>
  <c r="I39" i="2"/>
  <c r="I33" i="2"/>
  <c r="I30" i="2"/>
  <c r="I26" i="2"/>
  <c r="I24" i="2"/>
  <c r="I57" i="2"/>
  <c r="I54" i="2"/>
  <c r="I45" i="2"/>
  <c r="I29" i="2"/>
  <c r="I68" i="2"/>
  <c r="I65" i="2"/>
  <c r="I64" i="2"/>
  <c r="I28" i="2"/>
  <c r="I20" i="2"/>
  <c r="I14" i="2"/>
  <c r="I11" i="2"/>
  <c r="I7" i="2"/>
  <c r="I6" i="2"/>
  <c r="I35" i="2"/>
  <c r="I12" i="2"/>
  <c r="I5" i="2"/>
  <c r="I25" i="2"/>
  <c r="I18" i="2"/>
  <c r="I16" i="2"/>
  <c r="I10" i="2"/>
  <c r="I21" i="2"/>
  <c r="I4" i="2"/>
  <c r="I55" i="2"/>
  <c r="I40" i="2"/>
  <c r="I32" i="2"/>
  <c r="I15" i="2"/>
  <c r="I43" i="2"/>
  <c r="I22" i="2"/>
  <c r="I61" i="2"/>
  <c r="K89" i="2"/>
  <c r="K83" i="2"/>
  <c r="K88" i="2"/>
  <c r="K86" i="2"/>
  <c r="K75" i="2"/>
  <c r="K71" i="2"/>
  <c r="K65" i="2"/>
  <c r="K61" i="2"/>
  <c r="K91" i="2"/>
  <c r="K87" i="2"/>
  <c r="K79" i="2"/>
  <c r="K78" i="2"/>
  <c r="K74" i="2"/>
  <c r="K68" i="2"/>
  <c r="K64" i="2"/>
  <c r="K60" i="2"/>
  <c r="K58" i="2"/>
  <c r="K54" i="2"/>
  <c r="K44" i="2"/>
  <c r="K40" i="2"/>
  <c r="K84" i="2"/>
  <c r="K77" i="2"/>
  <c r="K73" i="2"/>
  <c r="K70" i="2"/>
  <c r="K66" i="2"/>
  <c r="K62" i="2"/>
  <c r="K52" i="2"/>
  <c r="K50" i="2"/>
  <c r="K45" i="2"/>
  <c r="K43" i="2"/>
  <c r="K29" i="2"/>
  <c r="K25" i="2"/>
  <c r="K21" i="2"/>
  <c r="K15" i="2"/>
  <c r="K11" i="2"/>
  <c r="K7" i="2"/>
  <c r="K92" i="2"/>
  <c r="K81" i="2"/>
  <c r="K80" i="2"/>
  <c r="K76" i="2"/>
  <c r="K72" i="2"/>
  <c r="K55" i="2"/>
  <c r="K53" i="2"/>
  <c r="K46" i="2"/>
  <c r="K37" i="2"/>
  <c r="K35" i="2"/>
  <c r="K32" i="2"/>
  <c r="K28" i="2"/>
  <c r="K90" i="2"/>
  <c r="K85" i="2"/>
  <c r="K82" i="2"/>
  <c r="K69" i="2"/>
  <c r="K56" i="2"/>
  <c r="K48" i="2"/>
  <c r="K47" i="2"/>
  <c r="K41" i="2"/>
  <c r="J38" i="3"/>
  <c r="K38" i="2" s="1"/>
  <c r="K39" i="2"/>
  <c r="K34" i="2"/>
  <c r="K33" i="2"/>
  <c r="K31" i="2"/>
  <c r="K27" i="2"/>
  <c r="K67" i="2"/>
  <c r="K59" i="2"/>
  <c r="K13" i="2"/>
  <c r="K4" i="2"/>
  <c r="K57" i="2"/>
  <c r="K42" i="2"/>
  <c r="K30" i="2"/>
  <c r="K22" i="2"/>
  <c r="K20" i="2"/>
  <c r="K18" i="2"/>
  <c r="K16" i="2"/>
  <c r="K14" i="2"/>
  <c r="K26" i="2"/>
  <c r="K24" i="2"/>
  <c r="K12" i="2"/>
  <c r="K9" i="2"/>
  <c r="K23" i="2"/>
  <c r="K10" i="2"/>
  <c r="K6" i="2"/>
  <c r="K51" i="2"/>
  <c r="K17" i="2"/>
  <c r="K5" i="2"/>
  <c r="K63" i="2"/>
  <c r="O79" i="2"/>
  <c r="O71" i="2"/>
  <c r="O92" i="2"/>
  <c r="O81" i="2"/>
  <c r="O60" i="2"/>
  <c r="O69" i="2"/>
  <c r="O35" i="2"/>
  <c r="O25" i="2"/>
  <c r="O7" i="2"/>
  <c r="O48" i="2"/>
  <c r="O34" i="2"/>
  <c r="O70" i="2"/>
  <c r="O51" i="2"/>
  <c r="O33" i="2"/>
  <c r="O24" i="2"/>
  <c r="O18" i="2"/>
  <c r="O50" i="2"/>
  <c r="O87" i="2"/>
  <c r="O5" i="2"/>
  <c r="O15" i="2"/>
  <c r="O27" i="2"/>
  <c r="O40" i="2"/>
  <c r="O6" i="2"/>
  <c r="O16" i="2"/>
  <c r="O28" i="2"/>
  <c r="O41" i="2"/>
  <c r="O9" i="2"/>
  <c r="O17" i="2"/>
  <c r="O29" i="2"/>
  <c r="O42" i="2"/>
  <c r="O10" i="2"/>
  <c r="O20" i="2"/>
  <c r="O30" i="2"/>
  <c r="O43" i="2"/>
  <c r="O11" i="2"/>
  <c r="O21" i="2"/>
  <c r="O31" i="2"/>
  <c r="O44" i="2"/>
  <c r="O12" i="2"/>
  <c r="O22" i="2"/>
  <c r="O32" i="2"/>
  <c r="O45" i="2"/>
  <c r="O13" i="2"/>
  <c r="O23" i="2"/>
  <c r="O37" i="2"/>
  <c r="O4" i="2"/>
  <c r="O14" i="2"/>
  <c r="O26" i="2"/>
  <c r="F38" i="3"/>
  <c r="O38" i="2" s="1"/>
  <c r="O39" i="2"/>
  <c r="O52" i="2"/>
  <c r="O72" i="2"/>
  <c r="O91" i="2"/>
  <c r="O66" i="2"/>
  <c r="O88" i="2"/>
  <c r="O63" i="2"/>
  <c r="O84" i="2"/>
  <c r="O59" i="2"/>
  <c r="O80" i="2"/>
  <c r="O56" i="2"/>
  <c r="O76" i="2"/>
  <c r="O53" i="2"/>
  <c r="O73" i="2"/>
  <c r="O46" i="2"/>
  <c r="O67" i="2"/>
  <c r="O89" i="2"/>
  <c r="O64" i="2"/>
  <c r="O85" i="2"/>
  <c r="O61" i="2"/>
  <c r="O82" i="2"/>
  <c r="O57" i="2"/>
  <c r="O77" i="2"/>
  <c r="O54" i="2"/>
  <c r="O74" i="2"/>
  <c r="O47" i="2"/>
  <c r="O68" i="2"/>
  <c r="O90" i="2"/>
  <c r="O65" i="2"/>
  <c r="O86" i="2"/>
  <c r="O62" i="2"/>
  <c r="O83" i="2"/>
  <c r="O58" i="2"/>
  <c r="O78" i="2"/>
  <c r="O55" i="2"/>
  <c r="O75" i="2"/>
  <c r="L92" i="2"/>
  <c r="L90" i="2"/>
  <c r="L84" i="2"/>
  <c r="L89" i="2"/>
  <c r="L83" i="2"/>
  <c r="L82" i="2"/>
  <c r="L76" i="2"/>
  <c r="L72" i="2"/>
  <c r="L70" i="2"/>
  <c r="L66" i="2"/>
  <c r="L62" i="2"/>
  <c r="L75" i="2"/>
  <c r="L71" i="2"/>
  <c r="L65" i="2"/>
  <c r="L61" i="2"/>
  <c r="L59" i="2"/>
  <c r="L55" i="2"/>
  <c r="L51" i="2"/>
  <c r="L45" i="2"/>
  <c r="L41" i="2"/>
  <c r="L35" i="2"/>
  <c r="L91" i="2"/>
  <c r="L88" i="2"/>
  <c r="L79" i="2"/>
  <c r="L68" i="2"/>
  <c r="L67" i="2"/>
  <c r="L64" i="2"/>
  <c r="L63" i="2"/>
  <c r="L57" i="2"/>
  <c r="L54" i="2"/>
  <c r="L42" i="2"/>
  <c r="L30" i="2"/>
  <c r="L26" i="2"/>
  <c r="L24" i="2"/>
  <c r="L22" i="2"/>
  <c r="L18" i="2"/>
  <c r="L16" i="2"/>
  <c r="L12" i="2"/>
  <c r="L78" i="2"/>
  <c r="L77" i="2"/>
  <c r="L74" i="2"/>
  <c r="L73" i="2"/>
  <c r="L52" i="2"/>
  <c r="L50" i="2"/>
  <c r="L43" i="2"/>
  <c r="L40" i="2"/>
  <c r="L29" i="2"/>
  <c r="L25" i="2"/>
  <c r="L87" i="2"/>
  <c r="L86" i="2"/>
  <c r="L81" i="2"/>
  <c r="L80" i="2"/>
  <c r="L58" i="2"/>
  <c r="L53" i="2"/>
  <c r="L46" i="2"/>
  <c r="L37" i="2"/>
  <c r="L32" i="2"/>
  <c r="L28" i="2"/>
  <c r="L85" i="2"/>
  <c r="L47" i="2"/>
  <c r="I38" i="3"/>
  <c r="L38" i="2" s="1"/>
  <c r="L39" i="2"/>
  <c r="L33" i="2"/>
  <c r="L31" i="2"/>
  <c r="L21" i="2"/>
  <c r="L15" i="2"/>
  <c r="L10" i="2"/>
  <c r="L5" i="2"/>
  <c r="L69" i="2"/>
  <c r="L60" i="2"/>
  <c r="L48" i="2"/>
  <c r="L34" i="2"/>
  <c r="L13" i="2"/>
  <c r="L4" i="2"/>
  <c r="L7" i="2"/>
  <c r="L20" i="2"/>
  <c r="L9" i="2"/>
  <c r="L56" i="2"/>
  <c r="L23" i="2"/>
  <c r="L14" i="2"/>
  <c r="L6" i="2"/>
  <c r="L17" i="2"/>
  <c r="L11" i="2"/>
  <c r="L44" i="2"/>
  <c r="L27" i="2"/>
  <c r="G89" i="2"/>
  <c r="G83" i="2"/>
  <c r="G88" i="2"/>
  <c r="G86" i="2"/>
  <c r="G82" i="2"/>
  <c r="G90" i="2"/>
  <c r="G85" i="2"/>
  <c r="G75" i="2"/>
  <c r="G71" i="2"/>
  <c r="G65" i="2"/>
  <c r="G61" i="2"/>
  <c r="G92" i="2"/>
  <c r="G84" i="2"/>
  <c r="G74" i="2"/>
  <c r="G68" i="2"/>
  <c r="G64" i="2"/>
  <c r="G60" i="2"/>
  <c r="G58" i="2"/>
  <c r="G54" i="2"/>
  <c r="G44" i="2"/>
  <c r="G40" i="2"/>
  <c r="G81" i="2"/>
  <c r="G80" i="2"/>
  <c r="G69" i="2"/>
  <c r="G59" i="2"/>
  <c r="G57" i="2"/>
  <c r="G51" i="2"/>
  <c r="G42" i="2"/>
  <c r="G29" i="2"/>
  <c r="G25" i="2"/>
  <c r="G21" i="2"/>
  <c r="G15" i="2"/>
  <c r="G11" i="2"/>
  <c r="G7" i="2"/>
  <c r="G87" i="2"/>
  <c r="G67" i="2"/>
  <c r="G63" i="2"/>
  <c r="G52" i="2"/>
  <c r="G50" i="2"/>
  <c r="G45" i="2"/>
  <c r="G43" i="2"/>
  <c r="G32" i="2"/>
  <c r="G28" i="2"/>
  <c r="G79" i="2"/>
  <c r="G77" i="2"/>
  <c r="G73" i="2"/>
  <c r="G70" i="2"/>
  <c r="G66" i="2"/>
  <c r="G62" i="2"/>
  <c r="G55" i="2"/>
  <c r="G53" i="2"/>
  <c r="G46" i="2"/>
  <c r="G37" i="2"/>
  <c r="G35" i="2"/>
  <c r="G31" i="2"/>
  <c r="G27" i="2"/>
  <c r="G91" i="2"/>
  <c r="G72" i="2"/>
  <c r="G48" i="2"/>
  <c r="G34" i="2"/>
  <c r="G30" i="2"/>
  <c r="G24" i="2"/>
  <c r="G12" i="2"/>
  <c r="G10" i="2"/>
  <c r="G4" i="2"/>
  <c r="G78" i="2"/>
  <c r="G76" i="2"/>
  <c r="G56" i="2"/>
  <c r="G41" i="2"/>
  <c r="G13" i="2"/>
  <c r="G33" i="2"/>
  <c r="G23" i="2"/>
  <c r="G14" i="2"/>
  <c r="G6" i="2"/>
  <c r="G5" i="2"/>
  <c r="G17" i="2"/>
  <c r="G22" i="2"/>
  <c r="G16" i="2"/>
  <c r="G20" i="2"/>
  <c r="G26" i="2"/>
  <c r="G18" i="2"/>
  <c r="G47" i="2"/>
  <c r="N38" i="3"/>
  <c r="G38" i="2" s="1"/>
  <c r="G39" i="2"/>
  <c r="G9" i="2"/>
  <c r="M91" i="2"/>
  <c r="M87" i="2"/>
  <c r="M85" i="2"/>
  <c r="M81" i="2"/>
  <c r="M79" i="2"/>
  <c r="M92" i="2"/>
  <c r="M90" i="2"/>
  <c r="M84" i="2"/>
  <c r="M86" i="2"/>
  <c r="M83" i="2"/>
  <c r="M80" i="2"/>
  <c r="M77" i="2"/>
  <c r="M73" i="2"/>
  <c r="M69" i="2"/>
  <c r="M67" i="2"/>
  <c r="M63" i="2"/>
  <c r="M82" i="2"/>
  <c r="M76" i="2"/>
  <c r="M72" i="2"/>
  <c r="M70" i="2"/>
  <c r="M66" i="2"/>
  <c r="M62" i="2"/>
  <c r="M56" i="2"/>
  <c r="M52" i="2"/>
  <c r="M50" i="2"/>
  <c r="M48" i="2"/>
  <c r="M46" i="2"/>
  <c r="M42" i="2"/>
  <c r="M34" i="2"/>
  <c r="M89" i="2"/>
  <c r="M60" i="2"/>
  <c r="M59" i="2"/>
  <c r="M51" i="2"/>
  <c r="M47" i="2"/>
  <c r="M44" i="2"/>
  <c r="H38" i="3"/>
  <c r="M38" i="2" s="1"/>
  <c r="M39" i="2"/>
  <c r="M33" i="2"/>
  <c r="M31" i="2"/>
  <c r="M27" i="2"/>
  <c r="M23" i="2"/>
  <c r="M17" i="2"/>
  <c r="M13" i="2"/>
  <c r="M9" i="2"/>
  <c r="M88" i="2"/>
  <c r="M68" i="2"/>
  <c r="M65" i="2"/>
  <c r="M64" i="2"/>
  <c r="M61" i="2"/>
  <c r="M57" i="2"/>
  <c r="M54" i="2"/>
  <c r="M45" i="2"/>
  <c r="M30" i="2"/>
  <c r="M26" i="2"/>
  <c r="M24" i="2"/>
  <c r="M78" i="2"/>
  <c r="M75" i="2"/>
  <c r="M74" i="2"/>
  <c r="M71" i="2"/>
  <c r="M55" i="2"/>
  <c r="M43" i="2"/>
  <c r="M40" i="2"/>
  <c r="M35" i="2"/>
  <c r="M29" i="2"/>
  <c r="M53" i="2"/>
  <c r="M37" i="2"/>
  <c r="M25" i="2"/>
  <c r="M12" i="2"/>
  <c r="M6" i="2"/>
  <c r="M58" i="2"/>
  <c r="M28" i="2"/>
  <c r="M21" i="2"/>
  <c r="M15" i="2"/>
  <c r="M10" i="2"/>
  <c r="M5" i="2"/>
  <c r="M22" i="2"/>
  <c r="M11" i="2"/>
  <c r="M18" i="2"/>
  <c r="M16" i="2"/>
  <c r="M7" i="2"/>
  <c r="M41" i="2"/>
  <c r="M20" i="2"/>
  <c r="M14" i="2"/>
  <c r="M4" i="2"/>
  <c r="M32" i="2"/>
  <c r="N88" i="2"/>
  <c r="N86" i="2"/>
  <c r="N82" i="2"/>
  <c r="N80" i="2"/>
  <c r="N91" i="2"/>
  <c r="N87" i="2"/>
  <c r="N85" i="2"/>
  <c r="N92" i="2"/>
  <c r="N89" i="2"/>
  <c r="N84" i="2"/>
  <c r="N81" i="2"/>
  <c r="N78" i="2"/>
  <c r="N74" i="2"/>
  <c r="N68" i="2"/>
  <c r="N64" i="2"/>
  <c r="N83" i="2"/>
  <c r="N77" i="2"/>
  <c r="N73" i="2"/>
  <c r="N69" i="2"/>
  <c r="N67" i="2"/>
  <c r="N63" i="2"/>
  <c r="N57" i="2"/>
  <c r="N53" i="2"/>
  <c r="N47" i="2"/>
  <c r="N43" i="2"/>
  <c r="G38" i="3"/>
  <c r="N38" i="2" s="1"/>
  <c r="N39" i="2"/>
  <c r="N37" i="2"/>
  <c r="N58" i="2"/>
  <c r="N56" i="2"/>
  <c r="N48" i="2"/>
  <c r="N41" i="2"/>
  <c r="N34" i="2"/>
  <c r="N32" i="2"/>
  <c r="N28" i="2"/>
  <c r="N20" i="2"/>
  <c r="N14" i="2"/>
  <c r="N10" i="2"/>
  <c r="N79" i="2"/>
  <c r="N70" i="2"/>
  <c r="N66" i="2"/>
  <c r="N62" i="2"/>
  <c r="N60" i="2"/>
  <c r="N59" i="2"/>
  <c r="N51" i="2"/>
  <c r="N44" i="2"/>
  <c r="N42" i="2"/>
  <c r="N33" i="2"/>
  <c r="N31" i="2"/>
  <c r="N27" i="2"/>
  <c r="N76" i="2"/>
  <c r="N72" i="2"/>
  <c r="N65" i="2"/>
  <c r="N61" i="2"/>
  <c r="N54" i="2"/>
  <c r="N52" i="2"/>
  <c r="N50" i="2"/>
  <c r="N45" i="2"/>
  <c r="N30" i="2"/>
  <c r="N90" i="2"/>
  <c r="N75" i="2"/>
  <c r="N29" i="2"/>
  <c r="N26" i="2"/>
  <c r="N23" i="2"/>
  <c r="N17" i="2"/>
  <c r="N11" i="2"/>
  <c r="N9" i="2"/>
  <c r="N7" i="2"/>
  <c r="N71" i="2"/>
  <c r="N46" i="2"/>
  <c r="N25" i="2"/>
  <c r="N12" i="2"/>
  <c r="N6" i="2"/>
  <c r="N15" i="2"/>
  <c r="N4" i="2"/>
  <c r="N35" i="2"/>
  <c r="N24" i="2"/>
  <c r="N22" i="2"/>
  <c r="N13" i="2"/>
  <c r="N18" i="2"/>
  <c r="N16" i="2"/>
  <c r="N55" i="2"/>
  <c r="N5" i="2"/>
  <c r="N21" i="2"/>
  <c r="N40" i="2"/>
  <c r="J88" i="2"/>
  <c r="J86" i="2"/>
  <c r="J82" i="2"/>
  <c r="J80" i="2"/>
  <c r="J78" i="2"/>
  <c r="J91" i="2"/>
  <c r="J87" i="2"/>
  <c r="J85" i="2"/>
  <c r="J79" i="2"/>
  <c r="J74" i="2"/>
  <c r="J68" i="2"/>
  <c r="J64" i="2"/>
  <c r="J90" i="2"/>
  <c r="J81" i="2"/>
  <c r="J77" i="2"/>
  <c r="J73" i="2"/>
  <c r="J69" i="2"/>
  <c r="J67" i="2"/>
  <c r="J63" i="2"/>
  <c r="J57" i="2"/>
  <c r="J53" i="2"/>
  <c r="J47" i="2"/>
  <c r="J43" i="2"/>
  <c r="K38" i="3"/>
  <c r="J38" i="2" s="1"/>
  <c r="J39" i="2"/>
  <c r="J37" i="2"/>
  <c r="J33" i="2"/>
  <c r="J92" i="2"/>
  <c r="J76" i="2"/>
  <c r="J72" i="2"/>
  <c r="J65" i="2"/>
  <c r="J61" i="2"/>
  <c r="J55" i="2"/>
  <c r="J46" i="2"/>
  <c r="J40" i="2"/>
  <c r="J35" i="2"/>
  <c r="J32" i="2"/>
  <c r="J28" i="2"/>
  <c r="J20" i="2"/>
  <c r="J14" i="2"/>
  <c r="J10" i="2"/>
  <c r="J83" i="2"/>
  <c r="J75" i="2"/>
  <c r="J71" i="2"/>
  <c r="J58" i="2"/>
  <c r="J56" i="2"/>
  <c r="J48" i="2"/>
  <c r="J41" i="2"/>
  <c r="J34" i="2"/>
  <c r="J31" i="2"/>
  <c r="J27" i="2"/>
  <c r="J60" i="2"/>
  <c r="J59" i="2"/>
  <c r="J51" i="2"/>
  <c r="J44" i="2"/>
  <c r="J42" i="2"/>
  <c r="J30" i="2"/>
  <c r="J26" i="2"/>
  <c r="J89" i="2"/>
  <c r="J84" i="2"/>
  <c r="J70" i="2"/>
  <c r="J66" i="2"/>
  <c r="J52" i="2"/>
  <c r="J50" i="2"/>
  <c r="J22" i="2"/>
  <c r="J18" i="2"/>
  <c r="J16" i="2"/>
  <c r="J45" i="2"/>
  <c r="J24" i="2"/>
  <c r="J23" i="2"/>
  <c r="J17" i="2"/>
  <c r="J11" i="2"/>
  <c r="J9" i="2"/>
  <c r="J7" i="2"/>
  <c r="J6" i="2"/>
  <c r="J29" i="2"/>
  <c r="J13" i="2"/>
  <c r="J25" i="2"/>
  <c r="J5" i="2"/>
  <c r="J21" i="2"/>
  <c r="J4" i="2"/>
  <c r="J54" i="2"/>
  <c r="J15" i="2"/>
  <c r="J12" i="2"/>
  <c r="J62" i="2"/>
  <c r="F2" i="2"/>
  <c r="H2" i="2"/>
  <c r="I2" i="2"/>
  <c r="K2" i="2"/>
  <c r="O2" i="2"/>
  <c r="L2" i="2"/>
  <c r="G2" i="2"/>
  <c r="M2" i="2"/>
  <c r="N2" i="2"/>
  <c r="J2" i="2"/>
</calcChain>
</file>

<file path=xl/sharedStrings.xml><?xml version="1.0" encoding="utf-8"?>
<sst xmlns="http://schemas.openxmlformats.org/spreadsheetml/2006/main" count="3293" uniqueCount="235">
  <si>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</si>
  <si>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</si>
  <si>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</si>
  <si>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</si>
  <si>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</si>
  <si>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</si>
  <si>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</si>
  <si>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</si>
  <si>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</si>
  <si>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</si>
  <si>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</si>
  <si>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</si>
  <si>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</si>
  <si>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</si>
  <si>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</si>
  <si>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</si>
  <si>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</si>
  <si>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</si>
  <si>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</si>
  <si>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</si>
  <si>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</si>
  <si>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</si>
  <si>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</si>
  <si>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</si>
  <si>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</si>
  <si>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</si>
  <si>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</si>
  <si>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</si>
  <si>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</si>
  <si>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</si>
  <si>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</si>
  <si>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</si>
  <si>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</si>
  <si>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</si>
  <si>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</si>
  <si>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</si>
  <si>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</si>
  <si>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</si>
  <si>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</si>
  <si>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</si>
  <si>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</si>
  <si>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</si>
  <si>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</si>
  <si>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Corporate Earnings:</t>
  </si>
  <si>
    <t/>
  </si>
  <si>
    <t>Heading</t>
  </si>
  <si>
    <t>Corporate Profits ($B)</t>
  </si>
  <si>
    <t>CPFTTOT Index</t>
  </si>
  <si>
    <t>PR005</t>
  </si>
  <si>
    <t>PX_LAST</t>
  </si>
  <si>
    <t>Dynamic</t>
  </si>
  <si>
    <t>Undistributed Corporate Profits ($B)</t>
  </si>
  <si>
    <t>CPFTUNDI Index</t>
  </si>
  <si>
    <t>S&amp;P 500 T12M EPS</t>
  </si>
  <si>
    <t>SPX Index</t>
  </si>
  <si>
    <t>RR906</t>
  </si>
  <si>
    <t>TRAIL_12M_EPS</t>
  </si>
  <si>
    <t>Static</t>
  </si>
  <si>
    <t>Confidence Indicators:</t>
  </si>
  <si>
    <t>CEO Confidence</t>
  </si>
  <si>
    <t>CEOCINDX Index</t>
  </si>
  <si>
    <t>Eurozone Business Confidence</t>
  </si>
  <si>
    <t>EUESEMU Index</t>
  </si>
  <si>
    <t xml:space="preserve">    France</t>
  </si>
  <si>
    <t>EUESFR Index</t>
  </si>
  <si>
    <t xml:space="preserve">    Germany</t>
  </si>
  <si>
    <t>EUESDE Index</t>
  </si>
  <si>
    <t xml:space="preserve">    Greece</t>
  </si>
  <si>
    <t>EUESGR Index</t>
  </si>
  <si>
    <t xml:space="preserve">    Italy</t>
  </si>
  <si>
    <t>EUESIT Index</t>
  </si>
  <si>
    <t xml:space="preserve">    Spain</t>
  </si>
  <si>
    <t>EUESES Index</t>
  </si>
  <si>
    <t xml:space="preserve">    UK</t>
  </si>
  <si>
    <t>EUESUK Index</t>
  </si>
  <si>
    <t>IFO World Economic Climate</t>
  </si>
  <si>
    <t>ENOMWLEC Index</t>
  </si>
  <si>
    <t>Business Indicators:</t>
  </si>
  <si>
    <t>ISM Non-Manufacturing Index</t>
  </si>
  <si>
    <t>NAPMNMI Index</t>
  </si>
  <si>
    <t>Total Durable Goods (yoy %)</t>
  </si>
  <si>
    <t>DGNOYOY Index</t>
  </si>
  <si>
    <t xml:space="preserve">    Computers Related Products (yoy %)</t>
  </si>
  <si>
    <t>DGCOCOPY Index</t>
  </si>
  <si>
    <t xml:space="preserve">    Computers Related Products ($)</t>
  </si>
  <si>
    <t>DGCOCOPR Index</t>
  </si>
  <si>
    <t>Industrial Production (yoy %)</t>
  </si>
  <si>
    <t xml:space="preserve">    North America</t>
  </si>
  <si>
    <t xml:space="preserve">        United States</t>
  </si>
  <si>
    <t>IP YOY Index</t>
  </si>
  <si>
    <t xml:space="preserve">            High Tech Industries</t>
  </si>
  <si>
    <t>IPNEHITY Index</t>
  </si>
  <si>
    <t xml:space="preserve">                High Tech Industries ($)</t>
  </si>
  <si>
    <t>IPNEHITC Index</t>
  </si>
  <si>
    <t xml:space="preserve">                Computers (yoy %)</t>
  </si>
  <si>
    <t>IPNECOMY Index</t>
  </si>
  <si>
    <t xml:space="preserve">                Semiconductors (yoy %)</t>
  </si>
  <si>
    <t>IPNESEMY Index</t>
  </si>
  <si>
    <t xml:space="preserve">                Comm. Equipment (yoy %)</t>
  </si>
  <si>
    <t>IPNECMMY Index</t>
  </si>
  <si>
    <t xml:space="preserve">        Canada</t>
  </si>
  <si>
    <t>CDIP%YOY Index</t>
  </si>
  <si>
    <t xml:space="preserve">    Europe</t>
  </si>
  <si>
    <t xml:space="preserve">    South America</t>
  </si>
  <si>
    <t>Labor Statistics:</t>
  </si>
  <si>
    <t>U.S. Unemployment Rate</t>
  </si>
  <si>
    <t>USURTOT Index</t>
  </si>
  <si>
    <t>U.S. Technology Related Unemployment Rate</t>
  </si>
  <si>
    <t>Average</t>
  </si>
  <si>
    <t xml:space="preserve">    Computer &amp; Information Systems Managers</t>
  </si>
  <si>
    <t>UMOCCOIN Index</t>
  </si>
  <si>
    <t xml:space="preserve">    Computer &amp; Mathmatical Occupations</t>
  </si>
  <si>
    <t>UMOCCOOC Index</t>
  </si>
  <si>
    <t xml:space="preserve">    Computer Programmers</t>
  </si>
  <si>
    <t>UMOCCOPR Index</t>
  </si>
  <si>
    <t xml:space="preserve">    Network &amp; Computer Systems Administrators</t>
  </si>
  <si>
    <t>UMOCNEWO Index</t>
  </si>
  <si>
    <t>Initial Jobless Claims (yoy %)</t>
  </si>
  <si>
    <t>INJCJYOY Index</t>
  </si>
  <si>
    <t xml:space="preserve">    Initial Jobless Claims (#)</t>
  </si>
  <si>
    <t>INJCJC Index</t>
  </si>
  <si>
    <t>ADP Non Farm Payrolls (yoy %)</t>
  </si>
  <si>
    <t>ADP YOYL Index</t>
  </si>
  <si>
    <t xml:space="preserve">    ADP Non Farm Payrolls (#)</t>
  </si>
  <si>
    <t>ADP LEVL Index</t>
  </si>
  <si>
    <t xml:space="preserve">    ADP Non Farm Payrolls Service Firms</t>
  </si>
  <si>
    <t>ADP SERV Index</t>
  </si>
  <si>
    <t>Additional Macro Drivers:</t>
  </si>
  <si>
    <t>Exchange Rates</t>
  </si>
  <si>
    <t xml:space="preserve">    USD</t>
  </si>
  <si>
    <t xml:space="preserve">        USD EUR</t>
  </si>
  <si>
    <t>USDEUR Curncy</t>
  </si>
  <si>
    <t xml:space="preserve">        USD INR</t>
  </si>
  <si>
    <t>USDINR Curncy</t>
  </si>
  <si>
    <t xml:space="preserve">        USD GBP</t>
  </si>
  <si>
    <t>USDGBP Curncy</t>
  </si>
  <si>
    <t xml:space="preserve">        USD BRL</t>
  </si>
  <si>
    <t>USDBRL Curncy</t>
  </si>
  <si>
    <t xml:space="preserve">        USD CNY</t>
  </si>
  <si>
    <t>USDCNY Curncy</t>
  </si>
  <si>
    <t xml:space="preserve">        USD JPY</t>
  </si>
  <si>
    <t>USDJPY Curncy</t>
  </si>
  <si>
    <t xml:space="preserve">        USD CAD</t>
  </si>
  <si>
    <t>USDCAD Curncy</t>
  </si>
  <si>
    <t xml:space="preserve">        USD AUD</t>
  </si>
  <si>
    <t>USDAUD Curncy</t>
  </si>
  <si>
    <t xml:space="preserve">    EUR</t>
  </si>
  <si>
    <t xml:space="preserve">        EUR USD</t>
  </si>
  <si>
    <t>EURUSD Curncy</t>
  </si>
  <si>
    <t xml:space="preserve">        EUR INR</t>
  </si>
  <si>
    <t>EURINR Curncy</t>
  </si>
  <si>
    <t xml:space="preserve">        EUR GBP</t>
  </si>
  <si>
    <t>EURGBP Curncy</t>
  </si>
  <si>
    <t xml:space="preserve">        EUR BRL</t>
  </si>
  <si>
    <t>EURBRL Curncy</t>
  </si>
  <si>
    <t xml:space="preserve">        EUR CNY</t>
  </si>
  <si>
    <t>EURCNY Curncy</t>
  </si>
  <si>
    <t xml:space="preserve">        EUR JPY</t>
  </si>
  <si>
    <t>EURJPY Curncy</t>
  </si>
  <si>
    <t xml:space="preserve">        EUR CAD</t>
  </si>
  <si>
    <t>EURCAD Curncy</t>
  </si>
  <si>
    <t xml:space="preserve">        EUR AUD</t>
  </si>
  <si>
    <t>EURAUD Curncy</t>
  </si>
  <si>
    <t>GDP</t>
  </si>
  <si>
    <t xml:space="preserve">        United States (qoq %)</t>
  </si>
  <si>
    <t>GDP CQOQ Index</t>
  </si>
  <si>
    <t xml:space="preserve">            GDP ($)</t>
  </si>
  <si>
    <t>GDP CHWG Index</t>
  </si>
  <si>
    <t xml:space="preserve">            Software (yoy %)</t>
  </si>
  <si>
    <t>GDP$SOFY Index</t>
  </si>
  <si>
    <t xml:space="preserve">                Software ($)</t>
  </si>
  <si>
    <t>GDP$SOFT Index</t>
  </si>
  <si>
    <t xml:space="preserve">            Computer  (yoy%)</t>
  </si>
  <si>
    <t>GDP$CAPY Index</t>
  </si>
  <si>
    <t xml:space="preserve">                Computer  ($)</t>
  </si>
  <si>
    <t>GDP$CAPE Index</t>
  </si>
  <si>
    <t>CAGDPYOY Index</t>
  </si>
  <si>
    <t xml:space="preserve">        Brazil</t>
  </si>
  <si>
    <t>BZGDYOY% Index</t>
  </si>
  <si>
    <t xml:space="preserve">        Eurozone</t>
  </si>
  <si>
    <t>EUGNEMUY Index</t>
  </si>
  <si>
    <t xml:space="preserve">        United Kingdom</t>
  </si>
  <si>
    <t>UKGRABIY Index</t>
  </si>
  <si>
    <t xml:space="preserve">        France</t>
  </si>
  <si>
    <t>FRGEGDPY Index</t>
  </si>
  <si>
    <t xml:space="preserve">        Germany</t>
  </si>
  <si>
    <t>GRGDPPGY Index</t>
  </si>
  <si>
    <t xml:space="preserve">        Russia</t>
  </si>
  <si>
    <t>RUDPRYOY Index</t>
  </si>
  <si>
    <t xml:space="preserve">    Asia/Pacific</t>
  </si>
  <si>
    <t xml:space="preserve">        Japan</t>
  </si>
  <si>
    <t>JGDPNSAQ Index</t>
  </si>
  <si>
    <t xml:space="preserve">        China</t>
  </si>
  <si>
    <t>CNGDPYOY Index</t>
  </si>
  <si>
    <t xml:space="preserve">        India</t>
  </si>
  <si>
    <t>INQGGDPY Index</t>
  </si>
  <si>
    <t xml:space="preserve">        Australia</t>
  </si>
  <si>
    <t>AUNAGDPY Index</t>
  </si>
  <si>
    <t>~~~~~~~~~~</t>
  </si>
  <si>
    <t>All rows below have been added for reference by formula rows above.</t>
  </si>
  <si>
    <t>Currency</t>
  </si>
  <si>
    <t>USD</t>
  </si>
  <si>
    <t>Periodicity</t>
  </si>
  <si>
    <t>CY</t>
  </si>
  <si>
    <t>AY</t>
  </si>
  <si>
    <t>Number of Periods</t>
  </si>
  <si>
    <t>Start Date</t>
  </si>
  <si>
    <t>-10CY</t>
  </si>
  <si>
    <t>-10AY</t>
  </si>
  <si>
    <t>End Date</t>
  </si>
  <si>
    <t>HeaderStatus(custom data)</t>
  </si>
  <si>
    <t>#N/A Requesting Data...</t>
  </si>
  <si>
    <t>~~~~~~~~~~~~~~~~~~~~~</t>
  </si>
  <si>
    <t>Rows below for column date calculation</t>
  </si>
  <si>
    <t>Downloaded at</t>
  </si>
  <si>
    <t>This is End Date</t>
  </si>
  <si>
    <t>Snapshot Date</t>
  </si>
  <si>
    <t>Snapshot header</t>
  </si>
  <si>
    <t>BDH snapshot header0</t>
  </si>
  <si>
    <t>BDH snapshot result0</t>
  </si>
  <si>
    <t>BDH snapshot header1</t>
  </si>
  <si>
    <t>BDH snapshot result1</t>
  </si>
  <si>
    <t>BDH snapshot header2</t>
  </si>
  <si>
    <t>BDH snapshot result2</t>
  </si>
  <si>
    <t>BDH snapshot</t>
  </si>
  <si>
    <t>BDH snapshot title</t>
  </si>
  <si>
    <t>BDH dynamic header0</t>
  </si>
  <si>
    <t>BDH dynamic result0</t>
  </si>
  <si>
    <t>BDH dynamic header1</t>
  </si>
  <si>
    <t>BDH dynamic result1</t>
  </si>
  <si>
    <t>BDH dynamic header2</t>
  </si>
  <si>
    <t>BDH dynamic result2</t>
  </si>
  <si>
    <t>BDH dynamic</t>
  </si>
  <si>
    <t>BDH dynamic title</t>
  </si>
  <si>
    <t>No error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</si>
</sst>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BDH|10085425784714647241</stp>
        <tr r="F166" s="3"/>
      </tp>
      <tp t="s">
        <v>#N/A N/A</v>
        <stp/>
        <stp>BDH|17664570165889688749</stp>
        <tr r="F157" s="3"/>
      </tp>
      <tp t="s">
        <v>#N/A N/A</v>
        <stp/>
        <stp>BDH|18001259125572802061</stp>
        <tr r="F138" s="3"/>
      </tp>
      <tp t="s">
        <v>#N/A N/A</v>
        <stp/>
        <stp>BDH|12713471082867928295</stp>
        <tr r="F159" s="3"/>
      </tp>
      <tp t="s">
        <v>#N/A N/A</v>
        <stp/>
        <stp>BDH|13581773083051729608</stp>
        <tr r="F174" s="3"/>
      </tp>
      <tp t="s">
        <v>#N/A N/A</v>
        <stp/>
        <stp>BDH|11121698710196197860</stp>
        <tr r="F123" s="3"/>
      </tp>
      <tp t="s">
        <v>#N/A N/A</v>
        <stp/>
        <stp>BDH|10089663624655599868</stp>
        <tr r="F117" s="3"/>
      </tp>
      <tp t="s">
        <v>#N/A N/A</v>
        <stp/>
        <stp>BDH|12166774087414141046</stp>
        <tr r="C200" s="3"/>
        <tr r="C192" s="3"/>
      </tp>
      <tp t="s">
        <v>#N/A N/A</v>
        <stp/>
        <stp>BDH|14142152557638564111</stp>
        <tr r="F141" s="3"/>
      </tp>
      <tp t="s">
        <v>#N/A N/A</v>
        <stp/>
        <stp>BDH|15032655683772621096</stp>
        <tr r="F165" s="3"/>
      </tp>
      <tp t="s">
        <v>#N/A N/A</v>
        <stp/>
        <stp>BDH|10828008456263402870</stp>
        <tr r="F170" s="3"/>
      </tp>
      <tp t="s">
        <v>#N/A N/A</v>
        <stp/>
        <stp>BDH|11186000431274817849</stp>
        <tr r="F130" s="3"/>
      </tp>
      <tp t="s">
        <v>#N/A N/A</v>
        <stp/>
        <stp>BDH|18230163318323441405</stp>
        <tr r="F162" s="3"/>
      </tp>
      <tp t="s">
        <v>#N/A N/A</v>
        <stp/>
        <stp>BDH|14047770022167292981</stp>
        <tr r="F155" s="3"/>
      </tp>
      <tp t="s">
        <v>#N/A N/A</v>
        <stp/>
        <stp>BDH|10306778834731339839</stp>
        <tr r="F150" s="3"/>
      </tp>
      <tp t="s">
        <v>#N/A N/A</v>
        <stp/>
        <stp>BDH|16780526257835252135</stp>
        <tr r="F168" s="3"/>
      </tp>
      <tp t="s">
        <v>#N/A N/A</v>
        <stp/>
        <stp>BDH|13304387164000646464</stp>
        <tr r="F160" s="3"/>
      </tp>
      <tp t="s">
        <v>#N/A N/A</v>
        <stp/>
        <stp>BDH|11211061477661037425</stp>
        <tr r="F122" s="3"/>
      </tp>
      <tp t="s">
        <v>#N/A N/A</v>
        <stp/>
        <stp>BDH|17092032407560768403</stp>
        <tr r="F132" s="3"/>
      </tp>
      <tp t="s">
        <v>#N/A N/A</v>
        <stp/>
        <stp>BDH|14917765777146900207</stp>
        <tr r="F139" s="3"/>
      </tp>
      <tp t="s">
        <v>#N/A N/A</v>
        <stp/>
        <stp>BDH|12232774146003098214</stp>
        <tr r="F137" s="3"/>
      </tp>
      <tp t="s">
        <v>#N/A N/A</v>
        <stp/>
        <stp>BDH|11354598826556188068</stp>
        <tr r="F120" s="3"/>
      </tp>
      <tp t="s">
        <v>#N/A N/A</v>
        <stp/>
        <stp>BDH|12309326332790115302</stp>
        <tr r="F136" s="3"/>
      </tp>
      <tp t="s">
        <v>#N/A N/A</v>
        <stp/>
        <stp>BDH|16929117385259590705</stp>
        <tr r="F147" s="3"/>
      </tp>
      <tp t="s">
        <v>#N/A N/A</v>
        <stp/>
        <stp>BDH|17967694052502244072</stp>
        <tr r="F171" s="3"/>
      </tp>
      <tp t="s">
        <v>#N/A N/A</v>
        <stp/>
        <stp>BDH|10588065855811801248</stp>
        <tr r="F143" s="3"/>
      </tp>
      <tp t="s">
        <v>#N/A N/A</v>
        <stp/>
        <stp>BDH|10714628037142146066</stp>
        <tr r="F173" s="3"/>
      </tp>
      <tp t="s">
        <v>#N/A N/A</v>
        <stp/>
        <stp>BDH|12688713724336319661</stp>
        <tr r="F129" s="3"/>
      </tp>
      <tp t="s">
        <v>#N/A N/A</v>
        <stp/>
        <stp>BDH|11391222683085982971</stp>
        <tr r="F144" s="3"/>
      </tp>
      <tp t="s">
        <v>#N/A N/A</v>
        <stp/>
        <stp>BDH|15927152780479592268</stp>
        <tr r="F145" s="3"/>
      </tp>
      <tp t="s">
        <v>#N/A N/A</v>
        <stp/>
        <stp>BDH|13310353451310100117</stp>
        <tr r="F125" s="3"/>
      </tp>
      <tp t="s">
        <v>#N/A N/A</v>
        <stp/>
        <stp>BDH|11448508173183157562</stp>
        <tr r="F113" s="3"/>
      </tp>
      <tp t="s">
        <v>#N/A N/A</v>
        <stp/>
        <stp>BDH|13098538302571379218</stp>
        <tr r="F169" s="3"/>
      </tp>
      <tp t="s">
        <v>#N/A N/A</v>
        <stp/>
        <stp>BDH|12674970805907121996</stp>
        <tr r="F161" s="3"/>
      </tp>
    </main>
    <main first="bloomberg.ccyreader">
      <tp>
        <v>0</v>
        <stp/>
        <stp>#track</stp>
        <stp>DBG</stp>
        <stp>BIHITX</stp>
        <stp>1.0</stp>
        <stp>RepeatHit</stp>
        <tr r="A102" s="3"/>
      </tp>
    </main>
    <main first="bofaddin.rtdserver">
      <tp t="s">
        <v>#N/A N/A</v>
        <stp/>
        <stp>BDH|3955463992217645532</stp>
        <tr r="C198" s="3"/>
        <tr r="C190" s="3"/>
      </tp>
      <tp t="s">
        <v>#N/A N/A</v>
        <stp/>
        <stp>BDH|5430013285091618036</stp>
        <tr r="F151" s="3"/>
      </tp>
      <tp t="s">
        <v>#N/A N/A</v>
        <stp/>
        <stp>BDH|7791338688091424031</stp>
        <tr r="F148" s="3"/>
      </tp>
      <tp t="s">
        <v>#N/A N/A</v>
        <stp/>
        <stp>BDH|9340690282581027827</stp>
        <tr r="F142" s="3"/>
      </tp>
      <tp t="s">
        <v>#N/A N/A</v>
        <stp/>
        <stp>BDH|9677153754362743143</stp>
        <tr r="F133" s="3"/>
      </tp>
      <tp t="s">
        <v>#N/A N/A</v>
        <stp/>
        <stp>BDH|9766392545265368464</stp>
        <tr r="F124" s="3"/>
      </tp>
      <tp t="s">
        <v>#N/A N/A</v>
        <stp/>
        <stp>BDH|9153966419436661871</stp>
        <tr r="F126" s="3"/>
      </tp>
      <tp t="s">
        <v>#N/A N/A</v>
        <stp/>
        <stp>BDH|3259709747916738925</stp>
        <tr r="F172" s="3"/>
      </tp>
      <tp t="s">
        <v>#N/A N/A</v>
        <stp/>
        <stp>BDH|1120100984108532829</stp>
        <tr r="F128" s="3"/>
      </tp>
      <tp t="s">
        <v>#N/A N/A</v>
        <stp/>
        <stp>BDH|4992081504869655492</stp>
        <tr r="F158" s="3"/>
      </tp>
      <tp t="s">
        <v>#N/A N/A</v>
        <stp/>
        <stp>BDH|3273748998252476604</stp>
        <tr r="F163" s="3"/>
      </tp>
      <tp t="s">
        <v>#N/A N/A</v>
        <stp/>
        <stp>BDH|7597347019708908435</stp>
        <tr r="F135" s="3"/>
      </tp>
      <tp t="s">
        <v>#N/A N/A</v>
        <stp/>
        <stp>BDH|6571110089370675686</stp>
        <tr r="F140" s="3"/>
      </tp>
      <tp t="s">
        <v>#N/A N/A</v>
        <stp/>
        <stp>BDH|4750954010651578797</stp>
        <tr r="F134" s="3"/>
      </tp>
      <tp t="s">
        <v>#N/A N/A</v>
        <stp/>
        <stp>BDH|2592827384008244018</stp>
        <tr r="F149" s="3"/>
      </tp>
      <tp t="s">
        <v>#N/A N/A</v>
        <stp/>
        <stp>BDH|3178545146101269918</stp>
        <tr r="F127" s="3"/>
      </tp>
      <tp t="s">
        <v>#N/A N/A</v>
        <stp/>
        <stp>BDH|2144808501274834589</stp>
        <tr r="F131" s="3"/>
      </tp>
      <tp t="s">
        <v>#N/A N/A</v>
        <stp/>
        <stp>BDH|7742872038886520190</stp>
        <tr r="F110" s="3"/>
      </tp>
      <tp t="s">
        <v>#N/A N/A</v>
        <stp/>
        <stp>BDH|1076641742183233447</stp>
        <tr r="F119" s="3"/>
      </tp>
      <tp t="s">
        <v>#N/A N/A</v>
        <stp/>
        <stp>BDH|7563137336534505533</stp>
        <tr r="F115" s="3"/>
      </tp>
      <tp t="s">
        <v>#N/A N/A</v>
        <stp/>
        <stp>BDH|3684016163354005533</stp>
        <tr r="F156" s="3"/>
      </tp>
      <tp t="s">
        <v>#N/A N/A</v>
        <stp/>
        <stp>BDH|8197158534897733932</stp>
        <tr r="F114" s="3"/>
      </tp>
      <tp t="s">
        <v>#N/A N/A</v>
        <stp/>
        <stp>BDH|2466354377774531793</stp>
        <tr r="F118" s="3"/>
      </tp>
      <tp t="s">
        <v>#N/A N/A</v>
        <stp/>
        <stp>BDH|1744683925073922156</stp>
        <tr r="F146" s="3"/>
      </tp>
      <tp t="s">
        <v>#N/A N/A</v>
        <stp/>
        <stp>BDH|7578534414137600331</stp>
        <tr r="F153" s="3"/>
      </tp>
      <tp t="s">
        <v>#N/A N/A</v>
        <stp/>
        <stp>BDH|7182607526667620525</stp>
        <tr r="F167" s="3"/>
      </tp>
      <tp t="s">
        <v>#N/A N/A</v>
        <stp/>
        <stp>BDH|8286750987776890098</stp>
        <tr r="F152" s="3"/>
      </tp>
      <tp t="s">
        <v>#N/A N/A</v>
        <stp/>
        <stp>BDH|3853021599288263374</stp>
        <tr r="F111" s="3"/>
      </tp>
      <tp t="s">
        <v>#N/A N/A</v>
        <stp/>
        <stp>BDH|9653163540359687405</stp>
        <tr r="F175" s="3"/>
      </tp>
      <tp t="s">
        <v>#N/A N/A</v>
        <stp/>
        <stp>BDH|5823979528076571967</stp>
        <tr r="F164" s="3"/>
      </tp>
      <tp t="s">
        <v>#N/A N/A</v>
        <stp/>
        <stp>BDH|6405902492681096522</stp>
        <tr r="F121" s="3"/>
      </tp>
      <tp t="s">
        <v>#N/A N/A</v>
        <stp/>
        <stp>BDH|6410585729385855765</stp>
        <tr r="C196" s="3"/>
        <tr r="C188" s="3"/>
      </tp>
      <tp t="s">
        <v>#N/A N/A</v>
        <stp/>
        <stp>BDH|1124467729717191325</stp>
        <tr r="F116" s="3"/>
      </tp>
      <tp t="s">
        <v>#N/A N/A</v>
        <stp/>
        <stp>BDH|440594227152072004</stp>
        <tr r="F154" s="3"/>
      </tp>
      <tp t="s">
        <v>#N/A N/A</v>
        <stp/>
        <stp>BDH|311063931571985156</stp>
        <tr r="F11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5" width="9.140625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IFERROR(IF(0=LEN(ReferenceData!$O$2),"",ReferenceData!$O$2),"")</f>
        <v>2011</v>
      </c>
      <c r="G2" t="str">
        <f>IFERROR(IF(0=LEN(ReferenceData!$N$2),"",ReferenceData!$N$2),"")</f>
        <v>2012</v>
      </c>
      <c r="H2" t="str">
        <f>IFERROR(IF(0=LEN(ReferenceData!$M$2),"",ReferenceData!$M$2),"")</f>
        <v>2013</v>
      </c>
      <c r="I2" t="str">
        <f>IFERROR(IF(0=LEN(ReferenceData!$L$2),"",ReferenceData!$L$2),"")</f>
        <v>2014</v>
      </c>
      <c r="J2" t="str">
        <f>IFERROR(IF(0=LEN(ReferenceData!$K$2),"",ReferenceData!$K$2),"")</f>
        <v>2015</v>
      </c>
      <c r="K2" t="str">
        <f>IFERROR(IF(0=LEN(ReferenceData!$J$2),"",ReferenceData!$J$2),"")</f>
        <v>2016</v>
      </c>
      <c r="L2" t="str">
        <f>IFERROR(IF(0=LEN(ReferenceData!$I$2),"",ReferenceData!$I$2),"")</f>
        <v>2017</v>
      </c>
      <c r="M2" t="str">
        <f>IFERROR(IF(0=LEN(ReferenceData!$H$2),"",ReferenceData!$H$2),"")</f>
        <v>2018</v>
      </c>
      <c r="N2" t="str">
        <f>IFERROR(IF(0=LEN(ReferenceData!$G$2),"",ReferenceData!$G$2),"")</f>
        <v>2019</v>
      </c>
      <c r="O2" t="str">
        <f>IFERROR(IF(0=LEN(ReferenceData!$F$2),"",ReferenceData!$F$2),"")</f>
        <v>2020</v>
      </c>
    </row>
    <row r="3" spans="1:15" x14ac:dyDescent="0.25">
      <c r="A3" t="str">
        <f>IFERROR(IF(0=LEN(ReferenceData!$A$3),"",ReferenceData!$A$3),"")</f>
        <v>Corporate Earnings: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IFERROR(IF(0=LEN(ReferenceData!$O$3),"",ReferenceData!$O$3),"")</f>
        <v/>
      </c>
      <c r="G3" t="str">
        <f>IFERROR(IF(0=LEN(ReferenceData!$N$3),"",ReferenceData!$N$3),"")</f>
        <v/>
      </c>
      <c r="H3" t="str">
        <f>IFERROR(IF(0=LEN(ReferenceData!$M$3),"",ReferenceData!$M$3),"")</f>
        <v/>
      </c>
      <c r="I3" t="str">
        <f>IFERROR(IF(0=LEN(ReferenceData!$L$3),"",ReferenceData!$L$3),"")</f>
        <v/>
      </c>
      <c r="J3" t="str">
        <f>IFERROR(IF(0=LEN(ReferenceData!$K$3),"",ReferenceData!$K$3),"")</f>
        <v/>
      </c>
      <c r="K3" t="str">
        <f>IFERROR(IF(0=LEN(ReferenceData!$J$3),"",ReferenceData!$J$3),"")</f>
        <v/>
      </c>
      <c r="L3" t="str">
        <f>IFERROR(IF(0=LEN(ReferenceData!$I$3),"",ReferenceData!$I$3),"")</f>
        <v/>
      </c>
      <c r="M3" t="str">
        <f>IFERROR(IF(0=LEN(ReferenceData!$H$3),"",ReferenceData!$H$3),"")</f>
        <v/>
      </c>
      <c r="N3" t="str">
        <f>IFERROR(IF(0=LEN(ReferenceData!$G$3),"",ReferenceData!$G$3),"")</f>
        <v/>
      </c>
      <c r="O3" t="str">
        <f>IFERROR(IF(0=LEN(ReferenceData!$F$3),"",ReferenceData!$F$3),"")</f>
        <v/>
      </c>
    </row>
    <row r="4" spans="1:15" x14ac:dyDescent="0.25">
      <c r="A4" t="str">
        <f>IFERROR(IF(0=LEN(ReferenceData!$A$4),"",ReferenceData!$A$4),"")</f>
        <v>Corporate Profits ($B)</v>
      </c>
      <c r="B4" t="str">
        <f>IFERROR(IF(0=LEN(ReferenceData!$B$4),"",ReferenceData!$B$4),"")</f>
        <v>CPFTTOT Index</v>
      </c>
      <c r="C4" t="str">
        <f>IFERROR(IF(0=LEN(ReferenceData!$C$4),"",ReferenceData!$C$4),"")</f>
        <v>PR005</v>
      </c>
      <c r="D4" t="str">
        <f>IFERROR(IF(0=LEN(ReferenceData!$D$4),"",ReferenceData!$D$4),"")</f>
        <v>PX_LAST</v>
      </c>
      <c r="E4" t="str">
        <f>IFERROR(IF(0=LEN(ReferenceData!$E$4),"",ReferenceData!$E$4),"")</f>
        <v>Dynamic</v>
      </c>
      <c r="F4">
        <f ca="1">IFERROR(IF(0=LEN(ReferenceData!$O$4),"",ReferenceData!$O$4),"")</f>
        <v>1809.7739999999999</v>
      </c>
      <c r="G4">
        <f ca="1">IFERROR(IF(0=LEN(ReferenceData!$N$4),"",ReferenceData!$N$4),"")</f>
        <v>1997.415</v>
      </c>
      <c r="H4">
        <f ca="1">IFERROR(IF(0=LEN(ReferenceData!$M$4),"",ReferenceData!$M$4),"")</f>
        <v>2010.6949999999999</v>
      </c>
      <c r="I4">
        <f ca="1">IFERROR(IF(0=LEN(ReferenceData!$L$4),"",ReferenceData!$L$4),"")</f>
        <v>2120.2150000000001</v>
      </c>
      <c r="J4">
        <f ca="1">IFERROR(IF(0=LEN(ReferenceData!$K$4),"",ReferenceData!$K$4),"")</f>
        <v>2061.5140000000001</v>
      </c>
      <c r="K4">
        <f ca="1">IFERROR(IF(0=LEN(ReferenceData!$J$4),"",ReferenceData!$J$4),"")</f>
        <v>2011.4680000000001</v>
      </c>
      <c r="L4">
        <f ca="1">IFERROR(IF(0=LEN(ReferenceData!$I$4),"",ReferenceData!$I$4),"")</f>
        <v>2005.933</v>
      </c>
      <c r="M4">
        <f ca="1">IFERROR(IF(0=LEN(ReferenceData!$H$4),"",ReferenceData!$H$4),"")</f>
        <v>2074.6320000000001</v>
      </c>
      <c r="N4">
        <f ca="1">IFERROR(IF(0=LEN(ReferenceData!$G$4),"",ReferenceData!$G$4),"")</f>
        <v>2074.6390000000001</v>
      </c>
      <c r="O4" t="str">
        <f ca="1">IFERROR(IF(0=LEN(ReferenceData!$F$4),"",ReferenceData!$F$4),"")</f>
        <v/>
      </c>
    </row>
    <row r="5" spans="1:15" x14ac:dyDescent="0.25">
      <c r="A5" t="str">
        <f>IFERROR(IF(0=LEN(ReferenceData!$A$5),"",ReferenceData!$A$5),"")</f>
        <v>Undistributed Corporate Profits ($B)</v>
      </c>
      <c r="B5" t="str">
        <f>IFERROR(IF(0=LEN(ReferenceData!$B$5),"",ReferenceData!$B$5),"")</f>
        <v>CPFTUNDI Index</v>
      </c>
      <c r="C5" t="str">
        <f>IFERROR(IF(0=LEN(ReferenceData!$C$5),"",ReferenceData!$C$5),"")</f>
        <v>PR005</v>
      </c>
      <c r="D5" t="str">
        <f>IFERROR(IF(0=LEN(ReferenceData!$D$5),"",ReferenceData!$D$5),"")</f>
        <v>PX_LAST</v>
      </c>
      <c r="E5" t="str">
        <f>IFERROR(IF(0=LEN(ReferenceData!$E$5),"",ReferenceData!$E$5),"")</f>
        <v>Dynamic</v>
      </c>
      <c r="F5">
        <f ca="1">IFERROR(IF(0=LEN(ReferenceData!$O$5),"",ReferenceData!$O$5),"")</f>
        <v>749.59699999999998</v>
      </c>
      <c r="G5">
        <f ca="1">IFERROR(IF(0=LEN(ReferenceData!$N$5),"",ReferenceData!$N$5),"")</f>
        <v>713.86500000000001</v>
      </c>
      <c r="H5">
        <f ca="1">IFERROR(IF(0=LEN(ReferenceData!$M$5),"",ReferenceData!$M$5),"")</f>
        <v>638.92100000000005</v>
      </c>
      <c r="I5">
        <f ca="1">IFERROR(IF(0=LEN(ReferenceData!$L$5),"",ReferenceData!$L$5),"")</f>
        <v>616.83299999999997</v>
      </c>
      <c r="J5">
        <f ca="1">IFERROR(IF(0=LEN(ReferenceData!$K$5),"",ReferenceData!$K$5),"")</f>
        <v>500.03199999999998</v>
      </c>
      <c r="K5">
        <f ca="1">IFERROR(IF(0=LEN(ReferenceData!$J$5),"",ReferenceData!$J$5),"")</f>
        <v>457.96600000000001</v>
      </c>
      <c r="L5">
        <f ca="1">IFERROR(IF(0=LEN(ReferenceData!$I$5),"",ReferenceData!$I$5),"")</f>
        <v>446.89499999999998</v>
      </c>
      <c r="M5">
        <f ca="1">IFERROR(IF(0=LEN(ReferenceData!$H$5),"",ReferenceData!$H$5),"")</f>
        <v>542.28300000000002</v>
      </c>
      <c r="N5">
        <f ca="1">IFERROR(IF(0=LEN(ReferenceData!$G$5),"",ReferenceData!$G$5),"")</f>
        <v>515.58500000000004</v>
      </c>
      <c r="O5" t="str">
        <f ca="1">IFERROR(IF(0=LEN(ReferenceData!$F$5),"",ReferenceData!$F$5),"")</f>
        <v/>
      </c>
    </row>
    <row r="6" spans="1:15" x14ac:dyDescent="0.25">
      <c r="A6" t="str">
        <f>IFERROR(IF(0=LEN(ReferenceData!$A$6),"",ReferenceData!$A$6),"")</f>
        <v>S&amp;P 500 T12M EPS</v>
      </c>
      <c r="B6" t="str">
        <f>IFERROR(IF(0=LEN(ReferenceData!$B$6),"",ReferenceData!$B$6),"")</f>
        <v>SPX Index</v>
      </c>
      <c r="C6" t="str">
        <f>IFERROR(IF(0=LEN(ReferenceData!$C$6),"",ReferenceData!$C$6),"")</f>
        <v>RR906</v>
      </c>
      <c r="D6" t="str">
        <f>IFERROR(IF(0=LEN(ReferenceData!$D$6),"",ReferenceData!$D$6),"")</f>
        <v>TRAIL_12M_EPS</v>
      </c>
      <c r="E6" t="str">
        <f>IFERROR(IF(0=LEN(ReferenceData!$E$6),"",ReferenceData!$E$6),"")</f>
        <v>Dynamic</v>
      </c>
      <c r="F6">
        <f ca="1">IFERROR(IF(0=LEN(ReferenceData!$O$6),"",ReferenceData!$O$6),"")</f>
        <v>93.652240000000006</v>
      </c>
      <c r="G6">
        <f ca="1">IFERROR(IF(0=LEN(ReferenceData!$N$6),"",ReferenceData!$N$6),"")</f>
        <v>99.093410000000006</v>
      </c>
      <c r="H6">
        <f ca="1">IFERROR(IF(0=LEN(ReferenceData!$M$6),"",ReferenceData!$M$6),"")</f>
        <v>106.19693100000001</v>
      </c>
      <c r="I6">
        <f ca="1">IFERROR(IF(0=LEN(ReferenceData!$L$6),"",ReferenceData!$L$6),"")</f>
        <v>112.07915199999999</v>
      </c>
      <c r="J6">
        <f ca="1">IFERROR(IF(0=LEN(ReferenceData!$K$6),"",ReferenceData!$K$6),"")</f>
        <v>108.835115</v>
      </c>
      <c r="K6">
        <f ca="1">IFERROR(IF(0=LEN(ReferenceData!$J$6),"",ReferenceData!$J$6),"")</f>
        <v>108.973753</v>
      </c>
      <c r="L6">
        <f ca="1">IFERROR(IF(0=LEN(ReferenceData!$I$6),"",ReferenceData!$I$6),"")</f>
        <v>122.576813</v>
      </c>
      <c r="M6">
        <f ca="1">IFERROR(IF(0=LEN(ReferenceData!$H$6),"",ReferenceData!$H$6),"")</f>
        <v>150.84622400000001</v>
      </c>
      <c r="N6">
        <f ca="1">IFERROR(IF(0=LEN(ReferenceData!$G$6),"",ReferenceData!$G$6),"")</f>
        <v>150.09414000000001</v>
      </c>
      <c r="O6">
        <f ca="1">IFERROR(IF(0=LEN(ReferenceData!$F$6),"",ReferenceData!$F$6),"")</f>
        <v>150.085318</v>
      </c>
    </row>
    <row r="7" spans="1:15" x14ac:dyDescent="0.25">
      <c r="A7" t="str">
        <f>IFERROR(IF(0=LEN(ReferenceData!$A$7),"",ReferenceData!$A$7),"")</f>
        <v/>
      </c>
      <c r="B7" t="str">
        <f>IFERROR(IF(0=LEN(ReferenceData!$B$7),"",ReferenceData!$B$7),"")</f>
        <v/>
      </c>
      <c r="C7" t="str">
        <f>IFERROR(IF(0=LEN(ReferenceData!$C$7),"",ReferenceData!$C$7),"")</f>
        <v/>
      </c>
      <c r="D7" t="str">
        <f>IFERROR(IF(0=LEN(ReferenceData!$D$7),"",ReferenceData!$D$7),"")</f>
        <v/>
      </c>
      <c r="E7" t="str">
        <f>IFERROR(IF(0=LEN(ReferenceData!$E$7),"",ReferenceData!$E$7),"")</f>
        <v>Static</v>
      </c>
      <c r="F7" t="str">
        <f ca="1">IFERROR(IF(0=LEN(ReferenceData!$O$7),"",ReferenceData!$O$7),"")</f>
        <v/>
      </c>
      <c r="G7" t="str">
        <f ca="1">IFERROR(IF(0=LEN(ReferenceData!$N$7),"",ReferenceData!$N$7),"")</f>
        <v/>
      </c>
      <c r="H7" t="str">
        <f ca="1">IFERROR(IF(0=LEN(ReferenceData!$M$7),"",ReferenceData!$M$7),"")</f>
        <v/>
      </c>
      <c r="I7" t="str">
        <f ca="1">IFERROR(IF(0=LEN(ReferenceData!$L$7),"",ReferenceData!$L$7),"")</f>
        <v/>
      </c>
      <c r="J7" t="str">
        <f ca="1">IFERROR(IF(0=LEN(ReferenceData!$K$7),"",ReferenceData!$K$7),"")</f>
        <v/>
      </c>
      <c r="K7" t="str">
        <f ca="1">IFERROR(IF(0=LEN(ReferenceData!$J$7),"",ReferenceData!$J$7),"")</f>
        <v/>
      </c>
      <c r="L7" t="str">
        <f ca="1">IFERROR(IF(0=LEN(ReferenceData!$I$7),"",ReferenceData!$I$7),"")</f>
        <v/>
      </c>
      <c r="M7" t="str">
        <f ca="1">IFERROR(IF(0=LEN(ReferenceData!$H$7),"",ReferenceData!$H$7),"")</f>
        <v/>
      </c>
      <c r="N7" t="str">
        <f ca="1">IFERROR(IF(0=LEN(ReferenceData!$G$7),"",ReferenceData!$G$7),"")</f>
        <v/>
      </c>
      <c r="O7" t="str">
        <f ca="1">IFERROR(IF(0=LEN(ReferenceData!$F$7),"",ReferenceData!$F$7),"")</f>
        <v/>
      </c>
    </row>
    <row r="8" spans="1:15" x14ac:dyDescent="0.25">
      <c r="A8" t="str">
        <f>IFERROR(IF(0=LEN(ReferenceData!$A$8),"",ReferenceData!$A$8),"")</f>
        <v>Confidence Indicators:</v>
      </c>
      <c r="B8" t="str">
        <f>IFERROR(IF(0=LEN(ReferenceData!$B$8),"",ReferenceData!$B$8),"")</f>
        <v/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Heading</v>
      </c>
      <c r="F8" t="str">
        <f>IFERROR(IF(0=LEN(ReferenceData!$O$8),"",ReferenceData!$O$8),"")</f>
        <v/>
      </c>
      <c r="G8" t="str">
        <f>IFERROR(IF(0=LEN(ReferenceData!$N$8),"",ReferenceData!$N$8),"")</f>
        <v/>
      </c>
      <c r="H8" t="str">
        <f>IFERROR(IF(0=LEN(ReferenceData!$M$8),"",ReferenceData!$M$8),"")</f>
        <v/>
      </c>
      <c r="I8" t="str">
        <f>IFERROR(IF(0=LEN(ReferenceData!$L$8),"",ReferenceData!$L$8),"")</f>
        <v/>
      </c>
      <c r="J8" t="str">
        <f>IFERROR(IF(0=LEN(ReferenceData!$K$8),"",ReferenceData!$K$8),"")</f>
        <v/>
      </c>
      <c r="K8" t="str">
        <f>IFERROR(IF(0=LEN(ReferenceData!$J$8),"",ReferenceData!$J$8),"")</f>
        <v/>
      </c>
      <c r="L8" t="str">
        <f>IFERROR(IF(0=LEN(ReferenceData!$I$8),"",ReferenceData!$I$8),"")</f>
        <v/>
      </c>
      <c r="M8" t="str">
        <f>IFERROR(IF(0=LEN(ReferenceData!$H$8),"",ReferenceData!$H$8),"")</f>
        <v/>
      </c>
      <c r="N8" t="str">
        <f>IFERROR(IF(0=LEN(ReferenceData!$G$8),"",ReferenceData!$G$8),"")</f>
        <v/>
      </c>
      <c r="O8" t="str">
        <f>IFERROR(IF(0=LEN(ReferenceData!$F$8),"",ReferenceData!$F$8),"")</f>
        <v/>
      </c>
    </row>
    <row r="9" spans="1:15" x14ac:dyDescent="0.25">
      <c r="A9" t="str">
        <f>IFERROR(IF(0=LEN(ReferenceData!$A$9),"",ReferenceData!$A$9),"")</f>
        <v>CEO Confidence</v>
      </c>
      <c r="B9" t="str">
        <f>IFERROR(IF(0=LEN(ReferenceData!$B$9),"",ReferenceData!$B$9),"")</f>
        <v>CEOCINDX Index</v>
      </c>
      <c r="C9" t="str">
        <f>IFERROR(IF(0=LEN(ReferenceData!$C$9),"",ReferenceData!$C$9),"")</f>
        <v>PR005</v>
      </c>
      <c r="D9" t="str">
        <f>IFERROR(IF(0=LEN(ReferenceData!$D$9),"",ReferenceData!$D$9),"")</f>
        <v>PX_LAST</v>
      </c>
      <c r="E9" t="str">
        <f>IFERROR(IF(0=LEN(ReferenceData!$E$9),"",ReferenceData!$E$9),"")</f>
        <v>Dynamic</v>
      </c>
      <c r="F9">
        <f ca="1">IFERROR(IF(0=LEN(ReferenceData!$O$9),"",ReferenceData!$O$9),"")</f>
        <v>5.48</v>
      </c>
      <c r="G9">
        <f ca="1">IFERROR(IF(0=LEN(ReferenceData!$N$9),"",ReferenceData!$N$9),"")</f>
        <v>5.09</v>
      </c>
      <c r="H9">
        <f ca="1">IFERROR(IF(0=LEN(ReferenceData!$M$9),"",ReferenceData!$M$9),"")</f>
        <v>6.12</v>
      </c>
      <c r="I9">
        <f ca="1">IFERROR(IF(0=LEN(ReferenceData!$L$9),"",ReferenceData!$L$9),"")</f>
        <v>6.47</v>
      </c>
      <c r="J9">
        <f ca="1">IFERROR(IF(0=LEN(ReferenceData!$K$9),"",ReferenceData!$K$9),"")</f>
        <v>6.08</v>
      </c>
      <c r="K9">
        <f ca="1">IFERROR(IF(0=LEN(ReferenceData!$J$9),"",ReferenceData!$J$9),"")</f>
        <v>6.93</v>
      </c>
      <c r="L9">
        <f ca="1">IFERROR(IF(0=LEN(ReferenceData!$I$9),"",ReferenceData!$I$9),"")</f>
        <v>7.42</v>
      </c>
      <c r="M9">
        <f ca="1">IFERROR(IF(0=LEN(ReferenceData!$H$9),"",ReferenceData!$H$9),"")</f>
        <v>6.44</v>
      </c>
      <c r="N9">
        <f ca="1">IFERROR(IF(0=LEN(ReferenceData!$G$9),"",ReferenceData!$G$9),"")</f>
        <v>6.59</v>
      </c>
      <c r="O9">
        <f ca="1">IFERROR(IF(0=LEN(ReferenceData!$F$9),"",ReferenceData!$F$9),"")</f>
        <v>6.5</v>
      </c>
    </row>
    <row r="10" spans="1:15" x14ac:dyDescent="0.25">
      <c r="A10" t="str">
        <f>IFERROR(IF(0=LEN(ReferenceData!$A$10),"",ReferenceData!$A$10),"")</f>
        <v>Eurozone Business Confidence</v>
      </c>
      <c r="B10" t="str">
        <f>IFERROR(IF(0=LEN(ReferenceData!$B$10),"",ReferenceData!$B$10),"")</f>
        <v>EUESEMU Index</v>
      </c>
      <c r="C10" t="str">
        <f>IFERROR(IF(0=LEN(ReferenceData!$C$10),"",ReferenceData!$C$10),"")</f>
        <v>PR005</v>
      </c>
      <c r="D10" t="str">
        <f>IFERROR(IF(0=LEN(ReferenceData!$D$10),"",ReferenceData!$D$10),"")</f>
        <v>PX_LAST</v>
      </c>
      <c r="E10" t="str">
        <f>IFERROR(IF(0=LEN(ReferenceData!$E$10),"",ReferenceData!$E$10),"")</f>
        <v>Dynamic</v>
      </c>
      <c r="F10">
        <f ca="1">IFERROR(IF(0=LEN(ReferenceData!$O$10),"",ReferenceData!$O$10),"")</f>
        <v>91.9</v>
      </c>
      <c r="G10">
        <f ca="1">IFERROR(IF(0=LEN(ReferenceData!$N$10),"",ReferenceData!$N$10),"")</f>
        <v>85.6</v>
      </c>
      <c r="H10">
        <f ca="1">IFERROR(IF(0=LEN(ReferenceData!$M$10),"",ReferenceData!$M$10),"")</f>
        <v>98.1</v>
      </c>
      <c r="I10">
        <f ca="1">IFERROR(IF(0=LEN(ReferenceData!$L$10),"",ReferenceData!$L$10),"")</f>
        <v>99</v>
      </c>
      <c r="J10">
        <f ca="1">IFERROR(IF(0=LEN(ReferenceData!$K$10),"",ReferenceData!$K$10),"")</f>
        <v>105.5</v>
      </c>
      <c r="K10">
        <f ca="1">IFERROR(IF(0=LEN(ReferenceData!$J$10),"",ReferenceData!$J$10),"")</f>
        <v>106.9</v>
      </c>
      <c r="L10">
        <f ca="1">IFERROR(IF(0=LEN(ReferenceData!$I$10),"",ReferenceData!$I$10),"")</f>
        <v>115</v>
      </c>
      <c r="M10">
        <f ca="1">IFERROR(IF(0=LEN(ReferenceData!$H$10),"",ReferenceData!$H$10),"")</f>
        <v>107.6</v>
      </c>
      <c r="N10">
        <f ca="1">IFERROR(IF(0=LEN(ReferenceData!$G$10),"",ReferenceData!$G$10),"")</f>
        <v>100.9</v>
      </c>
      <c r="O10">
        <f ca="1">IFERROR(IF(0=LEN(ReferenceData!$F$10),"",ReferenceData!$F$10),"")</f>
        <v>67.5</v>
      </c>
    </row>
    <row r="11" spans="1:15" x14ac:dyDescent="0.25">
      <c r="A11" t="str">
        <f>IFERROR(IF(0=LEN(ReferenceData!$A$11),"",ReferenceData!$A$11),"")</f>
        <v xml:space="preserve">    France</v>
      </c>
      <c r="B11" t="str">
        <f>IFERROR(IF(0=LEN(ReferenceData!$B$11),"",ReferenceData!$B$11),"")</f>
        <v>EUESFR Index</v>
      </c>
      <c r="C11" t="str">
        <f>IFERROR(IF(0=LEN(ReferenceData!$C$11),"",ReferenceData!$C$11),"")</f>
        <v>PR005</v>
      </c>
      <c r="D11" t="str">
        <f>IFERROR(IF(0=LEN(ReferenceData!$D$11),"",ReferenceData!$D$11),"")</f>
        <v>PX_LAST</v>
      </c>
      <c r="E11" t="str">
        <f>IFERROR(IF(0=LEN(ReferenceData!$E$11),"",ReferenceData!$E$11),"")</f>
        <v>Dynamic</v>
      </c>
      <c r="F11">
        <f ca="1">IFERROR(IF(0=LEN(ReferenceData!$O$11),"",ReferenceData!$O$11),"")</f>
        <v>91.2</v>
      </c>
      <c r="G11">
        <f ca="1">IFERROR(IF(0=LEN(ReferenceData!$N$11),"",ReferenceData!$N$11),"")</f>
        <v>84.9</v>
      </c>
      <c r="H11">
        <f ca="1">IFERROR(IF(0=LEN(ReferenceData!$M$11),"",ReferenceData!$M$11),"")</f>
        <v>91.8</v>
      </c>
      <c r="I11">
        <f ca="1">IFERROR(IF(0=LEN(ReferenceData!$L$11),"",ReferenceData!$L$11),"")</f>
        <v>91.9</v>
      </c>
      <c r="J11">
        <f ca="1">IFERROR(IF(0=LEN(ReferenceData!$K$11),"",ReferenceData!$K$11),"")</f>
        <v>99.4</v>
      </c>
      <c r="K11">
        <f ca="1">IFERROR(IF(0=LEN(ReferenceData!$J$11),"",ReferenceData!$J$11),"")</f>
        <v>103.3</v>
      </c>
      <c r="L11">
        <f ca="1">IFERROR(IF(0=LEN(ReferenceData!$I$11),"",ReferenceData!$I$11),"")</f>
        <v>112.9</v>
      </c>
      <c r="M11">
        <f ca="1">IFERROR(IF(0=LEN(ReferenceData!$H$11),"",ReferenceData!$H$11),"")</f>
        <v>99.9</v>
      </c>
      <c r="N11">
        <f ca="1">IFERROR(IF(0=LEN(ReferenceData!$G$11),"",ReferenceData!$G$11),"")</f>
        <v>101.4</v>
      </c>
      <c r="O11">
        <f ca="1">IFERROR(IF(0=LEN(ReferenceData!$F$11),"",ReferenceData!$F$11),"")</f>
        <v>67.599999999999994</v>
      </c>
    </row>
    <row r="12" spans="1:15" x14ac:dyDescent="0.25">
      <c r="A12" t="str">
        <f>IFERROR(IF(0=LEN(ReferenceData!$A$12),"",ReferenceData!$A$12),"")</f>
        <v xml:space="preserve">    Germany</v>
      </c>
      <c r="B12" t="str">
        <f>IFERROR(IF(0=LEN(ReferenceData!$B$12),"",ReferenceData!$B$12),"")</f>
        <v>EUESDE Index</v>
      </c>
      <c r="C12" t="str">
        <f>IFERROR(IF(0=LEN(ReferenceData!$C$12),"",ReferenceData!$C$12),"")</f>
        <v>PR005</v>
      </c>
      <c r="D12" t="str">
        <f>IFERROR(IF(0=LEN(ReferenceData!$D$12),"",ReferenceData!$D$12),"")</f>
        <v>PX_LAST</v>
      </c>
      <c r="E12" t="str">
        <f>IFERROR(IF(0=LEN(ReferenceData!$E$12),"",ReferenceData!$E$12),"")</f>
        <v>Dynamic</v>
      </c>
      <c r="F12">
        <f ca="1">IFERROR(IF(0=LEN(ReferenceData!$O$12),"",ReferenceData!$O$12),"")</f>
        <v>104.3</v>
      </c>
      <c r="G12">
        <f ca="1">IFERROR(IF(0=LEN(ReferenceData!$N$12),"",ReferenceData!$N$12),"")</f>
        <v>96.4</v>
      </c>
      <c r="H12">
        <f ca="1">IFERROR(IF(0=LEN(ReferenceData!$M$12),"",ReferenceData!$M$12),"")</f>
        <v>105.5</v>
      </c>
      <c r="I12">
        <f ca="1">IFERROR(IF(0=LEN(ReferenceData!$L$12),"",ReferenceData!$L$12),"")</f>
        <v>102.8</v>
      </c>
      <c r="J12">
        <f ca="1">IFERROR(IF(0=LEN(ReferenceData!$K$12),"",ReferenceData!$K$12),"")</f>
        <v>106</v>
      </c>
      <c r="K12">
        <f ca="1">IFERROR(IF(0=LEN(ReferenceData!$J$12),"",ReferenceData!$J$12),"")</f>
        <v>108.5</v>
      </c>
      <c r="L12">
        <f ca="1">IFERROR(IF(0=LEN(ReferenceData!$I$12),"",ReferenceData!$I$12),"")</f>
        <v>114.3</v>
      </c>
      <c r="M12">
        <f ca="1">IFERROR(IF(0=LEN(ReferenceData!$H$12),"",ReferenceData!$H$12),"")</f>
        <v>108.8</v>
      </c>
      <c r="N12">
        <f ca="1">IFERROR(IF(0=LEN(ReferenceData!$G$12),"",ReferenceData!$G$12),"")</f>
        <v>99.1</v>
      </c>
      <c r="O12">
        <f ca="1">IFERROR(IF(0=LEN(ReferenceData!$F$12),"",ReferenceData!$F$12),"")</f>
        <v>75.3</v>
      </c>
    </row>
    <row r="13" spans="1:15" x14ac:dyDescent="0.25">
      <c r="A13" t="str">
        <f>IFERROR(IF(0=LEN(ReferenceData!$A$13),"",ReferenceData!$A$13),"")</f>
        <v xml:space="preserve">    Greece</v>
      </c>
      <c r="B13" t="str">
        <f>IFERROR(IF(0=LEN(ReferenceData!$B$13),"",ReferenceData!$B$13),"")</f>
        <v>EUESGR Index</v>
      </c>
      <c r="C13" t="str">
        <f>IFERROR(IF(0=LEN(ReferenceData!$C$13),"",ReferenceData!$C$13),"")</f>
        <v>PR005</v>
      </c>
      <c r="D13" t="str">
        <f>IFERROR(IF(0=LEN(ReferenceData!$D$13),"",ReferenceData!$D$13),"")</f>
        <v>PX_LAST</v>
      </c>
      <c r="E13" t="str">
        <f>IFERROR(IF(0=LEN(ReferenceData!$E$13),"",ReferenceData!$E$13),"")</f>
        <v>Dynamic</v>
      </c>
      <c r="F13">
        <f ca="1">IFERROR(IF(0=LEN(ReferenceData!$O$13),"",ReferenceData!$O$13),"")</f>
        <v>83.4</v>
      </c>
      <c r="G13">
        <f ca="1">IFERROR(IF(0=LEN(ReferenceData!$N$13),"",ReferenceData!$N$13),"")</f>
        <v>89.7</v>
      </c>
      <c r="H13">
        <f ca="1">IFERROR(IF(0=LEN(ReferenceData!$M$13),"",ReferenceData!$M$13),"")</f>
        <v>94.2</v>
      </c>
      <c r="I13">
        <f ca="1">IFERROR(IF(0=LEN(ReferenceData!$L$13),"",ReferenceData!$L$13),"")</f>
        <v>102.3</v>
      </c>
      <c r="J13">
        <f ca="1">IFERROR(IF(0=LEN(ReferenceData!$K$13),"",ReferenceData!$K$13),"")</f>
        <v>90.9</v>
      </c>
      <c r="K13">
        <f ca="1">IFERROR(IF(0=LEN(ReferenceData!$J$13),"",ReferenceData!$J$13),"")</f>
        <v>97.3</v>
      </c>
      <c r="L13">
        <f ca="1">IFERROR(IF(0=LEN(ReferenceData!$I$13),"",ReferenceData!$I$13),"")</f>
        <v>102.5</v>
      </c>
      <c r="M13">
        <f ca="1">IFERROR(IF(0=LEN(ReferenceData!$H$13),"",ReferenceData!$H$13),"")</f>
        <v>102.7</v>
      </c>
      <c r="N13">
        <f ca="1">IFERROR(IF(0=LEN(ReferenceData!$G$13),"",ReferenceData!$G$13),"")</f>
        <v>110.4</v>
      </c>
      <c r="O13">
        <f ca="1">IFERROR(IF(0=LEN(ReferenceData!$F$13),"",ReferenceData!$F$13),"")</f>
        <v>88.5</v>
      </c>
    </row>
    <row r="14" spans="1:15" x14ac:dyDescent="0.25">
      <c r="A14" t="str">
        <f>IFERROR(IF(0=LEN(ReferenceData!$A$14),"",ReferenceData!$A$14),"")</f>
        <v xml:space="preserve">    Italy</v>
      </c>
      <c r="B14" t="str">
        <f>IFERROR(IF(0=LEN(ReferenceData!$B$14),"",ReferenceData!$B$14),"")</f>
        <v>EUESIT Index</v>
      </c>
      <c r="C14" t="str">
        <f>IFERROR(IF(0=LEN(ReferenceData!$C$14),"",ReferenceData!$C$14),"")</f>
        <v>PR005</v>
      </c>
      <c r="D14" t="str">
        <f>IFERROR(IF(0=LEN(ReferenceData!$D$14),"",ReferenceData!$D$14),"")</f>
        <v>PX_LAST</v>
      </c>
      <c r="E14" t="str">
        <f>IFERROR(IF(0=LEN(ReferenceData!$E$14),"",ReferenceData!$E$14),"")</f>
        <v>Dynamic</v>
      </c>
      <c r="F14">
        <f ca="1">IFERROR(IF(0=LEN(ReferenceData!$O$14),"",ReferenceData!$O$14),"")</f>
        <v>84.5</v>
      </c>
      <c r="G14">
        <f ca="1">IFERROR(IF(0=LEN(ReferenceData!$N$14),"",ReferenceData!$N$14),"")</f>
        <v>80.3</v>
      </c>
      <c r="H14">
        <f ca="1">IFERROR(IF(0=LEN(ReferenceData!$M$14),"",ReferenceData!$M$14),"")</f>
        <v>94.9</v>
      </c>
      <c r="I14">
        <f ca="1">IFERROR(IF(0=LEN(ReferenceData!$L$14),"",ReferenceData!$L$14),"")</f>
        <v>93.6</v>
      </c>
      <c r="J14">
        <f ca="1">IFERROR(IF(0=LEN(ReferenceData!$K$14),"",ReferenceData!$K$14),"")</f>
        <v>106.8</v>
      </c>
      <c r="K14">
        <f ca="1">IFERROR(IF(0=LEN(ReferenceData!$J$14),"",ReferenceData!$J$14),"")</f>
        <v>102.2</v>
      </c>
      <c r="L14">
        <f ca="1">IFERROR(IF(0=LEN(ReferenceData!$I$14),"",ReferenceData!$I$14),"")</f>
        <v>111.8</v>
      </c>
      <c r="M14">
        <f ca="1">IFERROR(IF(0=LEN(ReferenceData!$H$14),"",ReferenceData!$H$14),"")</f>
        <v>104</v>
      </c>
      <c r="N14">
        <f ca="1">IFERROR(IF(0=LEN(ReferenceData!$G$14),"",ReferenceData!$G$14),"")</f>
        <v>101.5</v>
      </c>
      <c r="O14">
        <f ca="1">IFERROR(IF(0=LEN(ReferenceData!$F$14),"",ReferenceData!$F$14),"")</f>
        <v>63</v>
      </c>
    </row>
    <row r="15" spans="1:15" x14ac:dyDescent="0.25">
      <c r="A15" t="str">
        <f>IFERROR(IF(0=LEN(ReferenceData!$A$15),"",ReferenceData!$A$15),"")</f>
        <v xml:space="preserve">    Spain</v>
      </c>
      <c r="B15" t="str">
        <f>IFERROR(IF(0=LEN(ReferenceData!$B$15),"",ReferenceData!$B$15),"")</f>
        <v>EUESES Index</v>
      </c>
      <c r="C15" t="str">
        <f>IFERROR(IF(0=LEN(ReferenceData!$C$15),"",ReferenceData!$C$15),"")</f>
        <v>PR005</v>
      </c>
      <c r="D15" t="str">
        <f>IFERROR(IF(0=LEN(ReferenceData!$D$15),"",ReferenceData!$D$15),"")</f>
        <v>PX_LAST</v>
      </c>
      <c r="E15" t="str">
        <f>IFERROR(IF(0=LEN(ReferenceData!$E$15),"",ReferenceData!$E$15),"")</f>
        <v>Dynamic</v>
      </c>
      <c r="F15">
        <f ca="1">IFERROR(IF(0=LEN(ReferenceData!$O$15),"",ReferenceData!$O$15),"")</f>
        <v>86.6</v>
      </c>
      <c r="G15">
        <f ca="1">IFERROR(IF(0=LEN(ReferenceData!$N$15),"",ReferenceData!$N$15),"")</f>
        <v>85.1</v>
      </c>
      <c r="H15">
        <f ca="1">IFERROR(IF(0=LEN(ReferenceData!$M$15),"",ReferenceData!$M$15),"")</f>
        <v>98.3</v>
      </c>
      <c r="I15">
        <f ca="1">IFERROR(IF(0=LEN(ReferenceData!$L$15),"",ReferenceData!$L$15),"")</f>
        <v>103.8</v>
      </c>
      <c r="J15">
        <f ca="1">IFERROR(IF(0=LEN(ReferenceData!$K$15),"",ReferenceData!$K$15),"")</f>
        <v>111.4</v>
      </c>
      <c r="K15">
        <f ca="1">IFERROR(IF(0=LEN(ReferenceData!$J$15),"",ReferenceData!$J$15),"")</f>
        <v>105.3</v>
      </c>
      <c r="L15">
        <f ca="1">IFERROR(IF(0=LEN(ReferenceData!$I$15),"",ReferenceData!$I$15),"")</f>
        <v>110.5</v>
      </c>
      <c r="M15">
        <f ca="1">IFERROR(IF(0=LEN(ReferenceData!$H$15),"",ReferenceData!$H$15),"")</f>
        <v>103.4</v>
      </c>
      <c r="N15">
        <f ca="1">IFERROR(IF(0=LEN(ReferenceData!$G$15),"",ReferenceData!$G$15),"")</f>
        <v>102.7</v>
      </c>
      <c r="O15">
        <f ca="1">IFERROR(IF(0=LEN(ReferenceData!$F$15),"",ReferenceData!$F$15),"")</f>
        <v>74.900000000000006</v>
      </c>
    </row>
    <row r="16" spans="1:15" x14ac:dyDescent="0.25">
      <c r="A16" t="str">
        <f>IFERROR(IF(0=LEN(ReferenceData!$A$16),"",ReferenceData!$A$16),"")</f>
        <v xml:space="preserve">    UK</v>
      </c>
      <c r="B16" t="str">
        <f>IFERROR(IF(0=LEN(ReferenceData!$B$16),"",ReferenceData!$B$16),"")</f>
        <v>EUESUK Index</v>
      </c>
      <c r="C16" t="str">
        <f>IFERROR(IF(0=LEN(ReferenceData!$C$16),"",ReferenceData!$C$16),"")</f>
        <v>PR005</v>
      </c>
      <c r="D16" t="str">
        <f>IFERROR(IF(0=LEN(ReferenceData!$D$16),"",ReferenceData!$D$16),"")</f>
        <v>PX_LAST</v>
      </c>
      <c r="E16" t="str">
        <f>IFERROR(IF(0=LEN(ReferenceData!$E$16),"",ReferenceData!$E$16),"")</f>
        <v>Dynamic</v>
      </c>
      <c r="F16">
        <f ca="1">IFERROR(IF(0=LEN(ReferenceData!$O$16),"",ReferenceData!$O$16),"")</f>
        <v>84.6</v>
      </c>
      <c r="G16">
        <f ca="1">IFERROR(IF(0=LEN(ReferenceData!$N$16),"",ReferenceData!$N$16),"")</f>
        <v>91.9</v>
      </c>
      <c r="H16">
        <f ca="1">IFERROR(IF(0=LEN(ReferenceData!$M$16),"",ReferenceData!$M$16),"")</f>
        <v>110.7</v>
      </c>
      <c r="I16">
        <f ca="1">IFERROR(IF(0=LEN(ReferenceData!$L$16),"",ReferenceData!$L$16),"")</f>
        <v>110.7</v>
      </c>
      <c r="J16">
        <f ca="1">IFERROR(IF(0=LEN(ReferenceData!$K$16),"",ReferenceData!$K$16),"")</f>
        <v>109.6</v>
      </c>
      <c r="K16">
        <f ca="1">IFERROR(IF(0=LEN(ReferenceData!$J$16),"",ReferenceData!$J$16),"")</f>
        <v>107.7</v>
      </c>
      <c r="L16">
        <f ca="1">IFERROR(IF(0=LEN(ReferenceData!$I$16),"",ReferenceData!$I$16),"")</f>
        <v>111</v>
      </c>
      <c r="M16">
        <f ca="1">IFERROR(IF(0=LEN(ReferenceData!$H$16),"",ReferenceData!$H$16),"")</f>
        <v>104.7</v>
      </c>
      <c r="N16">
        <f ca="1">IFERROR(IF(0=LEN(ReferenceData!$G$16),"",ReferenceData!$G$16),"")</f>
        <v>87.3</v>
      </c>
      <c r="O16">
        <f ca="1">IFERROR(IF(0=LEN(ReferenceData!$F$16),"",ReferenceData!$F$16),"")</f>
        <v>61.7</v>
      </c>
    </row>
    <row r="17" spans="1:15" x14ac:dyDescent="0.25">
      <c r="A17" t="str">
        <f>IFERROR(IF(0=LEN(ReferenceData!$A$17),"",ReferenceData!$A$17),"")</f>
        <v>IFO World Economic Climate</v>
      </c>
      <c r="B17" t="str">
        <f>IFERROR(IF(0=LEN(ReferenceData!$B$17),"",ReferenceData!$B$17),"")</f>
        <v>ENOMWLEC Index</v>
      </c>
      <c r="C17" t="str">
        <f>IFERROR(IF(0=LEN(ReferenceData!$C$17),"",ReferenceData!$C$17),"")</f>
        <v>PR005</v>
      </c>
      <c r="D17" t="str">
        <f>IFERROR(IF(0=LEN(ReferenceData!$D$17),"",ReferenceData!$D$17),"")</f>
        <v>PX_LAST</v>
      </c>
      <c r="E17" t="str">
        <f>IFERROR(IF(0=LEN(ReferenceData!$E$17),"",ReferenceData!$E$17),"")</f>
        <v>Dynamic</v>
      </c>
      <c r="F17">
        <f ca="1">IFERROR(IF(0=LEN(ReferenceData!$O$17),"",ReferenceData!$O$17),"")</f>
        <v>-14.7</v>
      </c>
      <c r="G17">
        <f ca="1">IFERROR(IF(0=LEN(ReferenceData!$N$17),"",ReferenceData!$N$17),"")</f>
        <v>-9.1999999999999993</v>
      </c>
      <c r="H17">
        <f ca="1">IFERROR(IF(0=LEN(ReferenceData!$M$17),"",ReferenceData!$M$17),"")</f>
        <v>4.8</v>
      </c>
      <c r="I17">
        <f ca="1">IFERROR(IF(0=LEN(ReferenceData!$L$17),"",ReferenceData!$L$17),"")</f>
        <v>4.7</v>
      </c>
      <c r="J17">
        <f ca="1">IFERROR(IF(0=LEN(ReferenceData!$K$17),"",ReferenceData!$K$17),"")</f>
        <v>-5.0999999999999996</v>
      </c>
      <c r="K17">
        <f ca="1">IFERROR(IF(0=LEN(ReferenceData!$J$17),"",ReferenceData!$J$17),"")</f>
        <v>-0.7</v>
      </c>
      <c r="L17">
        <f ca="1">IFERROR(IF(0=LEN(ReferenceData!$I$17),"",ReferenceData!$I$17),"")</f>
        <v>17.100000000000001</v>
      </c>
      <c r="M17">
        <f ca="1">IFERROR(IF(0=LEN(ReferenceData!$H$17),"",ReferenceData!$H$17),"")</f>
        <v>-2.2000000000000002</v>
      </c>
      <c r="N17">
        <f ca="1">IFERROR(IF(0=LEN(ReferenceData!$G$17),"",ReferenceData!$G$17),"")</f>
        <v>-18.8</v>
      </c>
      <c r="O17" t="str">
        <f ca="1">IFERROR(IF(0=LEN(ReferenceData!$F$17),"",ReferenceData!$F$17),"")</f>
        <v/>
      </c>
    </row>
    <row r="18" spans="1:15" x14ac:dyDescent="0.25">
      <c r="A18" t="str">
        <f>IFERROR(IF(0=LEN(ReferenceData!$A$18),"",ReferenceData!$A$18),"")</f>
        <v/>
      </c>
      <c r="B18" t="str">
        <f>IFERROR(IF(0=LEN(ReferenceData!$B$18),"",ReferenceData!$B$18),"")</f>
        <v/>
      </c>
      <c r="C18" t="str">
        <f>IFERROR(IF(0=LEN(ReferenceData!$C$18),"",ReferenceData!$C$18),"")</f>
        <v/>
      </c>
      <c r="D18" t="str">
        <f>IFERROR(IF(0=LEN(ReferenceData!$D$18),"",ReferenceData!$D$18),"")</f>
        <v/>
      </c>
      <c r="E18" t="str">
        <f>IFERROR(IF(0=LEN(ReferenceData!$E$18),"",ReferenceData!$E$18),"")</f>
        <v>Static</v>
      </c>
      <c r="F18" t="str">
        <f ca="1">IFERROR(IF(0=LEN(ReferenceData!$O$18),"",ReferenceData!$O$18),"")</f>
        <v/>
      </c>
      <c r="G18" t="str">
        <f ca="1">IFERROR(IF(0=LEN(ReferenceData!$N$18),"",ReferenceData!$N$18),"")</f>
        <v/>
      </c>
      <c r="H18" t="str">
        <f ca="1">IFERROR(IF(0=LEN(ReferenceData!$M$18),"",ReferenceData!$M$18),"")</f>
        <v/>
      </c>
      <c r="I18" t="str">
        <f ca="1">IFERROR(IF(0=LEN(ReferenceData!$L$18),"",ReferenceData!$L$18),"")</f>
        <v/>
      </c>
      <c r="J18" t="str">
        <f ca="1">IFERROR(IF(0=LEN(ReferenceData!$K$18),"",ReferenceData!$K$18),"")</f>
        <v/>
      </c>
      <c r="K18" t="str">
        <f ca="1">IFERROR(IF(0=LEN(ReferenceData!$J$18),"",ReferenceData!$J$18),"")</f>
        <v/>
      </c>
      <c r="L18" t="str">
        <f ca="1">IFERROR(IF(0=LEN(ReferenceData!$I$18),"",ReferenceData!$I$18),"")</f>
        <v/>
      </c>
      <c r="M18" t="str">
        <f ca="1">IFERROR(IF(0=LEN(ReferenceData!$H$18),"",ReferenceData!$H$18),"")</f>
        <v/>
      </c>
      <c r="N18" t="str">
        <f ca="1">IFERROR(IF(0=LEN(ReferenceData!$G$18),"",ReferenceData!$G$18),"")</f>
        <v/>
      </c>
      <c r="O18" t="str">
        <f ca="1">IFERROR(IF(0=LEN(ReferenceData!$F$18),"",ReferenceData!$F$18),"")</f>
        <v/>
      </c>
    </row>
    <row r="19" spans="1:15" x14ac:dyDescent="0.25">
      <c r="A19" t="str">
        <f>IFERROR(IF(0=LEN(ReferenceData!$A$19),"",ReferenceData!$A$19),"")</f>
        <v>Business Indicators:</v>
      </c>
      <c r="B19" t="str">
        <f>IFERROR(IF(0=LEN(ReferenceData!$B$19),"",ReferenceData!$B$19),"")</f>
        <v/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Heading</v>
      </c>
      <c r="F19" t="str">
        <f>IFERROR(IF(0=LEN(ReferenceData!$O$19),"",ReferenceData!$O$19),"")</f>
        <v/>
      </c>
      <c r="G19" t="str">
        <f>IFERROR(IF(0=LEN(ReferenceData!$N$19),"",ReferenceData!$N$19),"")</f>
        <v/>
      </c>
      <c r="H19" t="str">
        <f>IFERROR(IF(0=LEN(ReferenceData!$M$19),"",ReferenceData!$M$19),"")</f>
        <v/>
      </c>
      <c r="I19" t="str">
        <f>IFERROR(IF(0=LEN(ReferenceData!$L$19),"",ReferenceData!$L$19),"")</f>
        <v/>
      </c>
      <c r="J19" t="str">
        <f>IFERROR(IF(0=LEN(ReferenceData!$K$19),"",ReferenceData!$K$19),"")</f>
        <v/>
      </c>
      <c r="K19" t="str">
        <f>IFERROR(IF(0=LEN(ReferenceData!$J$19),"",ReferenceData!$J$19),"")</f>
        <v/>
      </c>
      <c r="L19" t="str">
        <f>IFERROR(IF(0=LEN(ReferenceData!$I$19),"",ReferenceData!$I$19),"")</f>
        <v/>
      </c>
      <c r="M19" t="str">
        <f>IFERROR(IF(0=LEN(ReferenceData!$H$19),"",ReferenceData!$H$19),"")</f>
        <v/>
      </c>
      <c r="N19" t="str">
        <f>IFERROR(IF(0=LEN(ReferenceData!$G$19),"",ReferenceData!$G$19),"")</f>
        <v/>
      </c>
      <c r="O19" t="str">
        <f>IFERROR(IF(0=LEN(ReferenceData!$F$19),"",ReferenceData!$F$19),"")</f>
        <v/>
      </c>
    </row>
    <row r="20" spans="1:15" x14ac:dyDescent="0.25">
      <c r="A20" t="str">
        <f>IFERROR(IF(0=LEN(ReferenceData!$A$20),"",ReferenceData!$A$20),"")</f>
        <v>ISM Non-Manufacturing Index</v>
      </c>
      <c r="B20" t="str">
        <f>IFERROR(IF(0=LEN(ReferenceData!$B$20),"",ReferenceData!$B$20),"")</f>
        <v>NAPMNMI Index</v>
      </c>
      <c r="C20" t="str">
        <f>IFERROR(IF(0=LEN(ReferenceData!$C$20),"",ReferenceData!$C$20),"")</f>
        <v>PR005</v>
      </c>
      <c r="D20" t="str">
        <f>IFERROR(IF(0=LEN(ReferenceData!$D$20),"",ReferenceData!$D$20),"")</f>
        <v>PX_LAST</v>
      </c>
      <c r="E20" t="str">
        <f>IFERROR(IF(0=LEN(ReferenceData!$E$20),"",ReferenceData!$E$20),"")</f>
        <v>Dynamic</v>
      </c>
      <c r="F20">
        <f ca="1">IFERROR(IF(0=LEN(ReferenceData!$O$20),"",ReferenceData!$O$20),"")</f>
        <v>52.6</v>
      </c>
      <c r="G20">
        <f ca="1">IFERROR(IF(0=LEN(ReferenceData!$N$20),"",ReferenceData!$N$20),"")</f>
        <v>56.1</v>
      </c>
      <c r="H20">
        <f ca="1">IFERROR(IF(0=LEN(ReferenceData!$M$20),"",ReferenceData!$M$20),"")</f>
        <v>53.2</v>
      </c>
      <c r="I20">
        <f ca="1">IFERROR(IF(0=LEN(ReferenceData!$L$20),"",ReferenceData!$L$20),"")</f>
        <v>56.8</v>
      </c>
      <c r="J20">
        <f ca="1">IFERROR(IF(0=LEN(ReferenceData!$K$20),"",ReferenceData!$K$20),"")</f>
        <v>55</v>
      </c>
      <c r="K20">
        <f ca="1">IFERROR(IF(0=LEN(ReferenceData!$J$20),"",ReferenceData!$J$20),"")</f>
        <v>56.3</v>
      </c>
      <c r="L20">
        <f ca="1">IFERROR(IF(0=LEN(ReferenceData!$I$20),"",ReferenceData!$I$20),"")</f>
        <v>55.9</v>
      </c>
      <c r="M20">
        <f ca="1">IFERROR(IF(0=LEN(ReferenceData!$H$20),"",ReferenceData!$H$20),"")</f>
        <v>58</v>
      </c>
      <c r="N20">
        <f ca="1">IFERROR(IF(0=LEN(ReferenceData!$G$20),"",ReferenceData!$G$20),"")</f>
        <v>54.9</v>
      </c>
      <c r="O20">
        <f ca="1">IFERROR(IF(0=LEN(ReferenceData!$F$20),"",ReferenceData!$F$20),"")</f>
        <v>45.4</v>
      </c>
    </row>
    <row r="21" spans="1:15" x14ac:dyDescent="0.25">
      <c r="A21" t="str">
        <f>IFERROR(IF(0=LEN(ReferenceData!$A$21),"",ReferenceData!$A$21),"")</f>
        <v>Total Durable Goods (yoy %)</v>
      </c>
      <c r="B21" t="str">
        <f>IFERROR(IF(0=LEN(ReferenceData!$B$21),"",ReferenceData!$B$21),"")</f>
        <v>DGNOYOY Index</v>
      </c>
      <c r="C21" t="str">
        <f>IFERROR(IF(0=LEN(ReferenceData!$C$21),"",ReferenceData!$C$21),"")</f>
        <v>PR005</v>
      </c>
      <c r="D21" t="str">
        <f>IFERROR(IF(0=LEN(ReferenceData!$D$21),"",ReferenceData!$D$21),"")</f>
        <v>PX_LAST</v>
      </c>
      <c r="E21" t="str">
        <f>IFERROR(IF(0=LEN(ReferenceData!$E$21),"",ReferenceData!$E$21),"")</f>
        <v>Dynamic</v>
      </c>
      <c r="F21">
        <f ca="1">IFERROR(IF(0=LEN(ReferenceData!$O$21),"",ReferenceData!$O$21),"")</f>
        <v>13.644259999999999</v>
      </c>
      <c r="G21">
        <f ca="1">IFERROR(IF(0=LEN(ReferenceData!$N$21),"",ReferenceData!$N$21),"")</f>
        <v>0.71948999999999996</v>
      </c>
      <c r="H21">
        <f ca="1">IFERROR(IF(0=LEN(ReferenceData!$M$21),"",ReferenceData!$M$21),"")</f>
        <v>1.10476</v>
      </c>
      <c r="I21">
        <f ca="1">IFERROR(IF(0=LEN(ReferenceData!$L$21),"",ReferenceData!$L$21),"")</f>
        <v>-1.7984</v>
      </c>
      <c r="J21">
        <f ca="1">IFERROR(IF(0=LEN(ReferenceData!$K$21),"",ReferenceData!$K$21),"")</f>
        <v>-2.7246999999999999</v>
      </c>
      <c r="K21">
        <f ca="1">IFERROR(IF(0=LEN(ReferenceData!$J$21),"",ReferenceData!$J$21),"")</f>
        <v>-1.80993</v>
      </c>
      <c r="L21">
        <f ca="1">IFERROR(IF(0=LEN(ReferenceData!$I$21),"",ReferenceData!$I$21),"")</f>
        <v>7.0038</v>
      </c>
      <c r="M21">
        <f ca="1">IFERROR(IF(0=LEN(ReferenceData!$H$21),"",ReferenceData!$H$21),"")</f>
        <v>3.6734800000000001</v>
      </c>
      <c r="N21">
        <f ca="1">IFERROR(IF(0=LEN(ReferenceData!$G$21),"",ReferenceData!$G$21),"")</f>
        <v>-2.9366099999999999</v>
      </c>
      <c r="O21">
        <f ca="1">IFERROR(IF(0=LEN(ReferenceData!$F$21),"",ReferenceData!$F$21),"")</f>
        <v>-29.902529999999999</v>
      </c>
    </row>
    <row r="22" spans="1:15" x14ac:dyDescent="0.25">
      <c r="A22" t="str">
        <f>IFERROR(IF(0=LEN(ReferenceData!$A$22),"",ReferenceData!$A$22),"")</f>
        <v xml:space="preserve">    Computers Related Products (yoy %)</v>
      </c>
      <c r="B22" t="str">
        <f>IFERROR(IF(0=LEN(ReferenceData!$B$22),"",ReferenceData!$B$22),"")</f>
        <v>DGCOCOPY Index</v>
      </c>
      <c r="C22" t="str">
        <f>IFERROR(IF(0=LEN(ReferenceData!$C$22),"",ReferenceData!$C$22),"")</f>
        <v>PR005</v>
      </c>
      <c r="D22" t="str">
        <f>IFERROR(IF(0=LEN(ReferenceData!$D$22),"",ReferenceData!$D$22),"")</f>
        <v>PX_LAST</v>
      </c>
      <c r="E22" t="str">
        <f>IFERROR(IF(0=LEN(ReferenceData!$E$22),"",ReferenceData!$E$22),"")</f>
        <v>Dynamic</v>
      </c>
      <c r="F22">
        <f ca="1">IFERROR(IF(0=LEN(ReferenceData!$O$22),"",ReferenceData!$O$22),"")</f>
        <v>-10.08165</v>
      </c>
      <c r="G22">
        <f ca="1">IFERROR(IF(0=LEN(ReferenceData!$N$22),"",ReferenceData!$N$22),"")</f>
        <v>-3.5925799999999999</v>
      </c>
      <c r="H22">
        <f ca="1">IFERROR(IF(0=LEN(ReferenceData!$M$22),"",ReferenceData!$M$22),"")</f>
        <v>5.4463600000000003</v>
      </c>
      <c r="I22">
        <f ca="1">IFERROR(IF(0=LEN(ReferenceData!$L$22),"",ReferenceData!$L$22),"")</f>
        <v>-19.650490000000001</v>
      </c>
      <c r="J22">
        <f ca="1">IFERROR(IF(0=LEN(ReferenceData!$K$22),"",ReferenceData!$K$22),"")</f>
        <v>1.88497</v>
      </c>
      <c r="K22">
        <f ca="1">IFERROR(IF(0=LEN(ReferenceData!$J$22),"",ReferenceData!$J$22),"")</f>
        <v>-3.1309300000000002</v>
      </c>
      <c r="L22">
        <f ca="1">IFERROR(IF(0=LEN(ReferenceData!$I$22),"",ReferenceData!$I$22),"")</f>
        <v>-20.32321</v>
      </c>
      <c r="M22">
        <f ca="1">IFERROR(IF(0=LEN(ReferenceData!$H$22),"",ReferenceData!$H$22),"")</f>
        <v>2.2126600000000001</v>
      </c>
      <c r="N22">
        <f ca="1">IFERROR(IF(0=LEN(ReferenceData!$G$22),"",ReferenceData!$G$22),"")</f>
        <v>7.0354799999999997</v>
      </c>
      <c r="O22">
        <f ca="1">IFERROR(IF(0=LEN(ReferenceData!$F$22),"",ReferenceData!$F$22),"")</f>
        <v>2.5687000000000002</v>
      </c>
    </row>
    <row r="23" spans="1:15" x14ac:dyDescent="0.25">
      <c r="A23" t="str">
        <f>IFERROR(IF(0=LEN(ReferenceData!$A$23),"",ReferenceData!$A$23),"")</f>
        <v xml:space="preserve">    Computers Related Products ($)</v>
      </c>
      <c r="B23" t="str">
        <f>IFERROR(IF(0=LEN(ReferenceData!$B$23),"",ReferenceData!$B$23),"")</f>
        <v>DGCOCOPR Index</v>
      </c>
      <c r="C23" t="str">
        <f>IFERROR(IF(0=LEN(ReferenceData!$C$23),"",ReferenceData!$C$23),"")</f>
        <v>PR005</v>
      </c>
      <c r="D23" t="str">
        <f>IFERROR(IF(0=LEN(ReferenceData!$D$23),"",ReferenceData!$D$23),"")</f>
        <v>PX_LAST</v>
      </c>
      <c r="E23" t="str">
        <f>IFERROR(IF(0=LEN(ReferenceData!$E$23),"",ReferenceData!$E$23),"")</f>
        <v>Dynamic</v>
      </c>
      <c r="F23">
        <f ca="1">IFERROR(IF(0=LEN(ReferenceData!$O$23),"",ReferenceData!$O$23),"")</f>
        <v>2533</v>
      </c>
      <c r="G23">
        <f ca="1">IFERROR(IF(0=LEN(ReferenceData!$N$23),"",ReferenceData!$N$23),"")</f>
        <v>2442</v>
      </c>
      <c r="H23">
        <f ca="1">IFERROR(IF(0=LEN(ReferenceData!$M$23),"",ReferenceData!$M$23),"")</f>
        <v>2575</v>
      </c>
      <c r="I23">
        <f ca="1">IFERROR(IF(0=LEN(ReferenceData!$L$23),"",ReferenceData!$L$23),"")</f>
        <v>2069</v>
      </c>
      <c r="J23">
        <f ca="1">IFERROR(IF(0=LEN(ReferenceData!$K$23),"",ReferenceData!$K$23),"")</f>
        <v>2108</v>
      </c>
      <c r="K23">
        <f ca="1">IFERROR(IF(0=LEN(ReferenceData!$J$23),"",ReferenceData!$J$23),"")</f>
        <v>2042</v>
      </c>
      <c r="L23">
        <f ca="1">IFERROR(IF(0=LEN(ReferenceData!$I$23),"",ReferenceData!$I$23),"")</f>
        <v>1627</v>
      </c>
      <c r="M23">
        <f ca="1">IFERROR(IF(0=LEN(ReferenceData!$H$23),"",ReferenceData!$H$23),"")</f>
        <v>1663</v>
      </c>
      <c r="N23">
        <f ca="1">IFERROR(IF(0=LEN(ReferenceData!$G$23),"",ReferenceData!$G$23),"")</f>
        <v>1780</v>
      </c>
      <c r="O23">
        <f ca="1">IFERROR(IF(0=LEN(ReferenceData!$F$23),"",ReferenceData!$F$23),"")</f>
        <v>1717</v>
      </c>
    </row>
    <row r="24" spans="1:15" x14ac:dyDescent="0.25">
      <c r="A24" t="str">
        <f>IFERROR(IF(0=LEN(ReferenceData!$A$24),"",ReferenceData!$A$24),"")</f>
        <v>Industrial Production (yoy %)</v>
      </c>
      <c r="B24" t="str">
        <f>IFERROR(IF(0=LEN(ReferenceData!$B$24),"",ReferenceData!$B$24),"")</f>
        <v/>
      </c>
      <c r="C24" t="str">
        <f>IFERROR(IF(0=LEN(ReferenceData!$C$24),"",ReferenceData!$C$24),"")</f>
        <v/>
      </c>
      <c r="D24" t="str">
        <f>IFERROR(IF(0=LEN(ReferenceData!$D$24),"",ReferenceData!$D$24),"")</f>
        <v/>
      </c>
      <c r="E24" t="str">
        <f>IFERROR(IF(0=LEN(ReferenceData!$E$24),"",ReferenceData!$E$24),"")</f>
        <v>Static</v>
      </c>
      <c r="F24" t="str">
        <f ca="1">IFERROR(IF(0=LEN(ReferenceData!$O$24),"",ReferenceData!$O$24),"")</f>
        <v/>
      </c>
      <c r="G24" t="str">
        <f ca="1">IFERROR(IF(0=LEN(ReferenceData!$N$24),"",ReferenceData!$N$24),"")</f>
        <v/>
      </c>
      <c r="H24" t="str">
        <f ca="1">IFERROR(IF(0=LEN(ReferenceData!$M$24),"",ReferenceData!$M$24),"")</f>
        <v/>
      </c>
      <c r="I24" t="str">
        <f ca="1">IFERROR(IF(0=LEN(ReferenceData!$L$24),"",ReferenceData!$L$24),"")</f>
        <v/>
      </c>
      <c r="J24" t="str">
        <f ca="1">IFERROR(IF(0=LEN(ReferenceData!$K$24),"",ReferenceData!$K$24),"")</f>
        <v/>
      </c>
      <c r="K24" t="str">
        <f ca="1">IFERROR(IF(0=LEN(ReferenceData!$J$24),"",ReferenceData!$J$24),"")</f>
        <v/>
      </c>
      <c r="L24" t="str">
        <f ca="1">IFERROR(IF(0=LEN(ReferenceData!$I$24),"",ReferenceData!$I$24),"")</f>
        <v/>
      </c>
      <c r="M24" t="str">
        <f ca="1">IFERROR(IF(0=LEN(ReferenceData!$H$24),"",ReferenceData!$H$24),"")</f>
        <v/>
      </c>
      <c r="N24" t="str">
        <f ca="1">IFERROR(IF(0=LEN(ReferenceData!$G$24),"",ReferenceData!$G$24),"")</f>
        <v/>
      </c>
      <c r="O24" t="str">
        <f ca="1">IFERROR(IF(0=LEN(ReferenceData!$F$24),"",ReferenceData!$F$24),"")</f>
        <v/>
      </c>
    </row>
    <row r="25" spans="1:15" x14ac:dyDescent="0.25">
      <c r="A25" t="str">
        <f>IFERROR(IF(0=LEN(ReferenceData!$A$25),"",ReferenceData!$A$25),"")</f>
        <v xml:space="preserve">    North America</v>
      </c>
      <c r="B25" t="str">
        <f>IFERROR(IF(0=LEN(ReferenceData!$B$25),"",ReferenceData!$B$25),"")</f>
        <v/>
      </c>
      <c r="C25" t="str">
        <f>IFERROR(IF(0=LEN(ReferenceData!$C$25),"",ReferenceData!$C$25),"")</f>
        <v/>
      </c>
      <c r="D25" t="str">
        <f>IFERROR(IF(0=LEN(ReferenceData!$D$25),"",ReferenceData!$D$25),"")</f>
        <v/>
      </c>
      <c r="E25" t="str">
        <f>IFERROR(IF(0=LEN(ReferenceData!$E$25),"",ReferenceData!$E$25),"")</f>
        <v>Static</v>
      </c>
      <c r="F25" t="str">
        <f ca="1">IFERROR(IF(0=LEN(ReferenceData!$O$25),"",ReferenceData!$O$25),"")</f>
        <v/>
      </c>
      <c r="G25" t="str">
        <f ca="1">IFERROR(IF(0=LEN(ReferenceData!$N$25),"",ReferenceData!$N$25),"")</f>
        <v/>
      </c>
      <c r="H25" t="str">
        <f ca="1">IFERROR(IF(0=LEN(ReferenceData!$M$25),"",ReferenceData!$M$25),"")</f>
        <v/>
      </c>
      <c r="I25" t="str">
        <f ca="1">IFERROR(IF(0=LEN(ReferenceData!$L$25),"",ReferenceData!$L$25),"")</f>
        <v/>
      </c>
      <c r="J25" t="str">
        <f ca="1">IFERROR(IF(0=LEN(ReferenceData!$K$25),"",ReferenceData!$K$25),"")</f>
        <v/>
      </c>
      <c r="K25" t="str">
        <f ca="1">IFERROR(IF(0=LEN(ReferenceData!$J$25),"",ReferenceData!$J$25),"")</f>
        <v/>
      </c>
      <c r="L25" t="str">
        <f ca="1">IFERROR(IF(0=LEN(ReferenceData!$I$25),"",ReferenceData!$I$25),"")</f>
        <v/>
      </c>
      <c r="M25" t="str">
        <f ca="1">IFERROR(IF(0=LEN(ReferenceData!$H$25),"",ReferenceData!$H$25),"")</f>
        <v/>
      </c>
      <c r="N25" t="str">
        <f ca="1">IFERROR(IF(0=LEN(ReferenceData!$G$25),"",ReferenceData!$G$25),"")</f>
        <v/>
      </c>
      <c r="O25" t="str">
        <f ca="1">IFERROR(IF(0=LEN(ReferenceData!$F$25),"",ReferenceData!$F$25),"")</f>
        <v/>
      </c>
    </row>
    <row r="26" spans="1:15" x14ac:dyDescent="0.25">
      <c r="A26" t="str">
        <f>IFERROR(IF(0=LEN(ReferenceData!$A$26),"",ReferenceData!$A$26),"")</f>
        <v xml:space="preserve">        United States</v>
      </c>
      <c r="B26" t="str">
        <f>IFERROR(IF(0=LEN(ReferenceData!$B$26),"",ReferenceData!$B$26),"")</f>
        <v>IP YOY Index</v>
      </c>
      <c r="C26" t="str">
        <f>IFERROR(IF(0=LEN(ReferenceData!$C$26),"",ReferenceData!$C$26),"")</f>
        <v>PR005</v>
      </c>
      <c r="D26" t="str">
        <f>IFERROR(IF(0=LEN(ReferenceData!$D$26),"",ReferenceData!$D$26),"")</f>
        <v>PX_LAST</v>
      </c>
      <c r="E26" t="str">
        <f>IFERROR(IF(0=LEN(ReferenceData!$E$26),"",ReferenceData!$E$26),"")</f>
        <v>Dynamic</v>
      </c>
      <c r="F26">
        <f ca="1">IFERROR(IF(0=LEN(ReferenceData!$O$26),"",ReferenceData!$O$26),"")</f>
        <v>3.12304</v>
      </c>
      <c r="G26">
        <f ca="1">IFERROR(IF(0=LEN(ReferenceData!$N$26),"",ReferenceData!$N$26),"")</f>
        <v>3.03017</v>
      </c>
      <c r="H26">
        <f ca="1">IFERROR(IF(0=LEN(ReferenceData!$M$26),"",ReferenceData!$M$26),"")</f>
        <v>2.0271499999999998</v>
      </c>
      <c r="I26">
        <f ca="1">IFERROR(IF(0=LEN(ReferenceData!$L$26),"",ReferenceData!$L$26),"")</f>
        <v>3.0670700000000002</v>
      </c>
      <c r="J26">
        <f ca="1">IFERROR(IF(0=LEN(ReferenceData!$K$26),"",ReferenceData!$K$26),"")</f>
        <v>-0.97477000000000003</v>
      </c>
      <c r="K26">
        <f ca="1">IFERROR(IF(0=LEN(ReferenceData!$J$26),"",ReferenceData!$J$26),"")</f>
        <v>-1.9484699999999999</v>
      </c>
      <c r="L26">
        <f ca="1">IFERROR(IF(0=LEN(ReferenceData!$I$26),"",ReferenceData!$I$26),"")</f>
        <v>2.3227600000000002</v>
      </c>
      <c r="M26">
        <f ca="1">IFERROR(IF(0=LEN(ReferenceData!$H$26),"",ReferenceData!$H$26),"")</f>
        <v>3.9451299999999998</v>
      </c>
      <c r="N26">
        <f ca="1">IFERROR(IF(0=LEN(ReferenceData!$G$26),"",ReferenceData!$G$26),"")</f>
        <v>0.87917999999999996</v>
      </c>
      <c r="O26" t="str">
        <f ca="1">IFERROR(IF(0=LEN(ReferenceData!$F$26),"",ReferenceData!$F$26),"")</f>
        <v/>
      </c>
    </row>
    <row r="27" spans="1:15" x14ac:dyDescent="0.25">
      <c r="A27" t="str">
        <f>IFERROR(IF(0=LEN(ReferenceData!$A$27),"",ReferenceData!$A$27),"")</f>
        <v xml:space="preserve">            High Tech Industries</v>
      </c>
      <c r="B27" t="str">
        <f>IFERROR(IF(0=LEN(ReferenceData!$B$27),"",ReferenceData!$B$27),"")</f>
        <v>IPNEHITY Index</v>
      </c>
      <c r="C27" t="str">
        <f>IFERROR(IF(0=LEN(ReferenceData!$C$27),"",ReferenceData!$C$27),"")</f>
        <v>PR005</v>
      </c>
      <c r="D27" t="str">
        <f>IFERROR(IF(0=LEN(ReferenceData!$D$27),"",ReferenceData!$D$27),"")</f>
        <v>PX_LAST</v>
      </c>
      <c r="E27" t="str">
        <f>IFERROR(IF(0=LEN(ReferenceData!$E$27),"",ReferenceData!$E$27),"")</f>
        <v>Dynamic</v>
      </c>
      <c r="F27">
        <f ca="1">IFERROR(IF(0=LEN(ReferenceData!$O$27),"",ReferenceData!$O$27),"")</f>
        <v>6.3126199999999999</v>
      </c>
      <c r="G27">
        <f ca="1">IFERROR(IF(0=LEN(ReferenceData!$N$27),"",ReferenceData!$N$27),"")</f>
        <v>11.50366</v>
      </c>
      <c r="H27">
        <f ca="1">IFERROR(IF(0=LEN(ReferenceData!$M$27),"",ReferenceData!$M$27),"")</f>
        <v>10.85046</v>
      </c>
      <c r="I27">
        <f ca="1">IFERROR(IF(0=LEN(ReferenceData!$L$27),"",ReferenceData!$L$27),"")</f>
        <v>8.1562199999999994</v>
      </c>
      <c r="J27">
        <f ca="1">IFERROR(IF(0=LEN(ReferenceData!$K$27),"",ReferenceData!$K$27),"")</f>
        <v>2.66709</v>
      </c>
      <c r="K27">
        <f ca="1">IFERROR(IF(0=LEN(ReferenceData!$J$27),"",ReferenceData!$J$27),"")</f>
        <v>7.3028399999999998</v>
      </c>
      <c r="L27">
        <f ca="1">IFERROR(IF(0=LEN(ReferenceData!$I$27),"",ReferenceData!$I$27),"")</f>
        <v>3.0767600000000002</v>
      </c>
      <c r="M27">
        <f ca="1">IFERROR(IF(0=LEN(ReferenceData!$H$27),"",ReferenceData!$H$27),"")</f>
        <v>3.6968200000000002</v>
      </c>
      <c r="N27">
        <f ca="1">IFERROR(IF(0=LEN(ReferenceData!$G$27),"",ReferenceData!$G$27),"")</f>
        <v>8.6831600000000009</v>
      </c>
      <c r="O27">
        <f ca="1">IFERROR(IF(0=LEN(ReferenceData!$F$27),"",ReferenceData!$F$27),"")</f>
        <v>4.20756</v>
      </c>
    </row>
    <row r="28" spans="1:15" x14ac:dyDescent="0.25">
      <c r="A28" t="str">
        <f>IFERROR(IF(0=LEN(ReferenceData!$A$28),"",ReferenceData!$A$28),"")</f>
        <v xml:space="preserve">                High Tech Industries ($)</v>
      </c>
      <c r="B28" t="str">
        <f>IFERROR(IF(0=LEN(ReferenceData!$B$28),"",ReferenceData!$B$28),"")</f>
        <v>IPNEHITC Index</v>
      </c>
      <c r="C28" t="str">
        <f>IFERROR(IF(0=LEN(ReferenceData!$C$28),"",ReferenceData!$C$28),"")</f>
        <v>PR005</v>
      </c>
      <c r="D28" t="str">
        <f>IFERROR(IF(0=LEN(ReferenceData!$D$28),"",ReferenceData!$D$28),"")</f>
        <v>PX_LAST</v>
      </c>
      <c r="E28" t="str">
        <f>IFERROR(IF(0=LEN(ReferenceData!$E$28),"",ReferenceData!$E$28),"")</f>
        <v>Dynamic</v>
      </c>
      <c r="F28">
        <f ca="1">IFERROR(IF(0=LEN(ReferenceData!$O$28),"",ReferenceData!$O$28),"")</f>
        <v>91.050899999999999</v>
      </c>
      <c r="G28">
        <f ca="1">IFERROR(IF(0=LEN(ReferenceData!$N$28),"",ReferenceData!$N$28),"")</f>
        <v>100</v>
      </c>
      <c r="H28">
        <f ca="1">IFERROR(IF(0=LEN(ReferenceData!$M$28),"",ReferenceData!$M$28),"")</f>
        <v>110.6554</v>
      </c>
      <c r="I28">
        <f ca="1">IFERROR(IF(0=LEN(ReferenceData!$L$28),"",ReferenceData!$L$28),"")</f>
        <v>122.6818</v>
      </c>
      <c r="J28">
        <f ca="1">IFERROR(IF(0=LEN(ReferenceData!$K$28),"",ReferenceData!$K$28),"")</f>
        <v>126.6673</v>
      </c>
      <c r="K28">
        <f ca="1">IFERROR(IF(0=LEN(ReferenceData!$J$28),"",ReferenceData!$J$28),"")</f>
        <v>133.85210000000001</v>
      </c>
      <c r="L28">
        <f ca="1">IFERROR(IF(0=LEN(ReferenceData!$I$28),"",ReferenceData!$I$28),"")</f>
        <v>137.37970000000001</v>
      </c>
      <c r="M28">
        <f ca="1">IFERROR(IF(0=LEN(ReferenceData!$H$28),"",ReferenceData!$H$28),"")</f>
        <v>146.1464</v>
      </c>
      <c r="N28">
        <f ca="1">IFERROR(IF(0=LEN(ReferenceData!$G$28),"",ReferenceData!$G$28),"")</f>
        <v>153.63570000000001</v>
      </c>
      <c r="O28" t="str">
        <f ca="1">IFERROR(IF(0=LEN(ReferenceData!$F$28),"",ReferenceData!$F$28),"")</f>
        <v/>
      </c>
    </row>
    <row r="29" spans="1:15" x14ac:dyDescent="0.25">
      <c r="A29" t="str">
        <f>IFERROR(IF(0=LEN(ReferenceData!$A$29),"",ReferenceData!$A$29),"")</f>
        <v xml:space="preserve">                Computers (yoy %)</v>
      </c>
      <c r="B29" t="str">
        <f>IFERROR(IF(0=LEN(ReferenceData!$B$29),"",ReferenceData!$B$29),"")</f>
        <v>IPNECOMY Index</v>
      </c>
      <c r="C29" t="str">
        <f>IFERROR(IF(0=LEN(ReferenceData!$C$29),"",ReferenceData!$C$29),"")</f>
        <v>PR005</v>
      </c>
      <c r="D29" t="str">
        <f>IFERROR(IF(0=LEN(ReferenceData!$D$29),"",ReferenceData!$D$29),"")</f>
        <v>PX_LAST</v>
      </c>
      <c r="E29" t="str">
        <f>IFERROR(IF(0=LEN(ReferenceData!$E$29),"",ReferenceData!$E$29),"")</f>
        <v>Dynamic</v>
      </c>
      <c r="F29">
        <f ca="1">IFERROR(IF(0=LEN(ReferenceData!$O$29),"",ReferenceData!$O$29),"")</f>
        <v>7.4441300000000004</v>
      </c>
      <c r="G29">
        <f ca="1">IFERROR(IF(0=LEN(ReferenceData!$N$29),"",ReferenceData!$N$29),"")</f>
        <v>16.902290000000001</v>
      </c>
      <c r="H29">
        <f ca="1">IFERROR(IF(0=LEN(ReferenceData!$M$29),"",ReferenceData!$M$29),"")</f>
        <v>-2.4443800000000002</v>
      </c>
      <c r="I29">
        <f ca="1">IFERROR(IF(0=LEN(ReferenceData!$L$29),"",ReferenceData!$L$29),"")</f>
        <v>9.8512900000000005</v>
      </c>
      <c r="J29">
        <f ca="1">IFERROR(IF(0=LEN(ReferenceData!$K$29),"",ReferenceData!$K$29),"")</f>
        <v>-7.9922000000000004</v>
      </c>
      <c r="K29">
        <f ca="1">IFERROR(IF(0=LEN(ReferenceData!$J$29),"",ReferenceData!$J$29),"")</f>
        <v>18.46734</v>
      </c>
      <c r="L29">
        <f ca="1">IFERROR(IF(0=LEN(ReferenceData!$I$29),"",ReferenceData!$I$29),"")</f>
        <v>12.04555</v>
      </c>
      <c r="M29">
        <f ca="1">IFERROR(IF(0=LEN(ReferenceData!$H$29),"",ReferenceData!$H$29),"")</f>
        <v>-8.4879999999999997E-2</v>
      </c>
      <c r="N29">
        <f ca="1">IFERROR(IF(0=LEN(ReferenceData!$G$29),"",ReferenceData!$G$29),"")</f>
        <v>1.19072</v>
      </c>
      <c r="O29">
        <f ca="1">IFERROR(IF(0=LEN(ReferenceData!$F$29),"",ReferenceData!$F$29),"")</f>
        <v>1.2421800000000001</v>
      </c>
    </row>
    <row r="30" spans="1:15" x14ac:dyDescent="0.25">
      <c r="A30" t="str">
        <f>IFERROR(IF(0=LEN(ReferenceData!$A$30),"",ReferenceData!$A$30),"")</f>
        <v xml:space="preserve">                Semiconductors (yoy %)</v>
      </c>
      <c r="B30" t="str">
        <f>IFERROR(IF(0=LEN(ReferenceData!$B$30),"",ReferenceData!$B$30),"")</f>
        <v>IPNESEMY Index</v>
      </c>
      <c r="C30" t="str">
        <f>IFERROR(IF(0=LEN(ReferenceData!$C$30),"",ReferenceData!$C$30),"")</f>
        <v>PR005</v>
      </c>
      <c r="D30" t="str">
        <f>IFERROR(IF(0=LEN(ReferenceData!$D$30),"",ReferenceData!$D$30),"")</f>
        <v>PX_LAST</v>
      </c>
      <c r="E30" t="str">
        <f>IFERROR(IF(0=LEN(ReferenceData!$E$30),"",ReferenceData!$E$30),"")</f>
        <v>Dynamic</v>
      </c>
      <c r="F30">
        <f ca="1">IFERROR(IF(0=LEN(ReferenceData!$O$30),"",ReferenceData!$O$30),"")</f>
        <v>10.87557983</v>
      </c>
      <c r="G30">
        <f ca="1">IFERROR(IF(0=LEN(ReferenceData!$N$30),"",ReferenceData!$N$30),"")</f>
        <v>21.788484570000001</v>
      </c>
      <c r="H30">
        <f ca="1">IFERROR(IF(0=LEN(ReferenceData!$M$30),"",ReferenceData!$M$30),"")</f>
        <v>4.2637499999999999</v>
      </c>
      <c r="I30">
        <f ca="1">IFERROR(IF(0=LEN(ReferenceData!$L$30),"",ReferenceData!$L$30),"")</f>
        <v>8.9984300000000008</v>
      </c>
      <c r="J30">
        <f ca="1">IFERROR(IF(0=LEN(ReferenceData!$K$30),"",ReferenceData!$K$30),"")</f>
        <v>-66.045590000000004</v>
      </c>
      <c r="K30" t="str">
        <f ca="1">IFERROR(IF(0=LEN(ReferenceData!$J$30),"",ReferenceData!$J$30),"")</f>
        <v/>
      </c>
      <c r="L30" t="str">
        <f ca="1">IFERROR(IF(0=LEN(ReferenceData!$I$30),"",ReferenceData!$I$30),"")</f>
        <v/>
      </c>
      <c r="M30" t="str">
        <f ca="1">IFERROR(IF(0=LEN(ReferenceData!$H$30),"",ReferenceData!$H$30),"")</f>
        <v/>
      </c>
      <c r="N30" t="str">
        <f ca="1">IFERROR(IF(0=LEN(ReferenceData!$G$30),"",ReferenceData!$G$30),"")</f>
        <v/>
      </c>
      <c r="O30" t="str">
        <f ca="1">IFERROR(IF(0=LEN(ReferenceData!$F$30),"",ReferenceData!$F$30),"")</f>
        <v/>
      </c>
    </row>
    <row r="31" spans="1:15" x14ac:dyDescent="0.25">
      <c r="A31" t="str">
        <f>IFERROR(IF(0=LEN(ReferenceData!$A$31),"",ReferenceData!$A$31),"")</f>
        <v xml:space="preserve">                Comm. Equipment (yoy %)</v>
      </c>
      <c r="B31" t="str">
        <f>IFERROR(IF(0=LEN(ReferenceData!$B$31),"",ReferenceData!$B$31),"")</f>
        <v>IPNECMMY Index</v>
      </c>
      <c r="C31" t="str">
        <f>IFERROR(IF(0=LEN(ReferenceData!$C$31),"",ReferenceData!$C$31),"")</f>
        <v>PR005</v>
      </c>
      <c r="D31" t="str">
        <f>IFERROR(IF(0=LEN(ReferenceData!$D$31),"",ReferenceData!$D$31),"")</f>
        <v>PX_LAST</v>
      </c>
      <c r="E31" t="str">
        <f>IFERROR(IF(0=LEN(ReferenceData!$E$31),"",ReferenceData!$E$31),"")</f>
        <v>Dynamic</v>
      </c>
      <c r="F31">
        <f ca="1">IFERROR(IF(0=LEN(ReferenceData!$O$31),"",ReferenceData!$O$31),"")</f>
        <v>2.3612299999999999</v>
      </c>
      <c r="G31">
        <f ca="1">IFERROR(IF(0=LEN(ReferenceData!$N$31),"",ReferenceData!$N$31),"")</f>
        <v>7.7591400000000004</v>
      </c>
      <c r="H31">
        <f ca="1">IFERROR(IF(0=LEN(ReferenceData!$M$31),"",ReferenceData!$M$31),"")</f>
        <v>7.5431600000000003</v>
      </c>
      <c r="I31">
        <f ca="1">IFERROR(IF(0=LEN(ReferenceData!$L$31),"",ReferenceData!$L$31),"")</f>
        <v>-3.0571600000000001</v>
      </c>
      <c r="J31">
        <f ca="1">IFERROR(IF(0=LEN(ReferenceData!$K$31),"",ReferenceData!$K$31),"")</f>
        <v>7.6373600000000001</v>
      </c>
      <c r="K31">
        <f ca="1">IFERROR(IF(0=LEN(ReferenceData!$J$31),"",ReferenceData!$J$31),"")</f>
        <v>3.5997499999999998</v>
      </c>
      <c r="L31">
        <f ca="1">IFERROR(IF(0=LEN(ReferenceData!$I$31),"",ReferenceData!$I$31),"")</f>
        <v>-5.1296200000000001</v>
      </c>
      <c r="M31">
        <f ca="1">IFERROR(IF(0=LEN(ReferenceData!$H$31),"",ReferenceData!$H$31),"")</f>
        <v>8.3749099999999999</v>
      </c>
      <c r="N31">
        <f ca="1">IFERROR(IF(0=LEN(ReferenceData!$G$31),"",ReferenceData!$G$31),"")</f>
        <v>8.3589400000000005</v>
      </c>
      <c r="O31">
        <f ca="1">IFERROR(IF(0=LEN(ReferenceData!$F$31),"",ReferenceData!$F$31),"")</f>
        <v>5.8548999999999998</v>
      </c>
    </row>
    <row r="32" spans="1:15" x14ac:dyDescent="0.25">
      <c r="A32" t="str">
        <f>IFERROR(IF(0=LEN(ReferenceData!$A$32),"",ReferenceData!$A$32),"")</f>
        <v xml:space="preserve">        Canada</v>
      </c>
      <c r="B32" t="str">
        <f>IFERROR(IF(0=LEN(ReferenceData!$B$32),"",ReferenceData!$B$32),"")</f>
        <v>CDIP%YOY Index</v>
      </c>
      <c r="C32" t="str">
        <f>IFERROR(IF(0=LEN(ReferenceData!$C$32),"",ReferenceData!$C$32),"")</f>
        <v>PR005</v>
      </c>
      <c r="D32" t="str">
        <f>IFERROR(IF(0=LEN(ReferenceData!$D$32),"",ReferenceData!$D$32),"")</f>
        <v>PX_LAST</v>
      </c>
      <c r="E32" t="str">
        <f>IFERROR(IF(0=LEN(ReferenceData!$E$32),"",ReferenceData!$E$32),"")</f>
        <v>Dynamic</v>
      </c>
      <c r="F32">
        <f ca="1">IFERROR(IF(0=LEN(ReferenceData!$O$32),"",ReferenceData!$O$32),"")</f>
        <v>3.3012199999999998</v>
      </c>
      <c r="G32">
        <f ca="1">IFERROR(IF(0=LEN(ReferenceData!$N$32),"",ReferenceData!$N$32),"")</f>
        <v>-2.8771</v>
      </c>
      <c r="H32">
        <f ca="1">IFERROR(IF(0=LEN(ReferenceData!$M$32),"",ReferenceData!$M$32),"")</f>
        <v>3.56115</v>
      </c>
      <c r="I32">
        <f ca="1">IFERROR(IF(0=LEN(ReferenceData!$L$32),"",ReferenceData!$L$32),"")</f>
        <v>5.5551700000000004</v>
      </c>
      <c r="J32">
        <f ca="1">IFERROR(IF(0=LEN(ReferenceData!$K$32),"",ReferenceData!$K$32),"")</f>
        <v>-1.9387799999999999</v>
      </c>
      <c r="K32">
        <f ca="1">IFERROR(IF(0=LEN(ReferenceData!$J$32),"",ReferenceData!$J$32),"")</f>
        <v>3.44618</v>
      </c>
      <c r="L32">
        <f ca="1">IFERROR(IF(0=LEN(ReferenceData!$I$32),"",ReferenceData!$I$32),"")</f>
        <v>4.1747199999999998</v>
      </c>
      <c r="M32">
        <f ca="1">IFERROR(IF(0=LEN(ReferenceData!$H$32),"",ReferenceData!$H$32),"")</f>
        <v>1.2482500000000001</v>
      </c>
      <c r="N32">
        <f ca="1">IFERROR(IF(0=LEN(ReferenceData!$G$32),"",ReferenceData!$G$32),"")</f>
        <v>-0.94625999999999999</v>
      </c>
      <c r="O32">
        <f ca="1">IFERROR(IF(0=LEN(ReferenceData!$F$32),"",ReferenceData!$F$32),"")</f>
        <v>0.69884000000000002</v>
      </c>
    </row>
    <row r="33" spans="1:15" x14ac:dyDescent="0.25">
      <c r="A33" t="str">
        <f>IFERROR(IF(0=LEN(ReferenceData!$A$33),"",ReferenceData!$A$33),"")</f>
        <v xml:space="preserve">    Europe</v>
      </c>
      <c r="B33" t="str">
        <f>IFERROR(IF(0=LEN(ReferenceData!$B$33),"",ReferenceData!$B$33),"")</f>
        <v/>
      </c>
      <c r="C33" t="str">
        <f>IFERROR(IF(0=LEN(ReferenceData!$C$33),"",ReferenceData!$C$33),"")</f>
        <v/>
      </c>
      <c r="D33" t="str">
        <f>IFERROR(IF(0=LEN(ReferenceData!$D$33),"",ReferenceData!$D$33),"")</f>
        <v/>
      </c>
      <c r="E33" t="str">
        <f>IFERROR(IF(0=LEN(ReferenceData!$E$33),"",ReferenceData!$E$33),"")</f>
        <v>Static</v>
      </c>
      <c r="F33" t="str">
        <f ca="1">IFERROR(IF(0=LEN(ReferenceData!$O$33),"",ReferenceData!$O$33),"")</f>
        <v/>
      </c>
      <c r="G33" t="str">
        <f ca="1">IFERROR(IF(0=LEN(ReferenceData!$N$33),"",ReferenceData!$N$33),"")</f>
        <v/>
      </c>
      <c r="H33" t="str">
        <f ca="1">IFERROR(IF(0=LEN(ReferenceData!$M$33),"",ReferenceData!$M$33),"")</f>
        <v/>
      </c>
      <c r="I33" t="str">
        <f ca="1">IFERROR(IF(0=LEN(ReferenceData!$L$33),"",ReferenceData!$L$33),"")</f>
        <v/>
      </c>
      <c r="J33" t="str">
        <f ca="1">IFERROR(IF(0=LEN(ReferenceData!$K$33),"",ReferenceData!$K$33),"")</f>
        <v/>
      </c>
      <c r="K33" t="str">
        <f ca="1">IFERROR(IF(0=LEN(ReferenceData!$J$33),"",ReferenceData!$J$33),"")</f>
        <v/>
      </c>
      <c r="L33" t="str">
        <f ca="1">IFERROR(IF(0=LEN(ReferenceData!$I$33),"",ReferenceData!$I$33),"")</f>
        <v/>
      </c>
      <c r="M33" t="str">
        <f ca="1">IFERROR(IF(0=LEN(ReferenceData!$H$33),"",ReferenceData!$H$33),"")</f>
        <v/>
      </c>
      <c r="N33" t="str">
        <f ca="1">IFERROR(IF(0=LEN(ReferenceData!$G$33),"",ReferenceData!$G$33),"")</f>
        <v/>
      </c>
      <c r="O33" t="str">
        <f ca="1">IFERROR(IF(0=LEN(ReferenceData!$F$33),"",ReferenceData!$F$33),"")</f>
        <v/>
      </c>
    </row>
    <row r="34" spans="1:15" x14ac:dyDescent="0.25">
      <c r="A34" t="str">
        <f>IFERROR(IF(0=LEN(ReferenceData!$A$34),"",ReferenceData!$A$34),"")</f>
        <v xml:space="preserve">    South America</v>
      </c>
      <c r="B34" t="str">
        <f>IFERROR(IF(0=LEN(ReferenceData!$B$34),"",ReferenceData!$B$34),"")</f>
        <v/>
      </c>
      <c r="C34" t="str">
        <f>IFERROR(IF(0=LEN(ReferenceData!$C$34),"",ReferenceData!$C$34),"")</f>
        <v/>
      </c>
      <c r="D34" t="str">
        <f>IFERROR(IF(0=LEN(ReferenceData!$D$34),"",ReferenceData!$D$34),"")</f>
        <v/>
      </c>
      <c r="E34" t="str">
        <f>IFERROR(IF(0=LEN(ReferenceData!$E$34),"",ReferenceData!$E$34),"")</f>
        <v>Static</v>
      </c>
      <c r="F34" t="str">
        <f ca="1">IFERROR(IF(0=LEN(ReferenceData!$O$34),"",ReferenceData!$O$34),"")</f>
        <v/>
      </c>
      <c r="G34" t="str">
        <f ca="1">IFERROR(IF(0=LEN(ReferenceData!$N$34),"",ReferenceData!$N$34),"")</f>
        <v/>
      </c>
      <c r="H34" t="str">
        <f ca="1">IFERROR(IF(0=LEN(ReferenceData!$M$34),"",ReferenceData!$M$34),"")</f>
        <v/>
      </c>
      <c r="I34" t="str">
        <f ca="1">IFERROR(IF(0=LEN(ReferenceData!$L$34),"",ReferenceData!$L$34),"")</f>
        <v/>
      </c>
      <c r="J34" t="str">
        <f ca="1">IFERROR(IF(0=LEN(ReferenceData!$K$34),"",ReferenceData!$K$34),"")</f>
        <v/>
      </c>
      <c r="K34" t="str">
        <f ca="1">IFERROR(IF(0=LEN(ReferenceData!$J$34),"",ReferenceData!$J$34),"")</f>
        <v/>
      </c>
      <c r="L34" t="str">
        <f ca="1">IFERROR(IF(0=LEN(ReferenceData!$I$34),"",ReferenceData!$I$34),"")</f>
        <v/>
      </c>
      <c r="M34" t="str">
        <f ca="1">IFERROR(IF(0=LEN(ReferenceData!$H$34),"",ReferenceData!$H$34),"")</f>
        <v/>
      </c>
      <c r="N34" t="str">
        <f ca="1">IFERROR(IF(0=LEN(ReferenceData!$G$34),"",ReferenceData!$G$34),"")</f>
        <v/>
      </c>
      <c r="O34" t="str">
        <f ca="1">IFERROR(IF(0=LEN(ReferenceData!$F$34),"",ReferenceData!$F$34),"")</f>
        <v/>
      </c>
    </row>
    <row r="35" spans="1:15" x14ac:dyDescent="0.25">
      <c r="A35" t="str">
        <f>IFERROR(IF(0=LEN(ReferenceData!$A$35),"",ReferenceData!$A$35),"")</f>
        <v/>
      </c>
      <c r="B35" t="str">
        <f>IFERROR(IF(0=LEN(ReferenceData!$B$35),"",ReferenceData!$B$35),"")</f>
        <v/>
      </c>
      <c r="C35" t="str">
        <f>IFERROR(IF(0=LEN(ReferenceData!$C$35),"",ReferenceData!$C$35),"")</f>
        <v/>
      </c>
      <c r="D35" t="str">
        <f>IFERROR(IF(0=LEN(ReferenceData!$D$35),"",ReferenceData!$D$35),"")</f>
        <v/>
      </c>
      <c r="E35" t="str">
        <f>IFERROR(IF(0=LEN(ReferenceData!$E$35),"",ReferenceData!$E$35),"")</f>
        <v>Static</v>
      </c>
      <c r="F35" t="str">
        <f ca="1">IFERROR(IF(0=LEN(ReferenceData!$O$35),"",ReferenceData!$O$35),"")</f>
        <v/>
      </c>
      <c r="G35" t="str">
        <f ca="1">IFERROR(IF(0=LEN(ReferenceData!$N$35),"",ReferenceData!$N$35),"")</f>
        <v/>
      </c>
      <c r="H35" t="str">
        <f ca="1">IFERROR(IF(0=LEN(ReferenceData!$M$35),"",ReferenceData!$M$35),"")</f>
        <v/>
      </c>
      <c r="I35" t="str">
        <f ca="1">IFERROR(IF(0=LEN(ReferenceData!$L$35),"",ReferenceData!$L$35),"")</f>
        <v/>
      </c>
      <c r="J35" t="str">
        <f ca="1">IFERROR(IF(0=LEN(ReferenceData!$K$35),"",ReferenceData!$K$35),"")</f>
        <v/>
      </c>
      <c r="K35" t="str">
        <f ca="1">IFERROR(IF(0=LEN(ReferenceData!$J$35),"",ReferenceData!$J$35),"")</f>
        <v/>
      </c>
      <c r="L35" t="str">
        <f ca="1">IFERROR(IF(0=LEN(ReferenceData!$I$35),"",ReferenceData!$I$35),"")</f>
        <v/>
      </c>
      <c r="M35" t="str">
        <f ca="1">IFERROR(IF(0=LEN(ReferenceData!$H$35),"",ReferenceData!$H$35),"")</f>
        <v/>
      </c>
      <c r="N35" t="str">
        <f ca="1">IFERROR(IF(0=LEN(ReferenceData!$G$35),"",ReferenceData!$G$35),"")</f>
        <v/>
      </c>
      <c r="O35" t="str">
        <f ca="1">IFERROR(IF(0=LEN(ReferenceData!$F$35),"",ReferenceData!$F$35),"")</f>
        <v/>
      </c>
    </row>
    <row r="36" spans="1:15" x14ac:dyDescent="0.25">
      <c r="A36" t="str">
        <f>IFERROR(IF(0=LEN(ReferenceData!$A$36),"",ReferenceData!$A$36),"")</f>
        <v>Labor Statistics:</v>
      </c>
      <c r="B36" t="str">
        <f>IFERROR(IF(0=LEN(ReferenceData!$B$36),"",ReferenceData!$B$36),"")</f>
        <v/>
      </c>
      <c r="C36" t="str">
        <f>IFERROR(IF(0=LEN(ReferenceData!$C$36),"",ReferenceData!$C$36),"")</f>
        <v/>
      </c>
      <c r="D36" t="str">
        <f>IFERROR(IF(0=LEN(ReferenceData!$D$36),"",ReferenceData!$D$36),"")</f>
        <v/>
      </c>
      <c r="E36" t="str">
        <f>IFERROR(IF(0=LEN(ReferenceData!$E$36),"",ReferenceData!$E$36),"")</f>
        <v>Heading</v>
      </c>
      <c r="F36" t="str">
        <f>IFERROR(IF(0=LEN(ReferenceData!$O$36),"",ReferenceData!$O$36),"")</f>
        <v/>
      </c>
      <c r="G36" t="str">
        <f>IFERROR(IF(0=LEN(ReferenceData!$N$36),"",ReferenceData!$N$36),"")</f>
        <v/>
      </c>
      <c r="H36" t="str">
        <f>IFERROR(IF(0=LEN(ReferenceData!$M$36),"",ReferenceData!$M$36),"")</f>
        <v/>
      </c>
      <c r="I36" t="str">
        <f>IFERROR(IF(0=LEN(ReferenceData!$L$36),"",ReferenceData!$L$36),"")</f>
        <v/>
      </c>
      <c r="J36" t="str">
        <f>IFERROR(IF(0=LEN(ReferenceData!$K$36),"",ReferenceData!$K$36),"")</f>
        <v/>
      </c>
      <c r="K36" t="str">
        <f>IFERROR(IF(0=LEN(ReferenceData!$J$36),"",ReferenceData!$J$36),"")</f>
        <v/>
      </c>
      <c r="L36" t="str">
        <f>IFERROR(IF(0=LEN(ReferenceData!$I$36),"",ReferenceData!$I$36),"")</f>
        <v/>
      </c>
      <c r="M36" t="str">
        <f>IFERROR(IF(0=LEN(ReferenceData!$H$36),"",ReferenceData!$H$36),"")</f>
        <v/>
      </c>
      <c r="N36" t="str">
        <f>IFERROR(IF(0=LEN(ReferenceData!$G$36),"",ReferenceData!$G$36),"")</f>
        <v/>
      </c>
      <c r="O36" t="str">
        <f>IFERROR(IF(0=LEN(ReferenceData!$F$36),"",ReferenceData!$F$36),"")</f>
        <v/>
      </c>
    </row>
    <row r="37" spans="1:15" x14ac:dyDescent="0.25">
      <c r="A37" t="str">
        <f>IFERROR(IF(0=LEN(ReferenceData!$A$37),"",ReferenceData!$A$37),"")</f>
        <v>U.S. Unemployment Rate</v>
      </c>
      <c r="B37" t="str">
        <f>IFERROR(IF(0=LEN(ReferenceData!$B$37),"",ReferenceData!$B$37),"")</f>
        <v>USURTOT Index</v>
      </c>
      <c r="C37" t="str">
        <f>IFERROR(IF(0=LEN(ReferenceData!$C$37),"",ReferenceData!$C$37),"")</f>
        <v>PR005</v>
      </c>
      <c r="D37" t="str">
        <f>IFERROR(IF(0=LEN(ReferenceData!$D$37),"",ReferenceData!$D$37),"")</f>
        <v>PX_LAST</v>
      </c>
      <c r="E37" t="str">
        <f>IFERROR(IF(0=LEN(ReferenceData!$E$37),"",ReferenceData!$E$37),"")</f>
        <v>Dynamic</v>
      </c>
      <c r="F37">
        <f ca="1">IFERROR(IF(0=LEN(ReferenceData!$O$37),"",ReferenceData!$O$37),"")</f>
        <v>8.9333329999999993</v>
      </c>
      <c r="G37">
        <f ca="1">IFERROR(IF(0=LEN(ReferenceData!$N$37),"",ReferenceData!$N$37),"")</f>
        <v>8.0750010000000003</v>
      </c>
      <c r="H37">
        <f ca="1">IFERROR(IF(0=LEN(ReferenceData!$M$37),"",ReferenceData!$M$37),"")</f>
        <v>7.358333</v>
      </c>
      <c r="I37">
        <f ca="1">IFERROR(IF(0=LEN(ReferenceData!$L$37),"",ReferenceData!$L$37),"")</f>
        <v>6.1583329999999998</v>
      </c>
      <c r="J37">
        <f ca="1">IFERROR(IF(0=LEN(ReferenceData!$K$37),"",ReferenceData!$K$37),"")</f>
        <v>5.2750000000000004</v>
      </c>
      <c r="K37">
        <f ca="1">IFERROR(IF(0=LEN(ReferenceData!$J$37),"",ReferenceData!$J$37),"")</f>
        <v>4.875</v>
      </c>
      <c r="L37">
        <f ca="1">IFERROR(IF(0=LEN(ReferenceData!$I$37),"",ReferenceData!$I$37),"")</f>
        <v>4.3416670000000002</v>
      </c>
      <c r="M37">
        <f ca="1">IFERROR(IF(0=LEN(ReferenceData!$H$37),"",ReferenceData!$H$37),"")</f>
        <v>3.891667</v>
      </c>
      <c r="N37">
        <f ca="1">IFERROR(IF(0=LEN(ReferenceData!$G$37),"",ReferenceData!$G$37),"")</f>
        <v>3.6666669999999999</v>
      </c>
      <c r="O37">
        <f ca="1">IFERROR(IF(0=LEN(ReferenceData!$F$37),"",ReferenceData!$F$37),"")</f>
        <v>13.3</v>
      </c>
    </row>
    <row r="38" spans="1:15" x14ac:dyDescent="0.25">
      <c r="A38" t="str">
        <f>IFERROR(IF(0=LEN(ReferenceData!$A$38),"",ReferenceData!$A$38),"")</f>
        <v>U.S. Technology Related Unemployment Rate</v>
      </c>
      <c r="B38" t="str">
        <f>IFERROR(IF(0=LEN(ReferenceData!$B$38),"",ReferenceData!$B$38),"")</f>
        <v/>
      </c>
      <c r="C38" t="str">
        <f>IFERROR(IF(0=LEN(ReferenceData!$C$38),"",ReferenceData!$C$38),"")</f>
        <v/>
      </c>
      <c r="D38" t="str">
        <f>IFERROR(IF(0=LEN(ReferenceData!$D$38),"",ReferenceData!$D$38),"")</f>
        <v/>
      </c>
      <c r="E38" t="str">
        <f>IFERROR(IF(0=LEN(ReferenceData!$E$38),"",ReferenceData!$E$38),"")</f>
        <v>Average</v>
      </c>
      <c r="F38">
        <f ca="1">IFERROR(IF(0=LEN(ReferenceData!$O$38),"",ReferenceData!$O$38),"")</f>
        <v>3.95</v>
      </c>
      <c r="G38">
        <f ca="1">IFERROR(IF(0=LEN(ReferenceData!$N$38),"",ReferenceData!$N$38),"")</f>
        <v>4.125</v>
      </c>
      <c r="H38">
        <f ca="1">IFERROR(IF(0=LEN(ReferenceData!$M$38),"",ReferenceData!$M$38),"")</f>
        <v>3.9249999999999998</v>
      </c>
      <c r="I38">
        <f ca="1">IFERROR(IF(0=LEN(ReferenceData!$L$38),"",ReferenceData!$L$38),"")</f>
        <v>1.625</v>
      </c>
      <c r="J38">
        <f ca="1">IFERROR(IF(0=LEN(ReferenceData!$K$38),"",ReferenceData!$K$38),"")</f>
        <v>3.25</v>
      </c>
      <c r="K38">
        <f ca="1">IFERROR(IF(0=LEN(ReferenceData!$J$38),"",ReferenceData!$J$38),"")</f>
        <v>2.9750000000000001</v>
      </c>
      <c r="L38">
        <f ca="1">IFERROR(IF(0=LEN(ReferenceData!$I$38),"",ReferenceData!$I$38),"")</f>
        <v>2.4249999999999998</v>
      </c>
      <c r="M38">
        <f ca="1">IFERROR(IF(0=LEN(ReferenceData!$H$38),"",ReferenceData!$H$38),"")</f>
        <v>1.7999999999999998</v>
      </c>
      <c r="N38">
        <f ca="1">IFERROR(IF(0=LEN(ReferenceData!$G$38),"",ReferenceData!$G$38),"")</f>
        <v>3.2749999999999999</v>
      </c>
      <c r="O38">
        <f ca="1">IFERROR(IF(0=LEN(ReferenceData!$F$38),"",ReferenceData!$F$38),"")</f>
        <v>2.4250000000000003</v>
      </c>
    </row>
    <row r="39" spans="1:15" x14ac:dyDescent="0.25">
      <c r="A39" t="str">
        <f>IFERROR(IF(0=LEN(ReferenceData!$A$39),"",ReferenceData!$A$39),"")</f>
        <v xml:space="preserve">    Computer &amp; Information Systems Managers</v>
      </c>
      <c r="B39" t="str">
        <f>IFERROR(IF(0=LEN(ReferenceData!$B$39),"",ReferenceData!$B$39),"")</f>
        <v>UMOCCOIN Index</v>
      </c>
      <c r="C39" t="str">
        <f>IFERROR(IF(0=LEN(ReferenceData!$C$39),"",ReferenceData!$C$39),"")</f>
        <v>PR005</v>
      </c>
      <c r="D39" t="str">
        <f>IFERROR(IF(0=LEN(ReferenceData!$D$39),"",ReferenceData!$D$39),"")</f>
        <v>PX_LAST</v>
      </c>
      <c r="E39" t="str">
        <f>IFERROR(IF(0=LEN(ReferenceData!$E$39),"",ReferenceData!$E$39),"")</f>
        <v>Dynamic</v>
      </c>
      <c r="F39">
        <f ca="1">IFERROR(IF(0=LEN(ReferenceData!$O$39),"",ReferenceData!$O$39),"")</f>
        <v>2.4</v>
      </c>
      <c r="G39">
        <f ca="1">IFERROR(IF(0=LEN(ReferenceData!$N$39),"",ReferenceData!$N$39),"")</f>
        <v>4.3</v>
      </c>
      <c r="H39">
        <f ca="1">IFERROR(IF(0=LEN(ReferenceData!$M$39),"",ReferenceData!$M$39),"")</f>
        <v>3</v>
      </c>
      <c r="I39">
        <f ca="1">IFERROR(IF(0=LEN(ReferenceData!$L$39),"",ReferenceData!$L$39),"")</f>
        <v>0.9</v>
      </c>
      <c r="J39">
        <f ca="1">IFERROR(IF(0=LEN(ReferenceData!$K$39),"",ReferenceData!$K$39),"")</f>
        <v>2.4</v>
      </c>
      <c r="K39">
        <f ca="1">IFERROR(IF(0=LEN(ReferenceData!$J$39),"",ReferenceData!$J$39),"")</f>
        <v>3.1</v>
      </c>
      <c r="L39">
        <f ca="1">IFERROR(IF(0=LEN(ReferenceData!$I$39),"",ReferenceData!$I$39),"")</f>
        <v>1.8</v>
      </c>
      <c r="M39">
        <f ca="1">IFERROR(IF(0=LEN(ReferenceData!$H$39),"",ReferenceData!$H$39),"")</f>
        <v>2.4</v>
      </c>
      <c r="N39">
        <f ca="1">IFERROR(IF(0=LEN(ReferenceData!$G$39),"",ReferenceData!$G$39),"")</f>
        <v>0.8</v>
      </c>
      <c r="O39">
        <f ca="1">IFERROR(IF(0=LEN(ReferenceData!$F$39),"",ReferenceData!$F$39),"")</f>
        <v>1.6</v>
      </c>
    </row>
    <row r="40" spans="1:15" x14ac:dyDescent="0.25">
      <c r="A40" t="str">
        <f>IFERROR(IF(0=LEN(ReferenceData!$A$40),"",ReferenceData!$A$40),"")</f>
        <v xml:space="preserve">    Computer &amp; Mathmatical Occupations</v>
      </c>
      <c r="B40" t="str">
        <f>IFERROR(IF(0=LEN(ReferenceData!$B$40),"",ReferenceData!$B$40),"")</f>
        <v>UMOCCOOC Index</v>
      </c>
      <c r="C40" t="str">
        <f>IFERROR(IF(0=LEN(ReferenceData!$C$40),"",ReferenceData!$C$40),"")</f>
        <v>PR005</v>
      </c>
      <c r="D40" t="str">
        <f>IFERROR(IF(0=LEN(ReferenceData!$D$40),"",ReferenceData!$D$40),"")</f>
        <v>PX_LAST</v>
      </c>
      <c r="E40" t="str">
        <f>IFERROR(IF(0=LEN(ReferenceData!$E$40),"",ReferenceData!$E$40),"")</f>
        <v>Dynamic</v>
      </c>
      <c r="F40">
        <f ca="1">IFERROR(IF(0=LEN(ReferenceData!$O$40),"",ReferenceData!$O$40),"")</f>
        <v>4.0999999999999996</v>
      </c>
      <c r="G40">
        <f ca="1">IFERROR(IF(0=LEN(ReferenceData!$N$40),"",ReferenceData!$N$40),"")</f>
        <v>3.3</v>
      </c>
      <c r="H40">
        <f ca="1">IFERROR(IF(0=LEN(ReferenceData!$M$40),"",ReferenceData!$M$40),"")</f>
        <v>3.5</v>
      </c>
      <c r="I40">
        <f ca="1">IFERROR(IF(0=LEN(ReferenceData!$L$40),"",ReferenceData!$L$40),"")</f>
        <v>2.5</v>
      </c>
      <c r="J40">
        <f ca="1">IFERROR(IF(0=LEN(ReferenceData!$K$40),"",ReferenceData!$K$40),"")</f>
        <v>2.9</v>
      </c>
      <c r="K40">
        <f ca="1">IFERROR(IF(0=LEN(ReferenceData!$J$40),"",ReferenceData!$J$40),"")</f>
        <v>2.9</v>
      </c>
      <c r="L40">
        <f ca="1">IFERROR(IF(0=LEN(ReferenceData!$I$40),"",ReferenceData!$I$40),"")</f>
        <v>2.5</v>
      </c>
      <c r="M40">
        <f ca="1">IFERROR(IF(0=LEN(ReferenceData!$H$40),"",ReferenceData!$H$40),"")</f>
        <v>2.2000000000000002</v>
      </c>
      <c r="N40">
        <f ca="1">IFERROR(IF(0=LEN(ReferenceData!$G$40),"",ReferenceData!$G$40),"")</f>
        <v>2.2999999999999998</v>
      </c>
      <c r="O40">
        <f ca="1">IFERROR(IF(0=LEN(ReferenceData!$F$40),"",ReferenceData!$F$40),"")</f>
        <v>2.6</v>
      </c>
    </row>
    <row r="41" spans="1:15" x14ac:dyDescent="0.25">
      <c r="A41" t="str">
        <f>IFERROR(IF(0=LEN(ReferenceData!$A$41),"",ReferenceData!$A$41),"")</f>
        <v xml:space="preserve">    Computer Programmers</v>
      </c>
      <c r="B41" t="str">
        <f>IFERROR(IF(0=LEN(ReferenceData!$B$41),"",ReferenceData!$B$41),"")</f>
        <v>UMOCCOPR Index</v>
      </c>
      <c r="C41" t="str">
        <f>IFERROR(IF(0=LEN(ReferenceData!$C$41),"",ReferenceData!$C$41),"")</f>
        <v>PR005</v>
      </c>
      <c r="D41" t="str">
        <f>IFERROR(IF(0=LEN(ReferenceData!$D$41),"",ReferenceData!$D$41),"")</f>
        <v>PX_LAST</v>
      </c>
      <c r="E41" t="str">
        <f>IFERROR(IF(0=LEN(ReferenceData!$E$41),"",ReferenceData!$E$41),"")</f>
        <v>Dynamic</v>
      </c>
      <c r="F41">
        <f ca="1">IFERROR(IF(0=LEN(ReferenceData!$O$41),"",ReferenceData!$O$41),"")</f>
        <v>3.6</v>
      </c>
      <c r="G41">
        <f ca="1">IFERROR(IF(0=LEN(ReferenceData!$N$41),"",ReferenceData!$N$41),"")</f>
        <v>4.5999999999999996</v>
      </c>
      <c r="H41">
        <f ca="1">IFERROR(IF(0=LEN(ReferenceData!$M$41),"",ReferenceData!$M$41),"")</f>
        <v>3.4</v>
      </c>
      <c r="I41">
        <f ca="1">IFERROR(IF(0=LEN(ReferenceData!$L$41),"",ReferenceData!$L$41),"")</f>
        <v>2.5</v>
      </c>
      <c r="J41">
        <f ca="1">IFERROR(IF(0=LEN(ReferenceData!$K$41),"",ReferenceData!$K$41),"")</f>
        <v>3.2</v>
      </c>
      <c r="K41">
        <f ca="1">IFERROR(IF(0=LEN(ReferenceData!$J$41),"",ReferenceData!$J$41),"")</f>
        <v>4</v>
      </c>
      <c r="L41">
        <f ca="1">IFERROR(IF(0=LEN(ReferenceData!$I$41),"",ReferenceData!$I$41),"")</f>
        <v>3.9</v>
      </c>
      <c r="M41">
        <f ca="1">IFERROR(IF(0=LEN(ReferenceData!$H$41),"",ReferenceData!$H$41),"")</f>
        <v>1.6</v>
      </c>
      <c r="N41">
        <f ca="1">IFERROR(IF(0=LEN(ReferenceData!$G$41),"",ReferenceData!$G$41),"")</f>
        <v>3.9</v>
      </c>
      <c r="O41">
        <f ca="1">IFERROR(IF(0=LEN(ReferenceData!$F$41),"",ReferenceData!$F$41),"")</f>
        <v>4.9000000000000004</v>
      </c>
    </row>
    <row r="42" spans="1:15" x14ac:dyDescent="0.25">
      <c r="A42" t="str">
        <f>IFERROR(IF(0=LEN(ReferenceData!$A$42),"",ReferenceData!$A$42),"")</f>
        <v xml:space="preserve">    Network &amp; Computer Systems Administrators</v>
      </c>
      <c r="B42" t="str">
        <f>IFERROR(IF(0=LEN(ReferenceData!$B$42),"",ReferenceData!$B$42),"")</f>
        <v>UMOCNEWO Index</v>
      </c>
      <c r="C42" t="str">
        <f>IFERROR(IF(0=LEN(ReferenceData!$C$42),"",ReferenceData!$C$42),"")</f>
        <v>PR005</v>
      </c>
      <c r="D42" t="str">
        <f>IFERROR(IF(0=LEN(ReferenceData!$D$42),"",ReferenceData!$D$42),"")</f>
        <v>PX_LAST</v>
      </c>
      <c r="E42" t="str">
        <f>IFERROR(IF(0=LEN(ReferenceData!$E$42),"",ReferenceData!$E$42),"")</f>
        <v>Dynamic</v>
      </c>
      <c r="F42">
        <f ca="1">IFERROR(IF(0=LEN(ReferenceData!$O$42),"",ReferenceData!$O$42),"")</f>
        <v>5.7</v>
      </c>
      <c r="G42">
        <f ca="1">IFERROR(IF(0=LEN(ReferenceData!$N$42),"",ReferenceData!$N$42),"")</f>
        <v>4.3</v>
      </c>
      <c r="H42">
        <f ca="1">IFERROR(IF(0=LEN(ReferenceData!$M$42),"",ReferenceData!$M$42),"")</f>
        <v>5.8</v>
      </c>
      <c r="I42">
        <f ca="1">IFERROR(IF(0=LEN(ReferenceData!$L$42),"",ReferenceData!$L$42),"")</f>
        <v>0.6</v>
      </c>
      <c r="J42">
        <f ca="1">IFERROR(IF(0=LEN(ReferenceData!$K$42),"",ReferenceData!$K$42),"")</f>
        <v>4.5</v>
      </c>
      <c r="K42">
        <f ca="1">IFERROR(IF(0=LEN(ReferenceData!$J$42),"",ReferenceData!$J$42),"")</f>
        <v>1.9</v>
      </c>
      <c r="L42">
        <f ca="1">IFERROR(IF(0=LEN(ReferenceData!$I$42),"",ReferenceData!$I$42),"")</f>
        <v>1.5</v>
      </c>
      <c r="M42">
        <f ca="1">IFERROR(IF(0=LEN(ReferenceData!$H$42),"",ReferenceData!$H$42),"")</f>
        <v>1</v>
      </c>
      <c r="N42">
        <f ca="1">IFERROR(IF(0=LEN(ReferenceData!$G$42),"",ReferenceData!$G$42),"")</f>
        <v>6.1</v>
      </c>
      <c r="O42">
        <f ca="1">IFERROR(IF(0=LEN(ReferenceData!$F$42),"",ReferenceData!$F$42),"")</f>
        <v>0.6</v>
      </c>
    </row>
    <row r="43" spans="1:15" x14ac:dyDescent="0.25">
      <c r="A43" t="str">
        <f>IFERROR(IF(0=LEN(ReferenceData!$A$43),"",ReferenceData!$A$43),"")</f>
        <v>Initial Jobless Claims (yoy %)</v>
      </c>
      <c r="B43" t="str">
        <f>IFERROR(IF(0=LEN(ReferenceData!$B$43),"",ReferenceData!$B$43),"")</f>
        <v>INJCJYOY Index</v>
      </c>
      <c r="C43" t="str">
        <f>IFERROR(IF(0=LEN(ReferenceData!$C$43),"",ReferenceData!$C$43),"")</f>
        <v>PR005</v>
      </c>
      <c r="D43" t="str">
        <f>IFERROR(IF(0=LEN(ReferenceData!$D$43),"",ReferenceData!$D$43),"")</f>
        <v>PX_LAST</v>
      </c>
      <c r="E43" t="str">
        <f>IFERROR(IF(0=LEN(ReferenceData!$E$43),"",ReferenceData!$E$43),"")</f>
        <v>Dynamic</v>
      </c>
      <c r="F43">
        <f ca="1">IFERROR(IF(0=LEN(ReferenceData!$O$43),"",ReferenceData!$O$43),"")</f>
        <v>-8.9588400000000004</v>
      </c>
      <c r="G43">
        <f ca="1">IFERROR(IF(0=LEN(ReferenceData!$N$43),"",ReferenceData!$N$43),"")</f>
        <v>-3.7233999999999998</v>
      </c>
      <c r="H43">
        <f ca="1">IFERROR(IF(0=LEN(ReferenceData!$M$43),"",ReferenceData!$M$43),"")</f>
        <v>-8.2872900000000005</v>
      </c>
      <c r="I43">
        <f ca="1">IFERROR(IF(0=LEN(ReferenceData!$L$43),"",ReferenceData!$L$43),"")</f>
        <v>-14.15663</v>
      </c>
      <c r="J43">
        <f ca="1">IFERROR(IF(0=LEN(ReferenceData!$K$43),"",ReferenceData!$K$43),"")</f>
        <v>-3.1578900000000001</v>
      </c>
      <c r="K43">
        <f ca="1">IFERROR(IF(0=LEN(ReferenceData!$J$43),"",ReferenceData!$J$43),"")</f>
        <v>-13.55311</v>
      </c>
      <c r="L43">
        <f ca="1">IFERROR(IF(0=LEN(ReferenceData!$I$43),"",ReferenceData!$I$43),"")</f>
        <v>2.9661</v>
      </c>
      <c r="M43">
        <f ca="1">IFERROR(IF(0=LEN(ReferenceData!$H$43),"",ReferenceData!$H$43),"")</f>
        <v>-6.1728399999999999</v>
      </c>
      <c r="N43">
        <f ca="1">IFERROR(IF(0=LEN(ReferenceData!$G$43),"",ReferenceData!$G$43),"")</f>
        <v>-3.5087700000000002</v>
      </c>
      <c r="O43">
        <f ca="1">IFERROR(IF(0=LEN(ReferenceData!$F$43),"",ReferenceData!$F$43),"")</f>
        <v>600.90912000000003</v>
      </c>
    </row>
    <row r="44" spans="1:15" x14ac:dyDescent="0.25">
      <c r="A44" t="str">
        <f>IFERROR(IF(0=LEN(ReferenceData!$A$44),"",ReferenceData!$A$44),"")</f>
        <v xml:space="preserve">    Initial Jobless Claims (#)</v>
      </c>
      <c r="B44" t="str">
        <f>IFERROR(IF(0=LEN(ReferenceData!$B$44),"",ReferenceData!$B$44),"")</f>
        <v>INJCJC Index</v>
      </c>
      <c r="C44" t="str">
        <f>IFERROR(IF(0=LEN(ReferenceData!$C$44),"",ReferenceData!$C$44),"")</f>
        <v>PR005</v>
      </c>
      <c r="D44" t="str">
        <f>IFERROR(IF(0=LEN(ReferenceData!$D$44),"",ReferenceData!$D$44),"")</f>
        <v>PX_LAST</v>
      </c>
      <c r="E44" t="str">
        <f>IFERROR(IF(0=LEN(ReferenceData!$E$44),"",ReferenceData!$E$44),"")</f>
        <v>Dynamic</v>
      </c>
      <c r="F44">
        <f ca="1">IFERROR(IF(0=LEN(ReferenceData!$O$44),"",ReferenceData!$O$44),"")</f>
        <v>376</v>
      </c>
      <c r="G44">
        <f ca="1">IFERROR(IF(0=LEN(ReferenceData!$N$44),"",ReferenceData!$N$44),"")</f>
        <v>362</v>
      </c>
      <c r="H44">
        <f ca="1">IFERROR(IF(0=LEN(ReferenceData!$M$44),"",ReferenceData!$M$44),"")</f>
        <v>332</v>
      </c>
      <c r="I44">
        <f ca="1">IFERROR(IF(0=LEN(ReferenceData!$L$44),"",ReferenceData!$L$44),"")</f>
        <v>285</v>
      </c>
      <c r="J44">
        <f ca="1">IFERROR(IF(0=LEN(ReferenceData!$K$44),"",ReferenceData!$K$44),"")</f>
        <v>276</v>
      </c>
      <c r="K44">
        <f ca="1">IFERROR(IF(0=LEN(ReferenceData!$J$44),"",ReferenceData!$J$44),"")</f>
        <v>236</v>
      </c>
      <c r="L44">
        <f ca="1">IFERROR(IF(0=LEN(ReferenceData!$I$44),"",ReferenceData!$I$44),"")</f>
        <v>243</v>
      </c>
      <c r="M44">
        <f ca="1">IFERROR(IF(0=LEN(ReferenceData!$H$44),"",ReferenceData!$H$44),"")</f>
        <v>228</v>
      </c>
      <c r="N44">
        <f ca="1">IFERROR(IF(0=LEN(ReferenceData!$G$44),"",ReferenceData!$G$44),"")</f>
        <v>220</v>
      </c>
      <c r="O44">
        <f ca="1">IFERROR(IF(0=LEN(ReferenceData!$F$44),"",ReferenceData!$F$44),"")</f>
        <v>1542</v>
      </c>
    </row>
    <row r="45" spans="1:15" x14ac:dyDescent="0.25">
      <c r="A45" t="str">
        <f>IFERROR(IF(0=LEN(ReferenceData!$A$45),"",ReferenceData!$A$45),"")</f>
        <v>ADP Non Farm Payrolls (yoy %)</v>
      </c>
      <c r="B45" t="str">
        <f>IFERROR(IF(0=LEN(ReferenceData!$B$45),"",ReferenceData!$B$45),"")</f>
        <v>ADP YOYL Index</v>
      </c>
      <c r="C45" t="str">
        <f>IFERROR(IF(0=LEN(ReferenceData!$C$45),"",ReferenceData!$C$45),"")</f>
        <v>PR005</v>
      </c>
      <c r="D45" t="str">
        <f>IFERROR(IF(0=LEN(ReferenceData!$D$45),"",ReferenceData!$D$45),"")</f>
        <v>PX_LAST</v>
      </c>
      <c r="E45" t="str">
        <f>IFERROR(IF(0=LEN(ReferenceData!$E$45),"",ReferenceData!$E$45),"")</f>
        <v>Dynamic</v>
      </c>
      <c r="F45">
        <f ca="1">IFERROR(IF(0=LEN(ReferenceData!$O$45),"",ReferenceData!$O$45),"")</f>
        <v>2.17693</v>
      </c>
      <c r="G45">
        <f ca="1">IFERROR(IF(0=LEN(ReferenceData!$N$45),"",ReferenceData!$N$45),"")</f>
        <v>2.08704</v>
      </c>
      <c r="H45">
        <f ca="1">IFERROR(IF(0=LEN(ReferenceData!$M$45),"",ReferenceData!$M$45),"")</f>
        <v>1.9905600000000001</v>
      </c>
      <c r="I45">
        <f ca="1">IFERROR(IF(0=LEN(ReferenceData!$L$45),"",ReferenceData!$L$45),"")</f>
        <v>2.29297</v>
      </c>
      <c r="J45">
        <f ca="1">IFERROR(IF(0=LEN(ReferenceData!$K$45),"",ReferenceData!$K$45),"")</f>
        <v>2.17361</v>
      </c>
      <c r="K45">
        <f ca="1">IFERROR(IF(0=LEN(ReferenceData!$J$45),"",ReferenceData!$J$45),"")</f>
        <v>1.92723</v>
      </c>
      <c r="L45">
        <f ca="1">IFERROR(IF(0=LEN(ReferenceData!$I$45),"",ReferenceData!$I$45),"")</f>
        <v>1.72559</v>
      </c>
      <c r="M45">
        <f ca="1">IFERROR(IF(0=LEN(ReferenceData!$H$45),"",ReferenceData!$H$45),"")</f>
        <v>1.6837299999999999</v>
      </c>
      <c r="N45">
        <f ca="1">IFERROR(IF(0=LEN(ReferenceData!$G$45),"",ReferenceData!$G$45),"")</f>
        <v>1.4088799999999999</v>
      </c>
      <c r="O45">
        <f ca="1">IFERROR(IF(0=LEN(ReferenceData!$F$45),"",ReferenceData!$F$45),"")</f>
        <v>-16.57368</v>
      </c>
    </row>
    <row r="46" spans="1:15" x14ac:dyDescent="0.25">
      <c r="A46" t="str">
        <f>IFERROR(IF(0=LEN(ReferenceData!$A$46),"",ReferenceData!$A$46),"")</f>
        <v xml:space="preserve">    ADP Non Farm Payrolls (#)</v>
      </c>
      <c r="B46" t="str">
        <f>IFERROR(IF(0=LEN(ReferenceData!$B$46),"",ReferenceData!$B$46),"")</f>
        <v>ADP LEVL Index</v>
      </c>
      <c r="C46" t="str">
        <f>IFERROR(IF(0=LEN(ReferenceData!$C$46),"",ReferenceData!$C$46),"")</f>
        <v>PR005</v>
      </c>
      <c r="D46" t="str">
        <f>IFERROR(IF(0=LEN(ReferenceData!$D$46),"",ReferenceData!$D$46),"")</f>
        <v>PX_LAST</v>
      </c>
      <c r="E46" t="str">
        <f>IFERROR(IF(0=LEN(ReferenceData!$E$46),"",ReferenceData!$E$46),"")</f>
        <v>Dynamic</v>
      </c>
      <c r="F46">
        <f ca="1">IFERROR(IF(0=LEN(ReferenceData!$O$46),"",ReferenceData!$O$46),"")</f>
        <v>110946.0843</v>
      </c>
      <c r="G46">
        <f ca="1">IFERROR(IF(0=LEN(ReferenceData!$N$46),"",ReferenceData!$N$46),"")</f>
        <v>113261.58010000001</v>
      </c>
      <c r="H46">
        <f ca="1">IFERROR(IF(0=LEN(ReferenceData!$M$46),"",ReferenceData!$M$46),"")</f>
        <v>115516.1191</v>
      </c>
      <c r="I46">
        <f ca="1">IFERROR(IF(0=LEN(ReferenceData!$L$46),"",ReferenceData!$L$46),"")</f>
        <v>118164.86629999999</v>
      </c>
      <c r="J46">
        <f ca="1">IFERROR(IF(0=LEN(ReferenceData!$K$46),"",ReferenceData!$K$46),"")</f>
        <v>120733.3125</v>
      </c>
      <c r="K46">
        <f ca="1">IFERROR(IF(0=LEN(ReferenceData!$J$46),"",ReferenceData!$J$46),"")</f>
        <v>123060.11599999999</v>
      </c>
      <c r="L46">
        <f ca="1">IFERROR(IF(0=LEN(ReferenceData!$I$46),"",ReferenceData!$I$46),"")</f>
        <v>125183.62820000001</v>
      </c>
      <c r="M46">
        <f ca="1">IFERROR(IF(0=LEN(ReferenceData!$H$46),"",ReferenceData!$H$46),"")</f>
        <v>127291.3725</v>
      </c>
      <c r="N46">
        <f ca="1">IFERROR(IF(0=LEN(ReferenceData!$G$46),"",ReferenceData!$G$46),"")</f>
        <v>129084.7597</v>
      </c>
      <c r="O46">
        <f ca="1">IFERROR(IF(0=LEN(ReferenceData!$F$46),"",ReferenceData!$F$46),"")</f>
        <v>106818.4225</v>
      </c>
    </row>
    <row r="47" spans="1:15" x14ac:dyDescent="0.25">
      <c r="A47" t="str">
        <f>IFERROR(IF(0=LEN(ReferenceData!$A$47),"",ReferenceData!$A$47),"")</f>
        <v xml:space="preserve">    ADP Non Farm Payrolls Service Firms</v>
      </c>
      <c r="B47" t="str">
        <f>IFERROR(IF(0=LEN(ReferenceData!$B$47),"",ReferenceData!$B$47),"")</f>
        <v>ADP SERV Index</v>
      </c>
      <c r="C47" t="str">
        <f>IFERROR(IF(0=LEN(ReferenceData!$C$47),"",ReferenceData!$C$47),"")</f>
        <v>PR005</v>
      </c>
      <c r="D47" t="str">
        <f>IFERROR(IF(0=LEN(ReferenceData!$D$47),"",ReferenceData!$D$47),"")</f>
        <v>PX_LAST</v>
      </c>
      <c r="E47" t="str">
        <f>IFERROR(IF(0=LEN(ReferenceData!$E$47),"",ReferenceData!$E$47),"")</f>
        <v>Dynamic</v>
      </c>
      <c r="F47">
        <f ca="1">IFERROR(IF(0=LEN(ReferenceData!$O$47),"",ReferenceData!$O$47),"")</f>
        <v>92776.910759999999</v>
      </c>
      <c r="G47">
        <f ca="1">IFERROR(IF(0=LEN(ReferenceData!$N$47),"",ReferenceData!$N$47),"")</f>
        <v>94686.382660000003</v>
      </c>
      <c r="H47">
        <f ca="1">IFERROR(IF(0=LEN(ReferenceData!$M$47),"",ReferenceData!$M$47),"")</f>
        <v>96598.009090000007</v>
      </c>
      <c r="I47">
        <f ca="1">IFERROR(IF(0=LEN(ReferenceData!$L$47),"",ReferenceData!$L$47),"")</f>
        <v>98773.271099999998</v>
      </c>
      <c r="J47">
        <f ca="1">IFERROR(IF(0=LEN(ReferenceData!$K$47),"",ReferenceData!$K$47),"")</f>
        <v>101102.9145</v>
      </c>
      <c r="K47">
        <f ca="1">IFERROR(IF(0=LEN(ReferenceData!$J$47),"",ReferenceData!$J$47),"")</f>
        <v>103215.2963</v>
      </c>
      <c r="L47">
        <f ca="1">IFERROR(IF(0=LEN(ReferenceData!$I$47),"",ReferenceData!$I$47),"")</f>
        <v>104843.27899999999</v>
      </c>
      <c r="M47">
        <f ca="1">IFERROR(IF(0=LEN(ReferenceData!$H$47),"",ReferenceData!$H$47),"")</f>
        <v>106418.67909999999</v>
      </c>
      <c r="N47">
        <f ca="1">IFERROR(IF(0=LEN(ReferenceData!$G$47),"",ReferenceData!$G$47),"")</f>
        <v>108054.99430000001</v>
      </c>
      <c r="O47">
        <f ca="1">IFERROR(IF(0=LEN(ReferenceData!$F$47),"",ReferenceData!$F$47),"")</f>
        <v>88941.619380000004</v>
      </c>
    </row>
    <row r="48" spans="1:15" x14ac:dyDescent="0.25">
      <c r="A48" t="str">
        <f>IFERROR(IF(0=LEN(ReferenceData!$A$48),"",ReferenceData!$A$48),"")</f>
        <v/>
      </c>
      <c r="B48" t="str">
        <f>IFERROR(IF(0=LEN(ReferenceData!$B$48),"",ReferenceData!$B$48),"")</f>
        <v/>
      </c>
      <c r="C48" t="str">
        <f>IFERROR(IF(0=LEN(ReferenceData!$C$48),"",ReferenceData!$C$48),"")</f>
        <v/>
      </c>
      <c r="D48" t="str">
        <f>IFERROR(IF(0=LEN(ReferenceData!$D$48),"",ReferenceData!$D$48),"")</f>
        <v/>
      </c>
      <c r="E48" t="str">
        <f>IFERROR(IF(0=LEN(ReferenceData!$E$48),"",ReferenceData!$E$48),"")</f>
        <v>Static</v>
      </c>
      <c r="F48" t="str">
        <f ca="1">IFERROR(IF(0=LEN(ReferenceData!$O$48),"",ReferenceData!$O$48),"")</f>
        <v/>
      </c>
      <c r="G48" t="str">
        <f ca="1">IFERROR(IF(0=LEN(ReferenceData!$N$48),"",ReferenceData!$N$48),"")</f>
        <v/>
      </c>
      <c r="H48" t="str">
        <f ca="1">IFERROR(IF(0=LEN(ReferenceData!$M$48),"",ReferenceData!$M$48),"")</f>
        <v/>
      </c>
      <c r="I48" t="str">
        <f ca="1">IFERROR(IF(0=LEN(ReferenceData!$L$48),"",ReferenceData!$L$48),"")</f>
        <v/>
      </c>
      <c r="J48" t="str">
        <f ca="1">IFERROR(IF(0=LEN(ReferenceData!$K$48),"",ReferenceData!$K$48),"")</f>
        <v/>
      </c>
      <c r="K48" t="str">
        <f ca="1">IFERROR(IF(0=LEN(ReferenceData!$J$48),"",ReferenceData!$J$48),"")</f>
        <v/>
      </c>
      <c r="L48" t="str">
        <f ca="1">IFERROR(IF(0=LEN(ReferenceData!$I$48),"",ReferenceData!$I$48),"")</f>
        <v/>
      </c>
      <c r="M48" t="str">
        <f ca="1">IFERROR(IF(0=LEN(ReferenceData!$H$48),"",ReferenceData!$H$48),"")</f>
        <v/>
      </c>
      <c r="N48" t="str">
        <f ca="1">IFERROR(IF(0=LEN(ReferenceData!$G$48),"",ReferenceData!$G$48),"")</f>
        <v/>
      </c>
      <c r="O48" t="str">
        <f ca="1">IFERROR(IF(0=LEN(ReferenceData!$F$48),"",ReferenceData!$F$48),"")</f>
        <v/>
      </c>
    </row>
    <row r="49" spans="1:15" x14ac:dyDescent="0.25">
      <c r="A49" t="str">
        <f>IFERROR(IF(0=LEN(ReferenceData!$A$49),"",ReferenceData!$A$49),"")</f>
        <v>Additional Macro Drivers:</v>
      </c>
      <c r="B49" t="str">
        <f>IFERROR(IF(0=LEN(ReferenceData!$B$49),"",ReferenceData!$B$49),"")</f>
        <v/>
      </c>
      <c r="C49" t="str">
        <f>IFERROR(IF(0=LEN(ReferenceData!$C$49),"",ReferenceData!$C$49),"")</f>
        <v/>
      </c>
      <c r="D49" t="str">
        <f>IFERROR(IF(0=LEN(ReferenceData!$D$49),"",ReferenceData!$D$49),"")</f>
        <v/>
      </c>
      <c r="E49" t="str">
        <f>IFERROR(IF(0=LEN(ReferenceData!$E$49),"",ReferenceData!$E$49),"")</f>
        <v>Heading</v>
      </c>
      <c r="F49" t="str">
        <f>IFERROR(IF(0=LEN(ReferenceData!$O$49),"",ReferenceData!$O$49),"")</f>
        <v/>
      </c>
      <c r="G49" t="str">
        <f>IFERROR(IF(0=LEN(ReferenceData!$N$49),"",ReferenceData!$N$49),"")</f>
        <v/>
      </c>
      <c r="H49" t="str">
        <f>IFERROR(IF(0=LEN(ReferenceData!$M$49),"",ReferenceData!$M$49),"")</f>
        <v/>
      </c>
      <c r="I49" t="str">
        <f>IFERROR(IF(0=LEN(ReferenceData!$L$49),"",ReferenceData!$L$49),"")</f>
        <v/>
      </c>
      <c r="J49" t="str">
        <f>IFERROR(IF(0=LEN(ReferenceData!$K$49),"",ReferenceData!$K$49),"")</f>
        <v/>
      </c>
      <c r="K49" t="str">
        <f>IFERROR(IF(0=LEN(ReferenceData!$J$49),"",ReferenceData!$J$49),"")</f>
        <v/>
      </c>
      <c r="L49" t="str">
        <f>IFERROR(IF(0=LEN(ReferenceData!$I$49),"",ReferenceData!$I$49),"")</f>
        <v/>
      </c>
      <c r="M49" t="str">
        <f>IFERROR(IF(0=LEN(ReferenceData!$H$49),"",ReferenceData!$H$49),"")</f>
        <v/>
      </c>
      <c r="N49" t="str">
        <f>IFERROR(IF(0=LEN(ReferenceData!$G$49),"",ReferenceData!$G$49),"")</f>
        <v/>
      </c>
      <c r="O49" t="str">
        <f>IFERROR(IF(0=LEN(ReferenceData!$F$49),"",ReferenceData!$F$49),"")</f>
        <v/>
      </c>
    </row>
    <row r="50" spans="1:15" x14ac:dyDescent="0.25">
      <c r="A50" t="str">
        <f>IFERROR(IF(0=LEN(ReferenceData!$A$50),"",ReferenceData!$A$50),"")</f>
        <v>Exchange Rates</v>
      </c>
      <c r="B50" t="str">
        <f>IFERROR(IF(0=LEN(ReferenceData!$B$50),"",ReferenceData!$B$50),"")</f>
        <v/>
      </c>
      <c r="C50" t="str">
        <f>IFERROR(IF(0=LEN(ReferenceData!$C$50),"",ReferenceData!$C$50),"")</f>
        <v/>
      </c>
      <c r="D50" t="str">
        <f>IFERROR(IF(0=LEN(ReferenceData!$D$50),"",ReferenceData!$D$50),"")</f>
        <v/>
      </c>
      <c r="E50" t="str">
        <f>IFERROR(IF(0=LEN(ReferenceData!$E$50),"",ReferenceData!$E$50),"")</f>
        <v>Static</v>
      </c>
      <c r="F50" t="str">
        <f ca="1">IFERROR(IF(0=LEN(ReferenceData!$O$50),"",ReferenceData!$O$50),"")</f>
        <v/>
      </c>
      <c r="G50" t="str">
        <f ca="1">IFERROR(IF(0=LEN(ReferenceData!$N$50),"",ReferenceData!$N$50),"")</f>
        <v/>
      </c>
      <c r="H50" t="str">
        <f ca="1">IFERROR(IF(0=LEN(ReferenceData!$M$50),"",ReferenceData!$M$50),"")</f>
        <v/>
      </c>
      <c r="I50" t="str">
        <f ca="1">IFERROR(IF(0=LEN(ReferenceData!$L$50),"",ReferenceData!$L$50),"")</f>
        <v/>
      </c>
      <c r="J50" t="str">
        <f ca="1">IFERROR(IF(0=LEN(ReferenceData!$K$50),"",ReferenceData!$K$50),"")</f>
        <v/>
      </c>
      <c r="K50" t="str">
        <f ca="1">IFERROR(IF(0=LEN(ReferenceData!$J$50),"",ReferenceData!$J$50),"")</f>
        <v/>
      </c>
      <c r="L50" t="str">
        <f ca="1">IFERROR(IF(0=LEN(ReferenceData!$I$50),"",ReferenceData!$I$50),"")</f>
        <v/>
      </c>
      <c r="M50" t="str">
        <f ca="1">IFERROR(IF(0=LEN(ReferenceData!$H$50),"",ReferenceData!$H$50),"")</f>
        <v/>
      </c>
      <c r="N50" t="str">
        <f ca="1">IFERROR(IF(0=LEN(ReferenceData!$G$50),"",ReferenceData!$G$50),"")</f>
        <v/>
      </c>
      <c r="O50" t="str">
        <f ca="1">IFERROR(IF(0=LEN(ReferenceData!$F$50),"",ReferenceData!$F$50),"")</f>
        <v/>
      </c>
    </row>
    <row r="51" spans="1:15" x14ac:dyDescent="0.25">
      <c r="A51" t="str">
        <f>IFERROR(IF(0=LEN(ReferenceData!$A$51),"",ReferenceData!$A$51),"")</f>
        <v xml:space="preserve">    USD</v>
      </c>
      <c r="B51" t="str">
        <f>IFERROR(IF(0=LEN(ReferenceData!$B$51),"",ReferenceData!$B$51),"")</f>
        <v/>
      </c>
      <c r="C51" t="str">
        <f>IFERROR(IF(0=LEN(ReferenceData!$C$51),"",ReferenceData!$C$51),"")</f>
        <v/>
      </c>
      <c r="D51" t="str">
        <f>IFERROR(IF(0=LEN(ReferenceData!$D$51),"",ReferenceData!$D$51),"")</f>
        <v/>
      </c>
      <c r="E51" t="str">
        <f>IFERROR(IF(0=LEN(ReferenceData!$E$51),"",ReferenceData!$E$51),"")</f>
        <v>Static</v>
      </c>
      <c r="F51" t="str">
        <f ca="1">IFERROR(IF(0=LEN(ReferenceData!$O$51),"",ReferenceData!$O$51),"")</f>
        <v/>
      </c>
      <c r="G51" t="str">
        <f ca="1">IFERROR(IF(0=LEN(ReferenceData!$N$51),"",ReferenceData!$N$51),"")</f>
        <v/>
      </c>
      <c r="H51" t="str">
        <f ca="1">IFERROR(IF(0=LEN(ReferenceData!$M$51),"",ReferenceData!$M$51),"")</f>
        <v/>
      </c>
      <c r="I51" t="str">
        <f ca="1">IFERROR(IF(0=LEN(ReferenceData!$L$51),"",ReferenceData!$L$51),"")</f>
        <v/>
      </c>
      <c r="J51" t="str">
        <f ca="1">IFERROR(IF(0=LEN(ReferenceData!$K$51),"",ReferenceData!$K$51),"")</f>
        <v/>
      </c>
      <c r="K51" t="str">
        <f ca="1">IFERROR(IF(0=LEN(ReferenceData!$J$51),"",ReferenceData!$J$51),"")</f>
        <v/>
      </c>
      <c r="L51" t="str">
        <f ca="1">IFERROR(IF(0=LEN(ReferenceData!$I$51),"",ReferenceData!$I$51),"")</f>
        <v/>
      </c>
      <c r="M51" t="str">
        <f ca="1">IFERROR(IF(0=LEN(ReferenceData!$H$51),"",ReferenceData!$H$51),"")</f>
        <v/>
      </c>
      <c r="N51" t="str">
        <f ca="1">IFERROR(IF(0=LEN(ReferenceData!$G$51),"",ReferenceData!$G$51),"")</f>
        <v/>
      </c>
      <c r="O51" t="str">
        <f ca="1">IFERROR(IF(0=LEN(ReferenceData!$F$51),"",ReferenceData!$F$51),"")</f>
        <v/>
      </c>
    </row>
    <row r="52" spans="1:15" x14ac:dyDescent="0.25">
      <c r="A52" t="str">
        <f>IFERROR(IF(0=LEN(ReferenceData!$A$52),"",ReferenceData!$A$52),"")</f>
        <v xml:space="preserve">        USD EUR</v>
      </c>
      <c r="B52" t="str">
        <f>IFERROR(IF(0=LEN(ReferenceData!$B$52),"",ReferenceData!$B$52),"")</f>
        <v>USDEUR Curncy</v>
      </c>
      <c r="C52" t="str">
        <f>IFERROR(IF(0=LEN(ReferenceData!$C$52),"",ReferenceData!$C$52),"")</f>
        <v>PR005</v>
      </c>
      <c r="D52" t="str">
        <f>IFERROR(IF(0=LEN(ReferenceData!$D$52),"",ReferenceData!$D$52),"")</f>
        <v>PX_LAST</v>
      </c>
      <c r="E52" t="str">
        <f>IFERROR(IF(0=LEN(ReferenceData!$E$52),"",ReferenceData!$E$52),"")</f>
        <v>Dynamic</v>
      </c>
      <c r="F52">
        <f ca="1">IFERROR(IF(0=LEN(ReferenceData!$O$52),"",ReferenceData!$O$52),"")</f>
        <v>0.77139999999999997</v>
      </c>
      <c r="G52">
        <f ca="1">IFERROR(IF(0=LEN(ReferenceData!$N$52),"",ReferenceData!$N$52),"")</f>
        <v>0.75800000000000001</v>
      </c>
      <c r="H52">
        <f ca="1">IFERROR(IF(0=LEN(ReferenceData!$M$52),"",ReferenceData!$M$52),"")</f>
        <v>0.72770000000000001</v>
      </c>
      <c r="I52">
        <f ca="1">IFERROR(IF(0=LEN(ReferenceData!$L$52),"",ReferenceData!$L$52),"")</f>
        <v>0.8266</v>
      </c>
      <c r="J52">
        <f ca="1">IFERROR(IF(0=LEN(ReferenceData!$K$52),"",ReferenceData!$K$52),"")</f>
        <v>0.92100000000000004</v>
      </c>
      <c r="K52">
        <f ca="1">IFERROR(IF(0=LEN(ReferenceData!$J$52),"",ReferenceData!$J$52),"")</f>
        <v>0.9506</v>
      </c>
      <c r="L52">
        <f ca="1">IFERROR(IF(0=LEN(ReferenceData!$I$52),"",ReferenceData!$I$52),"")</f>
        <v>0.83299999999999996</v>
      </c>
      <c r="M52">
        <f ca="1">IFERROR(IF(0=LEN(ReferenceData!$H$52),"",ReferenceData!$H$52),"")</f>
        <v>0.87219999999999998</v>
      </c>
      <c r="N52">
        <f ca="1">IFERROR(IF(0=LEN(ReferenceData!$G$52),"",ReferenceData!$G$52),"")</f>
        <v>0.89190000000000003</v>
      </c>
      <c r="O52">
        <f ca="1">IFERROR(IF(0=LEN(ReferenceData!$F$52),"",ReferenceData!$F$52),"")</f>
        <v>0.88500000000000001</v>
      </c>
    </row>
    <row r="53" spans="1:15" x14ac:dyDescent="0.25">
      <c r="A53" t="str">
        <f>IFERROR(IF(0=LEN(ReferenceData!$A$53),"",ReferenceData!$A$53),"")</f>
        <v xml:space="preserve">        USD INR</v>
      </c>
      <c r="B53" t="str">
        <f>IFERROR(IF(0=LEN(ReferenceData!$B$53),"",ReferenceData!$B$53),"")</f>
        <v>USDINR Curncy</v>
      </c>
      <c r="C53" t="str">
        <f>IFERROR(IF(0=LEN(ReferenceData!$C$53),"",ReferenceData!$C$53),"")</f>
        <v>PR005</v>
      </c>
      <c r="D53" t="str">
        <f>IFERROR(IF(0=LEN(ReferenceData!$D$53),"",ReferenceData!$D$53),"")</f>
        <v>PX_LAST</v>
      </c>
      <c r="E53" t="str">
        <f>IFERROR(IF(0=LEN(ReferenceData!$E$53),"",ReferenceData!$E$53),"")</f>
        <v>Dynamic</v>
      </c>
      <c r="F53">
        <f ca="1">IFERROR(IF(0=LEN(ReferenceData!$O$53),"",ReferenceData!$O$53),"")</f>
        <v>53.064999999999998</v>
      </c>
      <c r="G53">
        <f ca="1">IFERROR(IF(0=LEN(ReferenceData!$N$53),"",ReferenceData!$N$53),"")</f>
        <v>54.994999999999997</v>
      </c>
      <c r="H53">
        <f ca="1">IFERROR(IF(0=LEN(ReferenceData!$M$53),"",ReferenceData!$M$53),"")</f>
        <v>61.8</v>
      </c>
      <c r="I53">
        <f ca="1">IFERROR(IF(0=LEN(ReferenceData!$L$53),"",ReferenceData!$L$53),"")</f>
        <v>63.043700000000001</v>
      </c>
      <c r="J53">
        <f ca="1">IFERROR(IF(0=LEN(ReferenceData!$K$53),"",ReferenceData!$K$53),"")</f>
        <v>66.153700000000001</v>
      </c>
      <c r="K53">
        <f ca="1">IFERROR(IF(0=LEN(ReferenceData!$J$53),"",ReferenceData!$J$53),"")</f>
        <v>67.9238</v>
      </c>
      <c r="L53">
        <f ca="1">IFERROR(IF(0=LEN(ReferenceData!$I$53),"",ReferenceData!$I$53),"")</f>
        <v>63.872500000000002</v>
      </c>
      <c r="M53">
        <f ca="1">IFERROR(IF(0=LEN(ReferenceData!$H$53),"",ReferenceData!$H$53),"")</f>
        <v>69.767499999999998</v>
      </c>
      <c r="N53">
        <f ca="1">IFERROR(IF(0=LEN(ReferenceData!$G$53),"",ReferenceData!$G$53),"")</f>
        <v>71.38</v>
      </c>
      <c r="O53">
        <f ca="1">IFERROR(IF(0=LEN(ReferenceData!$F$53),"",ReferenceData!$F$53),"")</f>
        <v>76.03</v>
      </c>
    </row>
    <row r="54" spans="1:15" x14ac:dyDescent="0.25">
      <c r="A54" t="str">
        <f>IFERROR(IF(0=LEN(ReferenceData!$A$54),"",ReferenceData!$A$54),"")</f>
        <v xml:space="preserve">        USD GBP</v>
      </c>
      <c r="B54" t="str">
        <f>IFERROR(IF(0=LEN(ReferenceData!$B$54),"",ReferenceData!$B$54),"")</f>
        <v>USDGBP Curncy</v>
      </c>
      <c r="C54" t="str">
        <f>IFERROR(IF(0=LEN(ReferenceData!$C$54),"",ReferenceData!$C$54),"")</f>
        <v>PR005</v>
      </c>
      <c r="D54" t="str">
        <f>IFERROR(IF(0=LEN(ReferenceData!$D$54),"",ReferenceData!$D$54),"")</f>
        <v>PX_LAST</v>
      </c>
      <c r="E54" t="str">
        <f>IFERROR(IF(0=LEN(ReferenceData!$E$54),"",ReferenceData!$E$54),"")</f>
        <v>Dynamic</v>
      </c>
      <c r="F54">
        <f ca="1">IFERROR(IF(0=LEN(ReferenceData!$O$54),"",ReferenceData!$O$54),"")</f>
        <v>0.64349999999999996</v>
      </c>
      <c r="G54">
        <f ca="1">IFERROR(IF(0=LEN(ReferenceData!$N$54),"",ReferenceData!$N$54),"")</f>
        <v>0.61539999999999995</v>
      </c>
      <c r="H54">
        <f ca="1">IFERROR(IF(0=LEN(ReferenceData!$M$54),"",ReferenceData!$M$54),"")</f>
        <v>0.60399999999999998</v>
      </c>
      <c r="I54">
        <f ca="1">IFERROR(IF(0=LEN(ReferenceData!$L$54),"",ReferenceData!$L$54),"")</f>
        <v>0.64190000000000003</v>
      </c>
      <c r="J54">
        <f ca="1">IFERROR(IF(0=LEN(ReferenceData!$K$54),"",ReferenceData!$K$54),"")</f>
        <v>0.67859999999999998</v>
      </c>
      <c r="K54">
        <f ca="1">IFERROR(IF(0=LEN(ReferenceData!$J$54),"",ReferenceData!$J$54),"")</f>
        <v>0.81010000000000004</v>
      </c>
      <c r="L54">
        <f ca="1">IFERROR(IF(0=LEN(ReferenceData!$I$54),"",ReferenceData!$I$54),"")</f>
        <v>0.74019999999999997</v>
      </c>
      <c r="M54">
        <f ca="1">IFERROR(IF(0=LEN(ReferenceData!$H$54),"",ReferenceData!$H$54),"")</f>
        <v>0.78390000000000004</v>
      </c>
      <c r="N54">
        <f ca="1">IFERROR(IF(0=LEN(ReferenceData!$G$54),"",ReferenceData!$G$54),"")</f>
        <v>0.75429999999999997</v>
      </c>
      <c r="O54">
        <f ca="1">IFERROR(IF(0=LEN(ReferenceData!$F$54),"",ReferenceData!$F$54),"")</f>
        <v>0.79590000000000005</v>
      </c>
    </row>
    <row r="55" spans="1:15" x14ac:dyDescent="0.25">
      <c r="A55" t="str">
        <f>IFERROR(IF(0=LEN(ReferenceData!$A$55),"",ReferenceData!$A$55),"")</f>
        <v xml:space="preserve">        USD BRL</v>
      </c>
      <c r="B55" t="str">
        <f>IFERROR(IF(0=LEN(ReferenceData!$B$55),"",ReferenceData!$B$55),"")</f>
        <v>USDBRL Curncy</v>
      </c>
      <c r="C55" t="str">
        <f>IFERROR(IF(0=LEN(ReferenceData!$C$55),"",ReferenceData!$C$55),"")</f>
        <v>PR005</v>
      </c>
      <c r="D55" t="str">
        <f>IFERROR(IF(0=LEN(ReferenceData!$D$55),"",ReferenceData!$D$55),"")</f>
        <v>PX_LAST</v>
      </c>
      <c r="E55" t="str">
        <f>IFERROR(IF(0=LEN(ReferenceData!$E$55),"",ReferenceData!$E$55),"")</f>
        <v>Dynamic</v>
      </c>
      <c r="F55">
        <f ca="1">IFERROR(IF(0=LEN(ReferenceData!$O$55),"",ReferenceData!$O$55),"")</f>
        <v>1.8668</v>
      </c>
      <c r="G55">
        <f ca="1">IFERROR(IF(0=LEN(ReferenceData!$N$55),"",ReferenceData!$N$55),"")</f>
        <v>2.0516000000000001</v>
      </c>
      <c r="H55">
        <f ca="1">IFERROR(IF(0=LEN(ReferenceData!$M$55),"",ReferenceData!$M$55),"")</f>
        <v>2.3620999999999999</v>
      </c>
      <c r="I55">
        <f ca="1">IFERROR(IF(0=LEN(ReferenceData!$L$55),"",ReferenceData!$L$55),"")</f>
        <v>2.6576</v>
      </c>
      <c r="J55">
        <f ca="1">IFERROR(IF(0=LEN(ReferenceData!$K$55),"",ReferenceData!$K$55),"")</f>
        <v>3.9607999999999999</v>
      </c>
      <c r="K55">
        <f ca="1">IFERROR(IF(0=LEN(ReferenceData!$J$55),"",ReferenceData!$J$55),"")</f>
        <v>3.2551999999999999</v>
      </c>
      <c r="L55">
        <f ca="1">IFERROR(IF(0=LEN(ReferenceData!$I$55),"",ReferenceData!$I$55),"")</f>
        <v>3.3125</v>
      </c>
      <c r="M55">
        <f ca="1">IFERROR(IF(0=LEN(ReferenceData!$H$55),"",ReferenceData!$H$55),"")</f>
        <v>3.8812000000000002</v>
      </c>
      <c r="N55">
        <f ca="1">IFERROR(IF(0=LEN(ReferenceData!$G$55),"",ReferenceData!$G$55),"")</f>
        <v>4.0248999999999997</v>
      </c>
      <c r="O55">
        <f ca="1">IFERROR(IF(0=LEN(ReferenceData!$F$55),"",ReferenceData!$F$55),"")</f>
        <v>5.1444999999999999</v>
      </c>
    </row>
    <row r="56" spans="1:15" x14ac:dyDescent="0.25">
      <c r="A56" t="str">
        <f>IFERROR(IF(0=LEN(ReferenceData!$A$56),"",ReferenceData!$A$56),"")</f>
        <v xml:space="preserve">        USD CNY</v>
      </c>
      <c r="B56" t="str">
        <f>IFERROR(IF(0=LEN(ReferenceData!$B$56),"",ReferenceData!$B$56),"")</f>
        <v>USDCNY Curncy</v>
      </c>
      <c r="C56" t="str">
        <f>IFERROR(IF(0=LEN(ReferenceData!$C$56),"",ReferenceData!$C$56),"")</f>
        <v>PR005</v>
      </c>
      <c r="D56" t="str">
        <f>IFERROR(IF(0=LEN(ReferenceData!$D$56),"",ReferenceData!$D$56),"")</f>
        <v>PX_LAST</v>
      </c>
      <c r="E56" t="str">
        <f>IFERROR(IF(0=LEN(ReferenceData!$E$56),"",ReferenceData!$E$56),"")</f>
        <v>Dynamic</v>
      </c>
      <c r="F56">
        <f ca="1">IFERROR(IF(0=LEN(ReferenceData!$O$56),"",ReferenceData!$O$56),"")</f>
        <v>6.2949999999999999</v>
      </c>
      <c r="G56">
        <f ca="1">IFERROR(IF(0=LEN(ReferenceData!$N$56),"",ReferenceData!$N$56),"")</f>
        <v>6.2305999999999999</v>
      </c>
      <c r="H56">
        <f ca="1">IFERROR(IF(0=LEN(ReferenceData!$M$56),"",ReferenceData!$M$56),"")</f>
        <v>6.0542999999999996</v>
      </c>
      <c r="I56">
        <f ca="1">IFERROR(IF(0=LEN(ReferenceData!$L$56),"",ReferenceData!$L$56),"")</f>
        <v>6.2054999999999998</v>
      </c>
      <c r="J56">
        <f ca="1">IFERROR(IF(0=LEN(ReferenceData!$K$56),"",ReferenceData!$K$56),"")</f>
        <v>6.4936999999999996</v>
      </c>
      <c r="K56">
        <f ca="1">IFERROR(IF(0=LEN(ReferenceData!$J$56),"",ReferenceData!$J$56),"")</f>
        <v>6.9450000000000003</v>
      </c>
      <c r="L56">
        <f ca="1">IFERROR(IF(0=LEN(ReferenceData!$I$56),"",ReferenceData!$I$56),"")</f>
        <v>6.5068000000000001</v>
      </c>
      <c r="M56">
        <f ca="1">IFERROR(IF(0=LEN(ReferenceData!$H$56),"",ReferenceData!$H$56),"")</f>
        <v>6.8784999999999998</v>
      </c>
      <c r="N56">
        <f ca="1">IFERROR(IF(0=LEN(ReferenceData!$G$56),"",ReferenceData!$G$56),"")</f>
        <v>6.9631999999999996</v>
      </c>
      <c r="O56">
        <f ca="1">IFERROR(IF(0=LEN(ReferenceData!$F$56),"",ReferenceData!$F$56),"")</f>
        <v>7.0902000000000003</v>
      </c>
    </row>
    <row r="57" spans="1:15" x14ac:dyDescent="0.25">
      <c r="A57" t="str">
        <f>IFERROR(IF(0=LEN(ReferenceData!$A$57),"",ReferenceData!$A$57),"")</f>
        <v xml:space="preserve">        USD JPY</v>
      </c>
      <c r="B57" t="str">
        <f>IFERROR(IF(0=LEN(ReferenceData!$B$57),"",ReferenceData!$B$57),"")</f>
        <v>USDJPY Curncy</v>
      </c>
      <c r="C57" t="str">
        <f>IFERROR(IF(0=LEN(ReferenceData!$C$57),"",ReferenceData!$C$57),"")</f>
        <v>PR005</v>
      </c>
      <c r="D57" t="str">
        <f>IFERROR(IF(0=LEN(ReferenceData!$D$57),"",ReferenceData!$D$57),"")</f>
        <v>PX_LAST</v>
      </c>
      <c r="E57" t="str">
        <f>IFERROR(IF(0=LEN(ReferenceData!$E$57),"",ReferenceData!$E$57),"")</f>
        <v>Dynamic</v>
      </c>
      <c r="F57">
        <f ca="1">IFERROR(IF(0=LEN(ReferenceData!$O$57),"",ReferenceData!$O$57),"")</f>
        <v>76.91</v>
      </c>
      <c r="G57">
        <f ca="1">IFERROR(IF(0=LEN(ReferenceData!$N$57),"",ReferenceData!$N$57),"")</f>
        <v>86.75</v>
      </c>
      <c r="H57">
        <f ca="1">IFERROR(IF(0=LEN(ReferenceData!$M$57),"",ReferenceData!$M$57),"")</f>
        <v>105.31</v>
      </c>
      <c r="I57">
        <f ca="1">IFERROR(IF(0=LEN(ReferenceData!$L$57),"",ReferenceData!$L$57),"")</f>
        <v>119.78</v>
      </c>
      <c r="J57">
        <f ca="1">IFERROR(IF(0=LEN(ReferenceData!$K$57),"",ReferenceData!$K$57),"")</f>
        <v>120.22</v>
      </c>
      <c r="K57">
        <f ca="1">IFERROR(IF(0=LEN(ReferenceData!$J$57),"",ReferenceData!$J$57),"")</f>
        <v>116.96</v>
      </c>
      <c r="L57">
        <f ca="1">IFERROR(IF(0=LEN(ReferenceData!$I$57),"",ReferenceData!$I$57),"")</f>
        <v>112.69</v>
      </c>
      <c r="M57">
        <f ca="1">IFERROR(IF(0=LEN(ReferenceData!$H$57),"",ReferenceData!$H$57),"")</f>
        <v>109.69</v>
      </c>
      <c r="N57">
        <f ca="1">IFERROR(IF(0=LEN(ReferenceData!$G$57),"",ReferenceData!$G$57),"")</f>
        <v>108.61</v>
      </c>
      <c r="O57">
        <f ca="1">IFERROR(IF(0=LEN(ReferenceData!$F$57),"",ReferenceData!$F$57),"")</f>
        <v>107.32</v>
      </c>
    </row>
    <row r="58" spans="1:15" x14ac:dyDescent="0.25">
      <c r="A58" t="str">
        <f>IFERROR(IF(0=LEN(ReferenceData!$A$58),"",ReferenceData!$A$58),"")</f>
        <v xml:space="preserve">        USD CAD</v>
      </c>
      <c r="B58" t="str">
        <f>IFERROR(IF(0=LEN(ReferenceData!$B$58),"",ReferenceData!$B$58),"")</f>
        <v>USDCAD Curncy</v>
      </c>
      <c r="C58" t="str">
        <f>IFERROR(IF(0=LEN(ReferenceData!$C$58),"",ReferenceData!$C$58),"")</f>
        <v>PR005</v>
      </c>
      <c r="D58" t="str">
        <f>IFERROR(IF(0=LEN(ReferenceData!$D$58),"",ReferenceData!$D$58),"")</f>
        <v>PX_LAST</v>
      </c>
      <c r="E58" t="str">
        <f>IFERROR(IF(0=LEN(ReferenceData!$E$58),"",ReferenceData!$E$58),"")</f>
        <v>Dynamic</v>
      </c>
      <c r="F58">
        <f ca="1">IFERROR(IF(0=LEN(ReferenceData!$O$58),"",ReferenceData!$O$58),"")</f>
        <v>1.0213000000000001</v>
      </c>
      <c r="G58">
        <f ca="1">IFERROR(IF(0=LEN(ReferenceData!$N$58),"",ReferenceData!$N$58),"")</f>
        <v>0.99209999999999998</v>
      </c>
      <c r="H58">
        <f ca="1">IFERROR(IF(0=LEN(ReferenceData!$M$58),"",ReferenceData!$M$58),"")</f>
        <v>1.0623</v>
      </c>
      <c r="I58">
        <f ca="1">IFERROR(IF(0=LEN(ReferenceData!$L$58),"",ReferenceData!$L$58),"")</f>
        <v>1.1620999999999999</v>
      </c>
      <c r="J58">
        <f ca="1">IFERROR(IF(0=LEN(ReferenceData!$K$58),"",ReferenceData!$K$58),"")</f>
        <v>1.3838999999999999</v>
      </c>
      <c r="K58">
        <f ca="1">IFERROR(IF(0=LEN(ReferenceData!$J$58),"",ReferenceData!$J$58),"")</f>
        <v>1.3441000000000001</v>
      </c>
      <c r="L58">
        <f ca="1">IFERROR(IF(0=LEN(ReferenceData!$I$58),"",ReferenceData!$I$58),"")</f>
        <v>1.2571000000000001</v>
      </c>
      <c r="M58">
        <f ca="1">IFERROR(IF(0=LEN(ReferenceData!$H$58),"",ReferenceData!$H$58),"")</f>
        <v>1.3636999999999999</v>
      </c>
      <c r="N58">
        <f ca="1">IFERROR(IF(0=LEN(ReferenceData!$G$58),"",ReferenceData!$G$58),"")</f>
        <v>1.2989999999999999</v>
      </c>
      <c r="O58">
        <f ca="1">IFERROR(IF(0=LEN(ReferenceData!$F$58),"",ReferenceData!$F$58),"")</f>
        <v>1.3574999999999999</v>
      </c>
    </row>
    <row r="59" spans="1:15" x14ac:dyDescent="0.25">
      <c r="A59" t="str">
        <f>IFERROR(IF(0=LEN(ReferenceData!$A$59),"",ReferenceData!$A$59),"")</f>
        <v xml:space="preserve">        USD AUD</v>
      </c>
      <c r="B59" t="str">
        <f>IFERROR(IF(0=LEN(ReferenceData!$B$59),"",ReferenceData!$B$59),"")</f>
        <v>USDAUD Curncy</v>
      </c>
      <c r="C59" t="str">
        <f>IFERROR(IF(0=LEN(ReferenceData!$C$59),"",ReferenceData!$C$59),"")</f>
        <v>PR005</v>
      </c>
      <c r="D59" t="str">
        <f>IFERROR(IF(0=LEN(ReferenceData!$D$59),"",ReferenceData!$D$59),"")</f>
        <v>PX_LAST</v>
      </c>
      <c r="E59" t="str">
        <f>IFERROR(IF(0=LEN(ReferenceData!$E$59),"",ReferenceData!$E$59),"")</f>
        <v>Dynamic</v>
      </c>
      <c r="F59">
        <f ca="1">IFERROR(IF(0=LEN(ReferenceData!$O$59),"",ReferenceData!$O$59),"")</f>
        <v>0.97960000000000003</v>
      </c>
      <c r="G59">
        <f ca="1">IFERROR(IF(0=LEN(ReferenceData!$N$59),"",ReferenceData!$N$59),"")</f>
        <v>0.96199999999999997</v>
      </c>
      <c r="H59">
        <f ca="1">IFERROR(IF(0=LEN(ReferenceData!$M$59),"",ReferenceData!$M$59),"")</f>
        <v>1.1216999999999999</v>
      </c>
      <c r="I59">
        <f ca="1">IFERROR(IF(0=LEN(ReferenceData!$L$59),"",ReferenceData!$L$59),"")</f>
        <v>1.2239</v>
      </c>
      <c r="J59">
        <f ca="1">IFERROR(IF(0=LEN(ReferenceData!$K$59),"",ReferenceData!$K$59),"")</f>
        <v>1.3723000000000001</v>
      </c>
      <c r="K59">
        <f ca="1">IFERROR(IF(0=LEN(ReferenceData!$J$59),"",ReferenceData!$J$59),"")</f>
        <v>1.3887</v>
      </c>
      <c r="L59">
        <f ca="1">IFERROR(IF(0=LEN(ReferenceData!$I$59),"",ReferenceData!$I$59),"")</f>
        <v>1.2809999999999999</v>
      </c>
      <c r="M59">
        <f ca="1">IFERROR(IF(0=LEN(ReferenceData!$H$59),"",ReferenceData!$H$59),"")</f>
        <v>1.4188000000000001</v>
      </c>
      <c r="N59">
        <f ca="1">IFERROR(IF(0=LEN(ReferenceData!$G$59),"",ReferenceData!$G$59),"")</f>
        <v>1.4252</v>
      </c>
      <c r="O59">
        <f ca="1">IFERROR(IF(0=LEN(ReferenceData!$F$59),"",ReferenceData!$F$59),"")</f>
        <v>1.4521999999999999</v>
      </c>
    </row>
    <row r="60" spans="1:15" x14ac:dyDescent="0.25">
      <c r="A60" t="str">
        <f>IFERROR(IF(0=LEN(ReferenceData!$A$60),"",ReferenceData!$A$60),"")</f>
        <v xml:space="preserve">    EUR</v>
      </c>
      <c r="B60" t="str">
        <f>IFERROR(IF(0=LEN(ReferenceData!$B$60),"",ReferenceData!$B$60),"")</f>
        <v/>
      </c>
      <c r="C60" t="str">
        <f>IFERROR(IF(0=LEN(ReferenceData!$C$60),"",ReferenceData!$C$60),"")</f>
        <v/>
      </c>
      <c r="D60" t="str">
        <f>IFERROR(IF(0=LEN(ReferenceData!$D$60),"",ReferenceData!$D$60),"")</f>
        <v/>
      </c>
      <c r="E60" t="str">
        <f>IFERROR(IF(0=LEN(ReferenceData!$E$60),"",ReferenceData!$E$60),"")</f>
        <v>Static</v>
      </c>
      <c r="F60" t="str">
        <f ca="1">IFERROR(IF(0=LEN(ReferenceData!$O$60),"",ReferenceData!$O$60),"")</f>
        <v/>
      </c>
      <c r="G60" t="str">
        <f ca="1">IFERROR(IF(0=LEN(ReferenceData!$N$60),"",ReferenceData!$N$60),"")</f>
        <v/>
      </c>
      <c r="H60" t="str">
        <f ca="1">IFERROR(IF(0=LEN(ReferenceData!$M$60),"",ReferenceData!$M$60),"")</f>
        <v/>
      </c>
      <c r="I60" t="str">
        <f ca="1">IFERROR(IF(0=LEN(ReferenceData!$L$60),"",ReferenceData!$L$60),"")</f>
        <v/>
      </c>
      <c r="J60" t="str">
        <f ca="1">IFERROR(IF(0=LEN(ReferenceData!$K$60),"",ReferenceData!$K$60),"")</f>
        <v/>
      </c>
      <c r="K60" t="str">
        <f ca="1">IFERROR(IF(0=LEN(ReferenceData!$J$60),"",ReferenceData!$J$60),"")</f>
        <v/>
      </c>
      <c r="L60" t="str">
        <f ca="1">IFERROR(IF(0=LEN(ReferenceData!$I$60),"",ReferenceData!$I$60),"")</f>
        <v/>
      </c>
      <c r="M60" t="str">
        <f ca="1">IFERROR(IF(0=LEN(ReferenceData!$H$60),"",ReferenceData!$H$60),"")</f>
        <v/>
      </c>
      <c r="N60" t="str">
        <f ca="1">IFERROR(IF(0=LEN(ReferenceData!$G$60),"",ReferenceData!$G$60),"")</f>
        <v/>
      </c>
      <c r="O60" t="str">
        <f ca="1">IFERROR(IF(0=LEN(ReferenceData!$F$60),"",ReferenceData!$F$60),"")</f>
        <v/>
      </c>
    </row>
    <row r="61" spans="1:15" x14ac:dyDescent="0.25">
      <c r="A61" t="str">
        <f>IFERROR(IF(0=LEN(ReferenceData!$A$61),"",ReferenceData!$A$61),"")</f>
        <v xml:space="preserve">        EUR USD</v>
      </c>
      <c r="B61" t="str">
        <f>IFERROR(IF(0=LEN(ReferenceData!$B$61),"",ReferenceData!$B$61),"")</f>
        <v>EURUSD Curncy</v>
      </c>
      <c r="C61" t="str">
        <f>IFERROR(IF(0=LEN(ReferenceData!$C$61),"",ReferenceData!$C$61),"")</f>
        <v>PR005</v>
      </c>
      <c r="D61" t="str">
        <f>IFERROR(IF(0=LEN(ReferenceData!$D$61),"",ReferenceData!$D$61),"")</f>
        <v>PX_LAST</v>
      </c>
      <c r="E61" t="str">
        <f>IFERROR(IF(0=LEN(ReferenceData!$E$61),"",ReferenceData!$E$61),"")</f>
        <v>Dynamic</v>
      </c>
      <c r="F61">
        <f ca="1">IFERROR(IF(0=LEN(ReferenceData!$O$61),"",ReferenceData!$O$61),"")</f>
        <v>1.2961</v>
      </c>
      <c r="G61">
        <f ca="1">IFERROR(IF(0=LEN(ReferenceData!$N$61),"",ReferenceData!$N$61),"")</f>
        <v>1.3192999999999999</v>
      </c>
      <c r="H61">
        <f ca="1">IFERROR(IF(0=LEN(ReferenceData!$M$61),"",ReferenceData!$M$61),"")</f>
        <v>1.3743000000000001</v>
      </c>
      <c r="I61">
        <f ca="1">IFERROR(IF(0=LEN(ReferenceData!$L$61),"",ReferenceData!$L$61),"")</f>
        <v>1.2098</v>
      </c>
      <c r="J61">
        <f ca="1">IFERROR(IF(0=LEN(ReferenceData!$K$61),"",ReferenceData!$K$61),"")</f>
        <v>1.0862000000000001</v>
      </c>
      <c r="K61">
        <f ca="1">IFERROR(IF(0=LEN(ReferenceData!$J$61),"",ReferenceData!$J$61),"")</f>
        <v>1.0517000000000001</v>
      </c>
      <c r="L61">
        <f ca="1">IFERROR(IF(0=LEN(ReferenceData!$I$61),"",ReferenceData!$I$61),"")</f>
        <v>1.2004999999999999</v>
      </c>
      <c r="M61">
        <f ca="1">IFERROR(IF(0=LEN(ReferenceData!$H$61),"",ReferenceData!$H$61),"")</f>
        <v>1.1467000000000001</v>
      </c>
      <c r="N61">
        <f ca="1">IFERROR(IF(0=LEN(ReferenceData!$G$61),"",ReferenceData!$G$61),"")</f>
        <v>1.1213</v>
      </c>
      <c r="O61">
        <f ca="1">IFERROR(IF(0=LEN(ReferenceData!$F$61),"",ReferenceData!$F$61),"")</f>
        <v>1.1284000000000001</v>
      </c>
    </row>
    <row r="62" spans="1:15" x14ac:dyDescent="0.25">
      <c r="A62" t="str">
        <f>IFERROR(IF(0=LEN(ReferenceData!$A$62),"",ReferenceData!$A$62),"")</f>
        <v xml:space="preserve">        EUR INR</v>
      </c>
      <c r="B62" t="str">
        <f>IFERROR(IF(0=LEN(ReferenceData!$B$62),"",ReferenceData!$B$62),"")</f>
        <v>EURINR Curncy</v>
      </c>
      <c r="C62" t="str">
        <f>IFERROR(IF(0=LEN(ReferenceData!$C$62),"",ReferenceData!$C$62),"")</f>
        <v>PR005</v>
      </c>
      <c r="D62" t="str">
        <f>IFERROR(IF(0=LEN(ReferenceData!$D$62),"",ReferenceData!$D$62),"")</f>
        <v>PX_LAST</v>
      </c>
      <c r="E62" t="str">
        <f>IFERROR(IF(0=LEN(ReferenceData!$E$62),"",ReferenceData!$E$62),"")</f>
        <v>Dynamic</v>
      </c>
      <c r="F62">
        <f ca="1">IFERROR(IF(0=LEN(ReferenceData!$O$62),"",ReferenceData!$O$62),"")</f>
        <v>68.742000000000004</v>
      </c>
      <c r="G62">
        <f ca="1">IFERROR(IF(0=LEN(ReferenceData!$N$62),"",ReferenceData!$N$62),"")</f>
        <v>72.545599999999993</v>
      </c>
      <c r="H62">
        <f ca="1">IFERROR(IF(0=LEN(ReferenceData!$M$62),"",ReferenceData!$M$62),"")</f>
        <v>85.061300000000003</v>
      </c>
      <c r="I62">
        <f ca="1">IFERROR(IF(0=LEN(ReferenceData!$L$62),"",ReferenceData!$L$62),"")</f>
        <v>76.627099999999999</v>
      </c>
      <c r="J62">
        <f ca="1">IFERROR(IF(0=LEN(ReferenceData!$K$62),"",ReferenceData!$K$62),"")</f>
        <v>72.123000000000005</v>
      </c>
      <c r="K62">
        <f ca="1">IFERROR(IF(0=LEN(ReferenceData!$J$62),"",ReferenceData!$J$62),"")</f>
        <v>71.677000000000007</v>
      </c>
      <c r="L62">
        <f ca="1">IFERROR(IF(0=LEN(ReferenceData!$I$62),"",ReferenceData!$I$62),"")</f>
        <v>76.532700000000006</v>
      </c>
      <c r="M62">
        <f ca="1">IFERROR(IF(0=LEN(ReferenceData!$H$62),"",ReferenceData!$H$62),"")</f>
        <v>79.997</v>
      </c>
      <c r="N62">
        <f ca="1">IFERROR(IF(0=LEN(ReferenceData!$G$62),"",ReferenceData!$G$62),"")</f>
        <v>80.085800000000006</v>
      </c>
      <c r="O62">
        <f ca="1">IFERROR(IF(0=LEN(ReferenceData!$F$62),"",ReferenceData!$F$62),"")</f>
        <v>85.566999999999993</v>
      </c>
    </row>
    <row r="63" spans="1:15" x14ac:dyDescent="0.25">
      <c r="A63" t="str">
        <f>IFERROR(IF(0=LEN(ReferenceData!$A$63),"",ReferenceData!$A$63),"")</f>
        <v xml:space="preserve">        EUR GBP</v>
      </c>
      <c r="B63" t="str">
        <f>IFERROR(IF(0=LEN(ReferenceData!$B$63),"",ReferenceData!$B$63),"")</f>
        <v>EURGBP Curncy</v>
      </c>
      <c r="C63" t="str">
        <f>IFERROR(IF(0=LEN(ReferenceData!$C$63),"",ReferenceData!$C$63),"")</f>
        <v>PR005</v>
      </c>
      <c r="D63" t="str">
        <f>IFERROR(IF(0=LEN(ReferenceData!$D$63),"",ReferenceData!$D$63),"")</f>
        <v>PX_LAST</v>
      </c>
      <c r="E63" t="str">
        <f>IFERROR(IF(0=LEN(ReferenceData!$E$63),"",ReferenceData!$E$63),"")</f>
        <v>Dynamic</v>
      </c>
      <c r="F63">
        <f ca="1">IFERROR(IF(0=LEN(ReferenceData!$O$63),"",ReferenceData!$O$63),"")</f>
        <v>0.83338999999999996</v>
      </c>
      <c r="G63">
        <f ca="1">IFERROR(IF(0=LEN(ReferenceData!$N$63),"",ReferenceData!$N$63),"")</f>
        <v>0.81189</v>
      </c>
      <c r="H63">
        <f ca="1">IFERROR(IF(0=LEN(ReferenceData!$M$63),"",ReferenceData!$M$63),"")</f>
        <v>0.83020000000000005</v>
      </c>
      <c r="I63">
        <f ca="1">IFERROR(IF(0=LEN(ReferenceData!$L$63),"",ReferenceData!$L$63),"")</f>
        <v>0.77651999999999999</v>
      </c>
      <c r="J63">
        <f ca="1">IFERROR(IF(0=LEN(ReferenceData!$K$63),"",ReferenceData!$K$63),"")</f>
        <v>0.73701000000000005</v>
      </c>
      <c r="K63">
        <f ca="1">IFERROR(IF(0=LEN(ReferenceData!$J$63),"",ReferenceData!$J$63),"")</f>
        <v>0.85351999999999995</v>
      </c>
      <c r="L63">
        <f ca="1">IFERROR(IF(0=LEN(ReferenceData!$I$63),"",ReferenceData!$I$63),"")</f>
        <v>0.88809000000000005</v>
      </c>
      <c r="M63">
        <f ca="1">IFERROR(IF(0=LEN(ReferenceData!$H$63),"",ReferenceData!$H$63),"")</f>
        <v>0.89895000000000003</v>
      </c>
      <c r="N63">
        <f ca="1">IFERROR(IF(0=LEN(ReferenceData!$G$63),"",ReferenceData!$G$63),"")</f>
        <v>0.84592999999999996</v>
      </c>
      <c r="O63">
        <f ca="1">IFERROR(IF(0=LEN(ReferenceData!$F$63),"",ReferenceData!$F$63),"")</f>
        <v>0.89842999999999995</v>
      </c>
    </row>
    <row r="64" spans="1:15" x14ac:dyDescent="0.25">
      <c r="A64" t="str">
        <f>IFERROR(IF(0=LEN(ReferenceData!$A$64),"",ReferenceData!$A$64),"")</f>
        <v xml:space="preserve">        EUR BRL</v>
      </c>
      <c r="B64" t="str">
        <f>IFERROR(IF(0=LEN(ReferenceData!$B$64),"",ReferenceData!$B$64),"")</f>
        <v>EURBRL Curncy</v>
      </c>
      <c r="C64" t="str">
        <f>IFERROR(IF(0=LEN(ReferenceData!$C$64),"",ReferenceData!$C$64),"")</f>
        <v>PR005</v>
      </c>
      <c r="D64" t="str">
        <f>IFERROR(IF(0=LEN(ReferenceData!$D$64),"",ReferenceData!$D$64),"")</f>
        <v>PX_LAST</v>
      </c>
      <c r="E64" t="str">
        <f>IFERROR(IF(0=LEN(ReferenceData!$E$64),"",ReferenceData!$E$64),"")</f>
        <v>Dynamic</v>
      </c>
      <c r="F64">
        <f ca="1">IFERROR(IF(0=LEN(ReferenceData!$O$64),"",ReferenceData!$O$64),"")</f>
        <v>2.4159999999999999</v>
      </c>
      <c r="G64">
        <f ca="1">IFERROR(IF(0=LEN(ReferenceData!$N$64),"",ReferenceData!$N$64),"")</f>
        <v>2.7073999999999998</v>
      </c>
      <c r="H64">
        <f ca="1">IFERROR(IF(0=LEN(ReferenceData!$M$64),"",ReferenceData!$M$64),"")</f>
        <v>3.2452999999999999</v>
      </c>
      <c r="I64">
        <f ca="1">IFERROR(IF(0=LEN(ReferenceData!$L$64),"",ReferenceData!$L$64),"")</f>
        <v>3.2164000000000001</v>
      </c>
      <c r="J64">
        <f ca="1">IFERROR(IF(0=LEN(ReferenceData!$K$64),"",ReferenceData!$K$64),"")</f>
        <v>4.3006000000000002</v>
      </c>
      <c r="K64">
        <f ca="1">IFERROR(IF(0=LEN(ReferenceData!$J$64),"",ReferenceData!$J$64),"")</f>
        <v>3.4287999999999998</v>
      </c>
      <c r="L64">
        <f ca="1">IFERROR(IF(0=LEN(ReferenceData!$I$64),"",ReferenceData!$I$64),"")</f>
        <v>3.9784999999999999</v>
      </c>
      <c r="M64">
        <f ca="1">IFERROR(IF(0=LEN(ReferenceData!$H$64),"",ReferenceData!$H$64),"")</f>
        <v>4.4465000000000003</v>
      </c>
      <c r="N64">
        <f ca="1">IFERROR(IF(0=LEN(ReferenceData!$G$64),"",ReferenceData!$G$64),"")</f>
        <v>4.5122999999999998</v>
      </c>
      <c r="O64">
        <f ca="1">IFERROR(IF(0=LEN(ReferenceData!$F$64),"",ReferenceData!$F$64),"")</f>
        <v>5.8532999999999999</v>
      </c>
    </row>
    <row r="65" spans="1:15" x14ac:dyDescent="0.25">
      <c r="A65" t="str">
        <f>IFERROR(IF(0=LEN(ReferenceData!$A$65),"",ReferenceData!$A$65),"")</f>
        <v xml:space="preserve">        EUR CNY</v>
      </c>
      <c r="B65" t="str">
        <f>IFERROR(IF(0=LEN(ReferenceData!$B$65),"",ReferenceData!$B$65),"")</f>
        <v>EURCNY Curncy</v>
      </c>
      <c r="C65" t="str">
        <f>IFERROR(IF(0=LEN(ReferenceData!$C$65),"",ReferenceData!$C$65),"")</f>
        <v>PR005</v>
      </c>
      <c r="D65" t="str">
        <f>IFERROR(IF(0=LEN(ReferenceData!$D$65),"",ReferenceData!$D$65),"")</f>
        <v>PX_LAST</v>
      </c>
      <c r="E65" t="str">
        <f>IFERROR(IF(0=LEN(ReferenceData!$E$65),"",ReferenceData!$E$65),"")</f>
        <v>Dynamic</v>
      </c>
      <c r="F65">
        <f ca="1">IFERROR(IF(0=LEN(ReferenceData!$O$65),"",ReferenceData!$O$65),"")</f>
        <v>8.1341999999999999</v>
      </c>
      <c r="G65">
        <f ca="1">IFERROR(IF(0=LEN(ReferenceData!$N$65),"",ReferenceData!$N$65),"")</f>
        <v>8.2174999999999994</v>
      </c>
      <c r="H65">
        <f ca="1">IFERROR(IF(0=LEN(ReferenceData!$M$65),"",ReferenceData!$M$65),"")</f>
        <v>8.3409999999999993</v>
      </c>
      <c r="I65">
        <f ca="1">IFERROR(IF(0=LEN(ReferenceData!$L$65),"",ReferenceData!$L$65),"")</f>
        <v>7.5442999999999998</v>
      </c>
      <c r="J65">
        <f ca="1">IFERROR(IF(0=LEN(ReferenceData!$K$65),"",ReferenceData!$K$65),"")</f>
        <v>7.0914000000000001</v>
      </c>
      <c r="K65">
        <f ca="1">IFERROR(IF(0=LEN(ReferenceData!$J$65),"",ReferenceData!$J$65),"")</f>
        <v>7.3380999999999998</v>
      </c>
      <c r="L65">
        <f ca="1">IFERROR(IF(0=LEN(ReferenceData!$I$65),"",ReferenceData!$I$65),"")</f>
        <v>7.8023999999999996</v>
      </c>
      <c r="M65">
        <f ca="1">IFERROR(IF(0=LEN(ReferenceData!$H$65),"",ReferenceData!$H$65),"")</f>
        <v>7.8669000000000002</v>
      </c>
      <c r="N65">
        <f ca="1">IFERROR(IF(0=LEN(ReferenceData!$G$65),"",ReferenceData!$G$65),"")</f>
        <v>7.8148999999999997</v>
      </c>
      <c r="O65">
        <f ca="1">IFERROR(IF(0=LEN(ReferenceData!$F$65),"",ReferenceData!$F$65),"")</f>
        <v>7.9870000000000001</v>
      </c>
    </row>
    <row r="66" spans="1:15" x14ac:dyDescent="0.25">
      <c r="A66" t="str">
        <f>IFERROR(IF(0=LEN(ReferenceData!$A$66),"",ReferenceData!$A$66),"")</f>
        <v xml:space="preserve">        EUR JPY</v>
      </c>
      <c r="B66" t="str">
        <f>IFERROR(IF(0=LEN(ReferenceData!$B$66),"",ReferenceData!$B$66),"")</f>
        <v>EURJPY Curncy</v>
      </c>
      <c r="C66" t="str">
        <f>IFERROR(IF(0=LEN(ReferenceData!$C$66),"",ReferenceData!$C$66),"")</f>
        <v>PR005</v>
      </c>
      <c r="D66" t="str">
        <f>IFERROR(IF(0=LEN(ReferenceData!$D$66),"",ReferenceData!$D$66),"")</f>
        <v>PX_LAST</v>
      </c>
      <c r="E66" t="str">
        <f>IFERROR(IF(0=LEN(ReferenceData!$E$66),"",ReferenceData!$E$66),"")</f>
        <v>Dynamic</v>
      </c>
      <c r="F66">
        <f ca="1">IFERROR(IF(0=LEN(ReferenceData!$O$66),"",ReferenceData!$O$66),"")</f>
        <v>99.66</v>
      </c>
      <c r="G66">
        <f ca="1">IFERROR(IF(0=LEN(ReferenceData!$N$66),"",ReferenceData!$N$66),"")</f>
        <v>114.46</v>
      </c>
      <c r="H66">
        <f ca="1">IFERROR(IF(0=LEN(ReferenceData!$M$66),"",ReferenceData!$M$66),"")</f>
        <v>144.72999999999999</v>
      </c>
      <c r="I66">
        <f ca="1">IFERROR(IF(0=LEN(ReferenceData!$L$66),"",ReferenceData!$L$66),"")</f>
        <v>144.85</v>
      </c>
      <c r="J66">
        <f ca="1">IFERROR(IF(0=LEN(ReferenceData!$K$66),"",ReferenceData!$K$66),"")</f>
        <v>130.63999999999999</v>
      </c>
      <c r="K66">
        <f ca="1">IFERROR(IF(0=LEN(ReferenceData!$J$66),"",ReferenceData!$J$66),"")</f>
        <v>122.97</v>
      </c>
      <c r="L66">
        <f ca="1">IFERROR(IF(0=LEN(ReferenceData!$I$66),"",ReferenceData!$I$66),"")</f>
        <v>135.28</v>
      </c>
      <c r="M66">
        <f ca="1">IFERROR(IF(0=LEN(ReferenceData!$H$66),"",ReferenceData!$H$66),"")</f>
        <v>125.83</v>
      </c>
      <c r="N66">
        <f ca="1">IFERROR(IF(0=LEN(ReferenceData!$G$66),"",ReferenceData!$G$66),"")</f>
        <v>121.77</v>
      </c>
      <c r="O66">
        <f ca="1">IFERROR(IF(0=LEN(ReferenceData!$F$66),"",ReferenceData!$F$66),"")</f>
        <v>121.07</v>
      </c>
    </row>
    <row r="67" spans="1:15" x14ac:dyDescent="0.25">
      <c r="A67" t="str">
        <f>IFERROR(IF(0=LEN(ReferenceData!$A$67),"",ReferenceData!$A$67),"")</f>
        <v xml:space="preserve">        EUR CAD</v>
      </c>
      <c r="B67" t="str">
        <f>IFERROR(IF(0=LEN(ReferenceData!$B$67),"",ReferenceData!$B$67),"")</f>
        <v>EURCAD Curncy</v>
      </c>
      <c r="C67" t="str">
        <f>IFERROR(IF(0=LEN(ReferenceData!$C$67),"",ReferenceData!$C$67),"")</f>
        <v>PR005</v>
      </c>
      <c r="D67" t="str">
        <f>IFERROR(IF(0=LEN(ReferenceData!$D$67),"",ReferenceData!$D$67),"")</f>
        <v>PX_LAST</v>
      </c>
      <c r="E67" t="str">
        <f>IFERROR(IF(0=LEN(ReferenceData!$E$67),"",ReferenceData!$E$67),"")</f>
        <v>Dynamic</v>
      </c>
      <c r="F67">
        <f ca="1">IFERROR(IF(0=LEN(ReferenceData!$O$67),"",ReferenceData!$O$67),"")</f>
        <v>1.32368</v>
      </c>
      <c r="G67">
        <f ca="1">IFERROR(IF(0=LEN(ReferenceData!$N$67),"",ReferenceData!$N$67),"")</f>
        <v>1.30948</v>
      </c>
      <c r="H67">
        <f ca="1">IFERROR(IF(0=LEN(ReferenceData!$M$67),"",ReferenceData!$M$67),"")</f>
        <v>1.46008</v>
      </c>
      <c r="I67">
        <f ca="1">IFERROR(IF(0=LEN(ReferenceData!$L$67),"",ReferenceData!$L$67),"")</f>
        <v>1.40605</v>
      </c>
      <c r="J67">
        <f ca="1">IFERROR(IF(0=LEN(ReferenceData!$K$67),"",ReferenceData!$K$67),"")</f>
        <v>1.5033799999999999</v>
      </c>
      <c r="K67">
        <f ca="1">IFERROR(IF(0=LEN(ReferenceData!$J$67),"",ReferenceData!$J$67),"")</f>
        <v>1.4133800000000001</v>
      </c>
      <c r="L67">
        <f ca="1">IFERROR(IF(0=LEN(ReferenceData!$I$67),"",ReferenceData!$I$67),"")</f>
        <v>1.5088600000000001</v>
      </c>
      <c r="M67">
        <f ca="1">IFERROR(IF(0=LEN(ReferenceData!$H$67),"",ReferenceData!$H$67),"")</f>
        <v>1.5636000000000001</v>
      </c>
      <c r="N67">
        <f ca="1">IFERROR(IF(0=LEN(ReferenceData!$G$67),"",ReferenceData!$G$67),"")</f>
        <v>1.45668</v>
      </c>
      <c r="O67">
        <f ca="1">IFERROR(IF(0=LEN(ReferenceData!$F$67),"",ReferenceData!$F$67),"")</f>
        <v>1.5344599999999999</v>
      </c>
    </row>
    <row r="68" spans="1:15" x14ac:dyDescent="0.25">
      <c r="A68" t="str">
        <f>IFERROR(IF(0=LEN(ReferenceData!$A$68),"",ReferenceData!$A$68),"")</f>
        <v xml:space="preserve">        EUR AUD</v>
      </c>
      <c r="B68" t="str">
        <f>IFERROR(IF(0=LEN(ReferenceData!$B$68),"",ReferenceData!$B$68),"")</f>
        <v>EURAUD Curncy</v>
      </c>
      <c r="C68" t="str">
        <f>IFERROR(IF(0=LEN(ReferenceData!$C$68),"",ReferenceData!$C$68),"")</f>
        <v>PR005</v>
      </c>
      <c r="D68" t="str">
        <f>IFERROR(IF(0=LEN(ReferenceData!$D$68),"",ReferenceData!$D$68),"")</f>
        <v>PX_LAST</v>
      </c>
      <c r="E68" t="str">
        <f>IFERROR(IF(0=LEN(ReferenceData!$E$68),"",ReferenceData!$E$68),"")</f>
        <v>Dynamic</v>
      </c>
      <c r="F68">
        <f ca="1">IFERROR(IF(0=LEN(ReferenceData!$O$68),"",ReferenceData!$O$68),"")</f>
        <v>1.26938</v>
      </c>
      <c r="G68">
        <f ca="1">IFERROR(IF(0=LEN(ReferenceData!$N$68),"",ReferenceData!$N$68),"")</f>
        <v>1.26922</v>
      </c>
      <c r="H68">
        <f ca="1">IFERROR(IF(0=LEN(ReferenceData!$M$68),"",ReferenceData!$M$68),"")</f>
        <v>1.5411600000000001</v>
      </c>
      <c r="I68">
        <f ca="1">IFERROR(IF(0=LEN(ReferenceData!$L$68),"",ReferenceData!$L$68),"")</f>
        <v>1.4799500000000001</v>
      </c>
      <c r="J68">
        <f ca="1">IFERROR(IF(0=LEN(ReferenceData!$K$68),"",ReferenceData!$K$68),"")</f>
        <v>1.4915099999999999</v>
      </c>
      <c r="K68">
        <f ca="1">IFERROR(IF(0=LEN(ReferenceData!$J$68),"",ReferenceData!$J$68),"")</f>
        <v>1.4596899999999999</v>
      </c>
      <c r="L68">
        <f ca="1">IFERROR(IF(0=LEN(ReferenceData!$I$68),"",ReferenceData!$I$68),"")</f>
        <v>1.53722</v>
      </c>
      <c r="M68">
        <f ca="1">IFERROR(IF(0=LEN(ReferenceData!$H$68),"",ReferenceData!$H$68),"")</f>
        <v>1.6268100000000001</v>
      </c>
      <c r="N68">
        <f ca="1">IFERROR(IF(0=LEN(ReferenceData!$G$68),"",ReferenceData!$G$68),"")</f>
        <v>1.5971299999999999</v>
      </c>
      <c r="O68">
        <f ca="1">IFERROR(IF(0=LEN(ReferenceData!$F$68),"",ReferenceData!$F$68),"")</f>
        <v>1.64324</v>
      </c>
    </row>
    <row r="69" spans="1:15" x14ac:dyDescent="0.25">
      <c r="A69" t="str">
        <f>IFERROR(IF(0=LEN(ReferenceData!$A$69),"",ReferenceData!$A$69),"")</f>
        <v/>
      </c>
      <c r="B69" t="str">
        <f>IFERROR(IF(0=LEN(ReferenceData!$B$69),"",ReferenceData!$B$69),"")</f>
        <v/>
      </c>
      <c r="C69" t="str">
        <f>IFERROR(IF(0=LEN(ReferenceData!$C$69),"",ReferenceData!$C$69),"")</f>
        <v/>
      </c>
      <c r="D69" t="str">
        <f>IFERROR(IF(0=LEN(ReferenceData!$D$69),"",ReferenceData!$D$69),"")</f>
        <v/>
      </c>
      <c r="E69" t="str">
        <f>IFERROR(IF(0=LEN(ReferenceData!$E$69),"",ReferenceData!$E$69),"")</f>
        <v>Static</v>
      </c>
      <c r="F69" t="str">
        <f ca="1">IFERROR(IF(0=LEN(ReferenceData!$O$69),"",ReferenceData!$O$69),"")</f>
        <v/>
      </c>
      <c r="G69" t="str">
        <f ca="1">IFERROR(IF(0=LEN(ReferenceData!$N$69),"",ReferenceData!$N$69),"")</f>
        <v/>
      </c>
      <c r="H69" t="str">
        <f ca="1">IFERROR(IF(0=LEN(ReferenceData!$M$69),"",ReferenceData!$M$69),"")</f>
        <v/>
      </c>
      <c r="I69" t="str">
        <f ca="1">IFERROR(IF(0=LEN(ReferenceData!$L$69),"",ReferenceData!$L$69),"")</f>
        <v/>
      </c>
      <c r="J69" t="str">
        <f ca="1">IFERROR(IF(0=LEN(ReferenceData!$K$69),"",ReferenceData!$K$69),"")</f>
        <v/>
      </c>
      <c r="K69" t="str">
        <f ca="1">IFERROR(IF(0=LEN(ReferenceData!$J$69),"",ReferenceData!$J$69),"")</f>
        <v/>
      </c>
      <c r="L69" t="str">
        <f ca="1">IFERROR(IF(0=LEN(ReferenceData!$I$69),"",ReferenceData!$I$69),"")</f>
        <v/>
      </c>
      <c r="M69" t="str">
        <f ca="1">IFERROR(IF(0=LEN(ReferenceData!$H$69),"",ReferenceData!$H$69),"")</f>
        <v/>
      </c>
      <c r="N69" t="str">
        <f ca="1">IFERROR(IF(0=LEN(ReferenceData!$G$69),"",ReferenceData!$G$69),"")</f>
        <v/>
      </c>
      <c r="O69" t="str">
        <f ca="1">IFERROR(IF(0=LEN(ReferenceData!$F$69),"",ReferenceData!$F$69),"")</f>
        <v/>
      </c>
    </row>
    <row r="70" spans="1:15" x14ac:dyDescent="0.25">
      <c r="A70" t="str">
        <f>IFERROR(IF(0=LEN(ReferenceData!$A$70),"",ReferenceData!$A$70),"")</f>
        <v>GDP</v>
      </c>
      <c r="B70" t="str">
        <f>IFERROR(IF(0=LEN(ReferenceData!$B$70),"",ReferenceData!$B$70),"")</f>
        <v/>
      </c>
      <c r="C70" t="str">
        <f>IFERROR(IF(0=LEN(ReferenceData!$C$70),"",ReferenceData!$C$70),"")</f>
        <v/>
      </c>
      <c r="D70" t="str">
        <f>IFERROR(IF(0=LEN(ReferenceData!$D$70),"",ReferenceData!$D$70),"")</f>
        <v/>
      </c>
      <c r="E70" t="str">
        <f>IFERROR(IF(0=LEN(ReferenceData!$E$70),"",ReferenceData!$E$70),"")</f>
        <v>Static</v>
      </c>
      <c r="F70" t="str">
        <f ca="1">IFERROR(IF(0=LEN(ReferenceData!$O$70),"",ReferenceData!$O$70),"")</f>
        <v/>
      </c>
      <c r="G70" t="str">
        <f ca="1">IFERROR(IF(0=LEN(ReferenceData!$N$70),"",ReferenceData!$N$70),"")</f>
        <v/>
      </c>
      <c r="H70" t="str">
        <f ca="1">IFERROR(IF(0=LEN(ReferenceData!$M$70),"",ReferenceData!$M$70),"")</f>
        <v/>
      </c>
      <c r="I70" t="str">
        <f ca="1">IFERROR(IF(0=LEN(ReferenceData!$L$70),"",ReferenceData!$L$70),"")</f>
        <v/>
      </c>
      <c r="J70" t="str">
        <f ca="1">IFERROR(IF(0=LEN(ReferenceData!$K$70),"",ReferenceData!$K$70),"")</f>
        <v/>
      </c>
      <c r="K70" t="str">
        <f ca="1">IFERROR(IF(0=LEN(ReferenceData!$J$70),"",ReferenceData!$J$70),"")</f>
        <v/>
      </c>
      <c r="L70" t="str">
        <f ca="1">IFERROR(IF(0=LEN(ReferenceData!$I$70),"",ReferenceData!$I$70),"")</f>
        <v/>
      </c>
      <c r="M70" t="str">
        <f ca="1">IFERROR(IF(0=LEN(ReferenceData!$H$70),"",ReferenceData!$H$70),"")</f>
        <v/>
      </c>
      <c r="N70" t="str">
        <f ca="1">IFERROR(IF(0=LEN(ReferenceData!$G$70),"",ReferenceData!$G$70),"")</f>
        <v/>
      </c>
      <c r="O70" t="str">
        <f ca="1">IFERROR(IF(0=LEN(ReferenceData!$F$70),"",ReferenceData!$F$70),"")</f>
        <v/>
      </c>
    </row>
    <row r="71" spans="1:15" x14ac:dyDescent="0.25">
      <c r="A71" t="str">
        <f>IFERROR(IF(0=LEN(ReferenceData!$A$71),"",ReferenceData!$A$71),"")</f>
        <v xml:space="preserve">    North America</v>
      </c>
      <c r="B71" t="str">
        <f>IFERROR(IF(0=LEN(ReferenceData!$B$71),"",ReferenceData!$B$71),"")</f>
        <v/>
      </c>
      <c r="C71" t="str">
        <f>IFERROR(IF(0=LEN(ReferenceData!$C$71),"",ReferenceData!$C$71),"")</f>
        <v/>
      </c>
      <c r="D71" t="str">
        <f>IFERROR(IF(0=LEN(ReferenceData!$D$71),"",ReferenceData!$D$71),"")</f>
        <v/>
      </c>
      <c r="E71" t="str">
        <f>IFERROR(IF(0=LEN(ReferenceData!$E$71),"",ReferenceData!$E$71),"")</f>
        <v>Static</v>
      </c>
      <c r="F71" t="str">
        <f ca="1">IFERROR(IF(0=LEN(ReferenceData!$O$71),"",ReferenceData!$O$71),"")</f>
        <v/>
      </c>
      <c r="G71" t="str">
        <f ca="1">IFERROR(IF(0=LEN(ReferenceData!$N$71),"",ReferenceData!$N$71),"")</f>
        <v/>
      </c>
      <c r="H71" t="str">
        <f ca="1">IFERROR(IF(0=LEN(ReferenceData!$M$71),"",ReferenceData!$M$71),"")</f>
        <v/>
      </c>
      <c r="I71" t="str">
        <f ca="1">IFERROR(IF(0=LEN(ReferenceData!$L$71),"",ReferenceData!$L$71),"")</f>
        <v/>
      </c>
      <c r="J71" t="str">
        <f ca="1">IFERROR(IF(0=LEN(ReferenceData!$K$71),"",ReferenceData!$K$71),"")</f>
        <v/>
      </c>
      <c r="K71" t="str">
        <f ca="1">IFERROR(IF(0=LEN(ReferenceData!$J$71),"",ReferenceData!$J$71),"")</f>
        <v/>
      </c>
      <c r="L71" t="str">
        <f ca="1">IFERROR(IF(0=LEN(ReferenceData!$I$71),"",ReferenceData!$I$71),"")</f>
        <v/>
      </c>
      <c r="M71" t="str">
        <f ca="1">IFERROR(IF(0=LEN(ReferenceData!$H$71),"",ReferenceData!$H$71),"")</f>
        <v/>
      </c>
      <c r="N71" t="str">
        <f ca="1">IFERROR(IF(0=LEN(ReferenceData!$G$71),"",ReferenceData!$G$71),"")</f>
        <v/>
      </c>
      <c r="O71" t="str">
        <f ca="1">IFERROR(IF(0=LEN(ReferenceData!$F$71),"",ReferenceData!$F$71),"")</f>
        <v/>
      </c>
    </row>
    <row r="72" spans="1:15" x14ac:dyDescent="0.25">
      <c r="A72" t="str">
        <f>IFERROR(IF(0=LEN(ReferenceData!$A$72),"",ReferenceData!$A$72),"")</f>
        <v xml:space="preserve">        United States (qoq %)</v>
      </c>
      <c r="B72" t="str">
        <f>IFERROR(IF(0=LEN(ReferenceData!$B$72),"",ReferenceData!$B$72),"")</f>
        <v>GDP CQOQ Index</v>
      </c>
      <c r="C72" t="str">
        <f>IFERROR(IF(0=LEN(ReferenceData!$C$72),"",ReferenceData!$C$72),"")</f>
        <v>PR005</v>
      </c>
      <c r="D72" t="str">
        <f>IFERROR(IF(0=LEN(ReferenceData!$D$72),"",ReferenceData!$D$72),"")</f>
        <v>PX_LAST</v>
      </c>
      <c r="E72" t="str">
        <f>IFERROR(IF(0=LEN(ReferenceData!$E$72),"",ReferenceData!$E$72),"")</f>
        <v>Dynamic</v>
      </c>
      <c r="F72">
        <f ca="1">IFERROR(IF(0=LEN(ReferenceData!$O$72),"",ReferenceData!$O$72),"")</f>
        <v>1.6</v>
      </c>
      <c r="G72">
        <f ca="1">IFERROR(IF(0=LEN(ReferenceData!$N$72),"",ReferenceData!$N$72),"")</f>
        <v>2.2000000000000002</v>
      </c>
      <c r="H72">
        <f ca="1">IFERROR(IF(0=LEN(ReferenceData!$M$72),"",ReferenceData!$M$72),"")</f>
        <v>1.8</v>
      </c>
      <c r="I72">
        <f ca="1">IFERROR(IF(0=LEN(ReferenceData!$L$72),"",ReferenceData!$L$72),"")</f>
        <v>2.5</v>
      </c>
      <c r="J72">
        <f ca="1">IFERROR(IF(0=LEN(ReferenceData!$K$72),"",ReferenceData!$K$72),"")</f>
        <v>2.9</v>
      </c>
      <c r="K72">
        <f ca="1">IFERROR(IF(0=LEN(ReferenceData!$J$72),"",ReferenceData!$J$72),"")</f>
        <v>1.6</v>
      </c>
      <c r="L72">
        <f ca="1">IFERROR(IF(0=LEN(ReferenceData!$I$72),"",ReferenceData!$I$72),"")</f>
        <v>2.4</v>
      </c>
      <c r="M72">
        <f ca="1">IFERROR(IF(0=LEN(ReferenceData!$H$72),"",ReferenceData!$H$72),"")</f>
        <v>2.9</v>
      </c>
      <c r="N72">
        <f ca="1">IFERROR(IF(0=LEN(ReferenceData!$G$72),"",ReferenceData!$G$72),"")</f>
        <v>2.2999999999999998</v>
      </c>
      <c r="O72">
        <f ca="1">IFERROR(IF(0=LEN(ReferenceData!$F$72),"",ReferenceData!$F$72),"")</f>
        <v>-5</v>
      </c>
    </row>
    <row r="73" spans="1:15" x14ac:dyDescent="0.25">
      <c r="A73" t="str">
        <f>IFERROR(IF(0=LEN(ReferenceData!$A$73),"",ReferenceData!$A$73),"")</f>
        <v xml:space="preserve">            GDP ($)</v>
      </c>
      <c r="B73" t="str">
        <f>IFERROR(IF(0=LEN(ReferenceData!$B$73),"",ReferenceData!$B$73),"")</f>
        <v>GDP CHWG Index</v>
      </c>
      <c r="C73" t="str">
        <f>IFERROR(IF(0=LEN(ReferenceData!$C$73),"",ReferenceData!$C$73),"")</f>
        <v>PR005</v>
      </c>
      <c r="D73" t="str">
        <f>IFERROR(IF(0=LEN(ReferenceData!$D$73),"",ReferenceData!$D$73),"")</f>
        <v>PX_LAST</v>
      </c>
      <c r="E73" t="str">
        <f>IFERROR(IF(0=LEN(ReferenceData!$E$73),"",ReferenceData!$E$73),"")</f>
        <v>Dynamic</v>
      </c>
      <c r="F73">
        <f ca="1">IFERROR(IF(0=LEN(ReferenceData!$O$73),"",ReferenceData!$O$73),"")</f>
        <v>15840.664000000001</v>
      </c>
      <c r="G73">
        <f ca="1">IFERROR(IF(0=LEN(ReferenceData!$N$73),"",ReferenceData!$N$73),"")</f>
        <v>16197.007</v>
      </c>
      <c r="H73">
        <f ca="1">IFERROR(IF(0=LEN(ReferenceData!$M$73),"",ReferenceData!$M$73),"")</f>
        <v>16495.368999999999</v>
      </c>
      <c r="I73">
        <f ca="1">IFERROR(IF(0=LEN(ReferenceData!$L$73),"",ReferenceData!$L$73),"")</f>
        <v>16912.038</v>
      </c>
      <c r="J73">
        <f ca="1">IFERROR(IF(0=LEN(ReferenceData!$K$73),"",ReferenceData!$K$73),"")</f>
        <v>17403.843000000001</v>
      </c>
      <c r="K73">
        <f ca="1">IFERROR(IF(0=LEN(ReferenceData!$J$73),"",ReferenceData!$J$73),"")</f>
        <v>17688.89</v>
      </c>
      <c r="L73">
        <f ca="1">IFERROR(IF(0=LEN(ReferenceData!$I$73),"",ReferenceData!$I$73),"")</f>
        <v>18108.081999999999</v>
      </c>
      <c r="M73">
        <f ca="1">IFERROR(IF(0=LEN(ReferenceData!$H$73),"",ReferenceData!$H$73),"")</f>
        <v>18638.164000000001</v>
      </c>
      <c r="N73">
        <f ca="1">IFERROR(IF(0=LEN(ReferenceData!$G$73),"",ReferenceData!$G$73),"")</f>
        <v>19073.056</v>
      </c>
      <c r="O73" t="str">
        <f ca="1">IFERROR(IF(0=LEN(ReferenceData!$F$73),"",ReferenceData!$F$73),"")</f>
        <v/>
      </c>
    </row>
    <row r="74" spans="1:15" x14ac:dyDescent="0.25">
      <c r="A74" t="str">
        <f>IFERROR(IF(0=LEN(ReferenceData!$A$74),"",ReferenceData!$A$74),"")</f>
        <v xml:space="preserve">            Software (yoy %)</v>
      </c>
      <c r="B74" t="str">
        <f>IFERROR(IF(0=LEN(ReferenceData!$B$74),"",ReferenceData!$B$74),"")</f>
        <v>GDP$SOFY Index</v>
      </c>
      <c r="C74" t="str">
        <f>IFERROR(IF(0=LEN(ReferenceData!$C$74),"",ReferenceData!$C$74),"")</f>
        <v>PR005</v>
      </c>
      <c r="D74" t="str">
        <f>IFERROR(IF(0=LEN(ReferenceData!$D$74),"",ReferenceData!$D$74),"")</f>
        <v>PX_LAST</v>
      </c>
      <c r="E74" t="str">
        <f>IFERROR(IF(0=LEN(ReferenceData!$E$74),"",ReferenceData!$E$74),"")</f>
        <v>Dynamic</v>
      </c>
      <c r="F74">
        <f ca="1">IFERROR(IF(0=LEN(ReferenceData!$O$74),"",ReferenceData!$O$74),"")</f>
        <v>10.32405</v>
      </c>
      <c r="G74">
        <f ca="1">IFERROR(IF(0=LEN(ReferenceData!$N$74),"",ReferenceData!$N$74),"")</f>
        <v>8.9307200000000009</v>
      </c>
      <c r="H74">
        <f ca="1">IFERROR(IF(0=LEN(ReferenceData!$M$74),"",ReferenceData!$M$74),"")</f>
        <v>4.2655799999999999</v>
      </c>
      <c r="I74">
        <f ca="1">IFERROR(IF(0=LEN(ReferenceData!$L$74),"",ReferenceData!$L$74),"")</f>
        <v>4.8913200000000003</v>
      </c>
      <c r="J74">
        <f ca="1">IFERROR(IF(0=LEN(ReferenceData!$K$74),"",ReferenceData!$K$74),"")</f>
        <v>3.2257799999999999</v>
      </c>
      <c r="K74">
        <f ca="1">IFERROR(IF(0=LEN(ReferenceData!$J$74),"",ReferenceData!$J$74),"")</f>
        <v>6.6631099999999996</v>
      </c>
      <c r="L74">
        <f ca="1">IFERROR(IF(0=LEN(ReferenceData!$I$74),"",ReferenceData!$I$74),"")</f>
        <v>6.1989400000000003</v>
      </c>
      <c r="M74">
        <f ca="1">IFERROR(IF(0=LEN(ReferenceData!$H$74),"",ReferenceData!$H$74),"")</f>
        <v>9.2233199999999993</v>
      </c>
      <c r="N74">
        <f ca="1">IFERROR(IF(0=LEN(ReferenceData!$G$74),"",ReferenceData!$G$74),"")</f>
        <v>9.3344400000000007</v>
      </c>
      <c r="O74" t="str">
        <f ca="1">IFERROR(IF(0=LEN(ReferenceData!$F$74),"",ReferenceData!$F$74),"")</f>
        <v/>
      </c>
    </row>
    <row r="75" spans="1:15" x14ac:dyDescent="0.25">
      <c r="A75" t="str">
        <f>IFERROR(IF(0=LEN(ReferenceData!$A$75),"",ReferenceData!$A$75),"")</f>
        <v xml:space="preserve">                Software ($)</v>
      </c>
      <c r="B75" t="str">
        <f>IFERROR(IF(0=LEN(ReferenceData!$B$75),"",ReferenceData!$B$75),"")</f>
        <v>GDP$SOFT Index</v>
      </c>
      <c r="C75" t="str">
        <f>IFERROR(IF(0=LEN(ReferenceData!$C$75),"",ReferenceData!$C$75),"")</f>
        <v>PR005</v>
      </c>
      <c r="D75" t="str">
        <f>IFERROR(IF(0=LEN(ReferenceData!$D$75),"",ReferenceData!$D$75),"")</f>
        <v>PX_LAST</v>
      </c>
      <c r="E75" t="str">
        <f>IFERROR(IF(0=LEN(ReferenceData!$E$75),"",ReferenceData!$E$75),"")</f>
        <v>Dynamic</v>
      </c>
      <c r="F75">
        <f ca="1">IFERROR(IF(0=LEN(ReferenceData!$O$75),"",ReferenceData!$O$75),"")</f>
        <v>249.756</v>
      </c>
      <c r="G75">
        <f ca="1">IFERROR(IF(0=LEN(ReferenceData!$N$75),"",ReferenceData!$N$75),"")</f>
        <v>272.06099999999998</v>
      </c>
      <c r="H75">
        <f ca="1">IFERROR(IF(0=LEN(ReferenceData!$M$75),"",ReferenceData!$M$75),"")</f>
        <v>283.666</v>
      </c>
      <c r="I75">
        <f ca="1">IFERROR(IF(0=LEN(ReferenceData!$L$75),"",ReferenceData!$L$75),"")</f>
        <v>297.541</v>
      </c>
      <c r="J75">
        <f ca="1">IFERROR(IF(0=LEN(ReferenceData!$K$75),"",ReferenceData!$K$75),"")</f>
        <v>307.13900000000001</v>
      </c>
      <c r="K75">
        <f ca="1">IFERROR(IF(0=LEN(ReferenceData!$J$75),"",ReferenceData!$J$75),"")</f>
        <v>327.60399999999998</v>
      </c>
      <c r="L75">
        <f ca="1">IFERROR(IF(0=LEN(ReferenceData!$I$75),"",ReferenceData!$I$75),"")</f>
        <v>347.91199999999998</v>
      </c>
      <c r="M75">
        <f ca="1">IFERROR(IF(0=LEN(ReferenceData!$H$75),"",ReferenceData!$H$75),"")</f>
        <v>380.00099999999998</v>
      </c>
      <c r="N75">
        <f ca="1">IFERROR(IF(0=LEN(ReferenceData!$G$75),"",ReferenceData!$G$75),"")</f>
        <v>415.47199999999998</v>
      </c>
      <c r="O75" t="str">
        <f ca="1">IFERROR(IF(0=LEN(ReferenceData!$F$75),"",ReferenceData!$F$75),"")</f>
        <v/>
      </c>
    </row>
    <row r="76" spans="1:15" x14ac:dyDescent="0.25">
      <c r="A76" t="str">
        <f>IFERROR(IF(0=LEN(ReferenceData!$A$76),"",ReferenceData!$A$76),"")</f>
        <v xml:space="preserve">            Computer  (yoy%)</v>
      </c>
      <c r="B76" t="str">
        <f>IFERROR(IF(0=LEN(ReferenceData!$B$76),"",ReferenceData!$B$76),"")</f>
        <v>GDP$CAPY Index</v>
      </c>
      <c r="C76" t="str">
        <f>IFERROR(IF(0=LEN(ReferenceData!$C$76),"",ReferenceData!$C$76),"")</f>
        <v>PR005</v>
      </c>
      <c r="D76" t="str">
        <f>IFERROR(IF(0=LEN(ReferenceData!$D$76),"",ReferenceData!$D$76),"")</f>
        <v>PX_LAST</v>
      </c>
      <c r="E76" t="str">
        <f>IFERROR(IF(0=LEN(ReferenceData!$E$76),"",ReferenceData!$E$76),"")</f>
        <v>Dynamic</v>
      </c>
      <c r="F76">
        <f ca="1">IFERROR(IF(0=LEN(ReferenceData!$O$76),"",ReferenceData!$O$76),"")</f>
        <v>-4.0098500000000001</v>
      </c>
      <c r="G76">
        <f ca="1">IFERROR(IF(0=LEN(ReferenceData!$N$76),"",ReferenceData!$N$76),"")</f>
        <v>8.3097100000000008</v>
      </c>
      <c r="H76">
        <f ca="1">IFERROR(IF(0=LEN(ReferenceData!$M$76),"",ReferenceData!$M$76),"")</f>
        <v>-1.36772</v>
      </c>
      <c r="I76">
        <f ca="1">IFERROR(IF(0=LEN(ReferenceData!$L$76),"",ReferenceData!$L$76),"")</f>
        <v>-0.20957000000000001</v>
      </c>
      <c r="J76">
        <f ca="1">IFERROR(IF(0=LEN(ReferenceData!$K$76),"",ReferenceData!$K$76),"")</f>
        <v>-0.27772999999999998</v>
      </c>
      <c r="K76">
        <f ca="1">IFERROR(IF(0=LEN(ReferenceData!$J$76),"",ReferenceData!$J$76),"")</f>
        <v>-2.0498500000000002</v>
      </c>
      <c r="L76">
        <f ca="1">IFERROR(IF(0=LEN(ReferenceData!$I$76),"",ReferenceData!$I$76),"")</f>
        <v>8.3499199999999991</v>
      </c>
      <c r="M76">
        <f ca="1">IFERROR(IF(0=LEN(ReferenceData!$H$76),"",ReferenceData!$H$76),"")</f>
        <v>10.141400000000001</v>
      </c>
      <c r="N76">
        <f ca="1">IFERROR(IF(0=LEN(ReferenceData!$G$76),"",ReferenceData!$G$76),"")</f>
        <v>0.98836999999999997</v>
      </c>
      <c r="O76" t="str">
        <f ca="1">IFERROR(IF(0=LEN(ReferenceData!$F$76),"",ReferenceData!$F$76),"")</f>
        <v/>
      </c>
    </row>
    <row r="77" spans="1:15" x14ac:dyDescent="0.25">
      <c r="A77" t="str">
        <f>IFERROR(IF(0=LEN(ReferenceData!$A$77),"",ReferenceData!$A$77),"")</f>
        <v xml:space="preserve">                Computer  ($)</v>
      </c>
      <c r="B77" t="str">
        <f>IFERROR(IF(0=LEN(ReferenceData!$B$77),"",ReferenceData!$B$77),"")</f>
        <v>GDP$CAPE Index</v>
      </c>
      <c r="C77" t="str">
        <f>IFERROR(IF(0=LEN(ReferenceData!$C$77),"",ReferenceData!$C$77),"")</f>
        <v>PR005</v>
      </c>
      <c r="D77" t="str">
        <f>IFERROR(IF(0=LEN(ReferenceData!$D$77),"",ReferenceData!$D$77),"")</f>
        <v>PX_LAST</v>
      </c>
      <c r="E77" t="str">
        <f>IFERROR(IF(0=LEN(ReferenceData!$E$77),"",ReferenceData!$E$77),"")</f>
        <v>Dynamic</v>
      </c>
      <c r="F77">
        <f ca="1">IFERROR(IF(0=LEN(ReferenceData!$O$77),"",ReferenceData!$O$77),"")</f>
        <v>95.587000000000003</v>
      </c>
      <c r="G77">
        <f ca="1">IFERROR(IF(0=LEN(ReferenceData!$N$77),"",ReferenceData!$N$77),"")</f>
        <v>103.53</v>
      </c>
      <c r="H77">
        <f ca="1">IFERROR(IF(0=LEN(ReferenceData!$M$77),"",ReferenceData!$M$77),"")</f>
        <v>102.114</v>
      </c>
      <c r="I77">
        <f ca="1">IFERROR(IF(0=LEN(ReferenceData!$L$77),"",ReferenceData!$L$77),"")</f>
        <v>101.9</v>
      </c>
      <c r="J77">
        <f ca="1">IFERROR(IF(0=LEN(ReferenceData!$K$77),"",ReferenceData!$K$77),"")</f>
        <v>101.617</v>
      </c>
      <c r="K77">
        <f ca="1">IFERROR(IF(0=LEN(ReferenceData!$J$77),"",ReferenceData!$J$77),"")</f>
        <v>99.534000000000006</v>
      </c>
      <c r="L77">
        <f ca="1">IFERROR(IF(0=LEN(ReferenceData!$I$77),"",ReferenceData!$I$77),"")</f>
        <v>107.845</v>
      </c>
      <c r="M77">
        <f ca="1">IFERROR(IF(0=LEN(ReferenceData!$H$77),"",ReferenceData!$H$77),"")</f>
        <v>118.782</v>
      </c>
      <c r="N77">
        <f ca="1">IFERROR(IF(0=LEN(ReferenceData!$G$77),"",ReferenceData!$G$77),"")</f>
        <v>119.956</v>
      </c>
      <c r="O77" t="str">
        <f ca="1">IFERROR(IF(0=LEN(ReferenceData!$F$77),"",ReferenceData!$F$77),"")</f>
        <v/>
      </c>
    </row>
    <row r="78" spans="1:15" x14ac:dyDescent="0.25">
      <c r="A78" t="str">
        <f>IFERROR(IF(0=LEN(ReferenceData!$A$78),"",ReferenceData!$A$78),"")</f>
        <v xml:space="preserve">        Canada</v>
      </c>
      <c r="B78" t="str">
        <f>IFERROR(IF(0=LEN(ReferenceData!$B$78),"",ReferenceData!$B$78),"")</f>
        <v>CAGDPYOY Index</v>
      </c>
      <c r="C78" t="str">
        <f>IFERROR(IF(0=LEN(ReferenceData!$C$78),"",ReferenceData!$C$78),"")</f>
        <v>PR005</v>
      </c>
      <c r="D78" t="str">
        <f>IFERROR(IF(0=LEN(ReferenceData!$D$78),"",ReferenceData!$D$78),"")</f>
        <v>PX_LAST</v>
      </c>
      <c r="E78" t="str">
        <f>IFERROR(IF(0=LEN(ReferenceData!$E$78),"",ReferenceData!$E$78),"")</f>
        <v>Dynamic</v>
      </c>
      <c r="F78">
        <f ca="1">IFERROR(IF(0=LEN(ReferenceData!$O$78),"",ReferenceData!$O$78),"")</f>
        <v>2.8025600000000002</v>
      </c>
      <c r="G78">
        <f ca="1">IFERROR(IF(0=LEN(ReferenceData!$N$78),"",ReferenceData!$N$78),"")</f>
        <v>0.93537000000000003</v>
      </c>
      <c r="H78">
        <f ca="1">IFERROR(IF(0=LEN(ReferenceData!$M$78),"",ReferenceData!$M$78),"")</f>
        <v>3.0689099999999998</v>
      </c>
      <c r="I78">
        <f ca="1">IFERROR(IF(0=LEN(ReferenceData!$L$78),"",ReferenceData!$L$78),"")</f>
        <v>2.99248</v>
      </c>
      <c r="J78">
        <f ca="1">IFERROR(IF(0=LEN(ReferenceData!$K$78),"",ReferenceData!$K$78),"")</f>
        <v>6.8199999999999997E-2</v>
      </c>
      <c r="K78">
        <f ca="1">IFERROR(IF(0=LEN(ReferenceData!$J$78),"",ReferenceData!$J$78),"")</f>
        <v>1.84724</v>
      </c>
      <c r="L78">
        <f ca="1">IFERROR(IF(0=LEN(ReferenceData!$I$78),"",ReferenceData!$I$78),"")</f>
        <v>3.33107</v>
      </c>
      <c r="M78">
        <f ca="1">IFERROR(IF(0=LEN(ReferenceData!$H$78),"",ReferenceData!$H$78),"")</f>
        <v>1.3010299999999999</v>
      </c>
      <c r="N78">
        <f ca="1">IFERROR(IF(0=LEN(ReferenceData!$G$78),"",ReferenceData!$G$78),"")</f>
        <v>2.0614499999999998</v>
      </c>
      <c r="O78">
        <f ca="1">IFERROR(IF(0=LEN(ReferenceData!$F$78),"",ReferenceData!$F$78),"")</f>
        <v>-5.8343499999999997</v>
      </c>
    </row>
    <row r="79" spans="1:15" x14ac:dyDescent="0.25">
      <c r="A79" t="str">
        <f>IFERROR(IF(0=LEN(ReferenceData!$A$79),"",ReferenceData!$A$79),"")</f>
        <v xml:space="preserve">    South America</v>
      </c>
      <c r="B79" t="str">
        <f>IFERROR(IF(0=LEN(ReferenceData!$B$79),"",ReferenceData!$B$79),"")</f>
        <v/>
      </c>
      <c r="C79" t="str">
        <f>IFERROR(IF(0=LEN(ReferenceData!$C$79),"",ReferenceData!$C$79),"")</f>
        <v/>
      </c>
      <c r="D79" t="str">
        <f>IFERROR(IF(0=LEN(ReferenceData!$D$79),"",ReferenceData!$D$79),"")</f>
        <v/>
      </c>
      <c r="E79" t="str">
        <f>IFERROR(IF(0=LEN(ReferenceData!$E$79),"",ReferenceData!$E$79),"")</f>
        <v>Static</v>
      </c>
      <c r="F79" t="str">
        <f ca="1">IFERROR(IF(0=LEN(ReferenceData!$O$79),"",ReferenceData!$O$79),"")</f>
        <v/>
      </c>
      <c r="G79" t="str">
        <f ca="1">IFERROR(IF(0=LEN(ReferenceData!$N$79),"",ReferenceData!$N$79),"")</f>
        <v/>
      </c>
      <c r="H79" t="str">
        <f ca="1">IFERROR(IF(0=LEN(ReferenceData!$M$79),"",ReferenceData!$M$79),"")</f>
        <v/>
      </c>
      <c r="I79" t="str">
        <f ca="1">IFERROR(IF(0=LEN(ReferenceData!$L$79),"",ReferenceData!$L$79),"")</f>
        <v/>
      </c>
      <c r="J79" t="str">
        <f ca="1">IFERROR(IF(0=LEN(ReferenceData!$K$79),"",ReferenceData!$K$79),"")</f>
        <v/>
      </c>
      <c r="K79" t="str">
        <f ca="1">IFERROR(IF(0=LEN(ReferenceData!$J$79),"",ReferenceData!$J$79),"")</f>
        <v/>
      </c>
      <c r="L79" t="str">
        <f ca="1">IFERROR(IF(0=LEN(ReferenceData!$I$79),"",ReferenceData!$I$79),"")</f>
        <v/>
      </c>
      <c r="M79" t="str">
        <f ca="1">IFERROR(IF(0=LEN(ReferenceData!$H$79),"",ReferenceData!$H$79),"")</f>
        <v/>
      </c>
      <c r="N79" t="str">
        <f ca="1">IFERROR(IF(0=LEN(ReferenceData!$G$79),"",ReferenceData!$G$79),"")</f>
        <v/>
      </c>
      <c r="O79" t="str">
        <f ca="1">IFERROR(IF(0=LEN(ReferenceData!$F$79),"",ReferenceData!$F$79),"")</f>
        <v/>
      </c>
    </row>
    <row r="80" spans="1:15" x14ac:dyDescent="0.25">
      <c r="A80" t="str">
        <f>IFERROR(IF(0=LEN(ReferenceData!$A$80),"",ReferenceData!$A$80),"")</f>
        <v xml:space="preserve">        Brazil</v>
      </c>
      <c r="B80" t="str">
        <f>IFERROR(IF(0=LEN(ReferenceData!$B$80),"",ReferenceData!$B$80),"")</f>
        <v>BZGDYOY% Index</v>
      </c>
      <c r="C80" t="str">
        <f>IFERROR(IF(0=LEN(ReferenceData!$C$80),"",ReferenceData!$C$80),"")</f>
        <v>PR005</v>
      </c>
      <c r="D80" t="str">
        <f>IFERROR(IF(0=LEN(ReferenceData!$D$80),"",ReferenceData!$D$80),"")</f>
        <v>PX_LAST</v>
      </c>
      <c r="E80" t="str">
        <f>IFERROR(IF(0=LEN(ReferenceData!$E$80),"",ReferenceData!$E$80),"")</f>
        <v>Dynamic</v>
      </c>
      <c r="F80">
        <f ca="1">IFERROR(IF(0=LEN(ReferenceData!$O$80),"",ReferenceData!$O$80),"")</f>
        <v>2.5680200000000002</v>
      </c>
      <c r="G80">
        <f ca="1">IFERROR(IF(0=LEN(ReferenceData!$N$80),"",ReferenceData!$N$80),"")</f>
        <v>2.4798800000000001</v>
      </c>
      <c r="H80">
        <f ca="1">IFERROR(IF(0=LEN(ReferenceData!$M$80),"",ReferenceData!$M$80),"")</f>
        <v>2.5303900000000001</v>
      </c>
      <c r="I80">
        <f ca="1">IFERROR(IF(0=LEN(ReferenceData!$L$80),"",ReferenceData!$L$80),"")</f>
        <v>-0.22692999999999999</v>
      </c>
      <c r="J80">
        <f ca="1">IFERROR(IF(0=LEN(ReferenceData!$K$80),"",ReferenceData!$K$80),"")</f>
        <v>-5.52712</v>
      </c>
      <c r="K80">
        <f ca="1">IFERROR(IF(0=LEN(ReferenceData!$J$80),"",ReferenceData!$J$80),"")</f>
        <v>-2.2149899999999998</v>
      </c>
      <c r="L80">
        <f ca="1">IFERROR(IF(0=LEN(ReferenceData!$I$80),"",ReferenceData!$I$80),"")</f>
        <v>2.38212</v>
      </c>
      <c r="M80">
        <f ca="1">IFERROR(IF(0=LEN(ReferenceData!$H$80),"",ReferenceData!$H$80),"")</f>
        <v>1.2204600000000001</v>
      </c>
      <c r="N80">
        <f ca="1">IFERROR(IF(0=LEN(ReferenceData!$G$80),"",ReferenceData!$G$80),"")</f>
        <v>1.6690400000000001</v>
      </c>
      <c r="O80">
        <f ca="1">IFERROR(IF(0=LEN(ReferenceData!$F$80),"",ReferenceData!$F$80),"")</f>
        <v>-0.25330000000000003</v>
      </c>
    </row>
    <row r="81" spans="1:15" x14ac:dyDescent="0.25">
      <c r="A81" t="str">
        <f>IFERROR(IF(0=LEN(ReferenceData!$A$81),"",ReferenceData!$A$81),"")</f>
        <v xml:space="preserve">    Europe</v>
      </c>
      <c r="B81" t="str">
        <f>IFERROR(IF(0=LEN(ReferenceData!$B$81),"",ReferenceData!$B$81),"")</f>
        <v/>
      </c>
      <c r="C81" t="str">
        <f>IFERROR(IF(0=LEN(ReferenceData!$C$81),"",ReferenceData!$C$81),"")</f>
        <v/>
      </c>
      <c r="D81" t="str">
        <f>IFERROR(IF(0=LEN(ReferenceData!$D$81),"",ReferenceData!$D$81),"")</f>
        <v/>
      </c>
      <c r="E81" t="str">
        <f>IFERROR(IF(0=LEN(ReferenceData!$E$81),"",ReferenceData!$E$81),"")</f>
        <v>Static</v>
      </c>
      <c r="F81" t="str">
        <f ca="1">IFERROR(IF(0=LEN(ReferenceData!$O$81),"",ReferenceData!$O$81),"")</f>
        <v/>
      </c>
      <c r="G81" t="str">
        <f ca="1">IFERROR(IF(0=LEN(ReferenceData!$N$81),"",ReferenceData!$N$81),"")</f>
        <v/>
      </c>
      <c r="H81" t="str">
        <f ca="1">IFERROR(IF(0=LEN(ReferenceData!$M$81),"",ReferenceData!$M$81),"")</f>
        <v/>
      </c>
      <c r="I81" t="str">
        <f ca="1">IFERROR(IF(0=LEN(ReferenceData!$L$81),"",ReferenceData!$L$81),"")</f>
        <v/>
      </c>
      <c r="J81" t="str">
        <f ca="1">IFERROR(IF(0=LEN(ReferenceData!$K$81),"",ReferenceData!$K$81),"")</f>
        <v/>
      </c>
      <c r="K81" t="str">
        <f ca="1">IFERROR(IF(0=LEN(ReferenceData!$J$81),"",ReferenceData!$J$81),"")</f>
        <v/>
      </c>
      <c r="L81" t="str">
        <f ca="1">IFERROR(IF(0=LEN(ReferenceData!$I$81),"",ReferenceData!$I$81),"")</f>
        <v/>
      </c>
      <c r="M81" t="str">
        <f ca="1">IFERROR(IF(0=LEN(ReferenceData!$H$81),"",ReferenceData!$H$81),"")</f>
        <v/>
      </c>
      <c r="N81" t="str">
        <f ca="1">IFERROR(IF(0=LEN(ReferenceData!$G$81),"",ReferenceData!$G$81),"")</f>
        <v/>
      </c>
      <c r="O81" t="str">
        <f ca="1">IFERROR(IF(0=LEN(ReferenceData!$F$81),"",ReferenceData!$F$81),"")</f>
        <v/>
      </c>
    </row>
    <row r="82" spans="1:15" x14ac:dyDescent="0.25">
      <c r="A82" t="str">
        <f>IFERROR(IF(0=LEN(ReferenceData!$A$82),"",ReferenceData!$A$82),"")</f>
        <v xml:space="preserve">        Eurozone</v>
      </c>
      <c r="B82" t="str">
        <f>IFERROR(IF(0=LEN(ReferenceData!$B$82),"",ReferenceData!$B$82),"")</f>
        <v>EUGNEMUY Index</v>
      </c>
      <c r="C82" t="str">
        <f>IFERROR(IF(0=LEN(ReferenceData!$C$82),"",ReferenceData!$C$82),"")</f>
        <v>PR005</v>
      </c>
      <c r="D82" t="str">
        <f>IFERROR(IF(0=LEN(ReferenceData!$D$82),"",ReferenceData!$D$82),"")</f>
        <v>PX_LAST</v>
      </c>
      <c r="E82" t="str">
        <f>IFERROR(IF(0=LEN(ReferenceData!$E$82),"",ReferenceData!$E$82),"")</f>
        <v>Dynamic</v>
      </c>
      <c r="F82">
        <f ca="1">IFERROR(IF(0=LEN(ReferenceData!$O$82),"",ReferenceData!$O$82),"")</f>
        <v>0.6</v>
      </c>
      <c r="G82">
        <f ca="1">IFERROR(IF(0=LEN(ReferenceData!$N$82),"",ReferenceData!$N$82),"")</f>
        <v>-1.1000000000000001</v>
      </c>
      <c r="H82">
        <f ca="1">IFERROR(IF(0=LEN(ReferenceData!$M$82),"",ReferenceData!$M$82),"")</f>
        <v>0.7</v>
      </c>
      <c r="I82">
        <f ca="1">IFERROR(IF(0=LEN(ReferenceData!$L$82),"",ReferenceData!$L$82),"")</f>
        <v>1.6</v>
      </c>
      <c r="J82">
        <f ca="1">IFERROR(IF(0=LEN(ReferenceData!$K$82),"",ReferenceData!$K$82),"")</f>
        <v>2</v>
      </c>
      <c r="K82">
        <f ca="1">IFERROR(IF(0=LEN(ReferenceData!$J$82),"",ReferenceData!$J$82),"")</f>
        <v>2.1</v>
      </c>
      <c r="L82">
        <f ca="1">IFERROR(IF(0=LEN(ReferenceData!$I$82),"",ReferenceData!$I$82),"")</f>
        <v>3</v>
      </c>
      <c r="M82">
        <f ca="1">IFERROR(IF(0=LEN(ReferenceData!$H$82),"",ReferenceData!$H$82),"")</f>
        <v>1.2</v>
      </c>
      <c r="N82">
        <f ca="1">IFERROR(IF(0=LEN(ReferenceData!$G$82),"",ReferenceData!$G$82),"")</f>
        <v>1</v>
      </c>
      <c r="O82">
        <f ca="1">IFERROR(IF(0=LEN(ReferenceData!$F$82),"",ReferenceData!$F$82),"")</f>
        <v>-3.1</v>
      </c>
    </row>
    <row r="83" spans="1:15" x14ac:dyDescent="0.25">
      <c r="A83" t="str">
        <f>IFERROR(IF(0=LEN(ReferenceData!$A$83),"",ReferenceData!$A$83),"")</f>
        <v xml:space="preserve">        United Kingdom</v>
      </c>
      <c r="B83" t="str">
        <f>IFERROR(IF(0=LEN(ReferenceData!$B$83),"",ReferenceData!$B$83),"")</f>
        <v>UKGRABIY Index</v>
      </c>
      <c r="C83" t="str">
        <f>IFERROR(IF(0=LEN(ReferenceData!$C$83),"",ReferenceData!$C$83),"")</f>
        <v>PR005</v>
      </c>
      <c r="D83" t="str">
        <f>IFERROR(IF(0=LEN(ReferenceData!$D$83),"",ReferenceData!$D$83),"")</f>
        <v>PX_LAST</v>
      </c>
      <c r="E83" t="str">
        <f>IFERROR(IF(0=LEN(ReferenceData!$E$83),"",ReferenceData!$E$83),"")</f>
        <v>Dynamic</v>
      </c>
      <c r="F83">
        <f ca="1">IFERROR(IF(0=LEN(ReferenceData!$O$83),"",ReferenceData!$O$83),"")</f>
        <v>1.5</v>
      </c>
      <c r="G83">
        <f ca="1">IFERROR(IF(0=LEN(ReferenceData!$N$83),"",ReferenceData!$N$83),"")</f>
        <v>1.5</v>
      </c>
      <c r="H83">
        <f ca="1">IFERROR(IF(0=LEN(ReferenceData!$M$83),"",ReferenceData!$M$83),"")</f>
        <v>2.1</v>
      </c>
      <c r="I83">
        <f ca="1">IFERROR(IF(0=LEN(ReferenceData!$L$83),"",ReferenceData!$L$83),"")</f>
        <v>2.6</v>
      </c>
      <c r="J83">
        <f ca="1">IFERROR(IF(0=LEN(ReferenceData!$K$83),"",ReferenceData!$K$83),"")</f>
        <v>2.4</v>
      </c>
      <c r="K83">
        <f ca="1">IFERROR(IF(0=LEN(ReferenceData!$J$83),"",ReferenceData!$J$83),"")</f>
        <v>1.9</v>
      </c>
      <c r="L83">
        <f ca="1">IFERROR(IF(0=LEN(ReferenceData!$I$83),"",ReferenceData!$I$83),"")</f>
        <v>1.9</v>
      </c>
      <c r="M83">
        <f ca="1">IFERROR(IF(0=LEN(ReferenceData!$H$83),"",ReferenceData!$H$83),"")</f>
        <v>1.3</v>
      </c>
      <c r="N83">
        <f ca="1">IFERROR(IF(0=LEN(ReferenceData!$G$83),"",ReferenceData!$G$83),"")</f>
        <v>1.4</v>
      </c>
      <c r="O83">
        <f ca="1">IFERROR(IF(0=LEN(ReferenceData!$F$83),"",ReferenceData!$F$83),"")</f>
        <v>-1.6</v>
      </c>
    </row>
    <row r="84" spans="1:15" x14ac:dyDescent="0.25">
      <c r="A84" t="str">
        <f>IFERROR(IF(0=LEN(ReferenceData!$A$84),"",ReferenceData!$A$84),"")</f>
        <v xml:space="preserve">        France</v>
      </c>
      <c r="B84" t="str">
        <f>IFERROR(IF(0=LEN(ReferenceData!$B$84),"",ReferenceData!$B$84),"")</f>
        <v>FRGEGDPY Index</v>
      </c>
      <c r="C84" t="str">
        <f>IFERROR(IF(0=LEN(ReferenceData!$C$84),"",ReferenceData!$C$84),"")</f>
        <v>PR005</v>
      </c>
      <c r="D84" t="str">
        <f>IFERROR(IF(0=LEN(ReferenceData!$D$84),"",ReferenceData!$D$84),"")</f>
        <v>PX_LAST</v>
      </c>
      <c r="E84" t="str">
        <f>IFERROR(IF(0=LEN(ReferenceData!$E$84),"",ReferenceData!$E$84),"")</f>
        <v>Dynamic</v>
      </c>
      <c r="F84">
        <f ca="1">IFERROR(IF(0=LEN(ReferenceData!$O$84),"",ReferenceData!$O$84),"")</f>
        <v>1.61009</v>
      </c>
      <c r="G84">
        <f ca="1">IFERROR(IF(0=LEN(ReferenceData!$N$84),"",ReferenceData!$N$84),"")</f>
        <v>3.0800000000000001E-2</v>
      </c>
      <c r="H84">
        <f ca="1">IFERROR(IF(0=LEN(ReferenceData!$M$84),"",ReferenceData!$M$84),"")</f>
        <v>1.17527</v>
      </c>
      <c r="I84">
        <f ca="1">IFERROR(IF(0=LEN(ReferenceData!$L$84),"",ReferenceData!$L$84),"")</f>
        <v>0.79452</v>
      </c>
      <c r="J84">
        <f ca="1">IFERROR(IF(0=LEN(ReferenceData!$K$84),"",ReferenceData!$K$84),"")</f>
        <v>0.90125999999999995</v>
      </c>
      <c r="K84">
        <f ca="1">IFERROR(IF(0=LEN(ReferenceData!$J$84),"",ReferenceData!$J$84),"")</f>
        <v>1.27711</v>
      </c>
      <c r="L84">
        <f ca="1">IFERROR(IF(0=LEN(ReferenceData!$I$84),"",ReferenceData!$I$84),"")</f>
        <v>3.1128200000000001</v>
      </c>
      <c r="M84">
        <f ca="1">IFERROR(IF(0=LEN(ReferenceData!$H$84),"",ReferenceData!$H$84),"")</f>
        <v>1.3488199999999999</v>
      </c>
      <c r="N84">
        <f ca="1">IFERROR(IF(0=LEN(ReferenceData!$G$84),"",ReferenceData!$G$84),"")</f>
        <v>0.88417999999999997</v>
      </c>
      <c r="O84">
        <f ca="1">IFERROR(IF(0=LEN(ReferenceData!$F$84),"",ReferenceData!$F$84),"")</f>
        <v>-4.9863799999999996</v>
      </c>
    </row>
    <row r="85" spans="1:15" x14ac:dyDescent="0.25">
      <c r="A85" t="str">
        <f>IFERROR(IF(0=LEN(ReferenceData!$A$85),"",ReferenceData!$A$85),"")</f>
        <v xml:space="preserve">        Germany</v>
      </c>
      <c r="B85" t="str">
        <f>IFERROR(IF(0=LEN(ReferenceData!$B$85),"",ReferenceData!$B$85),"")</f>
        <v>GRGDPPGY Index</v>
      </c>
      <c r="C85" t="str">
        <f>IFERROR(IF(0=LEN(ReferenceData!$C$85),"",ReferenceData!$C$85),"")</f>
        <v>PR005</v>
      </c>
      <c r="D85" t="str">
        <f>IFERROR(IF(0=LEN(ReferenceData!$D$85),"",ReferenceData!$D$85),"")</f>
        <v>PX_LAST</v>
      </c>
      <c r="E85" t="str">
        <f>IFERROR(IF(0=LEN(ReferenceData!$E$85),"",ReferenceData!$E$85),"")</f>
        <v>Dynamic</v>
      </c>
      <c r="F85">
        <f ca="1">IFERROR(IF(0=LEN(ReferenceData!$O$85),"",ReferenceData!$O$85),"")</f>
        <v>2.4202309999999998</v>
      </c>
      <c r="G85">
        <f ca="1">IFERROR(IF(0=LEN(ReferenceData!$N$85),"",ReferenceData!$N$85),"")</f>
        <v>0.115685</v>
      </c>
      <c r="H85">
        <f ca="1">IFERROR(IF(0=LEN(ReferenceData!$M$85),"",ReferenceData!$M$85),"")</f>
        <v>1.3</v>
      </c>
      <c r="I85">
        <f ca="1">IFERROR(IF(0=LEN(ReferenceData!$L$85),"",ReferenceData!$L$85),"")</f>
        <v>1.6</v>
      </c>
      <c r="J85">
        <f ca="1">IFERROR(IF(0=LEN(ReferenceData!$K$85),"",ReferenceData!$K$85),"")</f>
        <v>1.3</v>
      </c>
      <c r="K85">
        <f ca="1">IFERROR(IF(0=LEN(ReferenceData!$J$85),"",ReferenceData!$J$85),"")</f>
        <v>1.8</v>
      </c>
      <c r="L85">
        <f ca="1">IFERROR(IF(0=LEN(ReferenceData!$I$85),"",ReferenceData!$I$85),"")</f>
        <v>3.4</v>
      </c>
      <c r="M85">
        <f ca="1">IFERROR(IF(0=LEN(ReferenceData!$H$85),"",ReferenceData!$H$85),"")</f>
        <v>0.6</v>
      </c>
      <c r="N85">
        <f ca="1">IFERROR(IF(0=LEN(ReferenceData!$G$85),"",ReferenceData!$G$85),"")</f>
        <v>0.4</v>
      </c>
      <c r="O85">
        <f ca="1">IFERROR(IF(0=LEN(ReferenceData!$F$85),"",ReferenceData!$F$85),"")</f>
        <v>-2.2999999999999998</v>
      </c>
    </row>
    <row r="86" spans="1:15" x14ac:dyDescent="0.25">
      <c r="A86" t="str">
        <f>IFERROR(IF(0=LEN(ReferenceData!$A$86),"",ReferenceData!$A$86),"")</f>
        <v xml:space="preserve">        Russia</v>
      </c>
      <c r="B86" t="str">
        <f>IFERROR(IF(0=LEN(ReferenceData!$B$86),"",ReferenceData!$B$86),"")</f>
        <v>RUDPRYOY Index</v>
      </c>
      <c r="C86" t="str">
        <f>IFERROR(IF(0=LEN(ReferenceData!$C$86),"",ReferenceData!$C$86),"")</f>
        <v>PR005</v>
      </c>
      <c r="D86" t="str">
        <f>IFERROR(IF(0=LEN(ReferenceData!$D$86),"",ReferenceData!$D$86),"")</f>
        <v>PX_LAST</v>
      </c>
      <c r="E86" t="str">
        <f>IFERROR(IF(0=LEN(ReferenceData!$E$86),"",ReferenceData!$E$86),"")</f>
        <v>Dynamic</v>
      </c>
      <c r="F86">
        <f ca="1">IFERROR(IF(0=LEN(ReferenceData!$O$86),"",ReferenceData!$O$86),"")</f>
        <v>5.1737799999999998</v>
      </c>
      <c r="G86">
        <f ca="1">IFERROR(IF(0=LEN(ReferenceData!$N$86),"",ReferenceData!$N$86),"")</f>
        <v>1.9055200000000001</v>
      </c>
      <c r="H86">
        <f ca="1">IFERROR(IF(0=LEN(ReferenceData!$M$86),"",ReferenceData!$M$86),"")</f>
        <v>2.4701</v>
      </c>
      <c r="I86">
        <f ca="1">IFERROR(IF(0=LEN(ReferenceData!$L$86),"",ReferenceData!$L$86),"")</f>
        <v>0.32795999999999997</v>
      </c>
      <c r="J86">
        <f ca="1">IFERROR(IF(0=LEN(ReferenceData!$K$86),"",ReferenceData!$K$86),"")</f>
        <v>-3.2328700000000001</v>
      </c>
      <c r="K86">
        <f ca="1">IFERROR(IF(0=LEN(ReferenceData!$J$86),"",ReferenceData!$J$86),"")</f>
        <v>0.30035000000000001</v>
      </c>
      <c r="L86">
        <f ca="1">IFERROR(IF(0=LEN(ReferenceData!$I$86),"",ReferenceData!$I$86),"")</f>
        <v>1.04182</v>
      </c>
      <c r="M86">
        <f ca="1">IFERROR(IF(0=LEN(ReferenceData!$H$86),"",ReferenceData!$H$86),"")</f>
        <v>2.7984499999999999</v>
      </c>
      <c r="N86">
        <f ca="1">IFERROR(IF(0=LEN(ReferenceData!$G$86),"",ReferenceData!$G$86),"")</f>
        <v>2.1126299999999998</v>
      </c>
      <c r="O86">
        <f ca="1">IFERROR(IF(0=LEN(ReferenceData!$F$86),"",ReferenceData!$F$86),"")</f>
        <v>1.6</v>
      </c>
    </row>
    <row r="87" spans="1:15" x14ac:dyDescent="0.25">
      <c r="A87" t="str">
        <f>IFERROR(IF(0=LEN(ReferenceData!$A$87),"",ReferenceData!$A$87),"")</f>
        <v xml:space="preserve">    Asia/Pacific</v>
      </c>
      <c r="B87" t="str">
        <f>IFERROR(IF(0=LEN(ReferenceData!$B$87),"",ReferenceData!$B$87),"")</f>
        <v/>
      </c>
      <c r="C87" t="str">
        <f>IFERROR(IF(0=LEN(ReferenceData!$C$87),"",ReferenceData!$C$87),"")</f>
        <v/>
      </c>
      <c r="D87" t="str">
        <f>IFERROR(IF(0=LEN(ReferenceData!$D$87),"",ReferenceData!$D$87),"")</f>
        <v/>
      </c>
      <c r="E87" t="str">
        <f>IFERROR(IF(0=LEN(ReferenceData!$E$87),"",ReferenceData!$E$87),"")</f>
        <v>Static</v>
      </c>
      <c r="F87" t="str">
        <f ca="1">IFERROR(IF(0=LEN(ReferenceData!$O$87),"",ReferenceData!$O$87),"")</f>
        <v/>
      </c>
      <c r="G87" t="str">
        <f ca="1">IFERROR(IF(0=LEN(ReferenceData!$N$87),"",ReferenceData!$N$87),"")</f>
        <v/>
      </c>
      <c r="H87" t="str">
        <f ca="1">IFERROR(IF(0=LEN(ReferenceData!$M$87),"",ReferenceData!$M$87),"")</f>
        <v/>
      </c>
      <c r="I87" t="str">
        <f ca="1">IFERROR(IF(0=LEN(ReferenceData!$L$87),"",ReferenceData!$L$87),"")</f>
        <v/>
      </c>
      <c r="J87" t="str">
        <f ca="1">IFERROR(IF(0=LEN(ReferenceData!$K$87),"",ReferenceData!$K$87),"")</f>
        <v/>
      </c>
      <c r="K87" t="str">
        <f ca="1">IFERROR(IF(0=LEN(ReferenceData!$J$87),"",ReferenceData!$J$87),"")</f>
        <v/>
      </c>
      <c r="L87" t="str">
        <f ca="1">IFERROR(IF(0=LEN(ReferenceData!$I$87),"",ReferenceData!$I$87),"")</f>
        <v/>
      </c>
      <c r="M87" t="str">
        <f ca="1">IFERROR(IF(0=LEN(ReferenceData!$H$87),"",ReferenceData!$H$87),"")</f>
        <v/>
      </c>
      <c r="N87" t="str">
        <f ca="1">IFERROR(IF(0=LEN(ReferenceData!$G$87),"",ReferenceData!$G$87),"")</f>
        <v/>
      </c>
      <c r="O87" t="str">
        <f ca="1">IFERROR(IF(0=LEN(ReferenceData!$F$87),"",ReferenceData!$F$87),"")</f>
        <v/>
      </c>
    </row>
    <row r="88" spans="1:15" x14ac:dyDescent="0.25">
      <c r="A88" t="str">
        <f>IFERROR(IF(0=LEN(ReferenceData!$A$88),"",ReferenceData!$A$88),"")</f>
        <v xml:space="preserve">        Japan</v>
      </c>
      <c r="B88" t="str">
        <f>IFERROR(IF(0=LEN(ReferenceData!$B$88),"",ReferenceData!$B$88),"")</f>
        <v>JGDPNSAQ Index</v>
      </c>
      <c r="C88" t="str">
        <f>IFERROR(IF(0=LEN(ReferenceData!$C$88),"",ReferenceData!$C$88),"")</f>
        <v>PR005</v>
      </c>
      <c r="D88" t="str">
        <f>IFERROR(IF(0=LEN(ReferenceData!$D$88),"",ReferenceData!$D$88),"")</f>
        <v>PX_LAST</v>
      </c>
      <c r="E88" t="str">
        <f>IFERROR(IF(0=LEN(ReferenceData!$E$88),"",ReferenceData!$E$88),"")</f>
        <v>Dynamic</v>
      </c>
      <c r="F88">
        <f ca="1">IFERROR(IF(0=LEN(ReferenceData!$O$88),"",ReferenceData!$O$88),"")</f>
        <v>0.1</v>
      </c>
      <c r="G88">
        <f ca="1">IFERROR(IF(0=LEN(ReferenceData!$N$88),"",ReferenceData!$N$88),"")</f>
        <v>0.3</v>
      </c>
      <c r="H88">
        <f ca="1">IFERROR(IF(0=LEN(ReferenceData!$M$88),"",ReferenceData!$M$88),"")</f>
        <v>2.7</v>
      </c>
      <c r="I88">
        <f ca="1">IFERROR(IF(0=LEN(ReferenceData!$L$88),"",ReferenceData!$L$88),"")</f>
        <v>-0.5</v>
      </c>
      <c r="J88">
        <f ca="1">IFERROR(IF(0=LEN(ReferenceData!$K$88),"",ReferenceData!$K$88),"")</f>
        <v>0.9</v>
      </c>
      <c r="K88">
        <f ca="1">IFERROR(IF(0=LEN(ReferenceData!$J$88),"",ReferenceData!$J$88),"")</f>
        <v>1.2</v>
      </c>
      <c r="L88">
        <f ca="1">IFERROR(IF(0=LEN(ReferenceData!$I$88),"",ReferenceData!$I$88),"")</f>
        <v>2.5</v>
      </c>
      <c r="M88">
        <f ca="1">IFERROR(IF(0=LEN(ReferenceData!$H$88),"",ReferenceData!$H$88),"")</f>
        <v>-0.4</v>
      </c>
      <c r="N88">
        <f ca="1">IFERROR(IF(0=LEN(ReferenceData!$G$88),"",ReferenceData!$G$88),"")</f>
        <v>-0.7</v>
      </c>
      <c r="O88">
        <f ca="1">IFERROR(IF(0=LEN(ReferenceData!$F$88),"",ReferenceData!$F$88),"")</f>
        <v>-1.7</v>
      </c>
    </row>
    <row r="89" spans="1:15" x14ac:dyDescent="0.25">
      <c r="A89" t="str">
        <f>IFERROR(IF(0=LEN(ReferenceData!$A$89),"",ReferenceData!$A$89),"")</f>
        <v xml:space="preserve">        China</v>
      </c>
      <c r="B89" t="str">
        <f>IFERROR(IF(0=LEN(ReferenceData!$B$89),"",ReferenceData!$B$89),"")</f>
        <v>CNGDPYOY Index</v>
      </c>
      <c r="C89" t="str">
        <f>IFERROR(IF(0=LEN(ReferenceData!$C$89),"",ReferenceData!$C$89),"")</f>
        <v>PR005</v>
      </c>
      <c r="D89" t="str">
        <f>IFERROR(IF(0=LEN(ReferenceData!$D$89),"",ReferenceData!$D$89),"")</f>
        <v>PX_LAST</v>
      </c>
      <c r="E89" t="str">
        <f>IFERROR(IF(0=LEN(ReferenceData!$E$89),"",ReferenceData!$E$89),"")</f>
        <v>Dynamic</v>
      </c>
      <c r="F89">
        <f ca="1">IFERROR(IF(0=LEN(ReferenceData!$O$89),"",ReferenceData!$O$89),"")</f>
        <v>8.8000000000000007</v>
      </c>
      <c r="G89">
        <f ca="1">IFERROR(IF(0=LEN(ReferenceData!$N$89),"",ReferenceData!$N$89),"")</f>
        <v>8.1</v>
      </c>
      <c r="H89">
        <f ca="1">IFERROR(IF(0=LEN(ReferenceData!$M$89),"",ReferenceData!$M$89),"")</f>
        <v>7.7</v>
      </c>
      <c r="I89">
        <f ca="1">IFERROR(IF(0=LEN(ReferenceData!$L$89),"",ReferenceData!$L$89),"")</f>
        <v>7.2</v>
      </c>
      <c r="J89">
        <f ca="1">IFERROR(IF(0=LEN(ReferenceData!$K$89),"",ReferenceData!$K$89),"")</f>
        <v>6.8</v>
      </c>
      <c r="K89">
        <f ca="1">IFERROR(IF(0=LEN(ReferenceData!$J$89),"",ReferenceData!$J$89),"")</f>
        <v>6.8</v>
      </c>
      <c r="L89">
        <f ca="1">IFERROR(IF(0=LEN(ReferenceData!$I$89),"",ReferenceData!$I$89),"")</f>
        <v>6.8</v>
      </c>
      <c r="M89">
        <f ca="1">IFERROR(IF(0=LEN(ReferenceData!$H$89),"",ReferenceData!$H$89),"")</f>
        <v>6.5</v>
      </c>
      <c r="N89">
        <f ca="1">IFERROR(IF(0=LEN(ReferenceData!$G$89),"",ReferenceData!$G$89),"")</f>
        <v>6</v>
      </c>
      <c r="O89">
        <f ca="1">IFERROR(IF(0=LEN(ReferenceData!$F$89),"",ReferenceData!$F$89),"")</f>
        <v>-6.8</v>
      </c>
    </row>
    <row r="90" spans="1:15" x14ac:dyDescent="0.25">
      <c r="A90" t="str">
        <f>IFERROR(IF(0=LEN(ReferenceData!$A$90),"",ReferenceData!$A$90),"")</f>
        <v xml:space="preserve">        India</v>
      </c>
      <c r="B90" t="str">
        <f>IFERROR(IF(0=LEN(ReferenceData!$B$90),"",ReferenceData!$B$90),"")</f>
        <v>INQGGDPY Index</v>
      </c>
      <c r="C90" t="str">
        <f>IFERROR(IF(0=LEN(ReferenceData!$C$90),"",ReferenceData!$C$90),"")</f>
        <v>PR005</v>
      </c>
      <c r="D90" t="str">
        <f>IFERROR(IF(0=LEN(ReferenceData!$D$90),"",ReferenceData!$D$90),"")</f>
        <v>PX_LAST</v>
      </c>
      <c r="E90" t="str">
        <f>IFERROR(IF(0=LEN(ReferenceData!$E$90),"",ReferenceData!$E$90),"")</f>
        <v>Dynamic</v>
      </c>
      <c r="F90">
        <f ca="1">IFERROR(IF(0=LEN(ReferenceData!$O$90),"",ReferenceData!$O$90),"")</f>
        <v>6.5</v>
      </c>
      <c r="G90">
        <f ca="1">IFERROR(IF(0=LEN(ReferenceData!$N$90),"",ReferenceData!$N$90),"")</f>
        <v>4.4000000000000004</v>
      </c>
      <c r="H90">
        <f ca="1">IFERROR(IF(0=LEN(ReferenceData!$M$90),"",ReferenceData!$M$90),"")</f>
        <v>4.5999999999999996</v>
      </c>
      <c r="I90">
        <f ca="1">IFERROR(IF(0=LEN(ReferenceData!$L$90),"",ReferenceData!$L$90),"")</f>
        <v>5.3</v>
      </c>
      <c r="J90" t="str">
        <f ca="1">IFERROR(IF(0=LEN(ReferenceData!$K$90),"",ReferenceData!$K$90),"")</f>
        <v/>
      </c>
      <c r="K90" t="str">
        <f ca="1">IFERROR(IF(0=LEN(ReferenceData!$J$90),"",ReferenceData!$J$90),"")</f>
        <v/>
      </c>
      <c r="L90" t="str">
        <f ca="1">IFERROR(IF(0=LEN(ReferenceData!$I$90),"",ReferenceData!$I$90),"")</f>
        <v/>
      </c>
      <c r="M90" t="str">
        <f ca="1">IFERROR(IF(0=LEN(ReferenceData!$H$90),"",ReferenceData!$H$90),"")</f>
        <v/>
      </c>
      <c r="N90" t="str">
        <f ca="1">IFERROR(IF(0=LEN(ReferenceData!$G$90),"",ReferenceData!$G$90),"")</f>
        <v/>
      </c>
      <c r="O90" t="str">
        <f ca="1">IFERROR(IF(0=LEN(ReferenceData!$F$90),"",ReferenceData!$F$90),"")</f>
        <v/>
      </c>
    </row>
    <row r="91" spans="1:15" x14ac:dyDescent="0.25">
      <c r="A91" t="str">
        <f>IFERROR(IF(0=LEN(ReferenceData!$A$91),"",ReferenceData!$A$91),"")</f>
        <v xml:space="preserve">        Australia</v>
      </c>
      <c r="B91" t="str">
        <f>IFERROR(IF(0=LEN(ReferenceData!$B$91),"",ReferenceData!$B$91),"")</f>
        <v>AUNAGDPY Index</v>
      </c>
      <c r="C91" t="str">
        <f>IFERROR(IF(0=LEN(ReferenceData!$C$91),"",ReferenceData!$C$91),"")</f>
        <v>PR005</v>
      </c>
      <c r="D91" t="str">
        <f>IFERROR(IF(0=LEN(ReferenceData!$D$91),"",ReferenceData!$D$91),"")</f>
        <v>PX_LAST</v>
      </c>
      <c r="E91" t="str">
        <f>IFERROR(IF(0=LEN(ReferenceData!$E$91),"",ReferenceData!$E$91),"")</f>
        <v>Dynamic</v>
      </c>
      <c r="F91">
        <f ca="1">IFERROR(IF(0=LEN(ReferenceData!$O$91),"",ReferenceData!$O$91),"")</f>
        <v>3.43228</v>
      </c>
      <c r="G91">
        <f ca="1">IFERROR(IF(0=LEN(ReferenceData!$N$91),"",ReferenceData!$N$91),"")</f>
        <v>2.8547600000000002</v>
      </c>
      <c r="H91">
        <f ca="1">IFERROR(IF(0=LEN(ReferenceData!$M$91),"",ReferenceData!$M$91),"")</f>
        <v>2.3608799999999999</v>
      </c>
      <c r="I91">
        <f ca="1">IFERROR(IF(0=LEN(ReferenceData!$L$91),"",ReferenceData!$L$91),"")</f>
        <v>2.1082100000000001</v>
      </c>
      <c r="J91">
        <f ca="1">IFERROR(IF(0=LEN(ReferenceData!$K$91),"",ReferenceData!$K$91),"")</f>
        <v>2.65741</v>
      </c>
      <c r="K91">
        <f ca="1">IFERROR(IF(0=LEN(ReferenceData!$J$91),"",ReferenceData!$J$91),"")</f>
        <v>2.79535</v>
      </c>
      <c r="L91">
        <f ca="1">IFERROR(IF(0=LEN(ReferenceData!$I$91),"",ReferenceData!$I$91),"")</f>
        <v>2.4698899999999999</v>
      </c>
      <c r="M91">
        <f ca="1">IFERROR(IF(0=LEN(ReferenceData!$H$91),"",ReferenceData!$H$91),"")</f>
        <v>2.1827999999999999</v>
      </c>
      <c r="N91">
        <f ca="1">IFERROR(IF(0=LEN(ReferenceData!$G$91),"",ReferenceData!$G$91),"")</f>
        <v>2.1568000000000001</v>
      </c>
      <c r="O91">
        <f ca="1">IFERROR(IF(0=LEN(ReferenceData!$F$91),"",ReferenceData!$F$91),"")</f>
        <v>1.3856599999999999</v>
      </c>
    </row>
    <row r="92" spans="1:15" x14ac:dyDescent="0.25">
      <c r="A92" t="str">
        <f>IFERROR(IF(0=LEN(ReferenceData!$A$92),"",ReferenceData!$A$92),"")</f>
        <v/>
      </c>
      <c r="B92" t="str">
        <f>IFERROR(IF(0=LEN(ReferenceData!$B$92),"",ReferenceData!$B$92),"")</f>
        <v/>
      </c>
      <c r="C92" t="str">
        <f>IFERROR(IF(0=LEN(ReferenceData!$C$92),"",ReferenceData!$C$92),"")</f>
        <v/>
      </c>
      <c r="D92" t="str">
        <f>IFERROR(IF(0=LEN(ReferenceData!$D$92),"",ReferenceData!$D$92),"")</f>
        <v/>
      </c>
      <c r="E92" t="str">
        <f>IFERROR(IF(0=LEN(ReferenceData!$E$92),"",ReferenceData!$E$92),"")</f>
        <v>Static</v>
      </c>
      <c r="F92" t="str">
        <f ca="1">IFERROR(IF(0=LEN(ReferenceData!$O$92),"",ReferenceData!$O$92),"")</f>
        <v/>
      </c>
      <c r="G92" t="str">
        <f ca="1">IFERROR(IF(0=LEN(ReferenceData!$N$92),"",ReferenceData!$N$92),"")</f>
        <v/>
      </c>
      <c r="H92" t="str">
        <f ca="1">IFERROR(IF(0=LEN(ReferenceData!$M$92),"",ReferenceData!$M$92),"")</f>
        <v/>
      </c>
      <c r="I92" t="str">
        <f ca="1">IFERROR(IF(0=LEN(ReferenceData!$L$92),"",ReferenceData!$L$92),"")</f>
        <v/>
      </c>
      <c r="J92" t="str">
        <f ca="1">IFERROR(IF(0=LEN(ReferenceData!$K$92),"",ReferenceData!$K$92),"")</f>
        <v/>
      </c>
      <c r="K92" t="str">
        <f ca="1">IFERROR(IF(0=LEN(ReferenceData!$J$92),"",ReferenceData!$J$92),"")</f>
        <v/>
      </c>
      <c r="L92" t="str">
        <f ca="1">IFERROR(IF(0=LEN(ReferenceData!$I$92),"",ReferenceData!$I$92),"")</f>
        <v/>
      </c>
      <c r="M92" t="str">
        <f ca="1">IFERROR(IF(0=LEN(ReferenceData!$H$92),"",ReferenceData!$H$92),"")</f>
        <v/>
      </c>
      <c r="N92" t="str">
        <f ca="1">IFERROR(IF(0=LEN(ReferenceData!$G$92),"",ReferenceData!$G$92),"")</f>
        <v/>
      </c>
      <c r="O92" t="str">
        <f ca="1">IFERROR(IF(0=LEN(ReferenceData!$F$92),"",ReferenceData!$F$92),"")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16DC-5313-4863-8F58-E8CEA14258BA}">
  <dimension ref="A2:O92"/>
  <sheetViews>
    <sheetView tabSelected="1" workbookViewId="0">
      <selection activeCell="S14" sqref="S14"/>
    </sheetView>
  </sheetViews>
  <sheetFormatPr defaultRowHeight="15" x14ac:dyDescent="0.25"/>
  <sheetData>
    <row r="2" spans="1:15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42</v>
      </c>
      <c r="G2" t="s">
        <v>41</v>
      </c>
      <c r="H2" t="s">
        <v>40</v>
      </c>
      <c r="I2" t="s">
        <v>39</v>
      </c>
      <c r="J2" t="s">
        <v>38</v>
      </c>
      <c r="K2" t="s">
        <v>37</v>
      </c>
      <c r="L2" t="s">
        <v>36</v>
      </c>
      <c r="M2" t="s">
        <v>35</v>
      </c>
      <c r="N2" t="s">
        <v>34</v>
      </c>
      <c r="O2" t="s">
        <v>33</v>
      </c>
    </row>
    <row r="3" spans="1:15" x14ac:dyDescent="0.25">
      <c r="A3" t="s">
        <v>43</v>
      </c>
      <c r="B3" t="s">
        <v>44</v>
      </c>
      <c r="C3" t="s">
        <v>44</v>
      </c>
      <c r="D3" t="s">
        <v>44</v>
      </c>
      <c r="E3" t="s">
        <v>45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</row>
    <row r="4" spans="1:15" x14ac:dyDescent="0.25">
      <c r="A4" t="s">
        <v>46</v>
      </c>
      <c r="B4" t="s">
        <v>47</v>
      </c>
      <c r="C4" t="s">
        <v>48</v>
      </c>
      <c r="D4" t="s">
        <v>49</v>
      </c>
      <c r="E4" t="s">
        <v>50</v>
      </c>
      <c r="F4">
        <v>1809.7739999999999</v>
      </c>
      <c r="G4">
        <v>1997.415</v>
      </c>
      <c r="H4">
        <v>2010.6949999999999</v>
      </c>
      <c r="I4">
        <v>2120.2150000000001</v>
      </c>
      <c r="J4">
        <v>2061.5140000000001</v>
      </c>
      <c r="K4">
        <v>2011.4680000000001</v>
      </c>
      <c r="L4">
        <v>2005.933</v>
      </c>
      <c r="M4">
        <v>2074.6320000000001</v>
      </c>
      <c r="N4">
        <v>2074.6390000000001</v>
      </c>
      <c r="O4" t="s">
        <v>44</v>
      </c>
    </row>
    <row r="5" spans="1:15" x14ac:dyDescent="0.25">
      <c r="A5" t="s">
        <v>51</v>
      </c>
      <c r="B5" t="s">
        <v>52</v>
      </c>
      <c r="C5" t="s">
        <v>48</v>
      </c>
      <c r="D5" t="s">
        <v>49</v>
      </c>
      <c r="E5" t="s">
        <v>50</v>
      </c>
      <c r="F5">
        <v>749.59699999999998</v>
      </c>
      <c r="G5">
        <v>713.86500000000001</v>
      </c>
      <c r="H5">
        <v>638.92100000000005</v>
      </c>
      <c r="I5">
        <v>616.83299999999997</v>
      </c>
      <c r="J5">
        <v>500.03199999999998</v>
      </c>
      <c r="K5">
        <v>457.96600000000001</v>
      </c>
      <c r="L5">
        <v>446.89499999999998</v>
      </c>
      <c r="M5">
        <v>542.28300000000002</v>
      </c>
      <c r="N5">
        <v>515.58500000000004</v>
      </c>
      <c r="O5" t="s">
        <v>44</v>
      </c>
    </row>
    <row r="6" spans="1:15" x14ac:dyDescent="0.25">
      <c r="A6" t="s">
        <v>53</v>
      </c>
      <c r="B6" t="s">
        <v>54</v>
      </c>
      <c r="C6" t="s">
        <v>55</v>
      </c>
      <c r="D6" t="s">
        <v>56</v>
      </c>
      <c r="E6" t="s">
        <v>50</v>
      </c>
      <c r="F6">
        <v>93.652240000000006</v>
      </c>
      <c r="G6">
        <v>99.093410000000006</v>
      </c>
      <c r="H6">
        <v>106.19693100000001</v>
      </c>
      <c r="I6">
        <v>112.07915199999999</v>
      </c>
      <c r="J6">
        <v>108.835115</v>
      </c>
      <c r="K6">
        <v>108.973753</v>
      </c>
      <c r="L6">
        <v>122.576813</v>
      </c>
      <c r="M6">
        <v>150.84622400000001</v>
      </c>
      <c r="N6">
        <v>150.09414000000001</v>
      </c>
      <c r="O6">
        <v>150.085318</v>
      </c>
    </row>
    <row r="7" spans="1:15" x14ac:dyDescent="0.25">
      <c r="A7" t="s">
        <v>44</v>
      </c>
      <c r="B7" t="s">
        <v>44</v>
      </c>
      <c r="C7" t="s">
        <v>44</v>
      </c>
      <c r="D7" t="s">
        <v>44</v>
      </c>
      <c r="E7" t="s">
        <v>57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</row>
    <row r="8" spans="1:15" x14ac:dyDescent="0.25">
      <c r="A8" t="s">
        <v>58</v>
      </c>
      <c r="B8" t="s">
        <v>44</v>
      </c>
      <c r="C8" t="s">
        <v>44</v>
      </c>
      <c r="D8" t="s">
        <v>44</v>
      </c>
      <c r="E8" t="s">
        <v>45</v>
      </c>
      <c r="F8" t="s">
        <v>44</v>
      </c>
      <c r="G8" t="s">
        <v>44</v>
      </c>
      <c r="H8" t="s">
        <v>44</v>
      </c>
      <c r="I8" t="s">
        <v>44</v>
      </c>
      <c r="J8" t="s">
        <v>44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</row>
    <row r="9" spans="1:15" x14ac:dyDescent="0.25">
      <c r="A9" t="s">
        <v>59</v>
      </c>
      <c r="B9" t="s">
        <v>60</v>
      </c>
      <c r="C9" t="s">
        <v>48</v>
      </c>
      <c r="D9" t="s">
        <v>49</v>
      </c>
      <c r="E9" t="s">
        <v>50</v>
      </c>
      <c r="F9">
        <v>5.48</v>
      </c>
      <c r="G9">
        <v>5.09</v>
      </c>
      <c r="H9">
        <v>6.12</v>
      </c>
      <c r="I9">
        <v>6.47</v>
      </c>
      <c r="J9">
        <v>6.08</v>
      </c>
      <c r="K9">
        <v>6.93</v>
      </c>
      <c r="L9">
        <v>7.42</v>
      </c>
      <c r="M9">
        <v>6.44</v>
      </c>
      <c r="N9">
        <v>6.59</v>
      </c>
      <c r="O9">
        <v>6.5</v>
      </c>
    </row>
    <row r="10" spans="1:15" x14ac:dyDescent="0.25">
      <c r="A10" t="s">
        <v>61</v>
      </c>
      <c r="B10" t="s">
        <v>62</v>
      </c>
      <c r="C10" t="s">
        <v>48</v>
      </c>
      <c r="D10" t="s">
        <v>49</v>
      </c>
      <c r="E10" t="s">
        <v>50</v>
      </c>
      <c r="F10">
        <v>91.9</v>
      </c>
      <c r="G10">
        <v>85.6</v>
      </c>
      <c r="H10">
        <v>98.1</v>
      </c>
      <c r="I10">
        <v>99</v>
      </c>
      <c r="J10">
        <v>105.5</v>
      </c>
      <c r="K10">
        <v>106.9</v>
      </c>
      <c r="L10">
        <v>115</v>
      </c>
      <c r="M10">
        <v>107.6</v>
      </c>
      <c r="N10">
        <v>100.9</v>
      </c>
      <c r="O10">
        <v>67.5</v>
      </c>
    </row>
    <row r="11" spans="1:15" x14ac:dyDescent="0.25">
      <c r="A11" t="s">
        <v>63</v>
      </c>
      <c r="B11" t="s">
        <v>64</v>
      </c>
      <c r="C11" t="s">
        <v>48</v>
      </c>
      <c r="D11" t="s">
        <v>49</v>
      </c>
      <c r="E11" t="s">
        <v>50</v>
      </c>
      <c r="F11">
        <v>91.2</v>
      </c>
      <c r="G11">
        <v>84.9</v>
      </c>
      <c r="H11">
        <v>91.8</v>
      </c>
      <c r="I11">
        <v>91.9</v>
      </c>
      <c r="J11">
        <v>99.4</v>
      </c>
      <c r="K11">
        <v>103.3</v>
      </c>
      <c r="L11">
        <v>112.9</v>
      </c>
      <c r="M11">
        <v>99.9</v>
      </c>
      <c r="N11">
        <v>101.4</v>
      </c>
      <c r="O11">
        <v>67.599999999999994</v>
      </c>
    </row>
    <row r="12" spans="1:15" x14ac:dyDescent="0.25">
      <c r="A12" t="s">
        <v>65</v>
      </c>
      <c r="B12" t="s">
        <v>66</v>
      </c>
      <c r="C12" t="s">
        <v>48</v>
      </c>
      <c r="D12" t="s">
        <v>49</v>
      </c>
      <c r="E12" t="s">
        <v>50</v>
      </c>
      <c r="F12">
        <v>104.3</v>
      </c>
      <c r="G12">
        <v>96.4</v>
      </c>
      <c r="H12">
        <v>105.5</v>
      </c>
      <c r="I12">
        <v>102.8</v>
      </c>
      <c r="J12">
        <v>106</v>
      </c>
      <c r="K12">
        <v>108.5</v>
      </c>
      <c r="L12">
        <v>114.3</v>
      </c>
      <c r="M12">
        <v>108.8</v>
      </c>
      <c r="N12">
        <v>99.1</v>
      </c>
      <c r="O12">
        <v>75.3</v>
      </c>
    </row>
    <row r="13" spans="1:15" x14ac:dyDescent="0.25">
      <c r="A13" t="s">
        <v>67</v>
      </c>
      <c r="B13" t="s">
        <v>68</v>
      </c>
      <c r="C13" t="s">
        <v>48</v>
      </c>
      <c r="D13" t="s">
        <v>49</v>
      </c>
      <c r="E13" t="s">
        <v>50</v>
      </c>
      <c r="F13">
        <v>83.4</v>
      </c>
      <c r="G13">
        <v>89.7</v>
      </c>
      <c r="H13">
        <v>94.2</v>
      </c>
      <c r="I13">
        <v>102.3</v>
      </c>
      <c r="J13">
        <v>90.9</v>
      </c>
      <c r="K13">
        <v>97.3</v>
      </c>
      <c r="L13">
        <v>102.5</v>
      </c>
      <c r="M13">
        <v>102.7</v>
      </c>
      <c r="N13">
        <v>110.4</v>
      </c>
      <c r="O13">
        <v>88.5</v>
      </c>
    </row>
    <row r="14" spans="1:15" x14ac:dyDescent="0.25">
      <c r="A14" t="s">
        <v>69</v>
      </c>
      <c r="B14" t="s">
        <v>70</v>
      </c>
      <c r="C14" t="s">
        <v>48</v>
      </c>
      <c r="D14" t="s">
        <v>49</v>
      </c>
      <c r="E14" t="s">
        <v>50</v>
      </c>
      <c r="F14">
        <v>84.5</v>
      </c>
      <c r="G14">
        <v>80.3</v>
      </c>
      <c r="H14">
        <v>94.9</v>
      </c>
      <c r="I14">
        <v>93.6</v>
      </c>
      <c r="J14">
        <v>106.8</v>
      </c>
      <c r="K14">
        <v>102.2</v>
      </c>
      <c r="L14">
        <v>111.8</v>
      </c>
      <c r="M14">
        <v>104</v>
      </c>
      <c r="N14">
        <v>101.5</v>
      </c>
      <c r="O14">
        <v>63</v>
      </c>
    </row>
    <row r="15" spans="1:15" x14ac:dyDescent="0.25">
      <c r="A15" t="s">
        <v>71</v>
      </c>
      <c r="B15" t="s">
        <v>72</v>
      </c>
      <c r="C15" t="s">
        <v>48</v>
      </c>
      <c r="D15" t="s">
        <v>49</v>
      </c>
      <c r="E15" t="s">
        <v>50</v>
      </c>
      <c r="F15">
        <v>86.6</v>
      </c>
      <c r="G15">
        <v>85.1</v>
      </c>
      <c r="H15">
        <v>98.3</v>
      </c>
      <c r="I15">
        <v>103.8</v>
      </c>
      <c r="J15">
        <v>111.4</v>
      </c>
      <c r="K15">
        <v>105.3</v>
      </c>
      <c r="L15">
        <v>110.5</v>
      </c>
      <c r="M15">
        <v>103.4</v>
      </c>
      <c r="N15">
        <v>102.7</v>
      </c>
      <c r="O15">
        <v>74.900000000000006</v>
      </c>
    </row>
    <row r="16" spans="1:15" x14ac:dyDescent="0.25">
      <c r="A16" t="s">
        <v>73</v>
      </c>
      <c r="B16" t="s">
        <v>74</v>
      </c>
      <c r="C16" t="s">
        <v>48</v>
      </c>
      <c r="D16" t="s">
        <v>49</v>
      </c>
      <c r="E16" t="s">
        <v>50</v>
      </c>
      <c r="F16">
        <v>84.6</v>
      </c>
      <c r="G16">
        <v>91.9</v>
      </c>
      <c r="H16">
        <v>110.7</v>
      </c>
      <c r="I16">
        <v>110.7</v>
      </c>
      <c r="J16">
        <v>109.6</v>
      </c>
      <c r="K16">
        <v>107.7</v>
      </c>
      <c r="L16">
        <v>111</v>
      </c>
      <c r="M16">
        <v>104.7</v>
      </c>
      <c r="N16">
        <v>87.3</v>
      </c>
      <c r="O16">
        <v>61.7</v>
      </c>
    </row>
    <row r="17" spans="1:15" x14ac:dyDescent="0.25">
      <c r="A17" t="s">
        <v>75</v>
      </c>
      <c r="B17" t="s">
        <v>76</v>
      </c>
      <c r="C17" t="s">
        <v>48</v>
      </c>
      <c r="D17" t="s">
        <v>49</v>
      </c>
      <c r="E17" t="s">
        <v>50</v>
      </c>
      <c r="F17">
        <v>-14.7</v>
      </c>
      <c r="G17">
        <v>-9.1999999999999993</v>
      </c>
      <c r="H17">
        <v>4.8</v>
      </c>
      <c r="I17">
        <v>4.7</v>
      </c>
      <c r="J17">
        <v>-5.0999999999999996</v>
      </c>
      <c r="K17">
        <v>-0.7</v>
      </c>
      <c r="L17">
        <v>17.100000000000001</v>
      </c>
      <c r="M17">
        <v>-2.2000000000000002</v>
      </c>
      <c r="N17">
        <v>-18.8</v>
      </c>
      <c r="O17" t="s">
        <v>44</v>
      </c>
    </row>
    <row r="18" spans="1:15" x14ac:dyDescent="0.25">
      <c r="A18" t="s">
        <v>44</v>
      </c>
      <c r="B18" t="s">
        <v>44</v>
      </c>
      <c r="C18" t="s">
        <v>44</v>
      </c>
      <c r="D18" t="s">
        <v>44</v>
      </c>
      <c r="E18" t="s">
        <v>57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</row>
    <row r="19" spans="1:15" x14ac:dyDescent="0.25">
      <c r="A19" t="s">
        <v>77</v>
      </c>
      <c r="B19" t="s">
        <v>44</v>
      </c>
      <c r="C19" t="s">
        <v>44</v>
      </c>
      <c r="D19" t="s">
        <v>44</v>
      </c>
      <c r="E19" t="s">
        <v>45</v>
      </c>
      <c r="F19" t="s">
        <v>44</v>
      </c>
      <c r="G19" t="s">
        <v>44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</row>
    <row r="20" spans="1:15" x14ac:dyDescent="0.25">
      <c r="A20" t="s">
        <v>78</v>
      </c>
      <c r="B20" t="s">
        <v>79</v>
      </c>
      <c r="C20" t="s">
        <v>48</v>
      </c>
      <c r="D20" t="s">
        <v>49</v>
      </c>
      <c r="E20" t="s">
        <v>50</v>
      </c>
      <c r="F20">
        <v>52.6</v>
      </c>
      <c r="G20">
        <v>56.1</v>
      </c>
      <c r="H20">
        <v>53.2</v>
      </c>
      <c r="I20">
        <v>56.8</v>
      </c>
      <c r="J20">
        <v>55</v>
      </c>
      <c r="K20">
        <v>56.3</v>
      </c>
      <c r="L20">
        <v>55.9</v>
      </c>
      <c r="M20">
        <v>58</v>
      </c>
      <c r="N20">
        <v>54.9</v>
      </c>
      <c r="O20">
        <v>45.4</v>
      </c>
    </row>
    <row r="21" spans="1:15" x14ac:dyDescent="0.25">
      <c r="A21" t="s">
        <v>80</v>
      </c>
      <c r="B21" t="s">
        <v>81</v>
      </c>
      <c r="C21" t="s">
        <v>48</v>
      </c>
      <c r="D21" t="s">
        <v>49</v>
      </c>
      <c r="E21" t="s">
        <v>50</v>
      </c>
      <c r="F21">
        <v>13.644259999999999</v>
      </c>
      <c r="G21">
        <v>0.71948999999999996</v>
      </c>
      <c r="H21">
        <v>1.10476</v>
      </c>
      <c r="I21">
        <v>-1.7984</v>
      </c>
      <c r="J21">
        <v>-2.7246999999999999</v>
      </c>
      <c r="K21">
        <v>-1.80993</v>
      </c>
      <c r="L21">
        <v>7.0038</v>
      </c>
      <c r="M21">
        <v>3.6734800000000001</v>
      </c>
      <c r="N21">
        <v>-2.9366099999999999</v>
      </c>
      <c r="O21">
        <v>-29.902529999999999</v>
      </c>
    </row>
    <row r="22" spans="1:15" x14ac:dyDescent="0.25">
      <c r="A22" t="s">
        <v>82</v>
      </c>
      <c r="B22" t="s">
        <v>83</v>
      </c>
      <c r="C22" t="s">
        <v>48</v>
      </c>
      <c r="D22" t="s">
        <v>49</v>
      </c>
      <c r="E22" t="s">
        <v>50</v>
      </c>
      <c r="F22">
        <v>-10.08165</v>
      </c>
      <c r="G22">
        <v>-3.5925799999999999</v>
      </c>
      <c r="H22">
        <v>5.4463600000000003</v>
      </c>
      <c r="I22">
        <v>-19.650490000000001</v>
      </c>
      <c r="J22">
        <v>1.88497</v>
      </c>
      <c r="K22">
        <v>-3.1309300000000002</v>
      </c>
      <c r="L22">
        <v>-20.32321</v>
      </c>
      <c r="M22">
        <v>2.2126600000000001</v>
      </c>
      <c r="N22">
        <v>7.0354799999999997</v>
      </c>
      <c r="O22">
        <v>2.5687000000000002</v>
      </c>
    </row>
    <row r="23" spans="1:15" x14ac:dyDescent="0.25">
      <c r="A23" t="s">
        <v>84</v>
      </c>
      <c r="B23" t="s">
        <v>85</v>
      </c>
      <c r="C23" t="s">
        <v>48</v>
      </c>
      <c r="D23" t="s">
        <v>49</v>
      </c>
      <c r="E23" t="s">
        <v>50</v>
      </c>
      <c r="F23">
        <v>2533</v>
      </c>
      <c r="G23">
        <v>2442</v>
      </c>
      <c r="H23">
        <v>2575</v>
      </c>
      <c r="I23">
        <v>2069</v>
      </c>
      <c r="J23">
        <v>2108</v>
      </c>
      <c r="K23">
        <v>2042</v>
      </c>
      <c r="L23">
        <v>1627</v>
      </c>
      <c r="M23">
        <v>1663</v>
      </c>
      <c r="N23">
        <v>1780</v>
      </c>
      <c r="O23">
        <v>1717</v>
      </c>
    </row>
    <row r="24" spans="1:15" x14ac:dyDescent="0.25">
      <c r="A24" t="s">
        <v>86</v>
      </c>
      <c r="B24" t="s">
        <v>44</v>
      </c>
      <c r="C24" t="s">
        <v>44</v>
      </c>
      <c r="D24" t="s">
        <v>44</v>
      </c>
      <c r="E24" t="s">
        <v>57</v>
      </c>
      <c r="F24" t="s">
        <v>44</v>
      </c>
      <c r="G24" t="s">
        <v>44</v>
      </c>
      <c r="H24" t="s">
        <v>44</v>
      </c>
      <c r="I24" t="s">
        <v>44</v>
      </c>
      <c r="J24" t="s">
        <v>44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</row>
    <row r="25" spans="1:15" x14ac:dyDescent="0.25">
      <c r="A25" t="s">
        <v>87</v>
      </c>
      <c r="B25" t="s">
        <v>44</v>
      </c>
      <c r="C25" t="s">
        <v>44</v>
      </c>
      <c r="D25" t="s">
        <v>44</v>
      </c>
      <c r="E25" t="s">
        <v>57</v>
      </c>
      <c r="F25" t="s">
        <v>44</v>
      </c>
      <c r="G25" t="s">
        <v>44</v>
      </c>
      <c r="H25" t="s">
        <v>44</v>
      </c>
      <c r="I25" t="s">
        <v>44</v>
      </c>
      <c r="J25" t="s">
        <v>44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</row>
    <row r="26" spans="1:15" x14ac:dyDescent="0.25">
      <c r="A26" t="s">
        <v>88</v>
      </c>
      <c r="B26" t="s">
        <v>89</v>
      </c>
      <c r="C26" t="s">
        <v>48</v>
      </c>
      <c r="D26" t="s">
        <v>49</v>
      </c>
      <c r="E26" t="s">
        <v>50</v>
      </c>
      <c r="F26">
        <v>3.12304</v>
      </c>
      <c r="G26">
        <v>3.03017</v>
      </c>
      <c r="H26">
        <v>2.0271499999999998</v>
      </c>
      <c r="I26">
        <v>3.0670700000000002</v>
      </c>
      <c r="J26">
        <v>-0.97477000000000003</v>
      </c>
      <c r="K26">
        <v>-1.9484699999999999</v>
      </c>
      <c r="L26">
        <v>2.3227600000000002</v>
      </c>
      <c r="M26">
        <v>3.9451299999999998</v>
      </c>
      <c r="N26">
        <v>0.87917999999999996</v>
      </c>
      <c r="O26" t="s">
        <v>44</v>
      </c>
    </row>
    <row r="27" spans="1:15" x14ac:dyDescent="0.25">
      <c r="A27" t="s">
        <v>90</v>
      </c>
      <c r="B27" t="s">
        <v>91</v>
      </c>
      <c r="C27" t="s">
        <v>48</v>
      </c>
      <c r="D27" t="s">
        <v>49</v>
      </c>
      <c r="E27" t="s">
        <v>50</v>
      </c>
      <c r="F27">
        <v>6.3126199999999999</v>
      </c>
      <c r="G27">
        <v>11.50366</v>
      </c>
      <c r="H27">
        <v>10.85046</v>
      </c>
      <c r="I27">
        <v>8.1562199999999994</v>
      </c>
      <c r="J27">
        <v>2.66709</v>
      </c>
      <c r="K27">
        <v>7.3028399999999998</v>
      </c>
      <c r="L27">
        <v>3.0767600000000002</v>
      </c>
      <c r="M27">
        <v>3.6968200000000002</v>
      </c>
      <c r="N27">
        <v>8.6831600000000009</v>
      </c>
      <c r="O27">
        <v>4.20756</v>
      </c>
    </row>
    <row r="28" spans="1:15" x14ac:dyDescent="0.25">
      <c r="A28" t="s">
        <v>92</v>
      </c>
      <c r="B28" t="s">
        <v>93</v>
      </c>
      <c r="C28" t="s">
        <v>48</v>
      </c>
      <c r="D28" t="s">
        <v>49</v>
      </c>
      <c r="E28" t="s">
        <v>50</v>
      </c>
      <c r="F28">
        <v>91.050899999999999</v>
      </c>
      <c r="G28">
        <v>100</v>
      </c>
      <c r="H28">
        <v>110.6554</v>
      </c>
      <c r="I28">
        <v>122.6818</v>
      </c>
      <c r="J28">
        <v>126.6673</v>
      </c>
      <c r="K28">
        <v>133.85210000000001</v>
      </c>
      <c r="L28">
        <v>137.37970000000001</v>
      </c>
      <c r="M28">
        <v>146.1464</v>
      </c>
      <c r="N28">
        <v>153.63570000000001</v>
      </c>
      <c r="O28" t="s">
        <v>44</v>
      </c>
    </row>
    <row r="29" spans="1:15" x14ac:dyDescent="0.25">
      <c r="A29" t="s">
        <v>94</v>
      </c>
      <c r="B29" t="s">
        <v>95</v>
      </c>
      <c r="C29" t="s">
        <v>48</v>
      </c>
      <c r="D29" t="s">
        <v>49</v>
      </c>
      <c r="E29" t="s">
        <v>50</v>
      </c>
      <c r="F29">
        <v>7.4441300000000004</v>
      </c>
      <c r="G29">
        <v>16.902290000000001</v>
      </c>
      <c r="H29">
        <v>-2.4443800000000002</v>
      </c>
      <c r="I29">
        <v>9.8512900000000005</v>
      </c>
      <c r="J29">
        <v>-7.9922000000000004</v>
      </c>
      <c r="K29">
        <v>18.46734</v>
      </c>
      <c r="L29">
        <v>12.04555</v>
      </c>
      <c r="M29">
        <v>-8.4879999999999997E-2</v>
      </c>
      <c r="N29">
        <v>1.19072</v>
      </c>
      <c r="O29">
        <v>1.2421800000000001</v>
      </c>
    </row>
    <row r="30" spans="1:15" x14ac:dyDescent="0.25">
      <c r="A30" t="s">
        <v>96</v>
      </c>
      <c r="B30" t="s">
        <v>97</v>
      </c>
      <c r="C30" t="s">
        <v>48</v>
      </c>
      <c r="D30" t="s">
        <v>49</v>
      </c>
      <c r="E30" t="s">
        <v>50</v>
      </c>
      <c r="F30">
        <v>10.87557983</v>
      </c>
      <c r="G30">
        <v>21.788484570000001</v>
      </c>
      <c r="H30">
        <v>4.2637499999999999</v>
      </c>
      <c r="I30">
        <v>8.9984300000000008</v>
      </c>
      <c r="J30">
        <v>-66.045590000000004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</row>
    <row r="31" spans="1:15" x14ac:dyDescent="0.25">
      <c r="A31" t="s">
        <v>98</v>
      </c>
      <c r="B31" t="s">
        <v>99</v>
      </c>
      <c r="C31" t="s">
        <v>48</v>
      </c>
      <c r="D31" t="s">
        <v>49</v>
      </c>
      <c r="E31" t="s">
        <v>50</v>
      </c>
      <c r="F31">
        <v>2.3612299999999999</v>
      </c>
      <c r="G31">
        <v>7.7591400000000004</v>
      </c>
      <c r="H31">
        <v>7.5431600000000003</v>
      </c>
      <c r="I31">
        <v>-3.0571600000000001</v>
      </c>
      <c r="J31">
        <v>7.6373600000000001</v>
      </c>
      <c r="K31">
        <v>3.5997499999999998</v>
      </c>
      <c r="L31">
        <v>-5.1296200000000001</v>
      </c>
      <c r="M31">
        <v>8.3749099999999999</v>
      </c>
      <c r="N31">
        <v>8.3589400000000005</v>
      </c>
      <c r="O31">
        <v>5.8548999999999998</v>
      </c>
    </row>
    <row r="32" spans="1:15" x14ac:dyDescent="0.25">
      <c r="A32" t="s">
        <v>100</v>
      </c>
      <c r="B32" t="s">
        <v>101</v>
      </c>
      <c r="C32" t="s">
        <v>48</v>
      </c>
      <c r="D32" t="s">
        <v>49</v>
      </c>
      <c r="E32" t="s">
        <v>50</v>
      </c>
      <c r="F32">
        <v>3.3012199999999998</v>
      </c>
      <c r="G32">
        <v>-2.8771</v>
      </c>
      <c r="H32">
        <v>3.56115</v>
      </c>
      <c r="I32">
        <v>5.5551700000000004</v>
      </c>
      <c r="J32">
        <v>-1.9387799999999999</v>
      </c>
      <c r="K32">
        <v>3.44618</v>
      </c>
      <c r="L32">
        <v>4.1747199999999998</v>
      </c>
      <c r="M32">
        <v>1.2482500000000001</v>
      </c>
      <c r="N32">
        <v>-0.94625999999999999</v>
      </c>
      <c r="O32">
        <v>0.69884000000000002</v>
      </c>
    </row>
    <row r="33" spans="1:15" x14ac:dyDescent="0.25">
      <c r="A33" t="s">
        <v>102</v>
      </c>
      <c r="B33" t="s">
        <v>44</v>
      </c>
      <c r="C33" t="s">
        <v>44</v>
      </c>
      <c r="D33" t="s">
        <v>44</v>
      </c>
      <c r="E33" t="s">
        <v>57</v>
      </c>
      <c r="F33" t="s">
        <v>44</v>
      </c>
      <c r="G33" t="s">
        <v>44</v>
      </c>
      <c r="H33" t="s">
        <v>44</v>
      </c>
      <c r="I33" t="s">
        <v>44</v>
      </c>
      <c r="J33" t="s">
        <v>44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</row>
    <row r="34" spans="1:15" x14ac:dyDescent="0.25">
      <c r="A34" t="s">
        <v>103</v>
      </c>
      <c r="B34" t="s">
        <v>44</v>
      </c>
      <c r="C34" t="s">
        <v>44</v>
      </c>
      <c r="D34" t="s">
        <v>44</v>
      </c>
      <c r="E34" t="s">
        <v>57</v>
      </c>
      <c r="F34" t="s">
        <v>44</v>
      </c>
      <c r="G34" t="s">
        <v>44</v>
      </c>
      <c r="H34" t="s">
        <v>44</v>
      </c>
      <c r="I34" t="s">
        <v>44</v>
      </c>
      <c r="J34" t="s">
        <v>44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</row>
    <row r="35" spans="1:15" x14ac:dyDescent="0.25">
      <c r="A35" t="s">
        <v>44</v>
      </c>
      <c r="B35" t="s">
        <v>44</v>
      </c>
      <c r="C35" t="s">
        <v>44</v>
      </c>
      <c r="D35" t="s">
        <v>44</v>
      </c>
      <c r="E35" t="s">
        <v>57</v>
      </c>
      <c r="F35" t="s">
        <v>44</v>
      </c>
      <c r="G35" t="s">
        <v>44</v>
      </c>
      <c r="H35" t="s">
        <v>44</v>
      </c>
      <c r="I35" t="s">
        <v>44</v>
      </c>
      <c r="J35" t="s">
        <v>44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</row>
    <row r="36" spans="1:15" x14ac:dyDescent="0.25">
      <c r="A36" t="s">
        <v>104</v>
      </c>
      <c r="B36" t="s">
        <v>44</v>
      </c>
      <c r="C36" t="s">
        <v>44</v>
      </c>
      <c r="D36" t="s">
        <v>44</v>
      </c>
      <c r="E36" t="s">
        <v>45</v>
      </c>
      <c r="F36" t="s">
        <v>44</v>
      </c>
      <c r="G36" t="s">
        <v>44</v>
      </c>
      <c r="H36" t="s">
        <v>44</v>
      </c>
      <c r="I36" t="s">
        <v>44</v>
      </c>
      <c r="J36" t="s">
        <v>44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</row>
    <row r="37" spans="1:15" x14ac:dyDescent="0.25">
      <c r="A37" t="s">
        <v>105</v>
      </c>
      <c r="B37" t="s">
        <v>106</v>
      </c>
      <c r="C37" t="s">
        <v>48</v>
      </c>
      <c r="D37" t="s">
        <v>49</v>
      </c>
      <c r="E37" t="s">
        <v>50</v>
      </c>
      <c r="F37">
        <v>8.9333329999999993</v>
      </c>
      <c r="G37">
        <v>8.0750010000000003</v>
      </c>
      <c r="H37">
        <v>7.358333</v>
      </c>
      <c r="I37">
        <v>6.1583329999999998</v>
      </c>
      <c r="J37">
        <v>5.2750000000000004</v>
      </c>
      <c r="K37">
        <v>4.875</v>
      </c>
      <c r="L37">
        <v>4.3416670000000002</v>
      </c>
      <c r="M37">
        <v>3.891667</v>
      </c>
      <c r="N37">
        <v>3.6666669999999999</v>
      </c>
      <c r="O37">
        <v>13.3</v>
      </c>
    </row>
    <row r="38" spans="1:15" x14ac:dyDescent="0.25">
      <c r="A38" t="s">
        <v>107</v>
      </c>
      <c r="B38" t="s">
        <v>44</v>
      </c>
      <c r="C38" t="s">
        <v>44</v>
      </c>
      <c r="D38" t="s">
        <v>44</v>
      </c>
      <c r="E38" t="s">
        <v>108</v>
      </c>
      <c r="F38">
        <v>3.95</v>
      </c>
      <c r="G38">
        <v>4.125</v>
      </c>
      <c r="H38">
        <v>3.9249999999999998</v>
      </c>
      <c r="I38">
        <v>1.625</v>
      </c>
      <c r="J38">
        <v>3.25</v>
      </c>
      <c r="K38">
        <v>2.9750000000000001</v>
      </c>
      <c r="L38">
        <v>2.4249999999999998</v>
      </c>
      <c r="M38">
        <v>1.7999999999999998</v>
      </c>
      <c r="N38">
        <v>3.2749999999999999</v>
      </c>
      <c r="O38">
        <v>2.4250000000000003</v>
      </c>
    </row>
    <row r="39" spans="1:15" x14ac:dyDescent="0.25">
      <c r="A39" t="s">
        <v>109</v>
      </c>
      <c r="B39" t="s">
        <v>110</v>
      </c>
      <c r="C39" t="s">
        <v>48</v>
      </c>
      <c r="D39" t="s">
        <v>49</v>
      </c>
      <c r="E39" t="s">
        <v>50</v>
      </c>
      <c r="F39">
        <v>2.4</v>
      </c>
      <c r="G39">
        <v>4.3</v>
      </c>
      <c r="H39">
        <v>3</v>
      </c>
      <c r="I39">
        <v>0.9</v>
      </c>
      <c r="J39">
        <v>2.4</v>
      </c>
      <c r="K39">
        <v>3.1</v>
      </c>
      <c r="L39">
        <v>1.8</v>
      </c>
      <c r="M39">
        <v>2.4</v>
      </c>
      <c r="N39">
        <v>0.8</v>
      </c>
      <c r="O39">
        <v>1.6</v>
      </c>
    </row>
    <row r="40" spans="1:15" x14ac:dyDescent="0.25">
      <c r="A40" t="s">
        <v>111</v>
      </c>
      <c r="B40" t="s">
        <v>112</v>
      </c>
      <c r="C40" t="s">
        <v>48</v>
      </c>
      <c r="D40" t="s">
        <v>49</v>
      </c>
      <c r="E40" t="s">
        <v>50</v>
      </c>
      <c r="F40">
        <v>4.0999999999999996</v>
      </c>
      <c r="G40">
        <v>3.3</v>
      </c>
      <c r="H40">
        <v>3.5</v>
      </c>
      <c r="I40">
        <v>2.5</v>
      </c>
      <c r="J40">
        <v>2.9</v>
      </c>
      <c r="K40">
        <v>2.9</v>
      </c>
      <c r="L40">
        <v>2.5</v>
      </c>
      <c r="M40">
        <v>2.2000000000000002</v>
      </c>
      <c r="N40">
        <v>2.2999999999999998</v>
      </c>
      <c r="O40">
        <v>2.6</v>
      </c>
    </row>
    <row r="41" spans="1:15" x14ac:dyDescent="0.25">
      <c r="A41" t="s">
        <v>113</v>
      </c>
      <c r="B41" t="s">
        <v>114</v>
      </c>
      <c r="C41" t="s">
        <v>48</v>
      </c>
      <c r="D41" t="s">
        <v>49</v>
      </c>
      <c r="E41" t="s">
        <v>50</v>
      </c>
      <c r="F41">
        <v>3.6</v>
      </c>
      <c r="G41">
        <v>4.5999999999999996</v>
      </c>
      <c r="H41">
        <v>3.4</v>
      </c>
      <c r="I41">
        <v>2.5</v>
      </c>
      <c r="J41">
        <v>3.2</v>
      </c>
      <c r="K41">
        <v>4</v>
      </c>
      <c r="L41">
        <v>3.9</v>
      </c>
      <c r="M41">
        <v>1.6</v>
      </c>
      <c r="N41">
        <v>3.9</v>
      </c>
      <c r="O41">
        <v>4.9000000000000004</v>
      </c>
    </row>
    <row r="42" spans="1:15" x14ac:dyDescent="0.25">
      <c r="A42" t="s">
        <v>115</v>
      </c>
      <c r="B42" t="s">
        <v>116</v>
      </c>
      <c r="C42" t="s">
        <v>48</v>
      </c>
      <c r="D42" t="s">
        <v>49</v>
      </c>
      <c r="E42" t="s">
        <v>50</v>
      </c>
      <c r="F42">
        <v>5.7</v>
      </c>
      <c r="G42">
        <v>4.3</v>
      </c>
      <c r="H42">
        <v>5.8</v>
      </c>
      <c r="I42">
        <v>0.6</v>
      </c>
      <c r="J42">
        <v>4.5</v>
      </c>
      <c r="K42">
        <v>1.9</v>
      </c>
      <c r="L42">
        <v>1.5</v>
      </c>
      <c r="M42">
        <v>1</v>
      </c>
      <c r="N42">
        <v>6.1</v>
      </c>
      <c r="O42">
        <v>0.6</v>
      </c>
    </row>
    <row r="43" spans="1:15" x14ac:dyDescent="0.25">
      <c r="A43" t="s">
        <v>117</v>
      </c>
      <c r="B43" t="s">
        <v>118</v>
      </c>
      <c r="C43" t="s">
        <v>48</v>
      </c>
      <c r="D43" t="s">
        <v>49</v>
      </c>
      <c r="E43" t="s">
        <v>50</v>
      </c>
      <c r="F43">
        <v>-8.9588400000000004</v>
      </c>
      <c r="G43">
        <v>-3.7233999999999998</v>
      </c>
      <c r="H43">
        <v>-8.2872900000000005</v>
      </c>
      <c r="I43">
        <v>-14.15663</v>
      </c>
      <c r="J43">
        <v>-3.1578900000000001</v>
      </c>
      <c r="K43">
        <v>-13.55311</v>
      </c>
      <c r="L43">
        <v>2.9661</v>
      </c>
      <c r="M43">
        <v>-6.1728399999999999</v>
      </c>
      <c r="N43">
        <v>-3.5087700000000002</v>
      </c>
      <c r="O43">
        <v>600.90912000000003</v>
      </c>
    </row>
    <row r="44" spans="1:15" x14ac:dyDescent="0.25">
      <c r="A44" t="s">
        <v>119</v>
      </c>
      <c r="B44" t="s">
        <v>120</v>
      </c>
      <c r="C44" t="s">
        <v>48</v>
      </c>
      <c r="D44" t="s">
        <v>49</v>
      </c>
      <c r="E44" t="s">
        <v>50</v>
      </c>
      <c r="F44">
        <v>376</v>
      </c>
      <c r="G44">
        <v>362</v>
      </c>
      <c r="H44">
        <v>332</v>
      </c>
      <c r="I44">
        <v>285</v>
      </c>
      <c r="J44">
        <v>276</v>
      </c>
      <c r="K44">
        <v>236</v>
      </c>
      <c r="L44">
        <v>243</v>
      </c>
      <c r="M44">
        <v>228</v>
      </c>
      <c r="N44">
        <v>220</v>
      </c>
      <c r="O44">
        <v>1542</v>
      </c>
    </row>
    <row r="45" spans="1:15" x14ac:dyDescent="0.25">
      <c r="A45" t="s">
        <v>121</v>
      </c>
      <c r="B45" t="s">
        <v>122</v>
      </c>
      <c r="C45" t="s">
        <v>48</v>
      </c>
      <c r="D45" t="s">
        <v>49</v>
      </c>
      <c r="E45" t="s">
        <v>50</v>
      </c>
      <c r="F45">
        <v>2.17693</v>
      </c>
      <c r="G45">
        <v>2.08704</v>
      </c>
      <c r="H45">
        <v>1.9905600000000001</v>
      </c>
      <c r="I45">
        <v>2.29297</v>
      </c>
      <c r="J45">
        <v>2.17361</v>
      </c>
      <c r="K45">
        <v>1.92723</v>
      </c>
      <c r="L45">
        <v>1.72559</v>
      </c>
      <c r="M45">
        <v>1.6837299999999999</v>
      </c>
      <c r="N45">
        <v>1.4088799999999999</v>
      </c>
      <c r="O45">
        <v>-16.57368</v>
      </c>
    </row>
    <row r="46" spans="1:15" x14ac:dyDescent="0.25">
      <c r="A46" t="s">
        <v>123</v>
      </c>
      <c r="B46" t="s">
        <v>124</v>
      </c>
      <c r="C46" t="s">
        <v>48</v>
      </c>
      <c r="D46" t="s">
        <v>49</v>
      </c>
      <c r="E46" t="s">
        <v>50</v>
      </c>
      <c r="F46">
        <v>110946.0843</v>
      </c>
      <c r="G46">
        <v>113261.58010000001</v>
      </c>
      <c r="H46">
        <v>115516.1191</v>
      </c>
      <c r="I46">
        <v>118164.86629999999</v>
      </c>
      <c r="J46">
        <v>120733.3125</v>
      </c>
      <c r="K46">
        <v>123060.11599999999</v>
      </c>
      <c r="L46">
        <v>125183.62820000001</v>
      </c>
      <c r="M46">
        <v>127291.3725</v>
      </c>
      <c r="N46">
        <v>129084.7597</v>
      </c>
      <c r="O46">
        <v>106818.4225</v>
      </c>
    </row>
    <row r="47" spans="1:15" x14ac:dyDescent="0.25">
      <c r="A47" t="s">
        <v>125</v>
      </c>
      <c r="B47" t="s">
        <v>126</v>
      </c>
      <c r="C47" t="s">
        <v>48</v>
      </c>
      <c r="D47" t="s">
        <v>49</v>
      </c>
      <c r="E47" t="s">
        <v>50</v>
      </c>
      <c r="F47">
        <v>92776.910759999999</v>
      </c>
      <c r="G47">
        <v>94686.382660000003</v>
      </c>
      <c r="H47">
        <v>96598.009090000007</v>
      </c>
      <c r="I47">
        <v>98773.271099999998</v>
      </c>
      <c r="J47">
        <v>101102.9145</v>
      </c>
      <c r="K47">
        <v>103215.2963</v>
      </c>
      <c r="L47">
        <v>104843.27899999999</v>
      </c>
      <c r="M47">
        <v>106418.67909999999</v>
      </c>
      <c r="N47">
        <v>108054.99430000001</v>
      </c>
      <c r="O47">
        <v>88941.619380000004</v>
      </c>
    </row>
    <row r="48" spans="1:15" x14ac:dyDescent="0.25">
      <c r="A48" t="s">
        <v>44</v>
      </c>
      <c r="B48" t="s">
        <v>44</v>
      </c>
      <c r="C48" t="s">
        <v>44</v>
      </c>
      <c r="D48" t="s">
        <v>44</v>
      </c>
      <c r="E48" t="s">
        <v>57</v>
      </c>
      <c r="F48" t="s">
        <v>44</v>
      </c>
      <c r="G48" t="s">
        <v>44</v>
      </c>
      <c r="H48" t="s">
        <v>44</v>
      </c>
      <c r="I48" t="s">
        <v>44</v>
      </c>
      <c r="J48" t="s">
        <v>44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</row>
    <row r="49" spans="1:15" x14ac:dyDescent="0.25">
      <c r="A49" t="s">
        <v>127</v>
      </c>
      <c r="B49" t="s">
        <v>44</v>
      </c>
      <c r="C49" t="s">
        <v>44</v>
      </c>
      <c r="D49" t="s">
        <v>44</v>
      </c>
      <c r="E49" t="s">
        <v>45</v>
      </c>
      <c r="F49" t="s">
        <v>44</v>
      </c>
      <c r="G49" t="s">
        <v>44</v>
      </c>
      <c r="H49" t="s">
        <v>44</v>
      </c>
      <c r="I49" t="s">
        <v>44</v>
      </c>
      <c r="J49" t="s">
        <v>44</v>
      </c>
      <c r="K49" t="s">
        <v>44</v>
      </c>
      <c r="L49" t="s">
        <v>44</v>
      </c>
      <c r="M49" t="s">
        <v>44</v>
      </c>
      <c r="N49" t="s">
        <v>44</v>
      </c>
      <c r="O49" t="s">
        <v>44</v>
      </c>
    </row>
    <row r="50" spans="1:15" x14ac:dyDescent="0.25">
      <c r="A50" t="s">
        <v>128</v>
      </c>
      <c r="B50" t="s">
        <v>44</v>
      </c>
      <c r="C50" t="s">
        <v>44</v>
      </c>
      <c r="D50" t="s">
        <v>44</v>
      </c>
      <c r="E50" t="s">
        <v>57</v>
      </c>
      <c r="F50" t="s">
        <v>44</v>
      </c>
      <c r="G50" t="s">
        <v>44</v>
      </c>
      <c r="H50" t="s">
        <v>44</v>
      </c>
      <c r="I50" t="s">
        <v>44</v>
      </c>
      <c r="J50" t="s">
        <v>44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</row>
    <row r="51" spans="1:15" x14ac:dyDescent="0.25">
      <c r="A51" t="s">
        <v>129</v>
      </c>
      <c r="B51" t="s">
        <v>44</v>
      </c>
      <c r="C51" t="s">
        <v>44</v>
      </c>
      <c r="D51" t="s">
        <v>44</v>
      </c>
      <c r="E51" t="s">
        <v>57</v>
      </c>
      <c r="F51" t="s">
        <v>44</v>
      </c>
      <c r="G51" t="s">
        <v>44</v>
      </c>
      <c r="H51" t="s">
        <v>44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</row>
    <row r="52" spans="1:15" x14ac:dyDescent="0.25">
      <c r="A52" t="s">
        <v>130</v>
      </c>
      <c r="B52" t="s">
        <v>131</v>
      </c>
      <c r="C52" t="s">
        <v>48</v>
      </c>
      <c r="D52" t="s">
        <v>49</v>
      </c>
      <c r="E52" t="s">
        <v>50</v>
      </c>
      <c r="F52">
        <v>0.77139999999999997</v>
      </c>
      <c r="G52">
        <v>0.75800000000000001</v>
      </c>
      <c r="H52">
        <v>0.72770000000000001</v>
      </c>
      <c r="I52">
        <v>0.8266</v>
      </c>
      <c r="J52">
        <v>0.92100000000000004</v>
      </c>
      <c r="K52">
        <v>0.9506</v>
      </c>
      <c r="L52">
        <v>0.83299999999999996</v>
      </c>
      <c r="M52">
        <v>0.87219999999999998</v>
      </c>
      <c r="N52">
        <v>0.89190000000000003</v>
      </c>
      <c r="O52">
        <v>0.88500000000000001</v>
      </c>
    </row>
    <row r="53" spans="1:15" x14ac:dyDescent="0.25">
      <c r="A53" t="s">
        <v>132</v>
      </c>
      <c r="B53" t="s">
        <v>133</v>
      </c>
      <c r="C53" t="s">
        <v>48</v>
      </c>
      <c r="D53" t="s">
        <v>49</v>
      </c>
      <c r="E53" t="s">
        <v>50</v>
      </c>
      <c r="F53">
        <v>53.064999999999998</v>
      </c>
      <c r="G53">
        <v>54.994999999999997</v>
      </c>
      <c r="H53">
        <v>61.8</v>
      </c>
      <c r="I53">
        <v>63.043700000000001</v>
      </c>
      <c r="J53">
        <v>66.153700000000001</v>
      </c>
      <c r="K53">
        <v>67.9238</v>
      </c>
      <c r="L53">
        <v>63.872500000000002</v>
      </c>
      <c r="M53">
        <v>69.767499999999998</v>
      </c>
      <c r="N53">
        <v>71.38</v>
      </c>
      <c r="O53">
        <v>76.03</v>
      </c>
    </row>
    <row r="54" spans="1:15" x14ac:dyDescent="0.25">
      <c r="A54" t="s">
        <v>134</v>
      </c>
      <c r="B54" t="s">
        <v>135</v>
      </c>
      <c r="C54" t="s">
        <v>48</v>
      </c>
      <c r="D54" t="s">
        <v>49</v>
      </c>
      <c r="E54" t="s">
        <v>50</v>
      </c>
      <c r="F54">
        <v>0.64349999999999996</v>
      </c>
      <c r="G54">
        <v>0.61539999999999995</v>
      </c>
      <c r="H54">
        <v>0.60399999999999998</v>
      </c>
      <c r="I54">
        <v>0.64190000000000003</v>
      </c>
      <c r="J54">
        <v>0.67859999999999998</v>
      </c>
      <c r="K54">
        <v>0.81010000000000004</v>
      </c>
      <c r="L54">
        <v>0.74019999999999997</v>
      </c>
      <c r="M54">
        <v>0.78390000000000004</v>
      </c>
      <c r="N54">
        <v>0.75429999999999997</v>
      </c>
      <c r="O54">
        <v>0.79590000000000005</v>
      </c>
    </row>
    <row r="55" spans="1:15" x14ac:dyDescent="0.25">
      <c r="A55" t="s">
        <v>136</v>
      </c>
      <c r="B55" t="s">
        <v>137</v>
      </c>
      <c r="C55" t="s">
        <v>48</v>
      </c>
      <c r="D55" t="s">
        <v>49</v>
      </c>
      <c r="E55" t="s">
        <v>50</v>
      </c>
      <c r="F55">
        <v>1.8668</v>
      </c>
      <c r="G55">
        <v>2.0516000000000001</v>
      </c>
      <c r="H55">
        <v>2.3620999999999999</v>
      </c>
      <c r="I55">
        <v>2.6576</v>
      </c>
      <c r="J55">
        <v>3.9607999999999999</v>
      </c>
      <c r="K55">
        <v>3.2551999999999999</v>
      </c>
      <c r="L55">
        <v>3.3125</v>
      </c>
      <c r="M55">
        <v>3.8812000000000002</v>
      </c>
      <c r="N55">
        <v>4.0248999999999997</v>
      </c>
      <c r="O55">
        <v>5.1444999999999999</v>
      </c>
    </row>
    <row r="56" spans="1:15" x14ac:dyDescent="0.25">
      <c r="A56" t="s">
        <v>138</v>
      </c>
      <c r="B56" t="s">
        <v>139</v>
      </c>
      <c r="C56" t="s">
        <v>48</v>
      </c>
      <c r="D56" t="s">
        <v>49</v>
      </c>
      <c r="E56" t="s">
        <v>50</v>
      </c>
      <c r="F56">
        <v>6.2949999999999999</v>
      </c>
      <c r="G56">
        <v>6.2305999999999999</v>
      </c>
      <c r="H56">
        <v>6.0542999999999996</v>
      </c>
      <c r="I56">
        <v>6.2054999999999998</v>
      </c>
      <c r="J56">
        <v>6.4936999999999996</v>
      </c>
      <c r="K56">
        <v>6.9450000000000003</v>
      </c>
      <c r="L56">
        <v>6.5068000000000001</v>
      </c>
      <c r="M56">
        <v>6.8784999999999998</v>
      </c>
      <c r="N56">
        <v>6.9631999999999996</v>
      </c>
      <c r="O56">
        <v>7.0902000000000003</v>
      </c>
    </row>
    <row r="57" spans="1:15" x14ac:dyDescent="0.25">
      <c r="A57" t="s">
        <v>140</v>
      </c>
      <c r="B57" t="s">
        <v>141</v>
      </c>
      <c r="C57" t="s">
        <v>48</v>
      </c>
      <c r="D57" t="s">
        <v>49</v>
      </c>
      <c r="E57" t="s">
        <v>50</v>
      </c>
      <c r="F57">
        <v>76.91</v>
      </c>
      <c r="G57">
        <v>86.75</v>
      </c>
      <c r="H57">
        <v>105.31</v>
      </c>
      <c r="I57">
        <v>119.78</v>
      </c>
      <c r="J57">
        <v>120.22</v>
      </c>
      <c r="K57">
        <v>116.96</v>
      </c>
      <c r="L57">
        <v>112.69</v>
      </c>
      <c r="M57">
        <v>109.69</v>
      </c>
      <c r="N57">
        <v>108.61</v>
      </c>
      <c r="O57">
        <v>107.32</v>
      </c>
    </row>
    <row r="58" spans="1:15" x14ac:dyDescent="0.25">
      <c r="A58" t="s">
        <v>142</v>
      </c>
      <c r="B58" t="s">
        <v>143</v>
      </c>
      <c r="C58" t="s">
        <v>48</v>
      </c>
      <c r="D58" t="s">
        <v>49</v>
      </c>
      <c r="E58" t="s">
        <v>50</v>
      </c>
      <c r="F58">
        <v>1.0213000000000001</v>
      </c>
      <c r="G58">
        <v>0.99209999999999998</v>
      </c>
      <c r="H58">
        <v>1.0623</v>
      </c>
      <c r="I58">
        <v>1.1620999999999999</v>
      </c>
      <c r="J58">
        <v>1.3838999999999999</v>
      </c>
      <c r="K58">
        <v>1.3441000000000001</v>
      </c>
      <c r="L58">
        <v>1.2571000000000001</v>
      </c>
      <c r="M58">
        <v>1.3636999999999999</v>
      </c>
      <c r="N58">
        <v>1.2989999999999999</v>
      </c>
      <c r="O58">
        <v>1.3574999999999999</v>
      </c>
    </row>
    <row r="59" spans="1:15" x14ac:dyDescent="0.25">
      <c r="A59" t="s">
        <v>144</v>
      </c>
      <c r="B59" t="s">
        <v>145</v>
      </c>
      <c r="C59" t="s">
        <v>48</v>
      </c>
      <c r="D59" t="s">
        <v>49</v>
      </c>
      <c r="E59" t="s">
        <v>50</v>
      </c>
      <c r="F59">
        <v>0.97960000000000003</v>
      </c>
      <c r="G59">
        <v>0.96199999999999997</v>
      </c>
      <c r="H59">
        <v>1.1216999999999999</v>
      </c>
      <c r="I59">
        <v>1.2239</v>
      </c>
      <c r="J59">
        <v>1.3723000000000001</v>
      </c>
      <c r="K59">
        <v>1.3887</v>
      </c>
      <c r="L59">
        <v>1.2809999999999999</v>
      </c>
      <c r="M59">
        <v>1.4188000000000001</v>
      </c>
      <c r="N59">
        <v>1.4252</v>
      </c>
      <c r="O59">
        <v>1.4521999999999999</v>
      </c>
    </row>
    <row r="60" spans="1:15" x14ac:dyDescent="0.25">
      <c r="A60" t="s">
        <v>146</v>
      </c>
      <c r="B60" t="s">
        <v>44</v>
      </c>
      <c r="C60" t="s">
        <v>44</v>
      </c>
      <c r="D60" t="s">
        <v>44</v>
      </c>
      <c r="E60" t="s">
        <v>57</v>
      </c>
      <c r="F60" t="s">
        <v>44</v>
      </c>
      <c r="G60" t="s">
        <v>44</v>
      </c>
      <c r="H60" t="s">
        <v>44</v>
      </c>
      <c r="I60" t="s">
        <v>44</v>
      </c>
      <c r="J60" t="s">
        <v>44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</row>
    <row r="61" spans="1:15" x14ac:dyDescent="0.25">
      <c r="A61" t="s">
        <v>147</v>
      </c>
      <c r="B61" t="s">
        <v>148</v>
      </c>
      <c r="C61" t="s">
        <v>48</v>
      </c>
      <c r="D61" t="s">
        <v>49</v>
      </c>
      <c r="E61" t="s">
        <v>50</v>
      </c>
      <c r="F61">
        <v>1.2961</v>
      </c>
      <c r="G61">
        <v>1.3192999999999999</v>
      </c>
      <c r="H61">
        <v>1.3743000000000001</v>
      </c>
      <c r="I61">
        <v>1.2098</v>
      </c>
      <c r="J61">
        <v>1.0862000000000001</v>
      </c>
      <c r="K61">
        <v>1.0517000000000001</v>
      </c>
      <c r="L61">
        <v>1.2004999999999999</v>
      </c>
      <c r="M61">
        <v>1.1467000000000001</v>
      </c>
      <c r="N61">
        <v>1.1213</v>
      </c>
      <c r="O61">
        <v>1.1284000000000001</v>
      </c>
    </row>
    <row r="62" spans="1:15" x14ac:dyDescent="0.25">
      <c r="A62" t="s">
        <v>149</v>
      </c>
      <c r="B62" t="s">
        <v>150</v>
      </c>
      <c r="C62" t="s">
        <v>48</v>
      </c>
      <c r="D62" t="s">
        <v>49</v>
      </c>
      <c r="E62" t="s">
        <v>50</v>
      </c>
      <c r="F62">
        <v>68.742000000000004</v>
      </c>
      <c r="G62">
        <v>72.545599999999993</v>
      </c>
      <c r="H62">
        <v>85.061300000000003</v>
      </c>
      <c r="I62">
        <v>76.627099999999999</v>
      </c>
      <c r="J62">
        <v>72.123000000000005</v>
      </c>
      <c r="K62">
        <v>71.677000000000007</v>
      </c>
      <c r="L62">
        <v>76.532700000000006</v>
      </c>
      <c r="M62">
        <v>79.997</v>
      </c>
      <c r="N62">
        <v>80.085800000000006</v>
      </c>
      <c r="O62">
        <v>85.566999999999993</v>
      </c>
    </row>
    <row r="63" spans="1:15" x14ac:dyDescent="0.25">
      <c r="A63" t="s">
        <v>151</v>
      </c>
      <c r="B63" t="s">
        <v>152</v>
      </c>
      <c r="C63" t="s">
        <v>48</v>
      </c>
      <c r="D63" t="s">
        <v>49</v>
      </c>
      <c r="E63" t="s">
        <v>50</v>
      </c>
      <c r="F63">
        <v>0.83338999999999996</v>
      </c>
      <c r="G63">
        <v>0.81189</v>
      </c>
      <c r="H63">
        <v>0.83020000000000005</v>
      </c>
      <c r="I63">
        <v>0.77651999999999999</v>
      </c>
      <c r="J63">
        <v>0.73701000000000005</v>
      </c>
      <c r="K63">
        <v>0.85351999999999995</v>
      </c>
      <c r="L63">
        <v>0.88809000000000005</v>
      </c>
      <c r="M63">
        <v>0.89895000000000003</v>
      </c>
      <c r="N63">
        <v>0.84592999999999996</v>
      </c>
      <c r="O63">
        <v>0.89842999999999995</v>
      </c>
    </row>
    <row r="64" spans="1:15" x14ac:dyDescent="0.25">
      <c r="A64" t="s">
        <v>153</v>
      </c>
      <c r="B64" t="s">
        <v>154</v>
      </c>
      <c r="C64" t="s">
        <v>48</v>
      </c>
      <c r="D64" t="s">
        <v>49</v>
      </c>
      <c r="E64" t="s">
        <v>50</v>
      </c>
      <c r="F64">
        <v>2.4159999999999999</v>
      </c>
      <c r="G64">
        <v>2.7073999999999998</v>
      </c>
      <c r="H64">
        <v>3.2452999999999999</v>
      </c>
      <c r="I64">
        <v>3.2164000000000001</v>
      </c>
      <c r="J64">
        <v>4.3006000000000002</v>
      </c>
      <c r="K64">
        <v>3.4287999999999998</v>
      </c>
      <c r="L64">
        <v>3.9784999999999999</v>
      </c>
      <c r="M64">
        <v>4.4465000000000003</v>
      </c>
      <c r="N64">
        <v>4.5122999999999998</v>
      </c>
      <c r="O64">
        <v>5.8532999999999999</v>
      </c>
    </row>
    <row r="65" spans="1:15" x14ac:dyDescent="0.25">
      <c r="A65" t="s">
        <v>155</v>
      </c>
      <c r="B65" t="s">
        <v>156</v>
      </c>
      <c r="C65" t="s">
        <v>48</v>
      </c>
      <c r="D65" t="s">
        <v>49</v>
      </c>
      <c r="E65" t="s">
        <v>50</v>
      </c>
      <c r="F65">
        <v>8.1341999999999999</v>
      </c>
      <c r="G65">
        <v>8.2174999999999994</v>
      </c>
      <c r="H65">
        <v>8.3409999999999993</v>
      </c>
      <c r="I65">
        <v>7.5442999999999998</v>
      </c>
      <c r="J65">
        <v>7.0914000000000001</v>
      </c>
      <c r="K65">
        <v>7.3380999999999998</v>
      </c>
      <c r="L65">
        <v>7.8023999999999996</v>
      </c>
      <c r="M65">
        <v>7.8669000000000002</v>
      </c>
      <c r="N65">
        <v>7.8148999999999997</v>
      </c>
      <c r="O65">
        <v>7.9870000000000001</v>
      </c>
    </row>
    <row r="66" spans="1:15" x14ac:dyDescent="0.25">
      <c r="A66" t="s">
        <v>157</v>
      </c>
      <c r="B66" t="s">
        <v>158</v>
      </c>
      <c r="C66" t="s">
        <v>48</v>
      </c>
      <c r="D66" t="s">
        <v>49</v>
      </c>
      <c r="E66" t="s">
        <v>50</v>
      </c>
      <c r="F66">
        <v>99.66</v>
      </c>
      <c r="G66">
        <v>114.46</v>
      </c>
      <c r="H66">
        <v>144.72999999999999</v>
      </c>
      <c r="I66">
        <v>144.85</v>
      </c>
      <c r="J66">
        <v>130.63999999999999</v>
      </c>
      <c r="K66">
        <v>122.97</v>
      </c>
      <c r="L66">
        <v>135.28</v>
      </c>
      <c r="M66">
        <v>125.83</v>
      </c>
      <c r="N66">
        <v>121.77</v>
      </c>
      <c r="O66">
        <v>121.07</v>
      </c>
    </row>
    <row r="67" spans="1:15" x14ac:dyDescent="0.25">
      <c r="A67" t="s">
        <v>159</v>
      </c>
      <c r="B67" t="s">
        <v>160</v>
      </c>
      <c r="C67" t="s">
        <v>48</v>
      </c>
      <c r="D67" t="s">
        <v>49</v>
      </c>
      <c r="E67" t="s">
        <v>50</v>
      </c>
      <c r="F67">
        <v>1.32368</v>
      </c>
      <c r="G67">
        <v>1.30948</v>
      </c>
      <c r="H67">
        <v>1.46008</v>
      </c>
      <c r="I67">
        <v>1.40605</v>
      </c>
      <c r="J67">
        <v>1.5033799999999999</v>
      </c>
      <c r="K67">
        <v>1.4133800000000001</v>
      </c>
      <c r="L67">
        <v>1.5088600000000001</v>
      </c>
      <c r="M67">
        <v>1.5636000000000001</v>
      </c>
      <c r="N67">
        <v>1.45668</v>
      </c>
      <c r="O67">
        <v>1.5344599999999999</v>
      </c>
    </row>
    <row r="68" spans="1:15" x14ac:dyDescent="0.25">
      <c r="A68" t="s">
        <v>161</v>
      </c>
      <c r="B68" t="s">
        <v>162</v>
      </c>
      <c r="C68" t="s">
        <v>48</v>
      </c>
      <c r="D68" t="s">
        <v>49</v>
      </c>
      <c r="E68" t="s">
        <v>50</v>
      </c>
      <c r="F68">
        <v>1.26938</v>
      </c>
      <c r="G68">
        <v>1.26922</v>
      </c>
      <c r="H68">
        <v>1.5411600000000001</v>
      </c>
      <c r="I68">
        <v>1.4799500000000001</v>
      </c>
      <c r="J68">
        <v>1.4915099999999999</v>
      </c>
      <c r="K68">
        <v>1.4596899999999999</v>
      </c>
      <c r="L68">
        <v>1.53722</v>
      </c>
      <c r="M68">
        <v>1.6268100000000001</v>
      </c>
      <c r="N68">
        <v>1.5971299999999999</v>
      </c>
      <c r="O68">
        <v>1.64324</v>
      </c>
    </row>
    <row r="69" spans="1:15" x14ac:dyDescent="0.25">
      <c r="A69" t="s">
        <v>44</v>
      </c>
      <c r="B69" t="s">
        <v>44</v>
      </c>
      <c r="C69" t="s">
        <v>44</v>
      </c>
      <c r="D69" t="s">
        <v>44</v>
      </c>
      <c r="E69" t="s">
        <v>57</v>
      </c>
      <c r="F69" t="s">
        <v>44</v>
      </c>
      <c r="G69" t="s">
        <v>44</v>
      </c>
      <c r="H69" t="s">
        <v>44</v>
      </c>
      <c r="I69" t="s">
        <v>44</v>
      </c>
      <c r="J69" t="s">
        <v>44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</row>
    <row r="70" spans="1:15" x14ac:dyDescent="0.25">
      <c r="A70" t="s">
        <v>163</v>
      </c>
      <c r="B70" t="s">
        <v>44</v>
      </c>
      <c r="C70" t="s">
        <v>44</v>
      </c>
      <c r="D70" t="s">
        <v>44</v>
      </c>
      <c r="E70" t="s">
        <v>57</v>
      </c>
      <c r="F70" t="s">
        <v>44</v>
      </c>
      <c r="G70" t="s">
        <v>44</v>
      </c>
      <c r="H70" t="s">
        <v>44</v>
      </c>
      <c r="I70" t="s">
        <v>44</v>
      </c>
      <c r="J70" t="s">
        <v>44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</row>
    <row r="71" spans="1:15" x14ac:dyDescent="0.25">
      <c r="A71" t="s">
        <v>87</v>
      </c>
      <c r="B71" t="s">
        <v>44</v>
      </c>
      <c r="C71" t="s">
        <v>44</v>
      </c>
      <c r="D71" t="s">
        <v>44</v>
      </c>
      <c r="E71" t="s">
        <v>57</v>
      </c>
      <c r="F71" t="s">
        <v>44</v>
      </c>
      <c r="G71" t="s">
        <v>44</v>
      </c>
      <c r="H71" t="s">
        <v>44</v>
      </c>
      <c r="I71" t="s">
        <v>44</v>
      </c>
      <c r="J71" t="s">
        <v>44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</row>
    <row r="72" spans="1:15" x14ac:dyDescent="0.25">
      <c r="A72" t="s">
        <v>164</v>
      </c>
      <c r="B72" t="s">
        <v>165</v>
      </c>
      <c r="C72" t="s">
        <v>48</v>
      </c>
      <c r="D72" t="s">
        <v>49</v>
      </c>
      <c r="E72" t="s">
        <v>50</v>
      </c>
      <c r="F72">
        <v>1.6</v>
      </c>
      <c r="G72">
        <v>2.2000000000000002</v>
      </c>
      <c r="H72">
        <v>1.8</v>
      </c>
      <c r="I72">
        <v>2.5</v>
      </c>
      <c r="J72">
        <v>2.9</v>
      </c>
      <c r="K72">
        <v>1.6</v>
      </c>
      <c r="L72">
        <v>2.4</v>
      </c>
      <c r="M72">
        <v>2.9</v>
      </c>
      <c r="N72">
        <v>2.2999999999999998</v>
      </c>
      <c r="O72">
        <v>-5</v>
      </c>
    </row>
    <row r="73" spans="1:15" x14ac:dyDescent="0.25">
      <c r="A73" t="s">
        <v>166</v>
      </c>
      <c r="B73" t="s">
        <v>167</v>
      </c>
      <c r="C73" t="s">
        <v>48</v>
      </c>
      <c r="D73" t="s">
        <v>49</v>
      </c>
      <c r="E73" t="s">
        <v>50</v>
      </c>
      <c r="F73">
        <v>15840.664000000001</v>
      </c>
      <c r="G73">
        <v>16197.007</v>
      </c>
      <c r="H73">
        <v>16495.368999999999</v>
      </c>
      <c r="I73">
        <v>16912.038</v>
      </c>
      <c r="J73">
        <v>17403.843000000001</v>
      </c>
      <c r="K73">
        <v>17688.89</v>
      </c>
      <c r="L73">
        <v>18108.081999999999</v>
      </c>
      <c r="M73">
        <v>18638.164000000001</v>
      </c>
      <c r="N73">
        <v>19073.056</v>
      </c>
      <c r="O73" t="s">
        <v>44</v>
      </c>
    </row>
    <row r="74" spans="1:15" x14ac:dyDescent="0.25">
      <c r="A74" t="s">
        <v>168</v>
      </c>
      <c r="B74" t="s">
        <v>169</v>
      </c>
      <c r="C74" t="s">
        <v>48</v>
      </c>
      <c r="D74" t="s">
        <v>49</v>
      </c>
      <c r="E74" t="s">
        <v>50</v>
      </c>
      <c r="F74">
        <v>10.32405</v>
      </c>
      <c r="G74">
        <v>8.9307200000000009</v>
      </c>
      <c r="H74">
        <v>4.2655799999999999</v>
      </c>
      <c r="I74">
        <v>4.8913200000000003</v>
      </c>
      <c r="J74">
        <v>3.2257799999999999</v>
      </c>
      <c r="K74">
        <v>6.6631099999999996</v>
      </c>
      <c r="L74">
        <v>6.1989400000000003</v>
      </c>
      <c r="M74">
        <v>9.2233199999999993</v>
      </c>
      <c r="N74">
        <v>9.3344400000000007</v>
      </c>
      <c r="O74" t="s">
        <v>44</v>
      </c>
    </row>
    <row r="75" spans="1:15" x14ac:dyDescent="0.25">
      <c r="A75" t="s">
        <v>170</v>
      </c>
      <c r="B75" t="s">
        <v>171</v>
      </c>
      <c r="C75" t="s">
        <v>48</v>
      </c>
      <c r="D75" t="s">
        <v>49</v>
      </c>
      <c r="E75" t="s">
        <v>50</v>
      </c>
      <c r="F75">
        <v>249.756</v>
      </c>
      <c r="G75">
        <v>272.06099999999998</v>
      </c>
      <c r="H75">
        <v>283.666</v>
      </c>
      <c r="I75">
        <v>297.541</v>
      </c>
      <c r="J75">
        <v>307.13900000000001</v>
      </c>
      <c r="K75">
        <v>327.60399999999998</v>
      </c>
      <c r="L75">
        <v>347.91199999999998</v>
      </c>
      <c r="M75">
        <v>380.00099999999998</v>
      </c>
      <c r="N75">
        <v>415.47199999999998</v>
      </c>
      <c r="O75" t="s">
        <v>44</v>
      </c>
    </row>
    <row r="76" spans="1:15" x14ac:dyDescent="0.25">
      <c r="A76" t="s">
        <v>172</v>
      </c>
      <c r="B76" t="s">
        <v>173</v>
      </c>
      <c r="C76" t="s">
        <v>48</v>
      </c>
      <c r="D76" t="s">
        <v>49</v>
      </c>
      <c r="E76" t="s">
        <v>50</v>
      </c>
      <c r="F76">
        <v>-4.0098500000000001</v>
      </c>
      <c r="G76">
        <v>8.3097100000000008</v>
      </c>
      <c r="H76">
        <v>-1.36772</v>
      </c>
      <c r="I76">
        <v>-0.20957000000000001</v>
      </c>
      <c r="J76">
        <v>-0.27772999999999998</v>
      </c>
      <c r="K76">
        <v>-2.0498500000000002</v>
      </c>
      <c r="L76">
        <v>8.3499199999999991</v>
      </c>
      <c r="M76">
        <v>10.141400000000001</v>
      </c>
      <c r="N76">
        <v>0.98836999999999997</v>
      </c>
      <c r="O76" t="s">
        <v>44</v>
      </c>
    </row>
    <row r="77" spans="1:15" x14ac:dyDescent="0.25">
      <c r="A77" t="s">
        <v>174</v>
      </c>
      <c r="B77" t="s">
        <v>175</v>
      </c>
      <c r="C77" t="s">
        <v>48</v>
      </c>
      <c r="D77" t="s">
        <v>49</v>
      </c>
      <c r="E77" t="s">
        <v>50</v>
      </c>
      <c r="F77">
        <v>95.587000000000003</v>
      </c>
      <c r="G77">
        <v>103.53</v>
      </c>
      <c r="H77">
        <v>102.114</v>
      </c>
      <c r="I77">
        <v>101.9</v>
      </c>
      <c r="J77">
        <v>101.617</v>
      </c>
      <c r="K77">
        <v>99.534000000000006</v>
      </c>
      <c r="L77">
        <v>107.845</v>
      </c>
      <c r="M77">
        <v>118.782</v>
      </c>
      <c r="N77">
        <v>119.956</v>
      </c>
      <c r="O77" t="s">
        <v>44</v>
      </c>
    </row>
    <row r="78" spans="1:15" x14ac:dyDescent="0.25">
      <c r="A78" t="s">
        <v>100</v>
      </c>
      <c r="B78" t="s">
        <v>176</v>
      </c>
      <c r="C78" t="s">
        <v>48</v>
      </c>
      <c r="D78" t="s">
        <v>49</v>
      </c>
      <c r="E78" t="s">
        <v>50</v>
      </c>
      <c r="F78">
        <v>2.8025600000000002</v>
      </c>
      <c r="G78">
        <v>0.93537000000000003</v>
      </c>
      <c r="H78">
        <v>3.0689099999999998</v>
      </c>
      <c r="I78">
        <v>2.99248</v>
      </c>
      <c r="J78">
        <v>6.8199999999999997E-2</v>
      </c>
      <c r="K78">
        <v>1.84724</v>
      </c>
      <c r="L78">
        <v>3.33107</v>
      </c>
      <c r="M78">
        <v>1.3010299999999999</v>
      </c>
      <c r="N78">
        <v>2.0614499999999998</v>
      </c>
      <c r="O78">
        <v>-5.8343499999999997</v>
      </c>
    </row>
    <row r="79" spans="1:15" x14ac:dyDescent="0.25">
      <c r="A79" t="s">
        <v>103</v>
      </c>
      <c r="B79" t="s">
        <v>44</v>
      </c>
      <c r="C79" t="s">
        <v>44</v>
      </c>
      <c r="D79" t="s">
        <v>44</v>
      </c>
      <c r="E79" t="s">
        <v>57</v>
      </c>
      <c r="F79" t="s">
        <v>44</v>
      </c>
      <c r="G79" t="s">
        <v>44</v>
      </c>
      <c r="H79" t="s">
        <v>44</v>
      </c>
      <c r="I79" t="s">
        <v>44</v>
      </c>
      <c r="J79" t="s">
        <v>44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</row>
    <row r="80" spans="1:15" x14ac:dyDescent="0.25">
      <c r="A80" t="s">
        <v>177</v>
      </c>
      <c r="B80" t="s">
        <v>178</v>
      </c>
      <c r="C80" t="s">
        <v>48</v>
      </c>
      <c r="D80" t="s">
        <v>49</v>
      </c>
      <c r="E80" t="s">
        <v>50</v>
      </c>
      <c r="F80">
        <v>2.5680200000000002</v>
      </c>
      <c r="G80">
        <v>2.4798800000000001</v>
      </c>
      <c r="H80">
        <v>2.5303900000000001</v>
      </c>
      <c r="I80">
        <v>-0.22692999999999999</v>
      </c>
      <c r="J80">
        <v>-5.52712</v>
      </c>
      <c r="K80">
        <v>-2.2149899999999998</v>
      </c>
      <c r="L80">
        <v>2.38212</v>
      </c>
      <c r="M80">
        <v>1.2204600000000001</v>
      </c>
      <c r="N80">
        <v>1.6690400000000001</v>
      </c>
      <c r="O80">
        <v>-0.25330000000000003</v>
      </c>
    </row>
    <row r="81" spans="1:15" x14ac:dyDescent="0.25">
      <c r="A81" t="s">
        <v>102</v>
      </c>
      <c r="B81" t="s">
        <v>44</v>
      </c>
      <c r="C81" t="s">
        <v>44</v>
      </c>
      <c r="D81" t="s">
        <v>44</v>
      </c>
      <c r="E81" t="s">
        <v>57</v>
      </c>
      <c r="F81" t="s">
        <v>44</v>
      </c>
      <c r="G81" t="s">
        <v>44</v>
      </c>
      <c r="H81" t="s">
        <v>44</v>
      </c>
      <c r="I81" t="s">
        <v>44</v>
      </c>
      <c r="J81" t="s">
        <v>44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</row>
    <row r="82" spans="1:15" x14ac:dyDescent="0.25">
      <c r="A82" t="s">
        <v>179</v>
      </c>
      <c r="B82" t="s">
        <v>180</v>
      </c>
      <c r="C82" t="s">
        <v>48</v>
      </c>
      <c r="D82" t="s">
        <v>49</v>
      </c>
      <c r="E82" t="s">
        <v>50</v>
      </c>
      <c r="F82">
        <v>0.6</v>
      </c>
      <c r="G82">
        <v>-1.1000000000000001</v>
      </c>
      <c r="H82">
        <v>0.7</v>
      </c>
      <c r="I82">
        <v>1.6</v>
      </c>
      <c r="J82">
        <v>2</v>
      </c>
      <c r="K82">
        <v>2.1</v>
      </c>
      <c r="L82">
        <v>3</v>
      </c>
      <c r="M82">
        <v>1.2</v>
      </c>
      <c r="N82">
        <v>1</v>
      </c>
      <c r="O82">
        <v>-3.1</v>
      </c>
    </row>
    <row r="83" spans="1:15" x14ac:dyDescent="0.25">
      <c r="A83" t="s">
        <v>181</v>
      </c>
      <c r="B83" t="s">
        <v>182</v>
      </c>
      <c r="C83" t="s">
        <v>48</v>
      </c>
      <c r="D83" t="s">
        <v>49</v>
      </c>
      <c r="E83" t="s">
        <v>50</v>
      </c>
      <c r="F83">
        <v>1.5</v>
      </c>
      <c r="G83">
        <v>1.5</v>
      </c>
      <c r="H83">
        <v>2.1</v>
      </c>
      <c r="I83">
        <v>2.6</v>
      </c>
      <c r="J83">
        <v>2.4</v>
      </c>
      <c r="K83">
        <v>1.9</v>
      </c>
      <c r="L83">
        <v>1.9</v>
      </c>
      <c r="M83">
        <v>1.3</v>
      </c>
      <c r="N83">
        <v>1.4</v>
      </c>
      <c r="O83">
        <v>-1.6</v>
      </c>
    </row>
    <row r="84" spans="1:15" x14ac:dyDescent="0.25">
      <c r="A84" t="s">
        <v>183</v>
      </c>
      <c r="B84" t="s">
        <v>184</v>
      </c>
      <c r="C84" t="s">
        <v>48</v>
      </c>
      <c r="D84" t="s">
        <v>49</v>
      </c>
      <c r="E84" t="s">
        <v>50</v>
      </c>
      <c r="F84">
        <v>1.61009</v>
      </c>
      <c r="G84">
        <v>3.0800000000000001E-2</v>
      </c>
      <c r="H84">
        <v>1.17527</v>
      </c>
      <c r="I84">
        <v>0.79452</v>
      </c>
      <c r="J84">
        <v>0.90125999999999995</v>
      </c>
      <c r="K84">
        <v>1.27711</v>
      </c>
      <c r="L84">
        <v>3.1128200000000001</v>
      </c>
      <c r="M84">
        <v>1.3488199999999999</v>
      </c>
      <c r="N84">
        <v>0.88417999999999997</v>
      </c>
      <c r="O84">
        <v>-4.9863799999999996</v>
      </c>
    </row>
    <row r="85" spans="1:15" x14ac:dyDescent="0.25">
      <c r="A85" t="s">
        <v>185</v>
      </c>
      <c r="B85" t="s">
        <v>186</v>
      </c>
      <c r="C85" t="s">
        <v>48</v>
      </c>
      <c r="D85" t="s">
        <v>49</v>
      </c>
      <c r="E85" t="s">
        <v>50</v>
      </c>
      <c r="F85">
        <v>2.4202309999999998</v>
      </c>
      <c r="G85">
        <v>0.115685</v>
      </c>
      <c r="H85">
        <v>1.3</v>
      </c>
      <c r="I85">
        <v>1.6</v>
      </c>
      <c r="J85">
        <v>1.3</v>
      </c>
      <c r="K85">
        <v>1.8</v>
      </c>
      <c r="L85">
        <v>3.4</v>
      </c>
      <c r="M85">
        <v>0.6</v>
      </c>
      <c r="N85">
        <v>0.4</v>
      </c>
      <c r="O85">
        <v>-2.2999999999999998</v>
      </c>
    </row>
    <row r="86" spans="1:15" x14ac:dyDescent="0.25">
      <c r="A86" t="s">
        <v>187</v>
      </c>
      <c r="B86" t="s">
        <v>188</v>
      </c>
      <c r="C86" t="s">
        <v>48</v>
      </c>
      <c r="D86" t="s">
        <v>49</v>
      </c>
      <c r="E86" t="s">
        <v>50</v>
      </c>
      <c r="F86">
        <v>5.1737799999999998</v>
      </c>
      <c r="G86">
        <v>1.9055200000000001</v>
      </c>
      <c r="H86">
        <v>2.4701</v>
      </c>
      <c r="I86">
        <v>0.32795999999999997</v>
      </c>
      <c r="J86">
        <v>-3.2328700000000001</v>
      </c>
      <c r="K86">
        <v>0.30035000000000001</v>
      </c>
      <c r="L86">
        <v>1.04182</v>
      </c>
      <c r="M86">
        <v>2.7984499999999999</v>
      </c>
      <c r="N86">
        <v>2.1126299999999998</v>
      </c>
      <c r="O86">
        <v>1.6</v>
      </c>
    </row>
    <row r="87" spans="1:15" x14ac:dyDescent="0.25">
      <c r="A87" t="s">
        <v>189</v>
      </c>
      <c r="B87" t="s">
        <v>44</v>
      </c>
      <c r="C87" t="s">
        <v>44</v>
      </c>
      <c r="D87" t="s">
        <v>44</v>
      </c>
      <c r="E87" t="s">
        <v>57</v>
      </c>
      <c r="F87" t="s">
        <v>44</v>
      </c>
      <c r="G87" t="s">
        <v>44</v>
      </c>
      <c r="H87" t="s">
        <v>44</v>
      </c>
      <c r="I87" t="s">
        <v>44</v>
      </c>
      <c r="J87" t="s">
        <v>44</v>
      </c>
      <c r="K87" t="s">
        <v>44</v>
      </c>
      <c r="L87" t="s">
        <v>44</v>
      </c>
      <c r="M87" t="s">
        <v>44</v>
      </c>
      <c r="N87" t="s">
        <v>44</v>
      </c>
      <c r="O87" t="s">
        <v>44</v>
      </c>
    </row>
    <row r="88" spans="1:15" x14ac:dyDescent="0.25">
      <c r="A88" t="s">
        <v>190</v>
      </c>
      <c r="B88" t="s">
        <v>191</v>
      </c>
      <c r="C88" t="s">
        <v>48</v>
      </c>
      <c r="D88" t="s">
        <v>49</v>
      </c>
      <c r="E88" t="s">
        <v>50</v>
      </c>
      <c r="F88">
        <v>0.1</v>
      </c>
      <c r="G88">
        <v>0.3</v>
      </c>
      <c r="H88">
        <v>2.7</v>
      </c>
      <c r="I88">
        <v>-0.5</v>
      </c>
      <c r="J88">
        <v>0.9</v>
      </c>
      <c r="K88">
        <v>1.2</v>
      </c>
      <c r="L88">
        <v>2.5</v>
      </c>
      <c r="M88">
        <v>-0.4</v>
      </c>
      <c r="N88">
        <v>-0.7</v>
      </c>
      <c r="O88">
        <v>-1.7</v>
      </c>
    </row>
    <row r="89" spans="1:15" x14ac:dyDescent="0.25">
      <c r="A89" t="s">
        <v>192</v>
      </c>
      <c r="B89" t="s">
        <v>193</v>
      </c>
      <c r="C89" t="s">
        <v>48</v>
      </c>
      <c r="D89" t="s">
        <v>49</v>
      </c>
      <c r="E89" t="s">
        <v>50</v>
      </c>
      <c r="F89">
        <v>8.8000000000000007</v>
      </c>
      <c r="G89">
        <v>8.1</v>
      </c>
      <c r="H89">
        <v>7.7</v>
      </c>
      <c r="I89">
        <v>7.2</v>
      </c>
      <c r="J89">
        <v>6.8</v>
      </c>
      <c r="K89">
        <v>6.8</v>
      </c>
      <c r="L89">
        <v>6.8</v>
      </c>
      <c r="M89">
        <v>6.5</v>
      </c>
      <c r="N89">
        <v>6</v>
      </c>
      <c r="O89">
        <v>-6.8</v>
      </c>
    </row>
    <row r="90" spans="1:15" x14ac:dyDescent="0.25">
      <c r="A90" t="s">
        <v>194</v>
      </c>
      <c r="B90" t="s">
        <v>195</v>
      </c>
      <c r="C90" t="s">
        <v>48</v>
      </c>
      <c r="D90" t="s">
        <v>49</v>
      </c>
      <c r="E90" t="s">
        <v>50</v>
      </c>
      <c r="F90">
        <v>6.5</v>
      </c>
      <c r="G90">
        <v>4.4000000000000004</v>
      </c>
      <c r="H90">
        <v>4.5999999999999996</v>
      </c>
      <c r="I90">
        <v>5.3</v>
      </c>
      <c r="J90" t="s">
        <v>44</v>
      </c>
      <c r="K90" t="s">
        <v>44</v>
      </c>
      <c r="L90" t="s">
        <v>44</v>
      </c>
      <c r="M90" t="s">
        <v>44</v>
      </c>
      <c r="N90" t="s">
        <v>44</v>
      </c>
      <c r="O90" t="s">
        <v>44</v>
      </c>
    </row>
    <row r="91" spans="1:15" x14ac:dyDescent="0.25">
      <c r="A91" t="s">
        <v>196</v>
      </c>
      <c r="B91" t="s">
        <v>197</v>
      </c>
      <c r="C91" t="s">
        <v>48</v>
      </c>
      <c r="D91" t="s">
        <v>49</v>
      </c>
      <c r="E91" t="s">
        <v>50</v>
      </c>
      <c r="F91">
        <v>3.43228</v>
      </c>
      <c r="G91">
        <v>2.8547600000000002</v>
      </c>
      <c r="H91">
        <v>2.3608799999999999</v>
      </c>
      <c r="I91">
        <v>2.1082100000000001</v>
      </c>
      <c r="J91">
        <v>2.65741</v>
      </c>
      <c r="K91">
        <v>2.79535</v>
      </c>
      <c r="L91">
        <v>2.4698899999999999</v>
      </c>
      <c r="M91">
        <v>2.1827999999999999</v>
      </c>
      <c r="N91">
        <v>2.1568000000000001</v>
      </c>
      <c r="O91">
        <v>1.3856599999999999</v>
      </c>
    </row>
    <row r="92" spans="1:15" x14ac:dyDescent="0.25">
      <c r="A92" t="s">
        <v>44</v>
      </c>
      <c r="B92" t="s">
        <v>44</v>
      </c>
      <c r="C92" t="s">
        <v>44</v>
      </c>
      <c r="D92" t="s">
        <v>44</v>
      </c>
      <c r="E92" t="s">
        <v>57</v>
      </c>
      <c r="F92" t="s">
        <v>44</v>
      </c>
      <c r="G92" t="s">
        <v>44</v>
      </c>
      <c r="H92" t="s">
        <v>44</v>
      </c>
      <c r="I92" t="s">
        <v>44</v>
      </c>
      <c r="J92" t="s">
        <v>44</v>
      </c>
      <c r="K92" t="s">
        <v>44</v>
      </c>
      <c r="L92" t="s">
        <v>44</v>
      </c>
      <c r="M92" t="s">
        <v>44</v>
      </c>
      <c r="N92" t="s">
        <v>44</v>
      </c>
      <c r="O9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4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25" width="9.140625" bestFit="1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ReferenceData!$C$195</f>
        <v>2020</v>
      </c>
      <c r="G2" s="1" t="str">
        <f>ReferenceData!$D$195</f>
        <v>2019</v>
      </c>
      <c r="H2" s="1" t="str">
        <f>ReferenceData!$E$195</f>
        <v>2018</v>
      </c>
      <c r="I2" s="1" t="str">
        <f>ReferenceData!$F$195</f>
        <v>2017</v>
      </c>
      <c r="J2" s="1" t="str">
        <f>ReferenceData!$G$195</f>
        <v>2016</v>
      </c>
      <c r="K2" s="1" t="str">
        <f>ReferenceData!$H$195</f>
        <v>2015</v>
      </c>
      <c r="L2" s="1" t="str">
        <f>ReferenceData!$I$195</f>
        <v>2014</v>
      </c>
      <c r="M2" s="1" t="str">
        <f>ReferenceData!$J$195</f>
        <v>2013</v>
      </c>
      <c r="N2" s="1" t="str">
        <f>ReferenceData!$K$195</f>
        <v>2012</v>
      </c>
      <c r="O2" s="1" t="str">
        <f>ReferenceData!$L$195</f>
        <v>2011</v>
      </c>
      <c r="P2" t="str">
        <f>$C$195</f>
        <v>2020</v>
      </c>
      <c r="Q2" t="str">
        <f>$D$195</f>
        <v>2019</v>
      </c>
      <c r="R2" t="str">
        <f>$E$195</f>
        <v>2018</v>
      </c>
      <c r="S2" t="str">
        <f>$F$195</f>
        <v>2017</v>
      </c>
      <c r="T2" t="str">
        <f>$G$195</f>
        <v>2016</v>
      </c>
      <c r="U2" t="str">
        <f>$H$195</f>
        <v>2015</v>
      </c>
      <c r="V2" t="str">
        <f>$I$195</f>
        <v>2014</v>
      </c>
      <c r="W2" t="str">
        <f>$J$195</f>
        <v>2013</v>
      </c>
      <c r="X2" t="str">
        <f>$K$195</f>
        <v>2012</v>
      </c>
      <c r="Y2" t="str">
        <f>$L$195</f>
        <v>2011</v>
      </c>
    </row>
    <row r="3" spans="1:25" x14ac:dyDescent="0.25">
      <c r="A3" t="str">
        <f>"Corporate Earnings:"</f>
        <v>Corporate Earnings:</v>
      </c>
      <c r="B3" t="str">
        <f>""</f>
        <v/>
      </c>
      <c r="E3" t="str">
        <f>"Heading"</f>
        <v>Heading</v>
      </c>
      <c r="P3" t="str">
        <f>""</f>
        <v/>
      </c>
      <c r="Q3" t="str">
        <f>""</f>
        <v/>
      </c>
      <c r="R3" t="str">
        <f>""</f>
        <v/>
      </c>
      <c r="S3" t="str">
        <f>""</f>
        <v/>
      </c>
      <c r="T3" t="str">
        <f>""</f>
        <v/>
      </c>
      <c r="U3" t="str">
        <f>""</f>
        <v/>
      </c>
      <c r="V3" t="str">
        <f>""</f>
        <v/>
      </c>
      <c r="W3" t="str">
        <f>""</f>
        <v/>
      </c>
      <c r="X3" t="str">
        <f>""</f>
        <v/>
      </c>
      <c r="Y3" t="str">
        <f>""</f>
        <v/>
      </c>
    </row>
    <row r="4" spans="1:25" x14ac:dyDescent="0.25">
      <c r="A4" t="str">
        <f>"Corporate Profits ($B)"</f>
        <v>Corporate Profits ($B)</v>
      </c>
      <c r="B4" t="str">
        <f>"CPFTTOT Index"</f>
        <v>CPFTTOT Index</v>
      </c>
      <c r="C4" t="str">
        <f>"PR005"</f>
        <v>PR005</v>
      </c>
      <c r="D4" t="str">
        <f>"PX_LAST"</f>
        <v>PX_LAST</v>
      </c>
      <c r="E4" t="str">
        <f>"Dynamic"</f>
        <v>Dynamic</v>
      </c>
      <c r="F4" t="str">
        <f ca="1">IF(AND(ISNUMBER($F$110),$B$108=1),$F$110,HLOOKUP(INDIRECT(ADDRESS(2,COLUMN())),OFFSET($P$2,0,0,ROW()-1,10),ROW()-1,FALSE))</f>
        <v/>
      </c>
      <c r="G4">
        <f ca="1">IF(AND(ISNUMBER($G$110),$B$108=1),$G$110,HLOOKUP(INDIRECT(ADDRESS(2,COLUMN())),OFFSET($P$2,0,0,ROW()-1,10),ROW()-1,FALSE))</f>
        <v>2074.6390000000001</v>
      </c>
      <c r="H4">
        <f ca="1">IF(AND(ISNUMBER($H$110),$B$108=1),$H$110,HLOOKUP(INDIRECT(ADDRESS(2,COLUMN())),OFFSET($P$2,0,0,ROW()-1,10),ROW()-1,FALSE))</f>
        <v>2074.6320000000001</v>
      </c>
      <c r="I4">
        <f ca="1">IF(AND(ISNUMBER($I$110),$B$108=1),$I$110,HLOOKUP(INDIRECT(ADDRESS(2,COLUMN())),OFFSET($P$2,0,0,ROW()-1,10),ROW()-1,FALSE))</f>
        <v>2005.933</v>
      </c>
      <c r="J4">
        <f ca="1">IF(AND(ISNUMBER($J$110),$B$108=1),$J$110,HLOOKUP(INDIRECT(ADDRESS(2,COLUMN())),OFFSET($P$2,0,0,ROW()-1,10),ROW()-1,FALSE))</f>
        <v>2011.4680000000001</v>
      </c>
      <c r="K4">
        <f ca="1">IF(AND(ISNUMBER($K$110),$B$108=1),$K$110,HLOOKUP(INDIRECT(ADDRESS(2,COLUMN())),OFFSET($P$2,0,0,ROW()-1,10),ROW()-1,FALSE))</f>
        <v>2061.5140000000001</v>
      </c>
      <c r="L4">
        <f ca="1">IF(AND(ISNUMBER($L$110),$B$108=1),$L$110,HLOOKUP(INDIRECT(ADDRESS(2,COLUMN())),OFFSET($P$2,0,0,ROW()-1,10),ROW()-1,FALSE))</f>
        <v>2120.2150000000001</v>
      </c>
      <c r="M4">
        <f ca="1">IF(AND(ISNUMBER($M$110),$B$108=1),$M$110,HLOOKUP(INDIRECT(ADDRESS(2,COLUMN())),OFFSET($P$2,0,0,ROW()-1,10),ROW()-1,FALSE))</f>
        <v>2010.6949999999999</v>
      </c>
      <c r="N4">
        <f ca="1">IF(AND(ISNUMBER($N$110),$B$108=1),$N$110,HLOOKUP(INDIRECT(ADDRESS(2,COLUMN())),OFFSET($P$2,0,0,ROW()-1,10),ROW()-1,FALSE))</f>
        <v>1997.415</v>
      </c>
      <c r="O4">
        <f ca="1">IF(AND(ISNUMBER($O$110),$B$108=1),$O$110,HLOOKUP(INDIRECT(ADDRESS(2,COLUMN())),OFFSET($P$2,0,0,ROW()-1,10),ROW()-1,FALSE))</f>
        <v>1809.7739999999999</v>
      </c>
      <c r="P4" t="str">
        <f>""</f>
        <v/>
      </c>
      <c r="Q4">
        <f>2074.639</f>
        <v>2074.6390000000001</v>
      </c>
      <c r="R4">
        <f>2074.632</f>
        <v>2074.6320000000001</v>
      </c>
      <c r="S4">
        <f>2005.933</f>
        <v>2005.933</v>
      </c>
      <c r="T4">
        <f>2011.468</f>
        <v>2011.4680000000001</v>
      </c>
      <c r="U4">
        <f>2061.514</f>
        <v>2061.5140000000001</v>
      </c>
      <c r="V4">
        <f>2120.215</f>
        <v>2120.2150000000001</v>
      </c>
      <c r="W4">
        <f>2010.695</f>
        <v>2010.6949999999999</v>
      </c>
      <c r="X4">
        <f>1997.415</f>
        <v>1997.415</v>
      </c>
      <c r="Y4">
        <f>1809.774</f>
        <v>1809.7739999999999</v>
      </c>
    </row>
    <row r="5" spans="1:25" x14ac:dyDescent="0.25">
      <c r="A5" t="str">
        <f>"Undistributed Corporate Profits ($B)"</f>
        <v>Undistributed Corporate Profits ($B)</v>
      </c>
      <c r="B5" t="str">
        <f>"CPFTUNDI Index"</f>
        <v>CPFTUNDI Index</v>
      </c>
      <c r="C5" t="str">
        <f>"PR005"</f>
        <v>PR005</v>
      </c>
      <c r="D5" t="str">
        <f>"PX_LAST"</f>
        <v>PX_LAST</v>
      </c>
      <c r="E5" t="str">
        <f>"Dynamic"</f>
        <v>Dynamic</v>
      </c>
      <c r="F5" t="str">
        <f ca="1">IF(AND(ISNUMBER($F$111),$B$108=1),$F$111,HLOOKUP(INDIRECT(ADDRESS(2,COLUMN())),OFFSET($P$2,0,0,ROW()-1,10),ROW()-1,FALSE))</f>
        <v/>
      </c>
      <c r="G5">
        <f ca="1">IF(AND(ISNUMBER($G$111),$B$108=1),$G$111,HLOOKUP(INDIRECT(ADDRESS(2,COLUMN())),OFFSET($P$2,0,0,ROW()-1,10),ROW()-1,FALSE))</f>
        <v>515.58500000000004</v>
      </c>
      <c r="H5">
        <f ca="1">IF(AND(ISNUMBER($H$111),$B$108=1),$H$111,HLOOKUP(INDIRECT(ADDRESS(2,COLUMN())),OFFSET($P$2,0,0,ROW()-1,10),ROW()-1,FALSE))</f>
        <v>542.28300000000002</v>
      </c>
      <c r="I5">
        <f ca="1">IF(AND(ISNUMBER($I$111),$B$108=1),$I$111,HLOOKUP(INDIRECT(ADDRESS(2,COLUMN())),OFFSET($P$2,0,0,ROW()-1,10),ROW()-1,FALSE))</f>
        <v>446.89499999999998</v>
      </c>
      <c r="J5">
        <f ca="1">IF(AND(ISNUMBER($J$111),$B$108=1),$J$111,HLOOKUP(INDIRECT(ADDRESS(2,COLUMN())),OFFSET($P$2,0,0,ROW()-1,10),ROW()-1,FALSE))</f>
        <v>457.96600000000001</v>
      </c>
      <c r="K5">
        <f ca="1">IF(AND(ISNUMBER($K$111),$B$108=1),$K$111,HLOOKUP(INDIRECT(ADDRESS(2,COLUMN())),OFFSET($P$2,0,0,ROW()-1,10),ROW()-1,FALSE))</f>
        <v>500.03199999999998</v>
      </c>
      <c r="L5">
        <f ca="1">IF(AND(ISNUMBER($L$111),$B$108=1),$L$111,HLOOKUP(INDIRECT(ADDRESS(2,COLUMN())),OFFSET($P$2,0,0,ROW()-1,10),ROW()-1,FALSE))</f>
        <v>616.83299999999997</v>
      </c>
      <c r="M5">
        <f ca="1">IF(AND(ISNUMBER($M$111),$B$108=1),$M$111,HLOOKUP(INDIRECT(ADDRESS(2,COLUMN())),OFFSET($P$2,0,0,ROW()-1,10),ROW()-1,FALSE))</f>
        <v>638.92100000000005</v>
      </c>
      <c r="N5">
        <f ca="1">IF(AND(ISNUMBER($N$111),$B$108=1),$N$111,HLOOKUP(INDIRECT(ADDRESS(2,COLUMN())),OFFSET($P$2,0,0,ROW()-1,10),ROW()-1,FALSE))</f>
        <v>713.86500000000001</v>
      </c>
      <c r="O5">
        <f ca="1">IF(AND(ISNUMBER($O$111),$B$108=1),$O$111,HLOOKUP(INDIRECT(ADDRESS(2,COLUMN())),OFFSET($P$2,0,0,ROW()-1,10),ROW()-1,FALSE))</f>
        <v>749.59699999999998</v>
      </c>
      <c r="P5" t="str">
        <f>""</f>
        <v/>
      </c>
      <c r="Q5">
        <f>515.585</f>
        <v>515.58500000000004</v>
      </c>
      <c r="R5">
        <f>542.283</f>
        <v>542.28300000000002</v>
      </c>
      <c r="S5">
        <f>446.895</f>
        <v>446.89499999999998</v>
      </c>
      <c r="T5">
        <f>457.966</f>
        <v>457.96600000000001</v>
      </c>
      <c r="U5">
        <f>500.032</f>
        <v>500.03199999999998</v>
      </c>
      <c r="V5">
        <f>616.833</f>
        <v>616.83299999999997</v>
      </c>
      <c r="W5">
        <f>638.921</f>
        <v>638.92100000000005</v>
      </c>
      <c r="X5">
        <f>713.865</f>
        <v>713.86500000000001</v>
      </c>
      <c r="Y5">
        <f>749.597</f>
        <v>749.59699999999998</v>
      </c>
    </row>
    <row r="6" spans="1:25" x14ac:dyDescent="0.25">
      <c r="A6" t="str">
        <f>"S&amp;P 500 T12M EPS"</f>
        <v>S&amp;P 500 T12M EPS</v>
      </c>
      <c r="B6" t="str">
        <f>"SPX Index"</f>
        <v>SPX Index</v>
      </c>
      <c r="C6" t="str">
        <f>"RR906"</f>
        <v>RR906</v>
      </c>
      <c r="D6" t="str">
        <f>"TRAIL_12M_EPS"</f>
        <v>TRAIL_12M_EPS</v>
      </c>
      <c r="E6" t="str">
        <f>"Dynamic"</f>
        <v>Dynamic</v>
      </c>
      <c r="F6">
        <f ca="1">IF(AND(ISNUMBER($F$112),$B$108=1),$F$112,HLOOKUP(INDIRECT(ADDRESS(2,COLUMN())),OFFSET($P$2,0,0,ROW()-1,10),ROW()-1,FALSE))</f>
        <v>150.085318</v>
      </c>
      <c r="G6">
        <f ca="1">IF(AND(ISNUMBER($G$112),$B$108=1),$G$112,HLOOKUP(INDIRECT(ADDRESS(2,COLUMN())),OFFSET($P$2,0,0,ROW()-1,10),ROW()-1,FALSE))</f>
        <v>150.09414000000001</v>
      </c>
      <c r="H6">
        <f ca="1">IF(AND(ISNUMBER($H$112),$B$108=1),$H$112,HLOOKUP(INDIRECT(ADDRESS(2,COLUMN())),OFFSET($P$2,0,0,ROW()-1,10),ROW()-1,FALSE))</f>
        <v>150.84622400000001</v>
      </c>
      <c r="I6">
        <f ca="1">IF(AND(ISNUMBER($I$112),$B$108=1),$I$112,HLOOKUP(INDIRECT(ADDRESS(2,COLUMN())),OFFSET($P$2,0,0,ROW()-1,10),ROW()-1,FALSE))</f>
        <v>122.576813</v>
      </c>
      <c r="J6">
        <f ca="1">IF(AND(ISNUMBER($J$112),$B$108=1),$J$112,HLOOKUP(INDIRECT(ADDRESS(2,COLUMN())),OFFSET($P$2,0,0,ROW()-1,10),ROW()-1,FALSE))</f>
        <v>108.973753</v>
      </c>
      <c r="K6">
        <f ca="1">IF(AND(ISNUMBER($K$112),$B$108=1),$K$112,HLOOKUP(INDIRECT(ADDRESS(2,COLUMN())),OFFSET($P$2,0,0,ROW()-1,10),ROW()-1,FALSE))</f>
        <v>108.835115</v>
      </c>
      <c r="L6">
        <f ca="1">IF(AND(ISNUMBER($L$112),$B$108=1),$L$112,HLOOKUP(INDIRECT(ADDRESS(2,COLUMN())),OFFSET($P$2,0,0,ROW()-1,10),ROW()-1,FALSE))</f>
        <v>112.07915199999999</v>
      </c>
      <c r="M6">
        <f ca="1">IF(AND(ISNUMBER($M$112),$B$108=1),$M$112,HLOOKUP(INDIRECT(ADDRESS(2,COLUMN())),OFFSET($P$2,0,0,ROW()-1,10),ROW()-1,FALSE))</f>
        <v>106.19693100000001</v>
      </c>
      <c r="N6">
        <f ca="1">IF(AND(ISNUMBER($N$112),$B$108=1),$N$112,HLOOKUP(INDIRECT(ADDRESS(2,COLUMN())),OFFSET($P$2,0,0,ROW()-1,10),ROW()-1,FALSE))</f>
        <v>99.093410000000006</v>
      </c>
      <c r="O6">
        <f ca="1">IF(AND(ISNUMBER($O$112),$B$108=1),$O$112,HLOOKUP(INDIRECT(ADDRESS(2,COLUMN())),OFFSET($P$2,0,0,ROW()-1,10),ROW()-1,FALSE))</f>
        <v>93.652240000000006</v>
      </c>
      <c r="P6">
        <f>150.085318</f>
        <v>150.085318</v>
      </c>
      <c r="Q6">
        <f>150.09414</f>
        <v>150.09414000000001</v>
      </c>
      <c r="R6">
        <f>150.846224</f>
        <v>150.84622400000001</v>
      </c>
      <c r="S6">
        <f>122.576813</f>
        <v>122.576813</v>
      </c>
      <c r="T6">
        <f>108.973753</f>
        <v>108.973753</v>
      </c>
      <c r="U6">
        <f>108.835115</f>
        <v>108.835115</v>
      </c>
      <c r="V6">
        <f>112.079152</f>
        <v>112.07915199999999</v>
      </c>
      <c r="W6">
        <f>106.196931</f>
        <v>106.19693100000001</v>
      </c>
      <c r="X6">
        <f>99.09341</f>
        <v>99.093410000000006</v>
      </c>
      <c r="Y6">
        <f>93.65224</f>
        <v>93.652240000000006</v>
      </c>
    </row>
    <row r="7" spans="1:25" x14ac:dyDescent="0.25">
      <c r="A7" t="str">
        <f>""</f>
        <v/>
      </c>
      <c r="B7" t="str">
        <f>""</f>
        <v/>
      </c>
      <c r="E7" t="str">
        <f>"Static"</f>
        <v>Static</v>
      </c>
      <c r="F7" t="str">
        <f t="shared" ref="F7:O7" ca="1" si="0">HLOOKUP(INDIRECT(ADDRESS(2,COLUMN())),OFFSET($P$2,0,0,ROW()-1,10),ROW()-1,FALSE)</f>
        <v/>
      </c>
      <c r="G7" t="str">
        <f t="shared" ca="1" si="0"/>
        <v/>
      </c>
      <c r="H7" t="str">
        <f t="shared" ca="1" si="0"/>
        <v/>
      </c>
      <c r="I7" t="str">
        <f t="shared" ca="1" si="0"/>
        <v/>
      </c>
      <c r="J7" t="str">
        <f t="shared" ca="1" si="0"/>
        <v/>
      </c>
      <c r="K7" t="str">
        <f t="shared" ca="1" si="0"/>
        <v/>
      </c>
      <c r="L7" t="str">
        <f t="shared" ca="1" si="0"/>
        <v/>
      </c>
      <c r="M7" t="str">
        <f t="shared" ca="1" si="0"/>
        <v/>
      </c>
      <c r="N7" t="str">
        <f t="shared" ca="1" si="0"/>
        <v/>
      </c>
      <c r="O7" t="str">
        <f t="shared" ca="1" si="0"/>
        <v/>
      </c>
      <c r="P7" t="str">
        <f>""</f>
        <v/>
      </c>
      <c r="Q7" t="str">
        <f>""</f>
        <v/>
      </c>
      <c r="R7" t="str">
        <f>""</f>
        <v/>
      </c>
      <c r="S7" t="str">
        <f>""</f>
        <v/>
      </c>
      <c r="T7" t="str">
        <f>""</f>
        <v/>
      </c>
      <c r="U7" t="str">
        <f>""</f>
        <v/>
      </c>
      <c r="V7" t="str">
        <f>""</f>
        <v/>
      </c>
      <c r="W7" t="str">
        <f>""</f>
        <v/>
      </c>
      <c r="X7" t="str">
        <f>""</f>
        <v/>
      </c>
      <c r="Y7" t="str">
        <f>""</f>
        <v/>
      </c>
    </row>
    <row r="8" spans="1:25" x14ac:dyDescent="0.25">
      <c r="A8" t="str">
        <f>"Confidence Indicators:"</f>
        <v>Confidence Indicators:</v>
      </c>
      <c r="B8" t="str">
        <f>""</f>
        <v/>
      </c>
      <c r="E8" t="str">
        <f>"Heading"</f>
        <v>Heading</v>
      </c>
      <c r="P8" t="str">
        <f>""</f>
        <v/>
      </c>
      <c r="Q8" t="str">
        <f>""</f>
        <v/>
      </c>
      <c r="R8" t="str">
        <f>""</f>
        <v/>
      </c>
      <c r="S8" t="str">
        <f>""</f>
        <v/>
      </c>
      <c r="T8" t="str">
        <f>""</f>
        <v/>
      </c>
      <c r="U8" t="str">
        <f>""</f>
        <v/>
      </c>
      <c r="V8" t="str">
        <f>""</f>
        <v/>
      </c>
      <c r="W8" t="str">
        <f>""</f>
        <v/>
      </c>
      <c r="X8" t="str">
        <f>""</f>
        <v/>
      </c>
      <c r="Y8" t="str">
        <f>""</f>
        <v/>
      </c>
    </row>
    <row r="9" spans="1:25" x14ac:dyDescent="0.25">
      <c r="A9" t="str">
        <f>"CEO Confidence"</f>
        <v>CEO Confidence</v>
      </c>
      <c r="B9" t="str">
        <f>"CEOCINDX Index"</f>
        <v>CEOCINDX Index</v>
      </c>
      <c r="C9" t="str">
        <f t="shared" ref="C9:C17" si="1">"PR005"</f>
        <v>PR005</v>
      </c>
      <c r="D9" t="str">
        <f t="shared" ref="D9:D17" si="2">"PX_LAST"</f>
        <v>PX_LAST</v>
      </c>
      <c r="E9" t="str">
        <f t="shared" ref="E9:E17" si="3">"Dynamic"</f>
        <v>Dynamic</v>
      </c>
      <c r="F9">
        <f ca="1">IF(AND(ISNUMBER($F$113),$B$108=1),$F$113,HLOOKUP(INDIRECT(ADDRESS(2,COLUMN())),OFFSET($P$2,0,0,ROW()-1,10),ROW()-1,FALSE))</f>
        <v>6.5</v>
      </c>
      <c r="G9">
        <f ca="1">IF(AND(ISNUMBER($G$113),$B$108=1),$G$113,HLOOKUP(INDIRECT(ADDRESS(2,COLUMN())),OFFSET($P$2,0,0,ROW()-1,10),ROW()-1,FALSE))</f>
        <v>6.59</v>
      </c>
      <c r="H9">
        <f ca="1">IF(AND(ISNUMBER($H$113),$B$108=1),$H$113,HLOOKUP(INDIRECT(ADDRESS(2,COLUMN())),OFFSET($P$2,0,0,ROW()-1,10),ROW()-1,FALSE))</f>
        <v>6.44</v>
      </c>
      <c r="I9">
        <f ca="1">IF(AND(ISNUMBER($I$113),$B$108=1),$I$113,HLOOKUP(INDIRECT(ADDRESS(2,COLUMN())),OFFSET($P$2,0,0,ROW()-1,10),ROW()-1,FALSE))</f>
        <v>7.42</v>
      </c>
      <c r="J9">
        <f ca="1">IF(AND(ISNUMBER($J$113),$B$108=1),$J$113,HLOOKUP(INDIRECT(ADDRESS(2,COLUMN())),OFFSET($P$2,0,0,ROW()-1,10),ROW()-1,FALSE))</f>
        <v>6.93</v>
      </c>
      <c r="K9">
        <f ca="1">IF(AND(ISNUMBER($K$113),$B$108=1),$K$113,HLOOKUP(INDIRECT(ADDRESS(2,COLUMN())),OFFSET($P$2,0,0,ROW()-1,10),ROW()-1,FALSE))</f>
        <v>6.08</v>
      </c>
      <c r="L9">
        <f ca="1">IF(AND(ISNUMBER($L$113),$B$108=1),$L$113,HLOOKUP(INDIRECT(ADDRESS(2,COLUMN())),OFFSET($P$2,0,0,ROW()-1,10),ROW()-1,FALSE))</f>
        <v>6.47</v>
      </c>
      <c r="M9">
        <f ca="1">IF(AND(ISNUMBER($M$113),$B$108=1),$M$113,HLOOKUP(INDIRECT(ADDRESS(2,COLUMN())),OFFSET($P$2,0,0,ROW()-1,10),ROW()-1,FALSE))</f>
        <v>6.12</v>
      </c>
      <c r="N9">
        <f ca="1">IF(AND(ISNUMBER($N$113),$B$108=1),$N$113,HLOOKUP(INDIRECT(ADDRESS(2,COLUMN())),OFFSET($P$2,0,0,ROW()-1,10),ROW()-1,FALSE))</f>
        <v>5.09</v>
      </c>
      <c r="O9">
        <f ca="1">IF(AND(ISNUMBER($O$113),$B$108=1),$O$113,HLOOKUP(INDIRECT(ADDRESS(2,COLUMN())),OFFSET($P$2,0,0,ROW()-1,10),ROW()-1,FALSE))</f>
        <v>5.48</v>
      </c>
      <c r="P9">
        <f>6.5</f>
        <v>6.5</v>
      </c>
      <c r="Q9">
        <f>6.59</f>
        <v>6.59</v>
      </c>
      <c r="R9">
        <f>6.44</f>
        <v>6.44</v>
      </c>
      <c r="S9">
        <f>7.42</f>
        <v>7.42</v>
      </c>
      <c r="T9">
        <f>6.93</f>
        <v>6.93</v>
      </c>
      <c r="U9">
        <f>6.08</f>
        <v>6.08</v>
      </c>
      <c r="V9">
        <f>6.47</f>
        <v>6.47</v>
      </c>
      <c r="W9">
        <f>6.12</f>
        <v>6.12</v>
      </c>
      <c r="X9">
        <f>5.09</f>
        <v>5.09</v>
      </c>
      <c r="Y9">
        <f>5.48</f>
        <v>5.48</v>
      </c>
    </row>
    <row r="10" spans="1:25" x14ac:dyDescent="0.25">
      <c r="A10" t="str">
        <f>"Eurozone Business Confidence"</f>
        <v>Eurozone Business Confidence</v>
      </c>
      <c r="B10" t="str">
        <f>"EUESEMU Index"</f>
        <v>EUESEMU Index</v>
      </c>
      <c r="C10" t="str">
        <f t="shared" si="1"/>
        <v>PR005</v>
      </c>
      <c r="D10" t="str">
        <f t="shared" si="2"/>
        <v>PX_LAST</v>
      </c>
      <c r="E10" t="str">
        <f t="shared" si="3"/>
        <v>Dynamic</v>
      </c>
      <c r="F10">
        <f ca="1">IF(AND(ISNUMBER($F$114),$B$108=1),$F$114,HLOOKUP(INDIRECT(ADDRESS(2,COLUMN())),OFFSET($P$2,0,0,ROW()-1,10),ROW()-1,FALSE))</f>
        <v>67.5</v>
      </c>
      <c r="G10">
        <f ca="1">IF(AND(ISNUMBER($G$114),$B$108=1),$G$114,HLOOKUP(INDIRECT(ADDRESS(2,COLUMN())),OFFSET($P$2,0,0,ROW()-1,10),ROW()-1,FALSE))</f>
        <v>100.9</v>
      </c>
      <c r="H10">
        <f ca="1">IF(AND(ISNUMBER($H$114),$B$108=1),$H$114,HLOOKUP(INDIRECT(ADDRESS(2,COLUMN())),OFFSET($P$2,0,0,ROW()-1,10),ROW()-1,FALSE))</f>
        <v>107.6</v>
      </c>
      <c r="I10">
        <f ca="1">IF(AND(ISNUMBER($I$114),$B$108=1),$I$114,HLOOKUP(INDIRECT(ADDRESS(2,COLUMN())),OFFSET($P$2,0,0,ROW()-1,10),ROW()-1,FALSE))</f>
        <v>115</v>
      </c>
      <c r="J10">
        <f ca="1">IF(AND(ISNUMBER($J$114),$B$108=1),$J$114,HLOOKUP(INDIRECT(ADDRESS(2,COLUMN())),OFFSET($P$2,0,0,ROW()-1,10),ROW()-1,FALSE))</f>
        <v>106.9</v>
      </c>
      <c r="K10">
        <f ca="1">IF(AND(ISNUMBER($K$114),$B$108=1),$K$114,HLOOKUP(INDIRECT(ADDRESS(2,COLUMN())),OFFSET($P$2,0,0,ROW()-1,10),ROW()-1,FALSE))</f>
        <v>105.5</v>
      </c>
      <c r="L10">
        <f ca="1">IF(AND(ISNUMBER($L$114),$B$108=1),$L$114,HLOOKUP(INDIRECT(ADDRESS(2,COLUMN())),OFFSET($P$2,0,0,ROW()-1,10),ROW()-1,FALSE))</f>
        <v>99</v>
      </c>
      <c r="M10">
        <f ca="1">IF(AND(ISNUMBER($M$114),$B$108=1),$M$114,HLOOKUP(INDIRECT(ADDRESS(2,COLUMN())),OFFSET($P$2,0,0,ROW()-1,10),ROW()-1,FALSE))</f>
        <v>98.1</v>
      </c>
      <c r="N10">
        <f ca="1">IF(AND(ISNUMBER($N$114),$B$108=1),$N$114,HLOOKUP(INDIRECT(ADDRESS(2,COLUMN())),OFFSET($P$2,0,0,ROW()-1,10),ROW()-1,FALSE))</f>
        <v>85.6</v>
      </c>
      <c r="O10">
        <f ca="1">IF(AND(ISNUMBER($O$114),$B$108=1),$O$114,HLOOKUP(INDIRECT(ADDRESS(2,COLUMN())),OFFSET($P$2,0,0,ROW()-1,10),ROW()-1,FALSE))</f>
        <v>91.9</v>
      </c>
      <c r="P10">
        <f>67.5</f>
        <v>67.5</v>
      </c>
      <c r="Q10">
        <f>100.9</f>
        <v>100.9</v>
      </c>
      <c r="R10">
        <f>107.6</f>
        <v>107.6</v>
      </c>
      <c r="S10">
        <f>115</f>
        <v>115</v>
      </c>
      <c r="T10">
        <f>106.9</f>
        <v>106.9</v>
      </c>
      <c r="U10">
        <f>105.5</f>
        <v>105.5</v>
      </c>
      <c r="V10">
        <f>99</f>
        <v>99</v>
      </c>
      <c r="W10">
        <f>98.1</f>
        <v>98.1</v>
      </c>
      <c r="X10">
        <f>85.6</f>
        <v>85.6</v>
      </c>
      <c r="Y10">
        <f>91.9</f>
        <v>91.9</v>
      </c>
    </row>
    <row r="11" spans="1:25" x14ac:dyDescent="0.25">
      <c r="A11" t="str">
        <f>"    France"</f>
        <v xml:space="preserve">    France</v>
      </c>
      <c r="B11" t="str">
        <f>"EUESFR Index"</f>
        <v>EUESFR Index</v>
      </c>
      <c r="C11" t="str">
        <f t="shared" si="1"/>
        <v>PR005</v>
      </c>
      <c r="D11" t="str">
        <f t="shared" si="2"/>
        <v>PX_LAST</v>
      </c>
      <c r="E11" t="str">
        <f t="shared" si="3"/>
        <v>Dynamic</v>
      </c>
      <c r="F11">
        <f ca="1">IF(AND(ISNUMBER($F$115),$B$108=1),$F$115,HLOOKUP(INDIRECT(ADDRESS(2,COLUMN())),OFFSET($P$2,0,0,ROW()-1,10),ROW()-1,FALSE))</f>
        <v>67.599999999999994</v>
      </c>
      <c r="G11">
        <f ca="1">IF(AND(ISNUMBER($G$115),$B$108=1),$G$115,HLOOKUP(INDIRECT(ADDRESS(2,COLUMN())),OFFSET($P$2,0,0,ROW()-1,10),ROW()-1,FALSE))</f>
        <v>101.4</v>
      </c>
      <c r="H11">
        <f ca="1">IF(AND(ISNUMBER($H$115),$B$108=1),$H$115,HLOOKUP(INDIRECT(ADDRESS(2,COLUMN())),OFFSET($P$2,0,0,ROW()-1,10),ROW()-1,FALSE))</f>
        <v>99.9</v>
      </c>
      <c r="I11">
        <f ca="1">IF(AND(ISNUMBER($I$115),$B$108=1),$I$115,HLOOKUP(INDIRECT(ADDRESS(2,COLUMN())),OFFSET($P$2,0,0,ROW()-1,10),ROW()-1,FALSE))</f>
        <v>112.9</v>
      </c>
      <c r="J11">
        <f ca="1">IF(AND(ISNUMBER($J$115),$B$108=1),$J$115,HLOOKUP(INDIRECT(ADDRESS(2,COLUMN())),OFFSET($P$2,0,0,ROW()-1,10),ROW()-1,FALSE))</f>
        <v>103.3</v>
      </c>
      <c r="K11">
        <f ca="1">IF(AND(ISNUMBER($K$115),$B$108=1),$K$115,HLOOKUP(INDIRECT(ADDRESS(2,COLUMN())),OFFSET($P$2,0,0,ROW()-1,10),ROW()-1,FALSE))</f>
        <v>99.4</v>
      </c>
      <c r="L11">
        <f ca="1">IF(AND(ISNUMBER($L$115),$B$108=1),$L$115,HLOOKUP(INDIRECT(ADDRESS(2,COLUMN())),OFFSET($P$2,0,0,ROW()-1,10),ROW()-1,FALSE))</f>
        <v>91.9</v>
      </c>
      <c r="M11">
        <f ca="1">IF(AND(ISNUMBER($M$115),$B$108=1),$M$115,HLOOKUP(INDIRECT(ADDRESS(2,COLUMN())),OFFSET($P$2,0,0,ROW()-1,10),ROW()-1,FALSE))</f>
        <v>91.8</v>
      </c>
      <c r="N11">
        <f ca="1">IF(AND(ISNUMBER($N$115),$B$108=1),$N$115,HLOOKUP(INDIRECT(ADDRESS(2,COLUMN())),OFFSET($P$2,0,0,ROW()-1,10),ROW()-1,FALSE))</f>
        <v>84.9</v>
      </c>
      <c r="O11">
        <f ca="1">IF(AND(ISNUMBER($O$115),$B$108=1),$O$115,HLOOKUP(INDIRECT(ADDRESS(2,COLUMN())),OFFSET($P$2,0,0,ROW()-1,10),ROW()-1,FALSE))</f>
        <v>91.2</v>
      </c>
      <c r="P11">
        <f>67.6</f>
        <v>67.599999999999994</v>
      </c>
      <c r="Q11">
        <f>101.4</f>
        <v>101.4</v>
      </c>
      <c r="R11">
        <f>99.9</f>
        <v>99.9</v>
      </c>
      <c r="S11">
        <f>112.9</f>
        <v>112.9</v>
      </c>
      <c r="T11">
        <f>103.3</f>
        <v>103.3</v>
      </c>
      <c r="U11">
        <f>99.4</f>
        <v>99.4</v>
      </c>
      <c r="V11">
        <f>91.9</f>
        <v>91.9</v>
      </c>
      <c r="W11">
        <f>91.8</f>
        <v>91.8</v>
      </c>
      <c r="X11">
        <f>84.9</f>
        <v>84.9</v>
      </c>
      <c r="Y11">
        <f>91.2</f>
        <v>91.2</v>
      </c>
    </row>
    <row r="12" spans="1:25" x14ac:dyDescent="0.25">
      <c r="A12" t="str">
        <f>"    Germany"</f>
        <v xml:space="preserve">    Germany</v>
      </c>
      <c r="B12" t="str">
        <f>"EUESDE Index"</f>
        <v>EUESDE Index</v>
      </c>
      <c r="C12" t="str">
        <f t="shared" si="1"/>
        <v>PR005</v>
      </c>
      <c r="D12" t="str">
        <f t="shared" si="2"/>
        <v>PX_LAST</v>
      </c>
      <c r="E12" t="str">
        <f t="shared" si="3"/>
        <v>Dynamic</v>
      </c>
      <c r="F12">
        <f ca="1">IF(AND(ISNUMBER($F$116),$B$108=1),$F$116,HLOOKUP(INDIRECT(ADDRESS(2,COLUMN())),OFFSET($P$2,0,0,ROW()-1,10),ROW()-1,FALSE))</f>
        <v>75.3</v>
      </c>
      <c r="G12">
        <f ca="1">IF(AND(ISNUMBER($G$116),$B$108=1),$G$116,HLOOKUP(INDIRECT(ADDRESS(2,COLUMN())),OFFSET($P$2,0,0,ROW()-1,10),ROW()-1,FALSE))</f>
        <v>99.1</v>
      </c>
      <c r="H12">
        <f ca="1">IF(AND(ISNUMBER($H$116),$B$108=1),$H$116,HLOOKUP(INDIRECT(ADDRESS(2,COLUMN())),OFFSET($P$2,0,0,ROW()-1,10),ROW()-1,FALSE))</f>
        <v>108.8</v>
      </c>
      <c r="I12">
        <f ca="1">IF(AND(ISNUMBER($I$116),$B$108=1),$I$116,HLOOKUP(INDIRECT(ADDRESS(2,COLUMN())),OFFSET($P$2,0,0,ROW()-1,10),ROW()-1,FALSE))</f>
        <v>114.3</v>
      </c>
      <c r="J12">
        <f ca="1">IF(AND(ISNUMBER($J$116),$B$108=1),$J$116,HLOOKUP(INDIRECT(ADDRESS(2,COLUMN())),OFFSET($P$2,0,0,ROW()-1,10),ROW()-1,FALSE))</f>
        <v>108.5</v>
      </c>
      <c r="K12">
        <f ca="1">IF(AND(ISNUMBER($K$116),$B$108=1),$K$116,HLOOKUP(INDIRECT(ADDRESS(2,COLUMN())),OFFSET($P$2,0,0,ROW()-1,10),ROW()-1,FALSE))</f>
        <v>106</v>
      </c>
      <c r="L12">
        <f ca="1">IF(AND(ISNUMBER($L$116),$B$108=1),$L$116,HLOOKUP(INDIRECT(ADDRESS(2,COLUMN())),OFFSET($P$2,0,0,ROW()-1,10),ROW()-1,FALSE))</f>
        <v>102.8</v>
      </c>
      <c r="M12">
        <f ca="1">IF(AND(ISNUMBER($M$116),$B$108=1),$M$116,HLOOKUP(INDIRECT(ADDRESS(2,COLUMN())),OFFSET($P$2,0,0,ROW()-1,10),ROW()-1,FALSE))</f>
        <v>105.5</v>
      </c>
      <c r="N12">
        <f ca="1">IF(AND(ISNUMBER($N$116),$B$108=1),$N$116,HLOOKUP(INDIRECT(ADDRESS(2,COLUMN())),OFFSET($P$2,0,0,ROW()-1,10),ROW()-1,FALSE))</f>
        <v>96.4</v>
      </c>
      <c r="O12">
        <f ca="1">IF(AND(ISNUMBER($O$116),$B$108=1),$O$116,HLOOKUP(INDIRECT(ADDRESS(2,COLUMN())),OFFSET($P$2,0,0,ROW()-1,10),ROW()-1,FALSE))</f>
        <v>104.3</v>
      </c>
      <c r="P12">
        <f>75.3</f>
        <v>75.3</v>
      </c>
      <c r="Q12">
        <f>99.1</f>
        <v>99.1</v>
      </c>
      <c r="R12">
        <f>108.8</f>
        <v>108.8</v>
      </c>
      <c r="S12">
        <f>114.3</f>
        <v>114.3</v>
      </c>
      <c r="T12">
        <f>108.5</f>
        <v>108.5</v>
      </c>
      <c r="U12">
        <f>106</f>
        <v>106</v>
      </c>
      <c r="V12">
        <f>102.8</f>
        <v>102.8</v>
      </c>
      <c r="W12">
        <f>105.5</f>
        <v>105.5</v>
      </c>
      <c r="X12">
        <f>96.4</f>
        <v>96.4</v>
      </c>
      <c r="Y12">
        <f>104.3</f>
        <v>104.3</v>
      </c>
    </row>
    <row r="13" spans="1:25" x14ac:dyDescent="0.25">
      <c r="A13" t="str">
        <f>"    Greece"</f>
        <v xml:space="preserve">    Greece</v>
      </c>
      <c r="B13" t="str">
        <f>"EUESGR Index"</f>
        <v>EUESGR Index</v>
      </c>
      <c r="C13" t="str">
        <f t="shared" si="1"/>
        <v>PR005</v>
      </c>
      <c r="D13" t="str">
        <f t="shared" si="2"/>
        <v>PX_LAST</v>
      </c>
      <c r="E13" t="str">
        <f t="shared" si="3"/>
        <v>Dynamic</v>
      </c>
      <c r="F13">
        <f ca="1">IF(AND(ISNUMBER($F$117),$B$108=1),$F$117,HLOOKUP(INDIRECT(ADDRESS(2,COLUMN())),OFFSET($P$2,0,0,ROW()-1,10),ROW()-1,FALSE))</f>
        <v>88.5</v>
      </c>
      <c r="G13">
        <f ca="1">IF(AND(ISNUMBER($G$117),$B$108=1),$G$117,HLOOKUP(INDIRECT(ADDRESS(2,COLUMN())),OFFSET($P$2,0,0,ROW()-1,10),ROW()-1,FALSE))</f>
        <v>110.4</v>
      </c>
      <c r="H13">
        <f ca="1">IF(AND(ISNUMBER($H$117),$B$108=1),$H$117,HLOOKUP(INDIRECT(ADDRESS(2,COLUMN())),OFFSET($P$2,0,0,ROW()-1,10),ROW()-1,FALSE))</f>
        <v>102.7</v>
      </c>
      <c r="I13">
        <f ca="1">IF(AND(ISNUMBER($I$117),$B$108=1),$I$117,HLOOKUP(INDIRECT(ADDRESS(2,COLUMN())),OFFSET($P$2,0,0,ROW()-1,10),ROW()-1,FALSE))</f>
        <v>102.5</v>
      </c>
      <c r="J13">
        <f ca="1">IF(AND(ISNUMBER($J$117),$B$108=1),$J$117,HLOOKUP(INDIRECT(ADDRESS(2,COLUMN())),OFFSET($P$2,0,0,ROW()-1,10),ROW()-1,FALSE))</f>
        <v>97.3</v>
      </c>
      <c r="K13">
        <f ca="1">IF(AND(ISNUMBER($K$117),$B$108=1),$K$117,HLOOKUP(INDIRECT(ADDRESS(2,COLUMN())),OFFSET($P$2,0,0,ROW()-1,10),ROW()-1,FALSE))</f>
        <v>90.9</v>
      </c>
      <c r="L13">
        <f ca="1">IF(AND(ISNUMBER($L$117),$B$108=1),$L$117,HLOOKUP(INDIRECT(ADDRESS(2,COLUMN())),OFFSET($P$2,0,0,ROW()-1,10),ROW()-1,FALSE))</f>
        <v>102.3</v>
      </c>
      <c r="M13">
        <f ca="1">IF(AND(ISNUMBER($M$117),$B$108=1),$M$117,HLOOKUP(INDIRECT(ADDRESS(2,COLUMN())),OFFSET($P$2,0,0,ROW()-1,10),ROW()-1,FALSE))</f>
        <v>94.2</v>
      </c>
      <c r="N13">
        <f ca="1">IF(AND(ISNUMBER($N$117),$B$108=1),$N$117,HLOOKUP(INDIRECT(ADDRESS(2,COLUMN())),OFFSET($P$2,0,0,ROW()-1,10),ROW()-1,FALSE))</f>
        <v>89.7</v>
      </c>
      <c r="O13">
        <f ca="1">IF(AND(ISNUMBER($O$117),$B$108=1),$O$117,HLOOKUP(INDIRECT(ADDRESS(2,COLUMN())),OFFSET($P$2,0,0,ROW()-1,10),ROW()-1,FALSE))</f>
        <v>83.4</v>
      </c>
      <c r="P13">
        <f>88.5</f>
        <v>88.5</v>
      </c>
      <c r="Q13">
        <f>110.4</f>
        <v>110.4</v>
      </c>
      <c r="R13">
        <f>102.7</f>
        <v>102.7</v>
      </c>
      <c r="S13">
        <f>102.5</f>
        <v>102.5</v>
      </c>
      <c r="T13">
        <f>97.3</f>
        <v>97.3</v>
      </c>
      <c r="U13">
        <f>90.9</f>
        <v>90.9</v>
      </c>
      <c r="V13">
        <f>102.3</f>
        <v>102.3</v>
      </c>
      <c r="W13">
        <f>94.2</f>
        <v>94.2</v>
      </c>
      <c r="X13">
        <f>89.7</f>
        <v>89.7</v>
      </c>
      <c r="Y13">
        <f>83.4</f>
        <v>83.4</v>
      </c>
    </row>
    <row r="14" spans="1:25" x14ac:dyDescent="0.25">
      <c r="A14" t="str">
        <f>"    Italy"</f>
        <v xml:space="preserve">    Italy</v>
      </c>
      <c r="B14" t="str">
        <f>"EUESIT Index"</f>
        <v>EUESIT Index</v>
      </c>
      <c r="C14" t="str">
        <f t="shared" si="1"/>
        <v>PR005</v>
      </c>
      <c r="D14" t="str">
        <f t="shared" si="2"/>
        <v>PX_LAST</v>
      </c>
      <c r="E14" t="str">
        <f t="shared" si="3"/>
        <v>Dynamic</v>
      </c>
      <c r="F14">
        <f ca="1">IF(AND(ISNUMBER($F$118),$B$108=1),$F$118,HLOOKUP(INDIRECT(ADDRESS(2,COLUMN())),OFFSET($P$2,0,0,ROW()-1,10),ROW()-1,FALSE))</f>
        <v>63</v>
      </c>
      <c r="G14">
        <f ca="1">IF(AND(ISNUMBER($G$118),$B$108=1),$G$118,HLOOKUP(INDIRECT(ADDRESS(2,COLUMN())),OFFSET($P$2,0,0,ROW()-1,10),ROW()-1,FALSE))</f>
        <v>101.5</v>
      </c>
      <c r="H14">
        <f ca="1">IF(AND(ISNUMBER($H$118),$B$108=1),$H$118,HLOOKUP(INDIRECT(ADDRESS(2,COLUMN())),OFFSET($P$2,0,0,ROW()-1,10),ROW()-1,FALSE))</f>
        <v>104</v>
      </c>
      <c r="I14">
        <f ca="1">IF(AND(ISNUMBER($I$118),$B$108=1),$I$118,HLOOKUP(INDIRECT(ADDRESS(2,COLUMN())),OFFSET($P$2,0,0,ROW()-1,10),ROW()-1,FALSE))</f>
        <v>111.8</v>
      </c>
      <c r="J14">
        <f ca="1">IF(AND(ISNUMBER($J$118),$B$108=1),$J$118,HLOOKUP(INDIRECT(ADDRESS(2,COLUMN())),OFFSET($P$2,0,0,ROW()-1,10),ROW()-1,FALSE))</f>
        <v>102.2</v>
      </c>
      <c r="K14">
        <f ca="1">IF(AND(ISNUMBER($K$118),$B$108=1),$K$118,HLOOKUP(INDIRECT(ADDRESS(2,COLUMN())),OFFSET($P$2,0,0,ROW()-1,10),ROW()-1,FALSE))</f>
        <v>106.8</v>
      </c>
      <c r="L14">
        <f ca="1">IF(AND(ISNUMBER($L$118),$B$108=1),$L$118,HLOOKUP(INDIRECT(ADDRESS(2,COLUMN())),OFFSET($P$2,0,0,ROW()-1,10),ROW()-1,FALSE))</f>
        <v>93.6</v>
      </c>
      <c r="M14">
        <f ca="1">IF(AND(ISNUMBER($M$118),$B$108=1),$M$118,HLOOKUP(INDIRECT(ADDRESS(2,COLUMN())),OFFSET($P$2,0,0,ROW()-1,10),ROW()-1,FALSE))</f>
        <v>94.9</v>
      </c>
      <c r="N14">
        <f ca="1">IF(AND(ISNUMBER($N$118),$B$108=1),$N$118,HLOOKUP(INDIRECT(ADDRESS(2,COLUMN())),OFFSET($P$2,0,0,ROW()-1,10),ROW()-1,FALSE))</f>
        <v>80.3</v>
      </c>
      <c r="O14">
        <f ca="1">IF(AND(ISNUMBER($O$118),$B$108=1),$O$118,HLOOKUP(INDIRECT(ADDRESS(2,COLUMN())),OFFSET($P$2,0,0,ROW()-1,10),ROW()-1,FALSE))</f>
        <v>84.5</v>
      </c>
      <c r="P14">
        <f>63</f>
        <v>63</v>
      </c>
      <c r="Q14">
        <f>101.5</f>
        <v>101.5</v>
      </c>
      <c r="R14">
        <f>104</f>
        <v>104</v>
      </c>
      <c r="S14">
        <f>111.8</f>
        <v>111.8</v>
      </c>
      <c r="T14">
        <f>102.2</f>
        <v>102.2</v>
      </c>
      <c r="U14">
        <f>106.8</f>
        <v>106.8</v>
      </c>
      <c r="V14">
        <f>93.6</f>
        <v>93.6</v>
      </c>
      <c r="W14">
        <f>94.9</f>
        <v>94.9</v>
      </c>
      <c r="X14">
        <f>80.3</f>
        <v>80.3</v>
      </c>
      <c r="Y14">
        <f>84.5</f>
        <v>84.5</v>
      </c>
    </row>
    <row r="15" spans="1:25" x14ac:dyDescent="0.25">
      <c r="A15" t="str">
        <f>"    Spain"</f>
        <v xml:space="preserve">    Spain</v>
      </c>
      <c r="B15" t="str">
        <f>"EUESES Index"</f>
        <v>EUESES Index</v>
      </c>
      <c r="C15" t="str">
        <f t="shared" si="1"/>
        <v>PR005</v>
      </c>
      <c r="D15" t="str">
        <f t="shared" si="2"/>
        <v>PX_LAST</v>
      </c>
      <c r="E15" t="str">
        <f t="shared" si="3"/>
        <v>Dynamic</v>
      </c>
      <c r="F15">
        <f ca="1">IF(AND(ISNUMBER($F$119),$B$108=1),$F$119,HLOOKUP(INDIRECT(ADDRESS(2,COLUMN())),OFFSET($P$2,0,0,ROW()-1,10),ROW()-1,FALSE))</f>
        <v>74.900000000000006</v>
      </c>
      <c r="G15">
        <f ca="1">IF(AND(ISNUMBER($G$119),$B$108=1),$G$119,HLOOKUP(INDIRECT(ADDRESS(2,COLUMN())),OFFSET($P$2,0,0,ROW()-1,10),ROW()-1,FALSE))</f>
        <v>102.7</v>
      </c>
      <c r="H15">
        <f ca="1">IF(AND(ISNUMBER($H$119),$B$108=1),$H$119,HLOOKUP(INDIRECT(ADDRESS(2,COLUMN())),OFFSET($P$2,0,0,ROW()-1,10),ROW()-1,FALSE))</f>
        <v>103.4</v>
      </c>
      <c r="I15">
        <f ca="1">IF(AND(ISNUMBER($I$119),$B$108=1),$I$119,HLOOKUP(INDIRECT(ADDRESS(2,COLUMN())),OFFSET($P$2,0,0,ROW()-1,10),ROW()-1,FALSE))</f>
        <v>110.5</v>
      </c>
      <c r="J15">
        <f ca="1">IF(AND(ISNUMBER($J$119),$B$108=1),$J$119,HLOOKUP(INDIRECT(ADDRESS(2,COLUMN())),OFFSET($P$2,0,0,ROW()-1,10),ROW()-1,FALSE))</f>
        <v>105.3</v>
      </c>
      <c r="K15">
        <f ca="1">IF(AND(ISNUMBER($K$119),$B$108=1),$K$119,HLOOKUP(INDIRECT(ADDRESS(2,COLUMN())),OFFSET($P$2,0,0,ROW()-1,10),ROW()-1,FALSE))</f>
        <v>111.4</v>
      </c>
      <c r="L15">
        <f ca="1">IF(AND(ISNUMBER($L$119),$B$108=1),$L$119,HLOOKUP(INDIRECT(ADDRESS(2,COLUMN())),OFFSET($P$2,0,0,ROW()-1,10),ROW()-1,FALSE))</f>
        <v>103.8</v>
      </c>
      <c r="M15">
        <f ca="1">IF(AND(ISNUMBER($M$119),$B$108=1),$M$119,HLOOKUP(INDIRECT(ADDRESS(2,COLUMN())),OFFSET($P$2,0,0,ROW()-1,10),ROW()-1,FALSE))</f>
        <v>98.3</v>
      </c>
      <c r="N15">
        <f ca="1">IF(AND(ISNUMBER($N$119),$B$108=1),$N$119,HLOOKUP(INDIRECT(ADDRESS(2,COLUMN())),OFFSET($P$2,0,0,ROW()-1,10),ROW()-1,FALSE))</f>
        <v>85.1</v>
      </c>
      <c r="O15">
        <f ca="1">IF(AND(ISNUMBER($O$119),$B$108=1),$O$119,HLOOKUP(INDIRECT(ADDRESS(2,COLUMN())),OFFSET($P$2,0,0,ROW()-1,10),ROW()-1,FALSE))</f>
        <v>86.6</v>
      </c>
      <c r="P15">
        <f>74.9</f>
        <v>74.900000000000006</v>
      </c>
      <c r="Q15">
        <f>102.7</f>
        <v>102.7</v>
      </c>
      <c r="R15">
        <f>103.4</f>
        <v>103.4</v>
      </c>
      <c r="S15">
        <f>110.5</f>
        <v>110.5</v>
      </c>
      <c r="T15">
        <f>105.3</f>
        <v>105.3</v>
      </c>
      <c r="U15">
        <f>111.4</f>
        <v>111.4</v>
      </c>
      <c r="V15">
        <f>103.8</f>
        <v>103.8</v>
      </c>
      <c r="W15">
        <f>98.3</f>
        <v>98.3</v>
      </c>
      <c r="X15">
        <f>85.1</f>
        <v>85.1</v>
      </c>
      <c r="Y15">
        <f>86.6</f>
        <v>86.6</v>
      </c>
    </row>
    <row r="16" spans="1:25" x14ac:dyDescent="0.25">
      <c r="A16" t="str">
        <f>"    UK"</f>
        <v xml:space="preserve">    UK</v>
      </c>
      <c r="B16" t="str">
        <f>"EUESUK Index"</f>
        <v>EUESUK Index</v>
      </c>
      <c r="C16" t="str">
        <f t="shared" si="1"/>
        <v>PR005</v>
      </c>
      <c r="D16" t="str">
        <f t="shared" si="2"/>
        <v>PX_LAST</v>
      </c>
      <c r="E16" t="str">
        <f t="shared" si="3"/>
        <v>Dynamic</v>
      </c>
      <c r="F16">
        <f ca="1">IF(AND(ISNUMBER($F$120),$B$108=1),$F$120,HLOOKUP(INDIRECT(ADDRESS(2,COLUMN())),OFFSET($P$2,0,0,ROW()-1,10),ROW()-1,FALSE))</f>
        <v>61.7</v>
      </c>
      <c r="G16">
        <f ca="1">IF(AND(ISNUMBER($G$120),$B$108=1),$G$120,HLOOKUP(INDIRECT(ADDRESS(2,COLUMN())),OFFSET($P$2,0,0,ROW()-1,10),ROW()-1,FALSE))</f>
        <v>87.3</v>
      </c>
      <c r="H16">
        <f ca="1">IF(AND(ISNUMBER($H$120),$B$108=1),$H$120,HLOOKUP(INDIRECT(ADDRESS(2,COLUMN())),OFFSET($P$2,0,0,ROW()-1,10),ROW()-1,FALSE))</f>
        <v>104.7</v>
      </c>
      <c r="I16">
        <f ca="1">IF(AND(ISNUMBER($I$120),$B$108=1),$I$120,HLOOKUP(INDIRECT(ADDRESS(2,COLUMN())),OFFSET($P$2,0,0,ROW()-1,10),ROW()-1,FALSE))</f>
        <v>111</v>
      </c>
      <c r="J16">
        <f ca="1">IF(AND(ISNUMBER($J$120),$B$108=1),$J$120,HLOOKUP(INDIRECT(ADDRESS(2,COLUMN())),OFFSET($P$2,0,0,ROW()-1,10),ROW()-1,FALSE))</f>
        <v>107.7</v>
      </c>
      <c r="K16">
        <f ca="1">IF(AND(ISNUMBER($K$120),$B$108=1),$K$120,HLOOKUP(INDIRECT(ADDRESS(2,COLUMN())),OFFSET($P$2,0,0,ROW()-1,10),ROW()-1,FALSE))</f>
        <v>109.6</v>
      </c>
      <c r="L16">
        <f ca="1">IF(AND(ISNUMBER($L$120),$B$108=1),$L$120,HLOOKUP(INDIRECT(ADDRESS(2,COLUMN())),OFFSET($P$2,0,0,ROW()-1,10),ROW()-1,FALSE))</f>
        <v>110.7</v>
      </c>
      <c r="M16">
        <f ca="1">IF(AND(ISNUMBER($M$120),$B$108=1),$M$120,HLOOKUP(INDIRECT(ADDRESS(2,COLUMN())),OFFSET($P$2,0,0,ROW()-1,10),ROW()-1,FALSE))</f>
        <v>110.7</v>
      </c>
      <c r="N16">
        <f ca="1">IF(AND(ISNUMBER($N$120),$B$108=1),$N$120,HLOOKUP(INDIRECT(ADDRESS(2,COLUMN())),OFFSET($P$2,0,0,ROW()-1,10),ROW()-1,FALSE))</f>
        <v>91.9</v>
      </c>
      <c r="O16">
        <f ca="1">IF(AND(ISNUMBER($O$120),$B$108=1),$O$120,HLOOKUP(INDIRECT(ADDRESS(2,COLUMN())),OFFSET($P$2,0,0,ROW()-1,10),ROW()-1,FALSE))</f>
        <v>84.6</v>
      </c>
      <c r="P16">
        <f>61.7</f>
        <v>61.7</v>
      </c>
      <c r="Q16">
        <f>87.3</f>
        <v>87.3</v>
      </c>
      <c r="R16">
        <f>104.7</f>
        <v>104.7</v>
      </c>
      <c r="S16">
        <f>111</f>
        <v>111</v>
      </c>
      <c r="T16">
        <f>107.7</f>
        <v>107.7</v>
      </c>
      <c r="U16">
        <f>109.6</f>
        <v>109.6</v>
      </c>
      <c r="V16">
        <f>110.7</f>
        <v>110.7</v>
      </c>
      <c r="W16">
        <f>110.7</f>
        <v>110.7</v>
      </c>
      <c r="X16">
        <f>91.9</f>
        <v>91.9</v>
      </c>
      <c r="Y16">
        <f>84.6</f>
        <v>84.6</v>
      </c>
    </row>
    <row r="17" spans="1:25" x14ac:dyDescent="0.25">
      <c r="A17" t="str">
        <f>"IFO World Economic Climate"</f>
        <v>IFO World Economic Climate</v>
      </c>
      <c r="B17" t="str">
        <f>"ENOMWLEC Index"</f>
        <v>ENOMWLEC Index</v>
      </c>
      <c r="C17" t="str">
        <f t="shared" si="1"/>
        <v>PR005</v>
      </c>
      <c r="D17" t="str">
        <f t="shared" si="2"/>
        <v>PX_LAST</v>
      </c>
      <c r="E17" t="str">
        <f t="shared" si="3"/>
        <v>Dynamic</v>
      </c>
      <c r="F17" t="str">
        <f ca="1">IF(AND(ISNUMBER($F$121),$B$108=1),$F$121,HLOOKUP(INDIRECT(ADDRESS(2,COLUMN())),OFFSET($P$2,0,0,ROW()-1,10),ROW()-1,FALSE))</f>
        <v/>
      </c>
      <c r="G17">
        <f ca="1">IF(AND(ISNUMBER($G$121),$B$108=1),$G$121,HLOOKUP(INDIRECT(ADDRESS(2,COLUMN())),OFFSET($P$2,0,0,ROW()-1,10),ROW()-1,FALSE))</f>
        <v>-18.8</v>
      </c>
      <c r="H17">
        <f ca="1">IF(AND(ISNUMBER($H$121),$B$108=1),$H$121,HLOOKUP(INDIRECT(ADDRESS(2,COLUMN())),OFFSET($P$2,0,0,ROW()-1,10),ROW()-1,FALSE))</f>
        <v>-2.2000000000000002</v>
      </c>
      <c r="I17">
        <f ca="1">IF(AND(ISNUMBER($I$121),$B$108=1),$I$121,HLOOKUP(INDIRECT(ADDRESS(2,COLUMN())),OFFSET($P$2,0,0,ROW()-1,10),ROW()-1,FALSE))</f>
        <v>17.100000000000001</v>
      </c>
      <c r="J17">
        <f ca="1">IF(AND(ISNUMBER($J$121),$B$108=1),$J$121,HLOOKUP(INDIRECT(ADDRESS(2,COLUMN())),OFFSET($P$2,0,0,ROW()-1,10),ROW()-1,FALSE))</f>
        <v>-0.7</v>
      </c>
      <c r="K17">
        <f ca="1">IF(AND(ISNUMBER($K$121),$B$108=1),$K$121,HLOOKUP(INDIRECT(ADDRESS(2,COLUMN())),OFFSET($P$2,0,0,ROW()-1,10),ROW()-1,FALSE))</f>
        <v>-5.0999999999999996</v>
      </c>
      <c r="L17">
        <f ca="1">IF(AND(ISNUMBER($L$121),$B$108=1),$L$121,HLOOKUP(INDIRECT(ADDRESS(2,COLUMN())),OFFSET($P$2,0,0,ROW()-1,10),ROW()-1,FALSE))</f>
        <v>4.7</v>
      </c>
      <c r="M17">
        <f ca="1">IF(AND(ISNUMBER($M$121),$B$108=1),$M$121,HLOOKUP(INDIRECT(ADDRESS(2,COLUMN())),OFFSET($P$2,0,0,ROW()-1,10),ROW()-1,FALSE))</f>
        <v>4.8</v>
      </c>
      <c r="N17">
        <f ca="1">IF(AND(ISNUMBER($N$121),$B$108=1),$N$121,HLOOKUP(INDIRECT(ADDRESS(2,COLUMN())),OFFSET($P$2,0,0,ROW()-1,10),ROW()-1,FALSE))</f>
        <v>-9.1999999999999993</v>
      </c>
      <c r="O17">
        <f ca="1">IF(AND(ISNUMBER($O$121),$B$108=1),$O$121,HLOOKUP(INDIRECT(ADDRESS(2,COLUMN())),OFFSET($P$2,0,0,ROW()-1,10),ROW()-1,FALSE))</f>
        <v>-14.7</v>
      </c>
      <c r="P17" t="str">
        <f>""</f>
        <v/>
      </c>
      <c r="Q17">
        <f>-18.8</f>
        <v>-18.8</v>
      </c>
      <c r="R17">
        <f>-2.2</f>
        <v>-2.2000000000000002</v>
      </c>
      <c r="S17">
        <f>17.1</f>
        <v>17.100000000000001</v>
      </c>
      <c r="T17">
        <f>-0.7</f>
        <v>-0.7</v>
      </c>
      <c r="U17">
        <f>-5.1</f>
        <v>-5.0999999999999996</v>
      </c>
      <c r="V17">
        <f>4.7</f>
        <v>4.7</v>
      </c>
      <c r="W17">
        <f>4.8</f>
        <v>4.8</v>
      </c>
      <c r="X17">
        <f>-9.2</f>
        <v>-9.1999999999999993</v>
      </c>
      <c r="Y17">
        <f>-14.7</f>
        <v>-14.7</v>
      </c>
    </row>
    <row r="18" spans="1:25" x14ac:dyDescent="0.25">
      <c r="A18" t="str">
        <f>""</f>
        <v/>
      </c>
      <c r="B18" t="str">
        <f>""</f>
        <v/>
      </c>
      <c r="E18" t="str">
        <f>"Static"</f>
        <v>Static</v>
      </c>
      <c r="F18" t="str">
        <f t="shared" ref="F18:O18" ca="1" si="4">HLOOKUP(INDIRECT(ADDRESS(2,COLUMN())),OFFSET($P$2,0,0,ROW()-1,10),ROW()-1,FALSE)</f>
        <v/>
      </c>
      <c r="G18" t="str">
        <f t="shared" ca="1" si="4"/>
        <v/>
      </c>
      <c r="H18" t="str">
        <f t="shared" ca="1" si="4"/>
        <v/>
      </c>
      <c r="I18" t="str">
        <f t="shared" ca="1" si="4"/>
        <v/>
      </c>
      <c r="J18" t="str">
        <f t="shared" ca="1" si="4"/>
        <v/>
      </c>
      <c r="K18" t="str">
        <f t="shared" ca="1" si="4"/>
        <v/>
      </c>
      <c r="L18" t="str">
        <f t="shared" ca="1" si="4"/>
        <v/>
      </c>
      <c r="M18" t="str">
        <f t="shared" ca="1" si="4"/>
        <v/>
      </c>
      <c r="N18" t="str">
        <f t="shared" ca="1" si="4"/>
        <v/>
      </c>
      <c r="O18" t="str">
        <f t="shared" ca="1" si="4"/>
        <v/>
      </c>
      <c r="P18" t="str">
        <f>""</f>
        <v/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  <c r="U18" t="str">
        <f>""</f>
        <v/>
      </c>
      <c r="V18" t="str">
        <f>""</f>
        <v/>
      </c>
      <c r="W18" t="str">
        <f>""</f>
        <v/>
      </c>
      <c r="X18" t="str">
        <f>""</f>
        <v/>
      </c>
      <c r="Y18" t="str">
        <f>""</f>
        <v/>
      </c>
    </row>
    <row r="19" spans="1:25" x14ac:dyDescent="0.25">
      <c r="A19" t="str">
        <f>"Business Indicators:"</f>
        <v>Business Indicators:</v>
      </c>
      <c r="B19" t="str">
        <f>""</f>
        <v/>
      </c>
      <c r="E19" t="str">
        <f>"Heading"</f>
        <v>Heading</v>
      </c>
      <c r="P19" t="str">
        <f>""</f>
        <v/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  <c r="U19" t="str">
        <f>""</f>
        <v/>
      </c>
      <c r="V19" t="str">
        <f>""</f>
        <v/>
      </c>
      <c r="W19" t="str">
        <f>""</f>
        <v/>
      </c>
      <c r="X19" t="str">
        <f>""</f>
        <v/>
      </c>
      <c r="Y19" t="str">
        <f>""</f>
        <v/>
      </c>
    </row>
    <row r="20" spans="1:25" x14ac:dyDescent="0.25">
      <c r="A20" t="str">
        <f>"ISM Non-Manufacturing Index"</f>
        <v>ISM Non-Manufacturing Index</v>
      </c>
      <c r="B20" t="str">
        <f>"NAPMNMI Index"</f>
        <v>NAPMNMI Index</v>
      </c>
      <c r="C20" t="str">
        <f>"PR005"</f>
        <v>PR005</v>
      </c>
      <c r="D20" t="str">
        <f>"PX_LAST"</f>
        <v>PX_LAST</v>
      </c>
      <c r="E20" t="str">
        <f>"Dynamic"</f>
        <v>Dynamic</v>
      </c>
      <c r="F20">
        <f ca="1">IF(AND(ISNUMBER($F$122),$B$108=1),$F$122,HLOOKUP(INDIRECT(ADDRESS(2,COLUMN())),OFFSET($P$2,0,0,ROW()-1,10),ROW()-1,FALSE))</f>
        <v>45.4</v>
      </c>
      <c r="G20">
        <f ca="1">IF(AND(ISNUMBER($G$122),$B$108=1),$G$122,HLOOKUP(INDIRECT(ADDRESS(2,COLUMN())),OFFSET($P$2,0,0,ROW()-1,10),ROW()-1,FALSE))</f>
        <v>54.9</v>
      </c>
      <c r="H20">
        <f ca="1">IF(AND(ISNUMBER($H$122),$B$108=1),$H$122,HLOOKUP(INDIRECT(ADDRESS(2,COLUMN())),OFFSET($P$2,0,0,ROW()-1,10),ROW()-1,FALSE))</f>
        <v>58</v>
      </c>
      <c r="I20">
        <f ca="1">IF(AND(ISNUMBER($I$122),$B$108=1),$I$122,HLOOKUP(INDIRECT(ADDRESS(2,COLUMN())),OFFSET($P$2,0,0,ROW()-1,10),ROW()-1,FALSE))</f>
        <v>55.9</v>
      </c>
      <c r="J20">
        <f ca="1">IF(AND(ISNUMBER($J$122),$B$108=1),$J$122,HLOOKUP(INDIRECT(ADDRESS(2,COLUMN())),OFFSET($P$2,0,0,ROW()-1,10),ROW()-1,FALSE))</f>
        <v>56.3</v>
      </c>
      <c r="K20">
        <f ca="1">IF(AND(ISNUMBER($K$122),$B$108=1),$K$122,HLOOKUP(INDIRECT(ADDRESS(2,COLUMN())),OFFSET($P$2,0,0,ROW()-1,10),ROW()-1,FALSE))</f>
        <v>55</v>
      </c>
      <c r="L20">
        <f ca="1">IF(AND(ISNUMBER($L$122),$B$108=1),$L$122,HLOOKUP(INDIRECT(ADDRESS(2,COLUMN())),OFFSET($P$2,0,0,ROW()-1,10),ROW()-1,FALSE))</f>
        <v>56.8</v>
      </c>
      <c r="M20">
        <f ca="1">IF(AND(ISNUMBER($M$122),$B$108=1),$M$122,HLOOKUP(INDIRECT(ADDRESS(2,COLUMN())),OFFSET($P$2,0,0,ROW()-1,10),ROW()-1,FALSE))</f>
        <v>53.2</v>
      </c>
      <c r="N20">
        <f ca="1">IF(AND(ISNUMBER($N$122),$B$108=1),$N$122,HLOOKUP(INDIRECT(ADDRESS(2,COLUMN())),OFFSET($P$2,0,0,ROW()-1,10),ROW()-1,FALSE))</f>
        <v>56.1</v>
      </c>
      <c r="O20">
        <f ca="1">IF(AND(ISNUMBER($O$122),$B$108=1),$O$122,HLOOKUP(INDIRECT(ADDRESS(2,COLUMN())),OFFSET($P$2,0,0,ROW()-1,10),ROW()-1,FALSE))</f>
        <v>52.6</v>
      </c>
      <c r="P20">
        <f>45.4</f>
        <v>45.4</v>
      </c>
      <c r="Q20">
        <f>54.9</f>
        <v>54.9</v>
      </c>
      <c r="R20">
        <f>58</f>
        <v>58</v>
      </c>
      <c r="S20">
        <f>55.9</f>
        <v>55.9</v>
      </c>
      <c r="T20">
        <f>56.3</f>
        <v>56.3</v>
      </c>
      <c r="U20">
        <f>55</f>
        <v>55</v>
      </c>
      <c r="V20">
        <f>56.8</f>
        <v>56.8</v>
      </c>
      <c r="W20">
        <f>53.2</f>
        <v>53.2</v>
      </c>
      <c r="X20">
        <f>56.1</f>
        <v>56.1</v>
      </c>
      <c r="Y20">
        <f>52.6</f>
        <v>52.6</v>
      </c>
    </row>
    <row r="21" spans="1:25" x14ac:dyDescent="0.25">
      <c r="A21" t="str">
        <f>"Total Durable Goods (yoy %)"</f>
        <v>Total Durable Goods (yoy %)</v>
      </c>
      <c r="B21" t="str">
        <f>"DGNOYOY Index"</f>
        <v>DGNOYOY Index</v>
      </c>
      <c r="C21" t="str">
        <f>"PR005"</f>
        <v>PR005</v>
      </c>
      <c r="D21" t="str">
        <f>"PX_LAST"</f>
        <v>PX_LAST</v>
      </c>
      <c r="E21" t="str">
        <f>"Dynamic"</f>
        <v>Dynamic</v>
      </c>
      <c r="F21">
        <f ca="1">IF(AND(ISNUMBER($F$123),$B$108=1),$F$123,HLOOKUP(INDIRECT(ADDRESS(2,COLUMN())),OFFSET($P$2,0,0,ROW()-1,10),ROW()-1,FALSE))</f>
        <v>-29.902529999999999</v>
      </c>
      <c r="G21">
        <f ca="1">IF(AND(ISNUMBER($G$123),$B$108=1),$G$123,HLOOKUP(INDIRECT(ADDRESS(2,COLUMN())),OFFSET($P$2,0,0,ROW()-1,10),ROW()-1,FALSE))</f>
        <v>-2.9366099999999999</v>
      </c>
      <c r="H21">
        <f ca="1">IF(AND(ISNUMBER($H$123),$B$108=1),$H$123,HLOOKUP(INDIRECT(ADDRESS(2,COLUMN())),OFFSET($P$2,0,0,ROW()-1,10),ROW()-1,FALSE))</f>
        <v>3.6734800000000001</v>
      </c>
      <c r="I21">
        <f ca="1">IF(AND(ISNUMBER($I$123),$B$108=1),$I$123,HLOOKUP(INDIRECT(ADDRESS(2,COLUMN())),OFFSET($P$2,0,0,ROW()-1,10),ROW()-1,FALSE))</f>
        <v>7.0038</v>
      </c>
      <c r="J21">
        <f ca="1">IF(AND(ISNUMBER($J$123),$B$108=1),$J$123,HLOOKUP(INDIRECT(ADDRESS(2,COLUMN())),OFFSET($P$2,0,0,ROW()-1,10),ROW()-1,FALSE))</f>
        <v>-1.80993</v>
      </c>
      <c r="K21">
        <f ca="1">IF(AND(ISNUMBER($K$123),$B$108=1),$K$123,HLOOKUP(INDIRECT(ADDRESS(2,COLUMN())),OFFSET($P$2,0,0,ROW()-1,10),ROW()-1,FALSE))</f>
        <v>-2.7246999999999999</v>
      </c>
      <c r="L21">
        <f ca="1">IF(AND(ISNUMBER($L$123),$B$108=1),$L$123,HLOOKUP(INDIRECT(ADDRESS(2,COLUMN())),OFFSET($P$2,0,0,ROW()-1,10),ROW()-1,FALSE))</f>
        <v>-1.7984</v>
      </c>
      <c r="M21">
        <f ca="1">IF(AND(ISNUMBER($M$123),$B$108=1),$M$123,HLOOKUP(INDIRECT(ADDRESS(2,COLUMN())),OFFSET($P$2,0,0,ROW()-1,10),ROW()-1,FALSE))</f>
        <v>1.10476</v>
      </c>
      <c r="N21">
        <f ca="1">IF(AND(ISNUMBER($N$123),$B$108=1),$N$123,HLOOKUP(INDIRECT(ADDRESS(2,COLUMN())),OFFSET($P$2,0,0,ROW()-1,10),ROW()-1,FALSE))</f>
        <v>0.71948999999999996</v>
      </c>
      <c r="O21">
        <f ca="1">IF(AND(ISNUMBER($O$123),$B$108=1),$O$123,HLOOKUP(INDIRECT(ADDRESS(2,COLUMN())),OFFSET($P$2,0,0,ROW()-1,10),ROW()-1,FALSE))</f>
        <v>13.644259999999999</v>
      </c>
      <c r="P21">
        <f>-29.90253</f>
        <v>-29.902529999999999</v>
      </c>
      <c r="Q21">
        <f>-2.93661</f>
        <v>-2.9366099999999999</v>
      </c>
      <c r="R21">
        <f>3.67348</f>
        <v>3.6734800000000001</v>
      </c>
      <c r="S21">
        <f>7.0038</f>
        <v>7.0038</v>
      </c>
      <c r="T21">
        <f>-1.80993</f>
        <v>-1.80993</v>
      </c>
      <c r="U21">
        <f>-2.7247</f>
        <v>-2.7246999999999999</v>
      </c>
      <c r="V21">
        <f>-1.7984</f>
        <v>-1.7984</v>
      </c>
      <c r="W21">
        <f>1.10476</f>
        <v>1.10476</v>
      </c>
      <c r="X21">
        <f>0.71949</f>
        <v>0.71948999999999996</v>
      </c>
      <c r="Y21">
        <f>13.64426</f>
        <v>13.644259999999999</v>
      </c>
    </row>
    <row r="22" spans="1:25" x14ac:dyDescent="0.25">
      <c r="A22" t="str">
        <f>"    Computers Related Products (yoy %)"</f>
        <v xml:space="preserve">    Computers Related Products (yoy %)</v>
      </c>
      <c r="B22" t="str">
        <f>"DGCOCOPY Index"</f>
        <v>DGCOCOPY Index</v>
      </c>
      <c r="C22" t="str">
        <f>"PR005"</f>
        <v>PR005</v>
      </c>
      <c r="D22" t="str">
        <f>"PX_LAST"</f>
        <v>PX_LAST</v>
      </c>
      <c r="E22" t="str">
        <f>"Dynamic"</f>
        <v>Dynamic</v>
      </c>
      <c r="F22">
        <f ca="1">IF(AND(ISNUMBER($F$124),$B$108=1),$F$124,HLOOKUP(INDIRECT(ADDRESS(2,COLUMN())),OFFSET($P$2,0,0,ROW()-1,10),ROW()-1,FALSE))</f>
        <v>2.5687000000000002</v>
      </c>
      <c r="G22">
        <f ca="1">IF(AND(ISNUMBER($G$124),$B$108=1),$G$124,HLOOKUP(INDIRECT(ADDRESS(2,COLUMN())),OFFSET($P$2,0,0,ROW()-1,10),ROW()-1,FALSE))</f>
        <v>7.0354799999999997</v>
      </c>
      <c r="H22">
        <f ca="1">IF(AND(ISNUMBER($H$124),$B$108=1),$H$124,HLOOKUP(INDIRECT(ADDRESS(2,COLUMN())),OFFSET($P$2,0,0,ROW()-1,10),ROW()-1,FALSE))</f>
        <v>2.2126600000000001</v>
      </c>
      <c r="I22">
        <f ca="1">IF(AND(ISNUMBER($I$124),$B$108=1),$I$124,HLOOKUP(INDIRECT(ADDRESS(2,COLUMN())),OFFSET($P$2,0,0,ROW()-1,10),ROW()-1,FALSE))</f>
        <v>-20.32321</v>
      </c>
      <c r="J22">
        <f ca="1">IF(AND(ISNUMBER($J$124),$B$108=1),$J$124,HLOOKUP(INDIRECT(ADDRESS(2,COLUMN())),OFFSET($P$2,0,0,ROW()-1,10),ROW()-1,FALSE))</f>
        <v>-3.1309300000000002</v>
      </c>
      <c r="K22">
        <f ca="1">IF(AND(ISNUMBER($K$124),$B$108=1),$K$124,HLOOKUP(INDIRECT(ADDRESS(2,COLUMN())),OFFSET($P$2,0,0,ROW()-1,10),ROW()-1,FALSE))</f>
        <v>1.88497</v>
      </c>
      <c r="L22">
        <f ca="1">IF(AND(ISNUMBER($L$124),$B$108=1),$L$124,HLOOKUP(INDIRECT(ADDRESS(2,COLUMN())),OFFSET($P$2,0,0,ROW()-1,10),ROW()-1,FALSE))</f>
        <v>-19.650490000000001</v>
      </c>
      <c r="M22">
        <f ca="1">IF(AND(ISNUMBER($M$124),$B$108=1),$M$124,HLOOKUP(INDIRECT(ADDRESS(2,COLUMN())),OFFSET($P$2,0,0,ROW()-1,10),ROW()-1,FALSE))</f>
        <v>5.4463600000000003</v>
      </c>
      <c r="N22">
        <f ca="1">IF(AND(ISNUMBER($N$124),$B$108=1),$N$124,HLOOKUP(INDIRECT(ADDRESS(2,COLUMN())),OFFSET($P$2,0,0,ROW()-1,10),ROW()-1,FALSE))</f>
        <v>-3.5925799999999999</v>
      </c>
      <c r="O22">
        <f ca="1">IF(AND(ISNUMBER($O$124),$B$108=1),$O$124,HLOOKUP(INDIRECT(ADDRESS(2,COLUMN())),OFFSET($P$2,0,0,ROW()-1,10),ROW()-1,FALSE))</f>
        <v>-10.08165</v>
      </c>
      <c r="P22">
        <f>2.5687</f>
        <v>2.5687000000000002</v>
      </c>
      <c r="Q22">
        <f>7.03548</f>
        <v>7.0354799999999997</v>
      </c>
      <c r="R22">
        <f>2.21266</f>
        <v>2.2126600000000001</v>
      </c>
      <c r="S22">
        <f>-20.32321</f>
        <v>-20.32321</v>
      </c>
      <c r="T22">
        <f>-3.13093</f>
        <v>-3.1309300000000002</v>
      </c>
      <c r="U22">
        <f>1.88497</f>
        <v>1.88497</v>
      </c>
      <c r="V22">
        <f>-19.65049</f>
        <v>-19.650490000000001</v>
      </c>
      <c r="W22">
        <f>5.44636</f>
        <v>5.4463600000000003</v>
      </c>
      <c r="X22">
        <f>-3.59258</f>
        <v>-3.5925799999999999</v>
      </c>
      <c r="Y22">
        <f>-10.08165</f>
        <v>-10.08165</v>
      </c>
    </row>
    <row r="23" spans="1:25" x14ac:dyDescent="0.25">
      <c r="A23" t="str">
        <f>"    Computers Related Products ($)"</f>
        <v xml:space="preserve">    Computers Related Products ($)</v>
      </c>
      <c r="B23" t="str">
        <f>"DGCOCOPR Index"</f>
        <v>DGCOCOPR Index</v>
      </c>
      <c r="C23" t="str">
        <f>"PR005"</f>
        <v>PR005</v>
      </c>
      <c r="D23" t="str">
        <f>"PX_LAST"</f>
        <v>PX_LAST</v>
      </c>
      <c r="E23" t="str">
        <f>"Dynamic"</f>
        <v>Dynamic</v>
      </c>
      <c r="F23">
        <f ca="1">IF(AND(ISNUMBER($F$125),$B$108=1),$F$125,HLOOKUP(INDIRECT(ADDRESS(2,COLUMN())),OFFSET($P$2,0,0,ROW()-1,10),ROW()-1,FALSE))</f>
        <v>1717</v>
      </c>
      <c r="G23">
        <f ca="1">IF(AND(ISNUMBER($G$125),$B$108=1),$G$125,HLOOKUP(INDIRECT(ADDRESS(2,COLUMN())),OFFSET($P$2,0,0,ROW()-1,10),ROW()-1,FALSE))</f>
        <v>1780</v>
      </c>
      <c r="H23">
        <f ca="1">IF(AND(ISNUMBER($H$125),$B$108=1),$H$125,HLOOKUP(INDIRECT(ADDRESS(2,COLUMN())),OFFSET($P$2,0,0,ROW()-1,10),ROW()-1,FALSE))</f>
        <v>1663</v>
      </c>
      <c r="I23">
        <f ca="1">IF(AND(ISNUMBER($I$125),$B$108=1),$I$125,HLOOKUP(INDIRECT(ADDRESS(2,COLUMN())),OFFSET($P$2,0,0,ROW()-1,10),ROW()-1,FALSE))</f>
        <v>1627</v>
      </c>
      <c r="J23">
        <f ca="1">IF(AND(ISNUMBER($J$125),$B$108=1),$J$125,HLOOKUP(INDIRECT(ADDRESS(2,COLUMN())),OFFSET($P$2,0,0,ROW()-1,10),ROW()-1,FALSE))</f>
        <v>2042</v>
      </c>
      <c r="K23">
        <f ca="1">IF(AND(ISNUMBER($K$125),$B$108=1),$K$125,HLOOKUP(INDIRECT(ADDRESS(2,COLUMN())),OFFSET($P$2,0,0,ROW()-1,10),ROW()-1,FALSE))</f>
        <v>2108</v>
      </c>
      <c r="L23">
        <f ca="1">IF(AND(ISNUMBER($L$125),$B$108=1),$L$125,HLOOKUP(INDIRECT(ADDRESS(2,COLUMN())),OFFSET($P$2,0,0,ROW()-1,10),ROW()-1,FALSE))</f>
        <v>2069</v>
      </c>
      <c r="M23">
        <f ca="1">IF(AND(ISNUMBER($M$125),$B$108=1),$M$125,HLOOKUP(INDIRECT(ADDRESS(2,COLUMN())),OFFSET($P$2,0,0,ROW()-1,10),ROW()-1,FALSE))</f>
        <v>2575</v>
      </c>
      <c r="N23">
        <f ca="1">IF(AND(ISNUMBER($N$125),$B$108=1),$N$125,HLOOKUP(INDIRECT(ADDRESS(2,COLUMN())),OFFSET($P$2,0,0,ROW()-1,10),ROW()-1,FALSE))</f>
        <v>2442</v>
      </c>
      <c r="O23">
        <f ca="1">IF(AND(ISNUMBER($O$125),$B$108=1),$O$125,HLOOKUP(INDIRECT(ADDRESS(2,COLUMN())),OFFSET($P$2,0,0,ROW()-1,10),ROW()-1,FALSE))</f>
        <v>2533</v>
      </c>
      <c r="P23">
        <f>1717</f>
        <v>1717</v>
      </c>
      <c r="Q23">
        <f>1780</f>
        <v>1780</v>
      </c>
      <c r="R23">
        <f>1663</f>
        <v>1663</v>
      </c>
      <c r="S23">
        <f>1627</f>
        <v>1627</v>
      </c>
      <c r="T23">
        <f>2042</f>
        <v>2042</v>
      </c>
      <c r="U23">
        <f>2108</f>
        <v>2108</v>
      </c>
      <c r="V23">
        <f>2069</f>
        <v>2069</v>
      </c>
      <c r="W23">
        <f>2575</f>
        <v>2575</v>
      </c>
      <c r="X23">
        <f>2442</f>
        <v>2442</v>
      </c>
      <c r="Y23">
        <f>2533</f>
        <v>2533</v>
      </c>
    </row>
    <row r="24" spans="1:25" x14ac:dyDescent="0.25">
      <c r="A24" t="str">
        <f>"Industrial Production (yoy %)"</f>
        <v>Industrial Production (yoy %)</v>
      </c>
      <c r="B24" t="str">
        <f>""</f>
        <v/>
      </c>
      <c r="E24" t="str">
        <f>"Static"</f>
        <v>Static</v>
      </c>
      <c r="F24" t="str">
        <f t="shared" ref="F24:O25" ca="1" si="5">HLOOKUP(INDIRECT(ADDRESS(2,COLUMN())),OFFSET($P$2,0,0,ROW()-1,10),ROW()-1,FALSE)</f>
        <v/>
      </c>
      <c r="G24" t="str">
        <f t="shared" ca="1" si="5"/>
        <v/>
      </c>
      <c r="H24" t="str">
        <f t="shared" ca="1" si="5"/>
        <v/>
      </c>
      <c r="I24" t="str">
        <f t="shared" ca="1" si="5"/>
        <v/>
      </c>
      <c r="J24" t="str">
        <f t="shared" ca="1" si="5"/>
        <v/>
      </c>
      <c r="K24" t="str">
        <f t="shared" ca="1" si="5"/>
        <v/>
      </c>
      <c r="L24" t="str">
        <f t="shared" ca="1" si="5"/>
        <v/>
      </c>
      <c r="M24" t="str">
        <f t="shared" ca="1" si="5"/>
        <v/>
      </c>
      <c r="N24" t="str">
        <f t="shared" ca="1" si="5"/>
        <v/>
      </c>
      <c r="O24" t="str">
        <f t="shared" ca="1" si="5"/>
        <v/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  <c r="U24" t="str">
        <f>""</f>
        <v/>
      </c>
      <c r="V24" t="str">
        <f>""</f>
        <v/>
      </c>
      <c r="W24" t="str">
        <f>""</f>
        <v/>
      </c>
      <c r="X24" t="str">
        <f>""</f>
        <v/>
      </c>
      <c r="Y24" t="str">
        <f>""</f>
        <v/>
      </c>
    </row>
    <row r="25" spans="1:25" x14ac:dyDescent="0.25">
      <c r="A25" t="str">
        <f>"    North America"</f>
        <v xml:space="preserve">    North America</v>
      </c>
      <c r="B25" t="str">
        <f>""</f>
        <v/>
      </c>
      <c r="E25" t="str">
        <f>"Static"</f>
        <v>Static</v>
      </c>
      <c r="F25" t="str">
        <f t="shared" ca="1" si="5"/>
        <v/>
      </c>
      <c r="G25" t="str">
        <f t="shared" ca="1" si="5"/>
        <v/>
      </c>
      <c r="H25" t="str">
        <f t="shared" ca="1" si="5"/>
        <v/>
      </c>
      <c r="I25" t="str">
        <f t="shared" ca="1" si="5"/>
        <v/>
      </c>
      <c r="J25" t="str">
        <f t="shared" ca="1" si="5"/>
        <v/>
      </c>
      <c r="K25" t="str">
        <f t="shared" ca="1" si="5"/>
        <v/>
      </c>
      <c r="L25" t="str">
        <f t="shared" ca="1" si="5"/>
        <v/>
      </c>
      <c r="M25" t="str">
        <f t="shared" ca="1" si="5"/>
        <v/>
      </c>
      <c r="N25" t="str">
        <f t="shared" ca="1" si="5"/>
        <v/>
      </c>
      <c r="O25" t="str">
        <f t="shared" ca="1" si="5"/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  <c r="U25" t="str">
        <f>""</f>
        <v/>
      </c>
      <c r="V25" t="str">
        <f>""</f>
        <v/>
      </c>
      <c r="W25" t="str">
        <f>""</f>
        <v/>
      </c>
      <c r="X25" t="str">
        <f>""</f>
        <v/>
      </c>
      <c r="Y25" t="str">
        <f>""</f>
        <v/>
      </c>
    </row>
    <row r="26" spans="1:25" x14ac:dyDescent="0.25">
      <c r="A26" t="str">
        <f>"        United States"</f>
        <v xml:space="preserve">        United States</v>
      </c>
      <c r="B26" t="str">
        <f>"IP YOY Index"</f>
        <v>IP YOY Index</v>
      </c>
      <c r="C26" t="str">
        <f t="shared" ref="C26:C32" si="6">"PR005"</f>
        <v>PR005</v>
      </c>
      <c r="D26" t="str">
        <f t="shared" ref="D26:D32" si="7">"PX_LAST"</f>
        <v>PX_LAST</v>
      </c>
      <c r="E26" t="str">
        <f t="shared" ref="E26:E32" si="8">"Dynamic"</f>
        <v>Dynamic</v>
      </c>
      <c r="F26" t="str">
        <f ca="1">IF(AND(ISNUMBER($F$126),$B$108=1),$F$126,HLOOKUP(INDIRECT(ADDRESS(2,COLUMN())),OFFSET($P$2,0,0,ROW()-1,10),ROW()-1,FALSE))</f>
        <v/>
      </c>
      <c r="G26">
        <f ca="1">IF(AND(ISNUMBER($G$126),$B$108=1),$G$126,HLOOKUP(INDIRECT(ADDRESS(2,COLUMN())),OFFSET($P$2,0,0,ROW()-1,10),ROW()-1,FALSE))</f>
        <v>0.87917999999999996</v>
      </c>
      <c r="H26">
        <f ca="1">IF(AND(ISNUMBER($H$126),$B$108=1),$H$126,HLOOKUP(INDIRECT(ADDRESS(2,COLUMN())),OFFSET($P$2,0,0,ROW()-1,10),ROW()-1,FALSE))</f>
        <v>3.9451299999999998</v>
      </c>
      <c r="I26">
        <f ca="1">IF(AND(ISNUMBER($I$126),$B$108=1),$I$126,HLOOKUP(INDIRECT(ADDRESS(2,COLUMN())),OFFSET($P$2,0,0,ROW()-1,10),ROW()-1,FALSE))</f>
        <v>2.3227600000000002</v>
      </c>
      <c r="J26">
        <f ca="1">IF(AND(ISNUMBER($J$126),$B$108=1),$J$126,HLOOKUP(INDIRECT(ADDRESS(2,COLUMN())),OFFSET($P$2,0,0,ROW()-1,10),ROW()-1,FALSE))</f>
        <v>-1.9484699999999999</v>
      </c>
      <c r="K26">
        <f ca="1">IF(AND(ISNUMBER($K$126),$B$108=1),$K$126,HLOOKUP(INDIRECT(ADDRESS(2,COLUMN())),OFFSET($P$2,0,0,ROW()-1,10),ROW()-1,FALSE))</f>
        <v>-0.97477000000000003</v>
      </c>
      <c r="L26">
        <f ca="1">IF(AND(ISNUMBER($L$126),$B$108=1),$L$126,HLOOKUP(INDIRECT(ADDRESS(2,COLUMN())),OFFSET($P$2,0,0,ROW()-1,10),ROW()-1,FALSE))</f>
        <v>3.0670700000000002</v>
      </c>
      <c r="M26">
        <f ca="1">IF(AND(ISNUMBER($M$126),$B$108=1),$M$126,HLOOKUP(INDIRECT(ADDRESS(2,COLUMN())),OFFSET($P$2,0,0,ROW()-1,10),ROW()-1,FALSE))</f>
        <v>2.0271499999999998</v>
      </c>
      <c r="N26">
        <f ca="1">IF(AND(ISNUMBER($N$126),$B$108=1),$N$126,HLOOKUP(INDIRECT(ADDRESS(2,COLUMN())),OFFSET($P$2,0,0,ROW()-1,10),ROW()-1,FALSE))</f>
        <v>3.03017</v>
      </c>
      <c r="O26">
        <f ca="1">IF(AND(ISNUMBER($O$126),$B$108=1),$O$126,HLOOKUP(INDIRECT(ADDRESS(2,COLUMN())),OFFSET($P$2,0,0,ROW()-1,10),ROW()-1,FALSE))</f>
        <v>3.12304</v>
      </c>
      <c r="P26" t="str">
        <f>""</f>
        <v/>
      </c>
      <c r="Q26">
        <f>0.87918</f>
        <v>0.87917999999999996</v>
      </c>
      <c r="R26">
        <f>3.94513</f>
        <v>3.9451299999999998</v>
      </c>
      <c r="S26">
        <f>2.32276</f>
        <v>2.3227600000000002</v>
      </c>
      <c r="T26">
        <f>-1.94847</f>
        <v>-1.9484699999999999</v>
      </c>
      <c r="U26">
        <f>-0.97477</f>
        <v>-0.97477000000000003</v>
      </c>
      <c r="V26">
        <f>3.06707</f>
        <v>3.0670700000000002</v>
      </c>
      <c r="W26">
        <f>2.02715</f>
        <v>2.0271499999999998</v>
      </c>
      <c r="X26">
        <f>3.03017</f>
        <v>3.03017</v>
      </c>
      <c r="Y26">
        <f>3.12304</f>
        <v>3.12304</v>
      </c>
    </row>
    <row r="27" spans="1:25" x14ac:dyDescent="0.25">
      <c r="A27" t="str">
        <f>"            High Tech Industries"</f>
        <v xml:space="preserve">            High Tech Industries</v>
      </c>
      <c r="B27" t="str">
        <f>"IPNEHITY Index"</f>
        <v>IPNEHITY Index</v>
      </c>
      <c r="C27" t="str">
        <f t="shared" si="6"/>
        <v>PR005</v>
      </c>
      <c r="D27" t="str">
        <f t="shared" si="7"/>
        <v>PX_LAST</v>
      </c>
      <c r="E27" t="str">
        <f t="shared" si="8"/>
        <v>Dynamic</v>
      </c>
      <c r="F27">
        <f ca="1">IF(AND(ISNUMBER($F$127),$B$108=1),$F$127,HLOOKUP(INDIRECT(ADDRESS(2,COLUMN())),OFFSET($P$2,0,0,ROW()-1,10),ROW()-1,FALSE))</f>
        <v>4.20756</v>
      </c>
      <c r="G27">
        <f ca="1">IF(AND(ISNUMBER($G$127),$B$108=1),$G$127,HLOOKUP(INDIRECT(ADDRESS(2,COLUMN())),OFFSET($P$2,0,0,ROW()-1,10),ROW()-1,FALSE))</f>
        <v>8.6831600000000009</v>
      </c>
      <c r="H27">
        <f ca="1">IF(AND(ISNUMBER($H$127),$B$108=1),$H$127,HLOOKUP(INDIRECT(ADDRESS(2,COLUMN())),OFFSET($P$2,0,0,ROW()-1,10),ROW()-1,FALSE))</f>
        <v>3.6968200000000002</v>
      </c>
      <c r="I27">
        <f ca="1">IF(AND(ISNUMBER($I$127),$B$108=1),$I$127,HLOOKUP(INDIRECT(ADDRESS(2,COLUMN())),OFFSET($P$2,0,0,ROW()-1,10),ROW()-1,FALSE))</f>
        <v>3.0767600000000002</v>
      </c>
      <c r="J27">
        <f ca="1">IF(AND(ISNUMBER($J$127),$B$108=1),$J$127,HLOOKUP(INDIRECT(ADDRESS(2,COLUMN())),OFFSET($P$2,0,0,ROW()-1,10),ROW()-1,FALSE))</f>
        <v>7.3028399999999998</v>
      </c>
      <c r="K27">
        <f ca="1">IF(AND(ISNUMBER($K$127),$B$108=1),$K$127,HLOOKUP(INDIRECT(ADDRESS(2,COLUMN())),OFFSET($P$2,0,0,ROW()-1,10),ROW()-1,FALSE))</f>
        <v>2.66709</v>
      </c>
      <c r="L27">
        <f ca="1">IF(AND(ISNUMBER($L$127),$B$108=1),$L$127,HLOOKUP(INDIRECT(ADDRESS(2,COLUMN())),OFFSET($P$2,0,0,ROW()-1,10),ROW()-1,FALSE))</f>
        <v>8.1562199999999994</v>
      </c>
      <c r="M27">
        <f ca="1">IF(AND(ISNUMBER($M$127),$B$108=1),$M$127,HLOOKUP(INDIRECT(ADDRESS(2,COLUMN())),OFFSET($P$2,0,0,ROW()-1,10),ROW()-1,FALSE))</f>
        <v>10.85046</v>
      </c>
      <c r="N27">
        <f ca="1">IF(AND(ISNUMBER($N$127),$B$108=1),$N$127,HLOOKUP(INDIRECT(ADDRESS(2,COLUMN())),OFFSET($P$2,0,0,ROW()-1,10),ROW()-1,FALSE))</f>
        <v>11.50366</v>
      </c>
      <c r="O27">
        <f ca="1">IF(AND(ISNUMBER($O$127),$B$108=1),$O$127,HLOOKUP(INDIRECT(ADDRESS(2,COLUMN())),OFFSET($P$2,0,0,ROW()-1,10),ROW()-1,FALSE))</f>
        <v>6.3126199999999999</v>
      </c>
      <c r="P27">
        <f>4.20756</f>
        <v>4.20756</v>
      </c>
      <c r="Q27">
        <f>8.68316</f>
        <v>8.6831600000000009</v>
      </c>
      <c r="R27">
        <f>3.69682</f>
        <v>3.6968200000000002</v>
      </c>
      <c r="S27">
        <f>3.07676</f>
        <v>3.0767600000000002</v>
      </c>
      <c r="T27">
        <f>7.30284</f>
        <v>7.3028399999999998</v>
      </c>
      <c r="U27">
        <f>2.66709</f>
        <v>2.66709</v>
      </c>
      <c r="V27">
        <f>8.15622</f>
        <v>8.1562199999999994</v>
      </c>
      <c r="W27">
        <f>10.85046</f>
        <v>10.85046</v>
      </c>
      <c r="X27">
        <f>11.50366</f>
        <v>11.50366</v>
      </c>
      <c r="Y27">
        <f>6.31262</f>
        <v>6.3126199999999999</v>
      </c>
    </row>
    <row r="28" spans="1:25" x14ac:dyDescent="0.25">
      <c r="A28" t="str">
        <f>"                High Tech Industries ($)"</f>
        <v xml:space="preserve">                High Tech Industries ($)</v>
      </c>
      <c r="B28" t="str">
        <f>"IPNEHITC Index"</f>
        <v>IPNEHITC Index</v>
      </c>
      <c r="C28" t="str">
        <f t="shared" si="6"/>
        <v>PR005</v>
      </c>
      <c r="D28" t="str">
        <f t="shared" si="7"/>
        <v>PX_LAST</v>
      </c>
      <c r="E28" t="str">
        <f t="shared" si="8"/>
        <v>Dynamic</v>
      </c>
      <c r="F28" t="str">
        <f ca="1">IF(AND(ISNUMBER($F$128),$B$108=1),$F$128,HLOOKUP(INDIRECT(ADDRESS(2,COLUMN())),OFFSET($P$2,0,0,ROW()-1,10),ROW()-1,FALSE))</f>
        <v/>
      </c>
      <c r="G28">
        <f ca="1">IF(AND(ISNUMBER($G$128),$B$108=1),$G$128,HLOOKUP(INDIRECT(ADDRESS(2,COLUMN())),OFFSET($P$2,0,0,ROW()-1,10),ROW()-1,FALSE))</f>
        <v>153.63570000000001</v>
      </c>
      <c r="H28">
        <f ca="1">IF(AND(ISNUMBER($H$128),$B$108=1),$H$128,HLOOKUP(INDIRECT(ADDRESS(2,COLUMN())),OFFSET($P$2,0,0,ROW()-1,10),ROW()-1,FALSE))</f>
        <v>146.1464</v>
      </c>
      <c r="I28">
        <f ca="1">IF(AND(ISNUMBER($I$128),$B$108=1),$I$128,HLOOKUP(INDIRECT(ADDRESS(2,COLUMN())),OFFSET($P$2,0,0,ROW()-1,10),ROW()-1,FALSE))</f>
        <v>137.37970000000001</v>
      </c>
      <c r="J28">
        <f ca="1">IF(AND(ISNUMBER($J$128),$B$108=1),$J$128,HLOOKUP(INDIRECT(ADDRESS(2,COLUMN())),OFFSET($P$2,0,0,ROW()-1,10),ROW()-1,FALSE))</f>
        <v>133.85210000000001</v>
      </c>
      <c r="K28">
        <f ca="1">IF(AND(ISNUMBER($K$128),$B$108=1),$K$128,HLOOKUP(INDIRECT(ADDRESS(2,COLUMN())),OFFSET($P$2,0,0,ROW()-1,10),ROW()-1,FALSE))</f>
        <v>126.6673</v>
      </c>
      <c r="L28">
        <f ca="1">IF(AND(ISNUMBER($L$128),$B$108=1),$L$128,HLOOKUP(INDIRECT(ADDRESS(2,COLUMN())),OFFSET($P$2,0,0,ROW()-1,10),ROW()-1,FALSE))</f>
        <v>122.6818</v>
      </c>
      <c r="M28">
        <f ca="1">IF(AND(ISNUMBER($M$128),$B$108=1),$M$128,HLOOKUP(INDIRECT(ADDRESS(2,COLUMN())),OFFSET($P$2,0,0,ROW()-1,10),ROW()-1,FALSE))</f>
        <v>110.6554</v>
      </c>
      <c r="N28">
        <f ca="1">IF(AND(ISNUMBER($N$128),$B$108=1),$N$128,HLOOKUP(INDIRECT(ADDRESS(2,COLUMN())),OFFSET($P$2,0,0,ROW()-1,10),ROW()-1,FALSE))</f>
        <v>100</v>
      </c>
      <c r="O28">
        <f ca="1">IF(AND(ISNUMBER($O$128),$B$108=1),$O$128,HLOOKUP(INDIRECT(ADDRESS(2,COLUMN())),OFFSET($P$2,0,0,ROW()-1,10),ROW()-1,FALSE))</f>
        <v>91.050899999999999</v>
      </c>
      <c r="P28" t="str">
        <f>""</f>
        <v/>
      </c>
      <c r="Q28">
        <f>153.6357</f>
        <v>153.63570000000001</v>
      </c>
      <c r="R28">
        <f>146.1464</f>
        <v>146.1464</v>
      </c>
      <c r="S28">
        <f>137.3797</f>
        <v>137.37970000000001</v>
      </c>
      <c r="T28">
        <f>133.8521</f>
        <v>133.85210000000001</v>
      </c>
      <c r="U28">
        <f>126.6673</f>
        <v>126.6673</v>
      </c>
      <c r="V28">
        <f>122.6818</f>
        <v>122.6818</v>
      </c>
      <c r="W28">
        <f>110.6554</f>
        <v>110.6554</v>
      </c>
      <c r="X28">
        <f>100</f>
        <v>100</v>
      </c>
      <c r="Y28">
        <f>91.0509</f>
        <v>91.050899999999999</v>
      </c>
    </row>
    <row r="29" spans="1:25" x14ac:dyDescent="0.25">
      <c r="A29" t="str">
        <f>"                Computers (yoy %)"</f>
        <v xml:space="preserve">                Computers (yoy %)</v>
      </c>
      <c r="B29" t="str">
        <f>"IPNECOMY Index"</f>
        <v>IPNECOMY Index</v>
      </c>
      <c r="C29" t="str">
        <f t="shared" si="6"/>
        <v>PR005</v>
      </c>
      <c r="D29" t="str">
        <f t="shared" si="7"/>
        <v>PX_LAST</v>
      </c>
      <c r="E29" t="str">
        <f t="shared" si="8"/>
        <v>Dynamic</v>
      </c>
      <c r="F29">
        <f ca="1">IF(AND(ISNUMBER($F$129),$B$108=1),$F$129,HLOOKUP(INDIRECT(ADDRESS(2,COLUMN())),OFFSET($P$2,0,0,ROW()-1,10),ROW()-1,FALSE))</f>
        <v>1.2421800000000001</v>
      </c>
      <c r="G29">
        <f ca="1">IF(AND(ISNUMBER($G$129),$B$108=1),$G$129,HLOOKUP(INDIRECT(ADDRESS(2,COLUMN())),OFFSET($P$2,0,0,ROW()-1,10),ROW()-1,FALSE))</f>
        <v>1.19072</v>
      </c>
      <c r="H29">
        <f ca="1">IF(AND(ISNUMBER($H$129),$B$108=1),$H$129,HLOOKUP(INDIRECT(ADDRESS(2,COLUMN())),OFFSET($P$2,0,0,ROW()-1,10),ROW()-1,FALSE))</f>
        <v>-8.4879999999999997E-2</v>
      </c>
      <c r="I29">
        <f ca="1">IF(AND(ISNUMBER($I$129),$B$108=1),$I$129,HLOOKUP(INDIRECT(ADDRESS(2,COLUMN())),OFFSET($P$2,0,0,ROW()-1,10),ROW()-1,FALSE))</f>
        <v>12.04555</v>
      </c>
      <c r="J29">
        <f ca="1">IF(AND(ISNUMBER($J$129),$B$108=1),$J$129,HLOOKUP(INDIRECT(ADDRESS(2,COLUMN())),OFFSET($P$2,0,0,ROW()-1,10),ROW()-1,FALSE))</f>
        <v>18.46734</v>
      </c>
      <c r="K29">
        <f ca="1">IF(AND(ISNUMBER($K$129),$B$108=1),$K$129,HLOOKUP(INDIRECT(ADDRESS(2,COLUMN())),OFFSET($P$2,0,0,ROW()-1,10),ROW()-1,FALSE))</f>
        <v>-7.9922000000000004</v>
      </c>
      <c r="L29">
        <f ca="1">IF(AND(ISNUMBER($L$129),$B$108=1),$L$129,HLOOKUP(INDIRECT(ADDRESS(2,COLUMN())),OFFSET($P$2,0,0,ROW()-1,10),ROW()-1,FALSE))</f>
        <v>9.8512900000000005</v>
      </c>
      <c r="M29">
        <f ca="1">IF(AND(ISNUMBER($M$129),$B$108=1),$M$129,HLOOKUP(INDIRECT(ADDRESS(2,COLUMN())),OFFSET($P$2,0,0,ROW()-1,10),ROW()-1,FALSE))</f>
        <v>-2.4443800000000002</v>
      </c>
      <c r="N29">
        <f ca="1">IF(AND(ISNUMBER($N$129),$B$108=1),$N$129,HLOOKUP(INDIRECT(ADDRESS(2,COLUMN())),OFFSET($P$2,0,0,ROW()-1,10),ROW()-1,FALSE))</f>
        <v>16.902290000000001</v>
      </c>
      <c r="O29">
        <f ca="1">IF(AND(ISNUMBER($O$129),$B$108=1),$O$129,HLOOKUP(INDIRECT(ADDRESS(2,COLUMN())),OFFSET($P$2,0,0,ROW()-1,10),ROW()-1,FALSE))</f>
        <v>7.4441300000000004</v>
      </c>
      <c r="P29">
        <f>1.24218</f>
        <v>1.2421800000000001</v>
      </c>
      <c r="Q29">
        <f>1.19072</f>
        <v>1.19072</v>
      </c>
      <c r="R29">
        <f>-0.08488</f>
        <v>-8.4879999999999997E-2</v>
      </c>
      <c r="S29">
        <f>12.04555</f>
        <v>12.04555</v>
      </c>
      <c r="T29">
        <f>18.46734</f>
        <v>18.46734</v>
      </c>
      <c r="U29">
        <f>-7.9922</f>
        <v>-7.9922000000000004</v>
      </c>
      <c r="V29">
        <f>9.85129</f>
        <v>9.8512900000000005</v>
      </c>
      <c r="W29">
        <f>-2.44438</f>
        <v>-2.4443800000000002</v>
      </c>
      <c r="X29">
        <f>16.90229</f>
        <v>16.902290000000001</v>
      </c>
      <c r="Y29">
        <f>7.44413</f>
        <v>7.4441300000000004</v>
      </c>
    </row>
    <row r="30" spans="1:25" x14ac:dyDescent="0.25">
      <c r="A30" t="str">
        <f>"                Semiconductors (yoy %)"</f>
        <v xml:space="preserve">                Semiconductors (yoy %)</v>
      </c>
      <c r="B30" t="str">
        <f>"IPNESEMY Index"</f>
        <v>IPNESEMY Index</v>
      </c>
      <c r="C30" t="str">
        <f t="shared" si="6"/>
        <v>PR005</v>
      </c>
      <c r="D30" t="str">
        <f t="shared" si="7"/>
        <v>PX_LAST</v>
      </c>
      <c r="E30" t="str">
        <f t="shared" si="8"/>
        <v>Dynamic</v>
      </c>
      <c r="F30" t="str">
        <f ca="1">IF(AND(ISNUMBER($F$130),$B$108=1),$F$130,HLOOKUP(INDIRECT(ADDRESS(2,COLUMN())),OFFSET($P$2,0,0,ROW()-1,10),ROW()-1,FALSE))</f>
        <v/>
      </c>
      <c r="G30" t="str">
        <f ca="1">IF(AND(ISNUMBER($G$130),$B$108=1),$G$130,HLOOKUP(INDIRECT(ADDRESS(2,COLUMN())),OFFSET($P$2,0,0,ROW()-1,10),ROW()-1,FALSE))</f>
        <v/>
      </c>
      <c r="H30" t="str">
        <f ca="1">IF(AND(ISNUMBER($H$130),$B$108=1),$H$130,HLOOKUP(INDIRECT(ADDRESS(2,COLUMN())),OFFSET($P$2,0,0,ROW()-1,10),ROW()-1,FALSE))</f>
        <v/>
      </c>
      <c r="I30" t="str">
        <f ca="1">IF(AND(ISNUMBER($I$130),$B$108=1),$I$130,HLOOKUP(INDIRECT(ADDRESS(2,COLUMN())),OFFSET($P$2,0,0,ROW()-1,10),ROW()-1,FALSE))</f>
        <v/>
      </c>
      <c r="J30" t="str">
        <f ca="1">IF(AND(ISNUMBER($J$130),$B$108=1),$J$130,HLOOKUP(INDIRECT(ADDRESS(2,COLUMN())),OFFSET($P$2,0,0,ROW()-1,10),ROW()-1,FALSE))</f>
        <v/>
      </c>
      <c r="K30">
        <f ca="1">IF(AND(ISNUMBER($K$130),$B$108=1),$K$130,HLOOKUP(INDIRECT(ADDRESS(2,COLUMN())),OFFSET($P$2,0,0,ROW()-1,10),ROW()-1,FALSE))</f>
        <v>-66.045590000000004</v>
      </c>
      <c r="L30">
        <f ca="1">IF(AND(ISNUMBER($L$130),$B$108=1),$L$130,HLOOKUP(INDIRECT(ADDRESS(2,COLUMN())),OFFSET($P$2,0,0,ROW()-1,10),ROW()-1,FALSE))</f>
        <v>8.9984300000000008</v>
      </c>
      <c r="M30">
        <f ca="1">IF(AND(ISNUMBER($M$130),$B$108=1),$M$130,HLOOKUP(INDIRECT(ADDRESS(2,COLUMN())),OFFSET($P$2,0,0,ROW()-1,10),ROW()-1,FALSE))</f>
        <v>4.2637499999999999</v>
      </c>
      <c r="N30">
        <f ca="1">IF(AND(ISNUMBER($N$130),$B$108=1),$N$130,HLOOKUP(INDIRECT(ADDRESS(2,COLUMN())),OFFSET($P$2,0,0,ROW()-1,10),ROW()-1,FALSE))</f>
        <v>21.788484570000001</v>
      </c>
      <c r="O30">
        <f ca="1">IF(AND(ISNUMBER($O$130),$B$108=1),$O$130,HLOOKUP(INDIRECT(ADDRESS(2,COLUMN())),OFFSET($P$2,0,0,ROW()-1,10),ROW()-1,FALSE))</f>
        <v>10.87557983</v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  <c r="U30">
        <f>-66.04559</f>
        <v>-66.045590000000004</v>
      </c>
      <c r="V30">
        <f>8.99843</f>
        <v>8.9984300000000008</v>
      </c>
      <c r="W30">
        <f>4.26375</f>
        <v>4.2637499999999999</v>
      </c>
      <c r="X30">
        <f>21.78848457</f>
        <v>21.788484570000001</v>
      </c>
      <c r="Y30">
        <f>10.87557983</f>
        <v>10.87557983</v>
      </c>
    </row>
    <row r="31" spans="1:25" x14ac:dyDescent="0.25">
      <c r="A31" t="str">
        <f>"                Comm. Equipment (yoy %)"</f>
        <v xml:space="preserve">                Comm. Equipment (yoy %)</v>
      </c>
      <c r="B31" t="str">
        <f>"IPNECMMY Index"</f>
        <v>IPNECMMY Index</v>
      </c>
      <c r="C31" t="str">
        <f t="shared" si="6"/>
        <v>PR005</v>
      </c>
      <c r="D31" t="str">
        <f t="shared" si="7"/>
        <v>PX_LAST</v>
      </c>
      <c r="E31" t="str">
        <f t="shared" si="8"/>
        <v>Dynamic</v>
      </c>
      <c r="F31">
        <f ca="1">IF(AND(ISNUMBER($F$131),$B$108=1),$F$131,HLOOKUP(INDIRECT(ADDRESS(2,COLUMN())),OFFSET($P$2,0,0,ROW()-1,10),ROW()-1,FALSE))</f>
        <v>5.8548999999999998</v>
      </c>
      <c r="G31">
        <f ca="1">IF(AND(ISNUMBER($G$131),$B$108=1),$G$131,HLOOKUP(INDIRECT(ADDRESS(2,COLUMN())),OFFSET($P$2,0,0,ROW()-1,10),ROW()-1,FALSE))</f>
        <v>8.3589400000000005</v>
      </c>
      <c r="H31">
        <f ca="1">IF(AND(ISNUMBER($H$131),$B$108=1),$H$131,HLOOKUP(INDIRECT(ADDRESS(2,COLUMN())),OFFSET($P$2,0,0,ROW()-1,10),ROW()-1,FALSE))</f>
        <v>8.3749099999999999</v>
      </c>
      <c r="I31">
        <f ca="1">IF(AND(ISNUMBER($I$131),$B$108=1),$I$131,HLOOKUP(INDIRECT(ADDRESS(2,COLUMN())),OFFSET($P$2,0,0,ROW()-1,10),ROW()-1,FALSE))</f>
        <v>-5.1296200000000001</v>
      </c>
      <c r="J31">
        <f ca="1">IF(AND(ISNUMBER($J$131),$B$108=1),$J$131,HLOOKUP(INDIRECT(ADDRESS(2,COLUMN())),OFFSET($P$2,0,0,ROW()-1,10),ROW()-1,FALSE))</f>
        <v>3.5997499999999998</v>
      </c>
      <c r="K31">
        <f ca="1">IF(AND(ISNUMBER($K$131),$B$108=1),$K$131,HLOOKUP(INDIRECT(ADDRESS(2,COLUMN())),OFFSET($P$2,0,0,ROW()-1,10),ROW()-1,FALSE))</f>
        <v>7.6373600000000001</v>
      </c>
      <c r="L31">
        <f ca="1">IF(AND(ISNUMBER($L$131),$B$108=1),$L$131,HLOOKUP(INDIRECT(ADDRESS(2,COLUMN())),OFFSET($P$2,0,0,ROW()-1,10),ROW()-1,FALSE))</f>
        <v>-3.0571600000000001</v>
      </c>
      <c r="M31">
        <f ca="1">IF(AND(ISNUMBER($M$131),$B$108=1),$M$131,HLOOKUP(INDIRECT(ADDRESS(2,COLUMN())),OFFSET($P$2,0,0,ROW()-1,10),ROW()-1,FALSE))</f>
        <v>7.5431600000000003</v>
      </c>
      <c r="N31">
        <f ca="1">IF(AND(ISNUMBER($N$131),$B$108=1),$N$131,HLOOKUP(INDIRECT(ADDRESS(2,COLUMN())),OFFSET($P$2,0,0,ROW()-1,10),ROW()-1,FALSE))</f>
        <v>7.7591400000000004</v>
      </c>
      <c r="O31">
        <f ca="1">IF(AND(ISNUMBER($O$131),$B$108=1),$O$131,HLOOKUP(INDIRECT(ADDRESS(2,COLUMN())),OFFSET($P$2,0,0,ROW()-1,10),ROW()-1,FALSE))</f>
        <v>2.3612299999999999</v>
      </c>
      <c r="P31">
        <f>5.8549</f>
        <v>5.8548999999999998</v>
      </c>
      <c r="Q31">
        <f>8.35894</f>
        <v>8.3589400000000005</v>
      </c>
      <c r="R31">
        <f>8.37491</f>
        <v>8.3749099999999999</v>
      </c>
      <c r="S31">
        <f>-5.12962</f>
        <v>-5.1296200000000001</v>
      </c>
      <c r="T31">
        <f>3.59975</f>
        <v>3.5997499999999998</v>
      </c>
      <c r="U31">
        <f>7.63736</f>
        <v>7.6373600000000001</v>
      </c>
      <c r="V31">
        <f>-3.05716</f>
        <v>-3.0571600000000001</v>
      </c>
      <c r="W31">
        <f>7.54316</f>
        <v>7.5431600000000003</v>
      </c>
      <c r="X31">
        <f>7.75914</f>
        <v>7.7591400000000004</v>
      </c>
      <c r="Y31">
        <f>2.36123</f>
        <v>2.3612299999999999</v>
      </c>
    </row>
    <row r="32" spans="1:25" x14ac:dyDescent="0.25">
      <c r="A32" t="str">
        <f>"        Canada"</f>
        <v xml:space="preserve">        Canada</v>
      </c>
      <c r="B32" t="str">
        <f>"CDIP%YOY Index"</f>
        <v>CDIP%YOY Index</v>
      </c>
      <c r="C32" t="str">
        <f t="shared" si="6"/>
        <v>PR005</v>
      </c>
      <c r="D32" t="str">
        <f t="shared" si="7"/>
        <v>PX_LAST</v>
      </c>
      <c r="E32" t="str">
        <f t="shared" si="8"/>
        <v>Dynamic</v>
      </c>
      <c r="F32">
        <f ca="1">IF(AND(ISNUMBER($F$132),$B$108=1),$F$132,HLOOKUP(INDIRECT(ADDRESS(2,COLUMN())),OFFSET($P$2,0,0,ROW()-1,10),ROW()-1,FALSE))</f>
        <v>0.69884000000000002</v>
      </c>
      <c r="G32">
        <f ca="1">IF(AND(ISNUMBER($G$132),$B$108=1),$G$132,HLOOKUP(INDIRECT(ADDRESS(2,COLUMN())),OFFSET($P$2,0,0,ROW()-1,10),ROW()-1,FALSE))</f>
        <v>-0.94625999999999999</v>
      </c>
      <c r="H32">
        <f ca="1">IF(AND(ISNUMBER($H$132),$B$108=1),$H$132,HLOOKUP(INDIRECT(ADDRESS(2,COLUMN())),OFFSET($P$2,0,0,ROW()-1,10),ROW()-1,FALSE))</f>
        <v>1.2482500000000001</v>
      </c>
      <c r="I32">
        <f ca="1">IF(AND(ISNUMBER($I$132),$B$108=1),$I$132,HLOOKUP(INDIRECT(ADDRESS(2,COLUMN())),OFFSET($P$2,0,0,ROW()-1,10),ROW()-1,FALSE))</f>
        <v>4.1747199999999998</v>
      </c>
      <c r="J32">
        <f ca="1">IF(AND(ISNUMBER($J$132),$B$108=1),$J$132,HLOOKUP(INDIRECT(ADDRESS(2,COLUMN())),OFFSET($P$2,0,0,ROW()-1,10),ROW()-1,FALSE))</f>
        <v>3.44618</v>
      </c>
      <c r="K32">
        <f ca="1">IF(AND(ISNUMBER($K$132),$B$108=1),$K$132,HLOOKUP(INDIRECT(ADDRESS(2,COLUMN())),OFFSET($P$2,0,0,ROW()-1,10),ROW()-1,FALSE))</f>
        <v>-1.9387799999999999</v>
      </c>
      <c r="L32">
        <f ca="1">IF(AND(ISNUMBER($L$132),$B$108=1),$L$132,HLOOKUP(INDIRECT(ADDRESS(2,COLUMN())),OFFSET($P$2,0,0,ROW()-1,10),ROW()-1,FALSE))</f>
        <v>5.5551700000000004</v>
      </c>
      <c r="M32">
        <f ca="1">IF(AND(ISNUMBER($M$132),$B$108=1),$M$132,HLOOKUP(INDIRECT(ADDRESS(2,COLUMN())),OFFSET($P$2,0,0,ROW()-1,10),ROW()-1,FALSE))</f>
        <v>3.56115</v>
      </c>
      <c r="N32">
        <f ca="1">IF(AND(ISNUMBER($N$132),$B$108=1),$N$132,HLOOKUP(INDIRECT(ADDRESS(2,COLUMN())),OFFSET($P$2,0,0,ROW()-1,10),ROW()-1,FALSE))</f>
        <v>-2.8771</v>
      </c>
      <c r="O32">
        <f ca="1">IF(AND(ISNUMBER($O$132),$B$108=1),$O$132,HLOOKUP(INDIRECT(ADDRESS(2,COLUMN())),OFFSET($P$2,0,0,ROW()-1,10),ROW()-1,FALSE))</f>
        <v>3.3012199999999998</v>
      </c>
      <c r="P32">
        <f>0.69884</f>
        <v>0.69884000000000002</v>
      </c>
      <c r="Q32">
        <f>-0.94626</f>
        <v>-0.94625999999999999</v>
      </c>
      <c r="R32">
        <f>1.24825</f>
        <v>1.2482500000000001</v>
      </c>
      <c r="S32">
        <f>4.17472</f>
        <v>4.1747199999999998</v>
      </c>
      <c r="T32">
        <f>3.44618</f>
        <v>3.44618</v>
      </c>
      <c r="U32">
        <f>-1.93878</f>
        <v>-1.9387799999999999</v>
      </c>
      <c r="V32">
        <f>5.55517</f>
        <v>5.5551700000000004</v>
      </c>
      <c r="W32">
        <f>3.56115</f>
        <v>3.56115</v>
      </c>
      <c r="X32">
        <f>-2.8771</f>
        <v>-2.8771</v>
      </c>
      <c r="Y32">
        <f>3.30122</f>
        <v>3.3012199999999998</v>
      </c>
    </row>
    <row r="33" spans="1:25" x14ac:dyDescent="0.25">
      <c r="A33" t="str">
        <f>"    Europe"</f>
        <v xml:space="preserve">    Europe</v>
      </c>
      <c r="B33" t="str">
        <f>""</f>
        <v/>
      </c>
      <c r="E33" t="str">
        <f>"Static"</f>
        <v>Static</v>
      </c>
      <c r="F33" t="str">
        <f t="shared" ref="F33:O35" ca="1" si="9">HLOOKUP(INDIRECT(ADDRESS(2,COLUMN())),OFFSET($P$2,0,0,ROW()-1,10),ROW()-1,FALSE)</f>
        <v/>
      </c>
      <c r="G33" t="str">
        <f t="shared" ca="1" si="9"/>
        <v/>
      </c>
      <c r="H33" t="str">
        <f t="shared" ca="1" si="9"/>
        <v/>
      </c>
      <c r="I33" t="str">
        <f t="shared" ca="1" si="9"/>
        <v/>
      </c>
      <c r="J33" t="str">
        <f t="shared" ca="1" si="9"/>
        <v/>
      </c>
      <c r="K33" t="str">
        <f t="shared" ca="1" si="9"/>
        <v/>
      </c>
      <c r="L33" t="str">
        <f t="shared" ca="1" si="9"/>
        <v/>
      </c>
      <c r="M33" t="str">
        <f t="shared" ca="1" si="9"/>
        <v/>
      </c>
      <c r="N33" t="str">
        <f t="shared" ca="1" si="9"/>
        <v/>
      </c>
      <c r="O33" t="str">
        <f t="shared" ca="1" si="9"/>
        <v/>
      </c>
      <c r="P33" t="str">
        <f>""</f>
        <v/>
      </c>
      <c r="Q33" t="str">
        <f>""</f>
        <v/>
      </c>
      <c r="R33" t="str">
        <f>""</f>
        <v/>
      </c>
      <c r="S33" t="str">
        <f>""</f>
        <v/>
      </c>
      <c r="T33" t="str">
        <f>""</f>
        <v/>
      </c>
      <c r="U33" t="str">
        <f>""</f>
        <v/>
      </c>
      <c r="V33" t="str">
        <f>""</f>
        <v/>
      </c>
      <c r="W33" t="str">
        <f>""</f>
        <v/>
      </c>
      <c r="X33" t="str">
        <f>""</f>
        <v/>
      </c>
      <c r="Y33" t="str">
        <f>""</f>
        <v/>
      </c>
    </row>
    <row r="34" spans="1:25" x14ac:dyDescent="0.25">
      <c r="A34" t="str">
        <f>"    South America"</f>
        <v xml:space="preserve">    South America</v>
      </c>
      <c r="B34" t="str">
        <f>""</f>
        <v/>
      </c>
      <c r="E34" t="str">
        <f>"Static"</f>
        <v>Static</v>
      </c>
      <c r="F34" t="str">
        <f t="shared" ca="1" si="9"/>
        <v/>
      </c>
      <c r="G34" t="str">
        <f t="shared" ca="1" si="9"/>
        <v/>
      </c>
      <c r="H34" t="str">
        <f t="shared" ca="1" si="9"/>
        <v/>
      </c>
      <c r="I34" t="str">
        <f t="shared" ca="1" si="9"/>
        <v/>
      </c>
      <c r="J34" t="str">
        <f t="shared" ca="1" si="9"/>
        <v/>
      </c>
      <c r="K34" t="str">
        <f t="shared" ca="1" si="9"/>
        <v/>
      </c>
      <c r="L34" t="str">
        <f t="shared" ca="1" si="9"/>
        <v/>
      </c>
      <c r="M34" t="str">
        <f t="shared" ca="1" si="9"/>
        <v/>
      </c>
      <c r="N34" t="str">
        <f t="shared" ca="1" si="9"/>
        <v/>
      </c>
      <c r="O34" t="str">
        <f t="shared" ca="1" si="9"/>
        <v/>
      </c>
      <c r="P34" t="str">
        <f>""</f>
        <v/>
      </c>
      <c r="Q34" t="str">
        <f>""</f>
        <v/>
      </c>
      <c r="R34" t="str">
        <f>""</f>
        <v/>
      </c>
      <c r="S34" t="str">
        <f>""</f>
        <v/>
      </c>
      <c r="T34" t="str">
        <f>""</f>
        <v/>
      </c>
      <c r="U34" t="str">
        <f>""</f>
        <v/>
      </c>
      <c r="V34" t="str">
        <f>""</f>
        <v/>
      </c>
      <c r="W34" t="str">
        <f>""</f>
        <v/>
      </c>
      <c r="X34" t="str">
        <f>""</f>
        <v/>
      </c>
      <c r="Y34" t="str">
        <f>""</f>
        <v/>
      </c>
    </row>
    <row r="35" spans="1:25" x14ac:dyDescent="0.25">
      <c r="A35" t="str">
        <f>""</f>
        <v/>
      </c>
      <c r="B35" t="str">
        <f>""</f>
        <v/>
      </c>
      <c r="E35" t="str">
        <f>"Static"</f>
        <v>Static</v>
      </c>
      <c r="F35" t="str">
        <f t="shared" ca="1" si="9"/>
        <v/>
      </c>
      <c r="G35" t="str">
        <f t="shared" ca="1" si="9"/>
        <v/>
      </c>
      <c r="H35" t="str">
        <f t="shared" ca="1" si="9"/>
        <v/>
      </c>
      <c r="I35" t="str">
        <f t="shared" ca="1" si="9"/>
        <v/>
      </c>
      <c r="J35" t="str">
        <f t="shared" ca="1" si="9"/>
        <v/>
      </c>
      <c r="K35" t="str">
        <f t="shared" ca="1" si="9"/>
        <v/>
      </c>
      <c r="L35" t="str">
        <f t="shared" ca="1" si="9"/>
        <v/>
      </c>
      <c r="M35" t="str">
        <f t="shared" ca="1" si="9"/>
        <v/>
      </c>
      <c r="N35" t="str">
        <f t="shared" ca="1" si="9"/>
        <v/>
      </c>
      <c r="O35" t="str">
        <f t="shared" ca="1" si="9"/>
        <v/>
      </c>
      <c r="P35" t="str">
        <f>""</f>
        <v/>
      </c>
      <c r="Q35" t="str">
        <f>""</f>
        <v/>
      </c>
      <c r="R35" t="str">
        <f>""</f>
        <v/>
      </c>
      <c r="S35" t="str">
        <f>""</f>
        <v/>
      </c>
      <c r="T35" t="str">
        <f>""</f>
        <v/>
      </c>
      <c r="U35" t="str">
        <f>""</f>
        <v/>
      </c>
      <c r="V35" t="str">
        <f>""</f>
        <v/>
      </c>
      <c r="W35" t="str">
        <f>""</f>
        <v/>
      </c>
      <c r="X35" t="str">
        <f>""</f>
        <v/>
      </c>
      <c r="Y35" t="str">
        <f>""</f>
        <v/>
      </c>
    </row>
    <row r="36" spans="1:25" x14ac:dyDescent="0.25">
      <c r="A36" t="str">
        <f>"Labor Statistics:"</f>
        <v>Labor Statistics:</v>
      </c>
      <c r="B36" t="str">
        <f>""</f>
        <v/>
      </c>
      <c r="E36" t="str">
        <f>"Heading"</f>
        <v>Heading</v>
      </c>
      <c r="P36" t="str">
        <f>""</f>
        <v/>
      </c>
      <c r="Q36" t="str">
        <f>""</f>
        <v/>
      </c>
      <c r="R36" t="str">
        <f>""</f>
        <v/>
      </c>
      <c r="S36" t="str">
        <f>""</f>
        <v/>
      </c>
      <c r="T36" t="str">
        <f>""</f>
        <v/>
      </c>
      <c r="U36" t="str">
        <f>""</f>
        <v/>
      </c>
      <c r="V36" t="str">
        <f>""</f>
        <v/>
      </c>
      <c r="W36" t="str">
        <f>""</f>
        <v/>
      </c>
      <c r="X36" t="str">
        <f>""</f>
        <v/>
      </c>
      <c r="Y36" t="str">
        <f>""</f>
        <v/>
      </c>
    </row>
    <row r="37" spans="1:25" x14ac:dyDescent="0.25">
      <c r="A37" t="str">
        <f>"U.S. Unemployment Rate"</f>
        <v>U.S. Unemployment Rate</v>
      </c>
      <c r="B37" t="str">
        <f>"USURTOT Index"</f>
        <v>USURTOT Index</v>
      </c>
      <c r="C37" t="str">
        <f>"PR005"</f>
        <v>PR005</v>
      </c>
      <c r="D37" t="str">
        <f>"PX_LAST"</f>
        <v>PX_LAST</v>
      </c>
      <c r="E37" t="str">
        <f>"Dynamic"</f>
        <v>Dynamic</v>
      </c>
      <c r="F37">
        <f ca="1">IF(AND(ISNUMBER($F$133),$B$108=1),$F$133,HLOOKUP(INDIRECT(ADDRESS(2,COLUMN())),OFFSET($P$2,0,0,ROW()-1,10),ROW()-1,FALSE))</f>
        <v>13.3</v>
      </c>
      <c r="G37">
        <f ca="1">IF(AND(ISNUMBER($G$133),$B$108=1),$G$133,HLOOKUP(INDIRECT(ADDRESS(2,COLUMN())),OFFSET($P$2,0,0,ROW()-1,10),ROW()-1,FALSE))</f>
        <v>3.6666669999999999</v>
      </c>
      <c r="H37">
        <f ca="1">IF(AND(ISNUMBER($H$133),$B$108=1),$H$133,HLOOKUP(INDIRECT(ADDRESS(2,COLUMN())),OFFSET($P$2,0,0,ROW()-1,10),ROW()-1,FALSE))</f>
        <v>3.891667</v>
      </c>
      <c r="I37">
        <f ca="1">IF(AND(ISNUMBER($I$133),$B$108=1),$I$133,HLOOKUP(INDIRECT(ADDRESS(2,COLUMN())),OFFSET($P$2,0,0,ROW()-1,10),ROW()-1,FALSE))</f>
        <v>4.3416670000000002</v>
      </c>
      <c r="J37">
        <f ca="1">IF(AND(ISNUMBER($J$133),$B$108=1),$J$133,HLOOKUP(INDIRECT(ADDRESS(2,COLUMN())),OFFSET($P$2,0,0,ROW()-1,10),ROW()-1,FALSE))</f>
        <v>4.875</v>
      </c>
      <c r="K37">
        <f ca="1">IF(AND(ISNUMBER($K$133),$B$108=1),$K$133,HLOOKUP(INDIRECT(ADDRESS(2,COLUMN())),OFFSET($P$2,0,0,ROW()-1,10),ROW()-1,FALSE))</f>
        <v>5.2750000000000004</v>
      </c>
      <c r="L37">
        <f ca="1">IF(AND(ISNUMBER($L$133),$B$108=1),$L$133,HLOOKUP(INDIRECT(ADDRESS(2,COLUMN())),OFFSET($P$2,0,0,ROW()-1,10),ROW()-1,FALSE))</f>
        <v>6.1583329999999998</v>
      </c>
      <c r="M37">
        <f ca="1">IF(AND(ISNUMBER($M$133),$B$108=1),$M$133,HLOOKUP(INDIRECT(ADDRESS(2,COLUMN())),OFFSET($P$2,0,0,ROW()-1,10),ROW()-1,FALSE))</f>
        <v>7.358333</v>
      </c>
      <c r="N37">
        <f ca="1">IF(AND(ISNUMBER($N$133),$B$108=1),$N$133,HLOOKUP(INDIRECT(ADDRESS(2,COLUMN())),OFFSET($P$2,0,0,ROW()-1,10),ROW()-1,FALSE))</f>
        <v>8.0750010000000003</v>
      </c>
      <c r="O37">
        <f ca="1">IF(AND(ISNUMBER($O$133),$B$108=1),$O$133,HLOOKUP(INDIRECT(ADDRESS(2,COLUMN())),OFFSET($P$2,0,0,ROW()-1,10),ROW()-1,FALSE))</f>
        <v>8.9333329999999993</v>
      </c>
      <c r="P37">
        <f>13.3</f>
        <v>13.3</v>
      </c>
      <c r="Q37">
        <f>3.666667</f>
        <v>3.6666669999999999</v>
      </c>
      <c r="R37">
        <f>3.891667</f>
        <v>3.891667</v>
      </c>
      <c r="S37">
        <f>4.341667</f>
        <v>4.3416670000000002</v>
      </c>
      <c r="T37">
        <f>4.875</f>
        <v>4.875</v>
      </c>
      <c r="U37">
        <f>5.275</f>
        <v>5.2750000000000004</v>
      </c>
      <c r="V37">
        <f>6.158333</f>
        <v>6.1583329999999998</v>
      </c>
      <c r="W37">
        <f>7.358333</f>
        <v>7.358333</v>
      </c>
      <c r="X37">
        <f>8.075001</f>
        <v>8.0750010000000003</v>
      </c>
      <c r="Y37">
        <f>8.933333</f>
        <v>8.9333329999999993</v>
      </c>
    </row>
    <row r="38" spans="1:25" x14ac:dyDescent="0.25">
      <c r="A38" t="str">
        <f>"U.S. Technology Related Unemployment Rate"</f>
        <v>U.S. Technology Related Unemployment Rate</v>
      </c>
      <c r="B38" t="str">
        <f>""</f>
        <v/>
      </c>
      <c r="E38" t="str">
        <f>"Average"</f>
        <v>Average</v>
      </c>
      <c r="F38">
        <f ca="1">IF(ISERROR(IF(AVERAGE($F$39:$F$42) = 0, "", AVERAGE($F$39:$F$42))), "", (IF(AVERAGE($F$39:$F$42) = 0, "", AVERAGE($F$39:$F$42))))</f>
        <v>2.4250000000000003</v>
      </c>
      <c r="G38">
        <f ca="1">IF(ISERROR(IF(AVERAGE($G$39:$G$42) = 0, "", AVERAGE($G$39:$G$42))), "", (IF(AVERAGE($G$39:$G$42) = 0, "", AVERAGE($G$39:$G$42))))</f>
        <v>3.2749999999999999</v>
      </c>
      <c r="H38">
        <f ca="1">IF(ISERROR(IF(AVERAGE($H$39:$H$42) = 0, "", AVERAGE($H$39:$H$42))), "", (IF(AVERAGE($H$39:$H$42) = 0, "", AVERAGE($H$39:$H$42))))</f>
        <v>1.7999999999999998</v>
      </c>
      <c r="I38">
        <f ca="1">IF(ISERROR(IF(AVERAGE($I$39:$I$42) = 0, "", AVERAGE($I$39:$I$42))), "", (IF(AVERAGE($I$39:$I$42) = 0, "", AVERAGE($I$39:$I$42))))</f>
        <v>2.4249999999999998</v>
      </c>
      <c r="J38">
        <f ca="1">IF(ISERROR(IF(AVERAGE($J$39:$J$42) = 0, "", AVERAGE($J$39:$J$42))), "", (IF(AVERAGE($J$39:$J$42) = 0, "", AVERAGE($J$39:$J$42))))</f>
        <v>2.9750000000000001</v>
      </c>
      <c r="K38">
        <f ca="1">IF(ISERROR(IF(AVERAGE($K$39:$K$42) = 0, "", AVERAGE($K$39:$K$42))), "", (IF(AVERAGE($K$39:$K$42) = 0, "", AVERAGE($K$39:$K$42))))</f>
        <v>3.25</v>
      </c>
      <c r="L38">
        <f ca="1">IF(ISERROR(IF(AVERAGE($L$39:$L$42) = 0, "", AVERAGE($L$39:$L$42))), "", (IF(AVERAGE($L$39:$L$42) = 0, "", AVERAGE($L$39:$L$42))))</f>
        <v>1.625</v>
      </c>
      <c r="M38">
        <f ca="1">IF(ISERROR(IF(AVERAGE($M$39:$M$42) = 0, "", AVERAGE($M$39:$M$42))), "", (IF(AVERAGE($M$39:$M$42) = 0, "", AVERAGE($M$39:$M$42))))</f>
        <v>3.9249999999999998</v>
      </c>
      <c r="N38">
        <f ca="1">IF(ISERROR(IF(AVERAGE($N$39:$N$42) = 0, "", AVERAGE($N$39:$N$42))), "", (IF(AVERAGE($N$39:$N$42) = 0, "", AVERAGE($N$39:$N$42))))</f>
        <v>4.125</v>
      </c>
      <c r="O38">
        <f ca="1">IF(ISERROR(IF(AVERAGE($O$39:$O$42) = 0, "", AVERAGE($O$39:$O$42))), "", (IF(AVERAGE($O$39:$O$42) = 0, "", AVERAGE($O$39:$O$42))))</f>
        <v>3.95</v>
      </c>
      <c r="P38">
        <f>2.425</f>
        <v>2.4249999999999998</v>
      </c>
      <c r="Q38">
        <f>3.275</f>
        <v>3.2749999999999999</v>
      </c>
      <c r="R38">
        <f>1.8</f>
        <v>1.8</v>
      </c>
      <c r="S38">
        <f>2.425</f>
        <v>2.4249999999999998</v>
      </c>
      <c r="T38">
        <f>2.975</f>
        <v>2.9750000000000001</v>
      </c>
      <c r="U38">
        <f>3.25</f>
        <v>3.25</v>
      </c>
      <c r="V38">
        <f>1.625</f>
        <v>1.625</v>
      </c>
      <c r="W38">
        <f>3.925</f>
        <v>3.9249999999999998</v>
      </c>
      <c r="X38">
        <f>4.125</f>
        <v>4.125</v>
      </c>
      <c r="Y38">
        <f>3.95</f>
        <v>3.95</v>
      </c>
    </row>
    <row r="39" spans="1:25" x14ac:dyDescent="0.25">
      <c r="A39" t="str">
        <f>"    Computer &amp; Information Systems Managers"</f>
        <v xml:space="preserve">    Computer &amp; Information Systems Managers</v>
      </c>
      <c r="B39" t="str">
        <f>"UMOCCOIN Index"</f>
        <v>UMOCCOIN Index</v>
      </c>
      <c r="C39" t="str">
        <f t="shared" ref="C39:C47" si="10">"PR005"</f>
        <v>PR005</v>
      </c>
      <c r="D39" t="str">
        <f t="shared" ref="D39:D47" si="11">"PX_LAST"</f>
        <v>PX_LAST</v>
      </c>
      <c r="E39" t="str">
        <f t="shared" ref="E39:E47" si="12">"Dynamic"</f>
        <v>Dynamic</v>
      </c>
      <c r="F39">
        <f ca="1">IF(AND(ISNUMBER($F$134),$B$108=1),$F$134,HLOOKUP(INDIRECT(ADDRESS(2,COLUMN())),OFFSET($P$2,0,0,ROW()-1,10),ROW()-1,FALSE))</f>
        <v>1.6</v>
      </c>
      <c r="G39">
        <f ca="1">IF(AND(ISNUMBER($G$134),$B$108=1),$G$134,HLOOKUP(INDIRECT(ADDRESS(2,COLUMN())),OFFSET($P$2,0,0,ROW()-1,10),ROW()-1,FALSE))</f>
        <v>0.8</v>
      </c>
      <c r="H39">
        <f ca="1">IF(AND(ISNUMBER($H$134),$B$108=1),$H$134,HLOOKUP(INDIRECT(ADDRESS(2,COLUMN())),OFFSET($P$2,0,0,ROW()-1,10),ROW()-1,FALSE))</f>
        <v>2.4</v>
      </c>
      <c r="I39">
        <f ca="1">IF(AND(ISNUMBER($I$134),$B$108=1),$I$134,HLOOKUP(INDIRECT(ADDRESS(2,COLUMN())),OFFSET($P$2,0,0,ROW()-1,10),ROW()-1,FALSE))</f>
        <v>1.8</v>
      </c>
      <c r="J39">
        <f ca="1">IF(AND(ISNUMBER($J$134),$B$108=1),$J$134,HLOOKUP(INDIRECT(ADDRESS(2,COLUMN())),OFFSET($P$2,0,0,ROW()-1,10),ROW()-1,FALSE))</f>
        <v>3.1</v>
      </c>
      <c r="K39">
        <f ca="1">IF(AND(ISNUMBER($K$134),$B$108=1),$K$134,HLOOKUP(INDIRECT(ADDRESS(2,COLUMN())),OFFSET($P$2,0,0,ROW()-1,10),ROW()-1,FALSE))</f>
        <v>2.4</v>
      </c>
      <c r="L39">
        <f ca="1">IF(AND(ISNUMBER($L$134),$B$108=1),$L$134,HLOOKUP(INDIRECT(ADDRESS(2,COLUMN())),OFFSET($P$2,0,0,ROW()-1,10),ROW()-1,FALSE))</f>
        <v>0.9</v>
      </c>
      <c r="M39">
        <f ca="1">IF(AND(ISNUMBER($M$134),$B$108=1),$M$134,HLOOKUP(INDIRECT(ADDRESS(2,COLUMN())),OFFSET($P$2,0,0,ROW()-1,10),ROW()-1,FALSE))</f>
        <v>3</v>
      </c>
      <c r="N39">
        <f ca="1">IF(AND(ISNUMBER($N$134),$B$108=1),$N$134,HLOOKUP(INDIRECT(ADDRESS(2,COLUMN())),OFFSET($P$2,0,0,ROW()-1,10),ROW()-1,FALSE))</f>
        <v>4.3</v>
      </c>
      <c r="O39">
        <f ca="1">IF(AND(ISNUMBER($O$134),$B$108=1),$O$134,HLOOKUP(INDIRECT(ADDRESS(2,COLUMN())),OFFSET($P$2,0,0,ROW()-1,10),ROW()-1,FALSE))</f>
        <v>2.4</v>
      </c>
      <c r="P39">
        <f>1.6</f>
        <v>1.6</v>
      </c>
      <c r="Q39">
        <f>0.8</f>
        <v>0.8</v>
      </c>
      <c r="R39">
        <f>2.4</f>
        <v>2.4</v>
      </c>
      <c r="S39">
        <f>1.8</f>
        <v>1.8</v>
      </c>
      <c r="T39">
        <f>3.1</f>
        <v>3.1</v>
      </c>
      <c r="U39">
        <f>2.4</f>
        <v>2.4</v>
      </c>
      <c r="V39">
        <f>0.9</f>
        <v>0.9</v>
      </c>
      <c r="W39">
        <f>3</f>
        <v>3</v>
      </c>
      <c r="X39">
        <f>4.3</f>
        <v>4.3</v>
      </c>
      <c r="Y39">
        <f>2.4</f>
        <v>2.4</v>
      </c>
    </row>
    <row r="40" spans="1:25" x14ac:dyDescent="0.25">
      <c r="A40" t="str">
        <f>"    Computer &amp; Mathmatical Occupations"</f>
        <v xml:space="preserve">    Computer &amp; Mathmatical Occupations</v>
      </c>
      <c r="B40" t="str">
        <f>"UMOCCOOC Index"</f>
        <v>UMOCCOOC Index</v>
      </c>
      <c r="C40" t="str">
        <f t="shared" si="10"/>
        <v>PR005</v>
      </c>
      <c r="D40" t="str">
        <f t="shared" si="11"/>
        <v>PX_LAST</v>
      </c>
      <c r="E40" t="str">
        <f t="shared" si="12"/>
        <v>Dynamic</v>
      </c>
      <c r="F40">
        <f ca="1">IF(AND(ISNUMBER($F$135),$B$108=1),$F$135,HLOOKUP(INDIRECT(ADDRESS(2,COLUMN())),OFFSET($P$2,0,0,ROW()-1,10),ROW()-1,FALSE))</f>
        <v>2.6</v>
      </c>
      <c r="G40">
        <f ca="1">IF(AND(ISNUMBER($G$135),$B$108=1),$G$135,HLOOKUP(INDIRECT(ADDRESS(2,COLUMN())),OFFSET($P$2,0,0,ROW()-1,10),ROW()-1,FALSE))</f>
        <v>2.2999999999999998</v>
      </c>
      <c r="H40">
        <f ca="1">IF(AND(ISNUMBER($H$135),$B$108=1),$H$135,HLOOKUP(INDIRECT(ADDRESS(2,COLUMN())),OFFSET($P$2,0,0,ROW()-1,10),ROW()-1,FALSE))</f>
        <v>2.2000000000000002</v>
      </c>
      <c r="I40">
        <f ca="1">IF(AND(ISNUMBER($I$135),$B$108=1),$I$135,HLOOKUP(INDIRECT(ADDRESS(2,COLUMN())),OFFSET($P$2,0,0,ROW()-1,10),ROW()-1,FALSE))</f>
        <v>2.5</v>
      </c>
      <c r="J40">
        <f ca="1">IF(AND(ISNUMBER($J$135),$B$108=1),$J$135,HLOOKUP(INDIRECT(ADDRESS(2,COLUMN())),OFFSET($P$2,0,0,ROW()-1,10),ROW()-1,FALSE))</f>
        <v>2.9</v>
      </c>
      <c r="K40">
        <f ca="1">IF(AND(ISNUMBER($K$135),$B$108=1),$K$135,HLOOKUP(INDIRECT(ADDRESS(2,COLUMN())),OFFSET($P$2,0,0,ROW()-1,10),ROW()-1,FALSE))</f>
        <v>2.9</v>
      </c>
      <c r="L40">
        <f ca="1">IF(AND(ISNUMBER($L$135),$B$108=1),$L$135,HLOOKUP(INDIRECT(ADDRESS(2,COLUMN())),OFFSET($P$2,0,0,ROW()-1,10),ROW()-1,FALSE))</f>
        <v>2.5</v>
      </c>
      <c r="M40">
        <f ca="1">IF(AND(ISNUMBER($M$135),$B$108=1),$M$135,HLOOKUP(INDIRECT(ADDRESS(2,COLUMN())),OFFSET($P$2,0,0,ROW()-1,10),ROW()-1,FALSE))</f>
        <v>3.5</v>
      </c>
      <c r="N40">
        <f ca="1">IF(AND(ISNUMBER($N$135),$B$108=1),$N$135,HLOOKUP(INDIRECT(ADDRESS(2,COLUMN())),OFFSET($P$2,0,0,ROW()-1,10),ROW()-1,FALSE))</f>
        <v>3.3</v>
      </c>
      <c r="O40">
        <f ca="1">IF(AND(ISNUMBER($O$135),$B$108=1),$O$135,HLOOKUP(INDIRECT(ADDRESS(2,COLUMN())),OFFSET($P$2,0,0,ROW()-1,10),ROW()-1,FALSE))</f>
        <v>4.0999999999999996</v>
      </c>
      <c r="P40">
        <f>2.6</f>
        <v>2.6</v>
      </c>
      <c r="Q40">
        <f>2.3</f>
        <v>2.2999999999999998</v>
      </c>
      <c r="R40">
        <f>2.2</f>
        <v>2.2000000000000002</v>
      </c>
      <c r="S40">
        <f>2.5</f>
        <v>2.5</v>
      </c>
      <c r="T40">
        <f>2.9</f>
        <v>2.9</v>
      </c>
      <c r="U40">
        <f>2.9</f>
        <v>2.9</v>
      </c>
      <c r="V40">
        <f>2.5</f>
        <v>2.5</v>
      </c>
      <c r="W40">
        <f>3.5</f>
        <v>3.5</v>
      </c>
      <c r="X40">
        <f>3.3</f>
        <v>3.3</v>
      </c>
      <c r="Y40">
        <f>4.1</f>
        <v>4.0999999999999996</v>
      </c>
    </row>
    <row r="41" spans="1:25" x14ac:dyDescent="0.25">
      <c r="A41" t="str">
        <f>"    Computer Programmers"</f>
        <v xml:space="preserve">    Computer Programmers</v>
      </c>
      <c r="B41" t="str">
        <f>"UMOCCOPR Index"</f>
        <v>UMOCCOPR Index</v>
      </c>
      <c r="C41" t="str">
        <f t="shared" si="10"/>
        <v>PR005</v>
      </c>
      <c r="D41" t="str">
        <f t="shared" si="11"/>
        <v>PX_LAST</v>
      </c>
      <c r="E41" t="str">
        <f t="shared" si="12"/>
        <v>Dynamic</v>
      </c>
      <c r="F41">
        <f ca="1">IF(AND(ISNUMBER($F$136),$B$108=1),$F$136,HLOOKUP(INDIRECT(ADDRESS(2,COLUMN())),OFFSET($P$2,0,0,ROW()-1,10),ROW()-1,FALSE))</f>
        <v>4.9000000000000004</v>
      </c>
      <c r="G41">
        <f ca="1">IF(AND(ISNUMBER($G$136),$B$108=1),$G$136,HLOOKUP(INDIRECT(ADDRESS(2,COLUMN())),OFFSET($P$2,0,0,ROW()-1,10),ROW()-1,FALSE))</f>
        <v>3.9</v>
      </c>
      <c r="H41">
        <f ca="1">IF(AND(ISNUMBER($H$136),$B$108=1),$H$136,HLOOKUP(INDIRECT(ADDRESS(2,COLUMN())),OFFSET($P$2,0,0,ROW()-1,10),ROW()-1,FALSE))</f>
        <v>1.6</v>
      </c>
      <c r="I41">
        <f ca="1">IF(AND(ISNUMBER($I$136),$B$108=1),$I$136,HLOOKUP(INDIRECT(ADDRESS(2,COLUMN())),OFFSET($P$2,0,0,ROW()-1,10),ROW()-1,FALSE))</f>
        <v>3.9</v>
      </c>
      <c r="J41">
        <f ca="1">IF(AND(ISNUMBER($J$136),$B$108=1),$J$136,HLOOKUP(INDIRECT(ADDRESS(2,COLUMN())),OFFSET($P$2,0,0,ROW()-1,10),ROW()-1,FALSE))</f>
        <v>4</v>
      </c>
      <c r="K41">
        <f ca="1">IF(AND(ISNUMBER($K$136),$B$108=1),$K$136,HLOOKUP(INDIRECT(ADDRESS(2,COLUMN())),OFFSET($P$2,0,0,ROW()-1,10),ROW()-1,FALSE))</f>
        <v>3.2</v>
      </c>
      <c r="L41">
        <f ca="1">IF(AND(ISNUMBER($L$136),$B$108=1),$L$136,HLOOKUP(INDIRECT(ADDRESS(2,COLUMN())),OFFSET($P$2,0,0,ROW()-1,10),ROW()-1,FALSE))</f>
        <v>2.5</v>
      </c>
      <c r="M41">
        <f ca="1">IF(AND(ISNUMBER($M$136),$B$108=1),$M$136,HLOOKUP(INDIRECT(ADDRESS(2,COLUMN())),OFFSET($P$2,0,0,ROW()-1,10),ROW()-1,FALSE))</f>
        <v>3.4</v>
      </c>
      <c r="N41">
        <f ca="1">IF(AND(ISNUMBER($N$136),$B$108=1),$N$136,HLOOKUP(INDIRECT(ADDRESS(2,COLUMN())),OFFSET($P$2,0,0,ROW()-1,10),ROW()-1,FALSE))</f>
        <v>4.5999999999999996</v>
      </c>
      <c r="O41">
        <f ca="1">IF(AND(ISNUMBER($O$136),$B$108=1),$O$136,HLOOKUP(INDIRECT(ADDRESS(2,COLUMN())),OFFSET($P$2,0,0,ROW()-1,10),ROW()-1,FALSE))</f>
        <v>3.6</v>
      </c>
      <c r="P41">
        <f>4.9</f>
        <v>4.9000000000000004</v>
      </c>
      <c r="Q41">
        <f>3.9</f>
        <v>3.9</v>
      </c>
      <c r="R41">
        <f>1.6</f>
        <v>1.6</v>
      </c>
      <c r="S41">
        <f>3.9</f>
        <v>3.9</v>
      </c>
      <c r="T41">
        <f>4</f>
        <v>4</v>
      </c>
      <c r="U41">
        <f>3.2</f>
        <v>3.2</v>
      </c>
      <c r="V41">
        <f>2.5</f>
        <v>2.5</v>
      </c>
      <c r="W41">
        <f>3.4</f>
        <v>3.4</v>
      </c>
      <c r="X41">
        <f>4.6</f>
        <v>4.5999999999999996</v>
      </c>
      <c r="Y41">
        <f>3.6</f>
        <v>3.6</v>
      </c>
    </row>
    <row r="42" spans="1:25" x14ac:dyDescent="0.25">
      <c r="A42" t="str">
        <f>"    Network &amp; Computer Systems Administrators"</f>
        <v xml:space="preserve">    Network &amp; Computer Systems Administrators</v>
      </c>
      <c r="B42" t="str">
        <f>"UMOCNEWO Index"</f>
        <v>UMOCNEWO Index</v>
      </c>
      <c r="C42" t="str">
        <f t="shared" si="10"/>
        <v>PR005</v>
      </c>
      <c r="D42" t="str">
        <f t="shared" si="11"/>
        <v>PX_LAST</v>
      </c>
      <c r="E42" t="str">
        <f t="shared" si="12"/>
        <v>Dynamic</v>
      </c>
      <c r="F42">
        <f ca="1">IF(AND(ISNUMBER($F$137),$B$108=1),$F$137,HLOOKUP(INDIRECT(ADDRESS(2,COLUMN())),OFFSET($P$2,0,0,ROW()-1,10),ROW()-1,FALSE))</f>
        <v>0.6</v>
      </c>
      <c r="G42">
        <f ca="1">IF(AND(ISNUMBER($G$137),$B$108=1),$G$137,HLOOKUP(INDIRECT(ADDRESS(2,COLUMN())),OFFSET($P$2,0,0,ROW()-1,10),ROW()-1,FALSE))</f>
        <v>6.1</v>
      </c>
      <c r="H42">
        <f ca="1">IF(AND(ISNUMBER($H$137),$B$108=1),$H$137,HLOOKUP(INDIRECT(ADDRESS(2,COLUMN())),OFFSET($P$2,0,0,ROW()-1,10),ROW()-1,FALSE))</f>
        <v>1</v>
      </c>
      <c r="I42">
        <f ca="1">IF(AND(ISNUMBER($I$137),$B$108=1),$I$137,HLOOKUP(INDIRECT(ADDRESS(2,COLUMN())),OFFSET($P$2,0,0,ROW()-1,10),ROW()-1,FALSE))</f>
        <v>1.5</v>
      </c>
      <c r="J42">
        <f ca="1">IF(AND(ISNUMBER($J$137),$B$108=1),$J$137,HLOOKUP(INDIRECT(ADDRESS(2,COLUMN())),OFFSET($P$2,0,0,ROW()-1,10),ROW()-1,FALSE))</f>
        <v>1.9</v>
      </c>
      <c r="K42">
        <f ca="1">IF(AND(ISNUMBER($K$137),$B$108=1),$K$137,HLOOKUP(INDIRECT(ADDRESS(2,COLUMN())),OFFSET($P$2,0,0,ROW()-1,10),ROW()-1,FALSE))</f>
        <v>4.5</v>
      </c>
      <c r="L42">
        <f ca="1">IF(AND(ISNUMBER($L$137),$B$108=1),$L$137,HLOOKUP(INDIRECT(ADDRESS(2,COLUMN())),OFFSET($P$2,0,0,ROW()-1,10),ROW()-1,FALSE))</f>
        <v>0.6</v>
      </c>
      <c r="M42">
        <f ca="1">IF(AND(ISNUMBER($M$137),$B$108=1),$M$137,HLOOKUP(INDIRECT(ADDRESS(2,COLUMN())),OFFSET($P$2,0,0,ROW()-1,10),ROW()-1,FALSE))</f>
        <v>5.8</v>
      </c>
      <c r="N42">
        <f ca="1">IF(AND(ISNUMBER($N$137),$B$108=1),$N$137,HLOOKUP(INDIRECT(ADDRESS(2,COLUMN())),OFFSET($P$2,0,0,ROW()-1,10),ROW()-1,FALSE))</f>
        <v>4.3</v>
      </c>
      <c r="O42">
        <f ca="1">IF(AND(ISNUMBER($O$137),$B$108=1),$O$137,HLOOKUP(INDIRECT(ADDRESS(2,COLUMN())),OFFSET($P$2,0,0,ROW()-1,10),ROW()-1,FALSE))</f>
        <v>5.7</v>
      </c>
      <c r="P42">
        <f>0.6</f>
        <v>0.6</v>
      </c>
      <c r="Q42">
        <f>6.1</f>
        <v>6.1</v>
      </c>
      <c r="R42">
        <f>1</f>
        <v>1</v>
      </c>
      <c r="S42">
        <f>1.5</f>
        <v>1.5</v>
      </c>
      <c r="T42">
        <f>1.9</f>
        <v>1.9</v>
      </c>
      <c r="U42">
        <f>4.5</f>
        <v>4.5</v>
      </c>
      <c r="V42">
        <f>0.6</f>
        <v>0.6</v>
      </c>
      <c r="W42">
        <f>5.8</f>
        <v>5.8</v>
      </c>
      <c r="X42">
        <f>4.3</f>
        <v>4.3</v>
      </c>
      <c r="Y42">
        <f>5.7</f>
        <v>5.7</v>
      </c>
    </row>
    <row r="43" spans="1:25" x14ac:dyDescent="0.25">
      <c r="A43" t="str">
        <f>"Initial Jobless Claims (yoy %)"</f>
        <v>Initial Jobless Claims (yoy %)</v>
      </c>
      <c r="B43" t="str">
        <f>"INJCJYOY Index"</f>
        <v>INJCJYOY Index</v>
      </c>
      <c r="C43" t="str">
        <f t="shared" si="10"/>
        <v>PR005</v>
      </c>
      <c r="D43" t="str">
        <f t="shared" si="11"/>
        <v>PX_LAST</v>
      </c>
      <c r="E43" t="str">
        <f t="shared" si="12"/>
        <v>Dynamic</v>
      </c>
      <c r="F43">
        <f ca="1">IF(AND(ISNUMBER($F$138),$B$108=1),$F$138,HLOOKUP(INDIRECT(ADDRESS(2,COLUMN())),OFFSET($P$2,0,0,ROW()-1,10),ROW()-1,FALSE))</f>
        <v>600.90912000000003</v>
      </c>
      <c r="G43">
        <f ca="1">IF(AND(ISNUMBER($G$138),$B$108=1),$G$138,HLOOKUP(INDIRECT(ADDRESS(2,COLUMN())),OFFSET($P$2,0,0,ROW()-1,10),ROW()-1,FALSE))</f>
        <v>-3.5087700000000002</v>
      </c>
      <c r="H43">
        <f ca="1">IF(AND(ISNUMBER($H$138),$B$108=1),$H$138,HLOOKUP(INDIRECT(ADDRESS(2,COLUMN())),OFFSET($P$2,0,0,ROW()-1,10),ROW()-1,FALSE))</f>
        <v>-6.1728399999999999</v>
      </c>
      <c r="I43">
        <f ca="1">IF(AND(ISNUMBER($I$138),$B$108=1),$I$138,HLOOKUP(INDIRECT(ADDRESS(2,COLUMN())),OFFSET($P$2,0,0,ROW()-1,10),ROW()-1,FALSE))</f>
        <v>2.9661</v>
      </c>
      <c r="J43">
        <f ca="1">IF(AND(ISNUMBER($J$138),$B$108=1),$J$138,HLOOKUP(INDIRECT(ADDRESS(2,COLUMN())),OFFSET($P$2,0,0,ROW()-1,10),ROW()-1,FALSE))</f>
        <v>-13.55311</v>
      </c>
      <c r="K43">
        <f ca="1">IF(AND(ISNUMBER($K$138),$B$108=1),$K$138,HLOOKUP(INDIRECT(ADDRESS(2,COLUMN())),OFFSET($P$2,0,0,ROW()-1,10),ROW()-1,FALSE))</f>
        <v>-3.1578900000000001</v>
      </c>
      <c r="L43">
        <f ca="1">IF(AND(ISNUMBER($L$138),$B$108=1),$L$138,HLOOKUP(INDIRECT(ADDRESS(2,COLUMN())),OFFSET($P$2,0,0,ROW()-1,10),ROW()-1,FALSE))</f>
        <v>-14.15663</v>
      </c>
      <c r="M43">
        <f ca="1">IF(AND(ISNUMBER($M$138),$B$108=1),$M$138,HLOOKUP(INDIRECT(ADDRESS(2,COLUMN())),OFFSET($P$2,0,0,ROW()-1,10),ROW()-1,FALSE))</f>
        <v>-8.2872900000000005</v>
      </c>
      <c r="N43">
        <f ca="1">IF(AND(ISNUMBER($N$138),$B$108=1),$N$138,HLOOKUP(INDIRECT(ADDRESS(2,COLUMN())),OFFSET($P$2,0,0,ROW()-1,10),ROW()-1,FALSE))</f>
        <v>-3.7233999999999998</v>
      </c>
      <c r="O43">
        <f ca="1">IF(AND(ISNUMBER($O$138),$B$108=1),$O$138,HLOOKUP(INDIRECT(ADDRESS(2,COLUMN())),OFFSET($P$2,0,0,ROW()-1,10),ROW()-1,FALSE))</f>
        <v>-8.9588400000000004</v>
      </c>
      <c r="P43">
        <f>600.90912</f>
        <v>600.90912000000003</v>
      </c>
      <c r="Q43">
        <f>-3.50877</f>
        <v>-3.5087700000000002</v>
      </c>
      <c r="R43">
        <f>-6.17284</f>
        <v>-6.1728399999999999</v>
      </c>
      <c r="S43">
        <f>2.9661</f>
        <v>2.9661</v>
      </c>
      <c r="T43">
        <f>-13.55311</f>
        <v>-13.55311</v>
      </c>
      <c r="U43">
        <f>-3.15789</f>
        <v>-3.1578900000000001</v>
      </c>
      <c r="V43">
        <f>-14.15663</f>
        <v>-14.15663</v>
      </c>
      <c r="W43">
        <f>-8.28729</f>
        <v>-8.2872900000000005</v>
      </c>
      <c r="X43">
        <f>-3.7234</f>
        <v>-3.7233999999999998</v>
      </c>
      <c r="Y43">
        <f>-8.95884</f>
        <v>-8.9588400000000004</v>
      </c>
    </row>
    <row r="44" spans="1:25" x14ac:dyDescent="0.25">
      <c r="A44" t="str">
        <f>"    Initial Jobless Claims (#)"</f>
        <v xml:space="preserve">    Initial Jobless Claims (#)</v>
      </c>
      <c r="B44" t="str">
        <f>"INJCJC Index"</f>
        <v>INJCJC Index</v>
      </c>
      <c r="C44" t="str">
        <f t="shared" si="10"/>
        <v>PR005</v>
      </c>
      <c r="D44" t="str">
        <f t="shared" si="11"/>
        <v>PX_LAST</v>
      </c>
      <c r="E44" t="str">
        <f t="shared" si="12"/>
        <v>Dynamic</v>
      </c>
      <c r="F44">
        <f ca="1">IF(AND(ISNUMBER($F$139),$B$108=1),$F$139,HLOOKUP(INDIRECT(ADDRESS(2,COLUMN())),OFFSET($P$2,0,0,ROW()-1,10),ROW()-1,FALSE))</f>
        <v>1542</v>
      </c>
      <c r="G44">
        <f ca="1">IF(AND(ISNUMBER($G$139),$B$108=1),$G$139,HLOOKUP(INDIRECT(ADDRESS(2,COLUMN())),OFFSET($P$2,0,0,ROW()-1,10),ROW()-1,FALSE))</f>
        <v>220</v>
      </c>
      <c r="H44">
        <f ca="1">IF(AND(ISNUMBER($H$139),$B$108=1),$H$139,HLOOKUP(INDIRECT(ADDRESS(2,COLUMN())),OFFSET($P$2,0,0,ROW()-1,10),ROW()-1,FALSE))</f>
        <v>228</v>
      </c>
      <c r="I44">
        <f ca="1">IF(AND(ISNUMBER($I$139),$B$108=1),$I$139,HLOOKUP(INDIRECT(ADDRESS(2,COLUMN())),OFFSET($P$2,0,0,ROW()-1,10),ROW()-1,FALSE))</f>
        <v>243</v>
      </c>
      <c r="J44">
        <f ca="1">IF(AND(ISNUMBER($J$139),$B$108=1),$J$139,HLOOKUP(INDIRECT(ADDRESS(2,COLUMN())),OFFSET($P$2,0,0,ROW()-1,10),ROW()-1,FALSE))</f>
        <v>236</v>
      </c>
      <c r="K44">
        <f ca="1">IF(AND(ISNUMBER($K$139),$B$108=1),$K$139,HLOOKUP(INDIRECT(ADDRESS(2,COLUMN())),OFFSET($P$2,0,0,ROW()-1,10),ROW()-1,FALSE))</f>
        <v>276</v>
      </c>
      <c r="L44">
        <f ca="1">IF(AND(ISNUMBER($L$139),$B$108=1),$L$139,HLOOKUP(INDIRECT(ADDRESS(2,COLUMN())),OFFSET($P$2,0,0,ROW()-1,10),ROW()-1,FALSE))</f>
        <v>285</v>
      </c>
      <c r="M44">
        <f ca="1">IF(AND(ISNUMBER($M$139),$B$108=1),$M$139,HLOOKUP(INDIRECT(ADDRESS(2,COLUMN())),OFFSET($P$2,0,0,ROW()-1,10),ROW()-1,FALSE))</f>
        <v>332</v>
      </c>
      <c r="N44">
        <f ca="1">IF(AND(ISNUMBER($N$139),$B$108=1),$N$139,HLOOKUP(INDIRECT(ADDRESS(2,COLUMN())),OFFSET($P$2,0,0,ROW()-1,10),ROW()-1,FALSE))</f>
        <v>362</v>
      </c>
      <c r="O44">
        <f ca="1">IF(AND(ISNUMBER($O$139),$B$108=1),$O$139,HLOOKUP(INDIRECT(ADDRESS(2,COLUMN())),OFFSET($P$2,0,0,ROW()-1,10),ROW()-1,FALSE))</f>
        <v>376</v>
      </c>
      <c r="P44">
        <f>1542</f>
        <v>1542</v>
      </c>
      <c r="Q44">
        <f>220</f>
        <v>220</v>
      </c>
      <c r="R44">
        <f>228</f>
        <v>228</v>
      </c>
      <c r="S44">
        <f>243</f>
        <v>243</v>
      </c>
      <c r="T44">
        <f>236</f>
        <v>236</v>
      </c>
      <c r="U44">
        <f>276</f>
        <v>276</v>
      </c>
      <c r="V44">
        <f>285</f>
        <v>285</v>
      </c>
      <c r="W44">
        <f>332</f>
        <v>332</v>
      </c>
      <c r="X44">
        <f>362</f>
        <v>362</v>
      </c>
      <c r="Y44">
        <f>376</f>
        <v>376</v>
      </c>
    </row>
    <row r="45" spans="1:25" x14ac:dyDescent="0.25">
      <c r="A45" t="str">
        <f>"ADP Non Farm Payrolls (yoy %)"</f>
        <v>ADP Non Farm Payrolls (yoy %)</v>
      </c>
      <c r="B45" t="str">
        <f>"ADP YOYL Index"</f>
        <v>ADP YOYL Index</v>
      </c>
      <c r="C45" t="str">
        <f t="shared" si="10"/>
        <v>PR005</v>
      </c>
      <c r="D45" t="str">
        <f t="shared" si="11"/>
        <v>PX_LAST</v>
      </c>
      <c r="E45" t="str">
        <f t="shared" si="12"/>
        <v>Dynamic</v>
      </c>
      <c r="F45">
        <f ca="1">IF(AND(ISNUMBER($F$140),$B$108=1),$F$140,HLOOKUP(INDIRECT(ADDRESS(2,COLUMN())),OFFSET($P$2,0,0,ROW()-1,10),ROW()-1,FALSE))</f>
        <v>-16.57368</v>
      </c>
      <c r="G45">
        <f ca="1">IF(AND(ISNUMBER($G$140),$B$108=1),$G$140,HLOOKUP(INDIRECT(ADDRESS(2,COLUMN())),OFFSET($P$2,0,0,ROW()-1,10),ROW()-1,FALSE))</f>
        <v>1.4088799999999999</v>
      </c>
      <c r="H45">
        <f ca="1">IF(AND(ISNUMBER($H$140),$B$108=1),$H$140,HLOOKUP(INDIRECT(ADDRESS(2,COLUMN())),OFFSET($P$2,0,0,ROW()-1,10),ROW()-1,FALSE))</f>
        <v>1.6837299999999999</v>
      </c>
      <c r="I45">
        <f ca="1">IF(AND(ISNUMBER($I$140),$B$108=1),$I$140,HLOOKUP(INDIRECT(ADDRESS(2,COLUMN())),OFFSET($P$2,0,0,ROW()-1,10),ROW()-1,FALSE))</f>
        <v>1.72559</v>
      </c>
      <c r="J45">
        <f ca="1">IF(AND(ISNUMBER($J$140),$B$108=1),$J$140,HLOOKUP(INDIRECT(ADDRESS(2,COLUMN())),OFFSET($P$2,0,0,ROW()-1,10),ROW()-1,FALSE))</f>
        <v>1.92723</v>
      </c>
      <c r="K45">
        <f ca="1">IF(AND(ISNUMBER($K$140),$B$108=1),$K$140,HLOOKUP(INDIRECT(ADDRESS(2,COLUMN())),OFFSET($P$2,0,0,ROW()-1,10),ROW()-1,FALSE))</f>
        <v>2.17361</v>
      </c>
      <c r="L45">
        <f ca="1">IF(AND(ISNUMBER($L$140),$B$108=1),$L$140,HLOOKUP(INDIRECT(ADDRESS(2,COLUMN())),OFFSET($P$2,0,0,ROW()-1,10),ROW()-1,FALSE))</f>
        <v>2.29297</v>
      </c>
      <c r="M45">
        <f ca="1">IF(AND(ISNUMBER($M$140),$B$108=1),$M$140,HLOOKUP(INDIRECT(ADDRESS(2,COLUMN())),OFFSET($P$2,0,0,ROW()-1,10),ROW()-1,FALSE))</f>
        <v>1.9905600000000001</v>
      </c>
      <c r="N45">
        <f ca="1">IF(AND(ISNUMBER($N$140),$B$108=1),$N$140,HLOOKUP(INDIRECT(ADDRESS(2,COLUMN())),OFFSET($P$2,0,0,ROW()-1,10),ROW()-1,FALSE))</f>
        <v>2.08704</v>
      </c>
      <c r="O45">
        <f ca="1">IF(AND(ISNUMBER($O$140),$B$108=1),$O$140,HLOOKUP(INDIRECT(ADDRESS(2,COLUMN())),OFFSET($P$2,0,0,ROW()-1,10),ROW()-1,FALSE))</f>
        <v>2.17693</v>
      </c>
      <c r="P45">
        <f>-16.57368</f>
        <v>-16.57368</v>
      </c>
      <c r="Q45">
        <f>1.40888</f>
        <v>1.4088799999999999</v>
      </c>
      <c r="R45">
        <f>1.68373</f>
        <v>1.6837299999999999</v>
      </c>
      <c r="S45">
        <f>1.72559</f>
        <v>1.72559</v>
      </c>
      <c r="T45">
        <f>1.92723</f>
        <v>1.92723</v>
      </c>
      <c r="U45">
        <f>2.17361</f>
        <v>2.17361</v>
      </c>
      <c r="V45">
        <f>2.29297</f>
        <v>2.29297</v>
      </c>
      <c r="W45">
        <f>1.99056</f>
        <v>1.9905600000000001</v>
      </c>
      <c r="X45">
        <f>2.08704</f>
        <v>2.08704</v>
      </c>
      <c r="Y45">
        <f>2.17693</f>
        <v>2.17693</v>
      </c>
    </row>
    <row r="46" spans="1:25" x14ac:dyDescent="0.25">
      <c r="A46" t="str">
        <f>"    ADP Non Farm Payrolls (#)"</f>
        <v xml:space="preserve">    ADP Non Farm Payrolls (#)</v>
      </c>
      <c r="B46" t="str">
        <f>"ADP LEVL Index"</f>
        <v>ADP LEVL Index</v>
      </c>
      <c r="C46" t="str">
        <f t="shared" si="10"/>
        <v>PR005</v>
      </c>
      <c r="D46" t="str">
        <f t="shared" si="11"/>
        <v>PX_LAST</v>
      </c>
      <c r="E46" t="str">
        <f t="shared" si="12"/>
        <v>Dynamic</v>
      </c>
      <c r="F46">
        <f ca="1">IF(AND(ISNUMBER($F$141),$B$108=1),$F$141,HLOOKUP(INDIRECT(ADDRESS(2,COLUMN())),OFFSET($P$2,0,0,ROW()-1,10),ROW()-1,FALSE))</f>
        <v>106818.4225</v>
      </c>
      <c r="G46">
        <f ca="1">IF(AND(ISNUMBER($G$141),$B$108=1),$G$141,HLOOKUP(INDIRECT(ADDRESS(2,COLUMN())),OFFSET($P$2,0,0,ROW()-1,10),ROW()-1,FALSE))</f>
        <v>129084.7597</v>
      </c>
      <c r="H46">
        <f ca="1">IF(AND(ISNUMBER($H$141),$B$108=1),$H$141,HLOOKUP(INDIRECT(ADDRESS(2,COLUMN())),OFFSET($P$2,0,0,ROW()-1,10),ROW()-1,FALSE))</f>
        <v>127291.3725</v>
      </c>
      <c r="I46">
        <f ca="1">IF(AND(ISNUMBER($I$141),$B$108=1),$I$141,HLOOKUP(INDIRECT(ADDRESS(2,COLUMN())),OFFSET($P$2,0,0,ROW()-1,10),ROW()-1,FALSE))</f>
        <v>125183.62820000001</v>
      </c>
      <c r="J46">
        <f ca="1">IF(AND(ISNUMBER($J$141),$B$108=1),$J$141,HLOOKUP(INDIRECT(ADDRESS(2,COLUMN())),OFFSET($P$2,0,0,ROW()-1,10),ROW()-1,FALSE))</f>
        <v>123060.11599999999</v>
      </c>
      <c r="K46">
        <f ca="1">IF(AND(ISNUMBER($K$141),$B$108=1),$K$141,HLOOKUP(INDIRECT(ADDRESS(2,COLUMN())),OFFSET($P$2,0,0,ROW()-1,10),ROW()-1,FALSE))</f>
        <v>120733.3125</v>
      </c>
      <c r="L46">
        <f ca="1">IF(AND(ISNUMBER($L$141),$B$108=1),$L$141,HLOOKUP(INDIRECT(ADDRESS(2,COLUMN())),OFFSET($P$2,0,0,ROW()-1,10),ROW()-1,FALSE))</f>
        <v>118164.86629999999</v>
      </c>
      <c r="M46">
        <f ca="1">IF(AND(ISNUMBER($M$141),$B$108=1),$M$141,HLOOKUP(INDIRECT(ADDRESS(2,COLUMN())),OFFSET($P$2,0,0,ROW()-1,10),ROW()-1,FALSE))</f>
        <v>115516.1191</v>
      </c>
      <c r="N46">
        <f ca="1">IF(AND(ISNUMBER($N$141),$B$108=1),$N$141,HLOOKUP(INDIRECT(ADDRESS(2,COLUMN())),OFFSET($P$2,0,0,ROW()-1,10),ROW()-1,FALSE))</f>
        <v>113261.58010000001</v>
      </c>
      <c r="O46">
        <f ca="1">IF(AND(ISNUMBER($O$141),$B$108=1),$O$141,HLOOKUP(INDIRECT(ADDRESS(2,COLUMN())),OFFSET($P$2,0,0,ROW()-1,10),ROW()-1,FALSE))</f>
        <v>110946.0843</v>
      </c>
      <c r="P46">
        <f>106818.4225</f>
        <v>106818.4225</v>
      </c>
      <c r="Q46">
        <f>129084.7597</f>
        <v>129084.7597</v>
      </c>
      <c r="R46">
        <f>127291.3725</f>
        <v>127291.3725</v>
      </c>
      <c r="S46">
        <f>125183.6282</f>
        <v>125183.62820000001</v>
      </c>
      <c r="T46">
        <f>123060.116</f>
        <v>123060.11599999999</v>
      </c>
      <c r="U46">
        <f>120733.3125</f>
        <v>120733.3125</v>
      </c>
      <c r="V46">
        <f>118164.8663</f>
        <v>118164.86629999999</v>
      </c>
      <c r="W46">
        <f>115516.1191</f>
        <v>115516.1191</v>
      </c>
      <c r="X46">
        <f>113261.5801</f>
        <v>113261.58010000001</v>
      </c>
      <c r="Y46">
        <f>110946.0843</f>
        <v>110946.0843</v>
      </c>
    </row>
    <row r="47" spans="1:25" x14ac:dyDescent="0.25">
      <c r="A47" t="str">
        <f>"    ADP Non Farm Payrolls Service Firms"</f>
        <v xml:space="preserve">    ADP Non Farm Payrolls Service Firms</v>
      </c>
      <c r="B47" t="str">
        <f>"ADP SERV Index"</f>
        <v>ADP SERV Index</v>
      </c>
      <c r="C47" t="str">
        <f t="shared" si="10"/>
        <v>PR005</v>
      </c>
      <c r="D47" t="str">
        <f t="shared" si="11"/>
        <v>PX_LAST</v>
      </c>
      <c r="E47" t="str">
        <f t="shared" si="12"/>
        <v>Dynamic</v>
      </c>
      <c r="F47">
        <f ca="1">IF(AND(ISNUMBER($F$142),$B$108=1),$F$142,HLOOKUP(INDIRECT(ADDRESS(2,COLUMN())),OFFSET($P$2,0,0,ROW()-1,10),ROW()-1,FALSE))</f>
        <v>88941.619380000004</v>
      </c>
      <c r="G47">
        <f ca="1">IF(AND(ISNUMBER($G$142),$B$108=1),$G$142,HLOOKUP(INDIRECT(ADDRESS(2,COLUMN())),OFFSET($P$2,0,0,ROW()-1,10),ROW()-1,FALSE))</f>
        <v>108054.99430000001</v>
      </c>
      <c r="H47">
        <f ca="1">IF(AND(ISNUMBER($H$142),$B$108=1),$H$142,HLOOKUP(INDIRECT(ADDRESS(2,COLUMN())),OFFSET($P$2,0,0,ROW()-1,10),ROW()-1,FALSE))</f>
        <v>106418.67909999999</v>
      </c>
      <c r="I47">
        <f ca="1">IF(AND(ISNUMBER($I$142),$B$108=1),$I$142,HLOOKUP(INDIRECT(ADDRESS(2,COLUMN())),OFFSET($P$2,0,0,ROW()-1,10),ROW()-1,FALSE))</f>
        <v>104843.27899999999</v>
      </c>
      <c r="J47">
        <f ca="1">IF(AND(ISNUMBER($J$142),$B$108=1),$J$142,HLOOKUP(INDIRECT(ADDRESS(2,COLUMN())),OFFSET($P$2,0,0,ROW()-1,10),ROW()-1,FALSE))</f>
        <v>103215.2963</v>
      </c>
      <c r="K47">
        <f ca="1">IF(AND(ISNUMBER($K$142),$B$108=1),$K$142,HLOOKUP(INDIRECT(ADDRESS(2,COLUMN())),OFFSET($P$2,0,0,ROW()-1,10),ROW()-1,FALSE))</f>
        <v>101102.9145</v>
      </c>
      <c r="L47">
        <f ca="1">IF(AND(ISNUMBER($L$142),$B$108=1),$L$142,HLOOKUP(INDIRECT(ADDRESS(2,COLUMN())),OFFSET($P$2,0,0,ROW()-1,10),ROW()-1,FALSE))</f>
        <v>98773.271099999998</v>
      </c>
      <c r="M47">
        <f ca="1">IF(AND(ISNUMBER($M$142),$B$108=1),$M$142,HLOOKUP(INDIRECT(ADDRESS(2,COLUMN())),OFFSET($P$2,0,0,ROW()-1,10),ROW()-1,FALSE))</f>
        <v>96598.009090000007</v>
      </c>
      <c r="N47">
        <f ca="1">IF(AND(ISNUMBER($N$142),$B$108=1),$N$142,HLOOKUP(INDIRECT(ADDRESS(2,COLUMN())),OFFSET($P$2,0,0,ROW()-1,10),ROW()-1,FALSE))</f>
        <v>94686.382660000003</v>
      </c>
      <c r="O47">
        <f ca="1">IF(AND(ISNUMBER($O$142),$B$108=1),$O$142,HLOOKUP(INDIRECT(ADDRESS(2,COLUMN())),OFFSET($P$2,0,0,ROW()-1,10),ROW()-1,FALSE))</f>
        <v>92776.910759999999</v>
      </c>
      <c r="P47">
        <f>88941.61938</f>
        <v>88941.619380000004</v>
      </c>
      <c r="Q47">
        <f>108054.9943</f>
        <v>108054.99430000001</v>
      </c>
      <c r="R47">
        <f>106418.6791</f>
        <v>106418.67909999999</v>
      </c>
      <c r="S47">
        <f>104843.279</f>
        <v>104843.27899999999</v>
      </c>
      <c r="T47">
        <f>103215.2963</f>
        <v>103215.2963</v>
      </c>
      <c r="U47">
        <f>101102.9145</f>
        <v>101102.9145</v>
      </c>
      <c r="V47">
        <f>98773.2711</f>
        <v>98773.271099999998</v>
      </c>
      <c r="W47">
        <f>96598.00909</f>
        <v>96598.009090000007</v>
      </c>
      <c r="X47">
        <f>94686.38266</f>
        <v>94686.382660000003</v>
      </c>
      <c r="Y47">
        <f>92776.91076</f>
        <v>92776.910759999999</v>
      </c>
    </row>
    <row r="48" spans="1:25" x14ac:dyDescent="0.25">
      <c r="A48" t="str">
        <f>""</f>
        <v/>
      </c>
      <c r="B48" t="str">
        <f>""</f>
        <v/>
      </c>
      <c r="E48" t="str">
        <f>"Static"</f>
        <v>Static</v>
      </c>
      <c r="F48" t="str">
        <f t="shared" ref="F48:O48" ca="1" si="13">HLOOKUP(INDIRECT(ADDRESS(2,COLUMN())),OFFSET($P$2,0,0,ROW()-1,10),ROW()-1,FALSE)</f>
        <v/>
      </c>
      <c r="G48" t="str">
        <f t="shared" ca="1" si="13"/>
        <v/>
      </c>
      <c r="H48" t="str">
        <f t="shared" ca="1" si="13"/>
        <v/>
      </c>
      <c r="I48" t="str">
        <f t="shared" ca="1" si="13"/>
        <v/>
      </c>
      <c r="J48" t="str">
        <f t="shared" ca="1" si="13"/>
        <v/>
      </c>
      <c r="K48" t="str">
        <f t="shared" ca="1" si="13"/>
        <v/>
      </c>
      <c r="L48" t="str">
        <f t="shared" ca="1" si="13"/>
        <v/>
      </c>
      <c r="M48" t="str">
        <f t="shared" ca="1" si="13"/>
        <v/>
      </c>
      <c r="N48" t="str">
        <f t="shared" ca="1" si="13"/>
        <v/>
      </c>
      <c r="O48" t="str">
        <f t="shared" ca="1" si="13"/>
        <v/>
      </c>
      <c r="P48" t="str">
        <f>""</f>
        <v/>
      </c>
      <c r="Q48" t="str">
        <f>""</f>
        <v/>
      </c>
      <c r="R48" t="str">
        <f>""</f>
        <v/>
      </c>
      <c r="S48" t="str">
        <f>""</f>
        <v/>
      </c>
      <c r="T48" t="str">
        <f>""</f>
        <v/>
      </c>
      <c r="U48" t="str">
        <f>""</f>
        <v/>
      </c>
      <c r="V48" t="str">
        <f>""</f>
        <v/>
      </c>
      <c r="W48" t="str">
        <f>""</f>
        <v/>
      </c>
      <c r="X48" t="str">
        <f>""</f>
        <v/>
      </c>
      <c r="Y48" t="str">
        <f>""</f>
        <v/>
      </c>
    </row>
    <row r="49" spans="1:25" x14ac:dyDescent="0.25">
      <c r="A49" t="str">
        <f>"Additional Macro Drivers:"</f>
        <v>Additional Macro Drivers:</v>
      </c>
      <c r="B49" t="str">
        <f>""</f>
        <v/>
      </c>
      <c r="E49" t="str">
        <f>"Heading"</f>
        <v>Heading</v>
      </c>
      <c r="P49" t="str">
        <f>""</f>
        <v/>
      </c>
      <c r="Q49" t="str">
        <f>""</f>
        <v/>
      </c>
      <c r="R49" t="str">
        <f>""</f>
        <v/>
      </c>
      <c r="S49" t="str">
        <f>""</f>
        <v/>
      </c>
      <c r="T49" t="str">
        <f>""</f>
        <v/>
      </c>
      <c r="U49" t="str">
        <f>""</f>
        <v/>
      </c>
      <c r="V49" t="str">
        <f>""</f>
        <v/>
      </c>
      <c r="W49" t="str">
        <f>""</f>
        <v/>
      </c>
      <c r="X49" t="str">
        <f>""</f>
        <v/>
      </c>
      <c r="Y49" t="str">
        <f>""</f>
        <v/>
      </c>
    </row>
    <row r="50" spans="1:25" x14ac:dyDescent="0.25">
      <c r="A50" t="str">
        <f>"Exchange Rates"</f>
        <v>Exchange Rates</v>
      </c>
      <c r="B50" t="str">
        <f>""</f>
        <v/>
      </c>
      <c r="E50" t="str">
        <f>"Static"</f>
        <v>Static</v>
      </c>
      <c r="F50" t="str">
        <f t="shared" ref="F50:O51" ca="1" si="14">HLOOKUP(INDIRECT(ADDRESS(2,COLUMN())),OFFSET($P$2,0,0,ROW()-1,10),ROW()-1,FALSE)</f>
        <v/>
      </c>
      <c r="G50" t="str">
        <f t="shared" ca="1" si="14"/>
        <v/>
      </c>
      <c r="H50" t="str">
        <f t="shared" ca="1" si="14"/>
        <v/>
      </c>
      <c r="I50" t="str">
        <f t="shared" ca="1" si="14"/>
        <v/>
      </c>
      <c r="J50" t="str">
        <f t="shared" ca="1" si="14"/>
        <v/>
      </c>
      <c r="K50" t="str">
        <f t="shared" ca="1" si="14"/>
        <v/>
      </c>
      <c r="L50" t="str">
        <f t="shared" ca="1" si="14"/>
        <v/>
      </c>
      <c r="M50" t="str">
        <f t="shared" ca="1" si="14"/>
        <v/>
      </c>
      <c r="N50" t="str">
        <f t="shared" ca="1" si="14"/>
        <v/>
      </c>
      <c r="O50" t="str">
        <f t="shared" ca="1" si="14"/>
        <v/>
      </c>
      <c r="P50" t="str">
        <f>""</f>
        <v/>
      </c>
      <c r="Q50" t="str">
        <f>""</f>
        <v/>
      </c>
      <c r="R50" t="str">
        <f>""</f>
        <v/>
      </c>
      <c r="S50" t="str">
        <f>""</f>
        <v/>
      </c>
      <c r="T50" t="str">
        <f>""</f>
        <v/>
      </c>
      <c r="U50" t="str">
        <f>""</f>
        <v/>
      </c>
      <c r="V50" t="str">
        <f>""</f>
        <v/>
      </c>
      <c r="W50" t="str">
        <f>""</f>
        <v/>
      </c>
      <c r="X50" t="str">
        <f>""</f>
        <v/>
      </c>
      <c r="Y50" t="str">
        <f>""</f>
        <v/>
      </c>
    </row>
    <row r="51" spans="1:25" x14ac:dyDescent="0.25">
      <c r="A51" t="str">
        <f>"    USD"</f>
        <v xml:space="preserve">    USD</v>
      </c>
      <c r="B51" t="str">
        <f>""</f>
        <v/>
      </c>
      <c r="E51" t="str">
        <f>"Static"</f>
        <v>Static</v>
      </c>
      <c r="F51" t="str">
        <f t="shared" ca="1" si="14"/>
        <v/>
      </c>
      <c r="G51" t="str">
        <f t="shared" ca="1" si="14"/>
        <v/>
      </c>
      <c r="H51" t="str">
        <f t="shared" ca="1" si="14"/>
        <v/>
      </c>
      <c r="I51" t="str">
        <f t="shared" ca="1" si="14"/>
        <v/>
      </c>
      <c r="J51" t="str">
        <f t="shared" ca="1" si="14"/>
        <v/>
      </c>
      <c r="K51" t="str">
        <f t="shared" ca="1" si="14"/>
        <v/>
      </c>
      <c r="L51" t="str">
        <f t="shared" ca="1" si="14"/>
        <v/>
      </c>
      <c r="M51" t="str">
        <f t="shared" ca="1" si="14"/>
        <v/>
      </c>
      <c r="N51" t="str">
        <f t="shared" ca="1" si="14"/>
        <v/>
      </c>
      <c r="O51" t="str">
        <f t="shared" ca="1" si="14"/>
        <v/>
      </c>
      <c r="P51" t="str">
        <f>""</f>
        <v/>
      </c>
      <c r="Q51" t="str">
        <f>""</f>
        <v/>
      </c>
      <c r="R51" t="str">
        <f>""</f>
        <v/>
      </c>
      <c r="S51" t="str">
        <f>""</f>
        <v/>
      </c>
      <c r="T51" t="str">
        <f>""</f>
        <v/>
      </c>
      <c r="U51" t="str">
        <f>""</f>
        <v/>
      </c>
      <c r="V51" t="str">
        <f>""</f>
        <v/>
      </c>
      <c r="W51" t="str">
        <f>""</f>
        <v/>
      </c>
      <c r="X51" t="str">
        <f>""</f>
        <v/>
      </c>
      <c r="Y51" t="str">
        <f>""</f>
        <v/>
      </c>
    </row>
    <row r="52" spans="1:25" x14ac:dyDescent="0.25">
      <c r="A52" t="str">
        <f>"        USD EUR"</f>
        <v xml:space="preserve">        USD EUR</v>
      </c>
      <c r="B52" t="str">
        <f>"USDEUR Curncy"</f>
        <v>USDEUR Curncy</v>
      </c>
      <c r="C52" t="str">
        <f t="shared" ref="C52:C59" si="15">"PR005"</f>
        <v>PR005</v>
      </c>
      <c r="D52" t="str">
        <f t="shared" ref="D52:D59" si="16">"PX_LAST"</f>
        <v>PX_LAST</v>
      </c>
      <c r="E52" t="str">
        <f t="shared" ref="E52:E59" si="17">"Dynamic"</f>
        <v>Dynamic</v>
      </c>
      <c r="F52">
        <f ca="1">IF(AND(ISNUMBER($F$143),$B$108=1),$F$143,HLOOKUP(INDIRECT(ADDRESS(2,COLUMN())),OFFSET($P$2,0,0,ROW()-1,10),ROW()-1,FALSE))</f>
        <v>0.88500000000000001</v>
      </c>
      <c r="G52">
        <f ca="1">IF(AND(ISNUMBER($G$143),$B$108=1),$G$143,HLOOKUP(INDIRECT(ADDRESS(2,COLUMN())),OFFSET($P$2,0,0,ROW()-1,10),ROW()-1,FALSE))</f>
        <v>0.89190000000000003</v>
      </c>
      <c r="H52">
        <f ca="1">IF(AND(ISNUMBER($H$143),$B$108=1),$H$143,HLOOKUP(INDIRECT(ADDRESS(2,COLUMN())),OFFSET($P$2,0,0,ROW()-1,10),ROW()-1,FALSE))</f>
        <v>0.87219999999999998</v>
      </c>
      <c r="I52">
        <f ca="1">IF(AND(ISNUMBER($I$143),$B$108=1),$I$143,HLOOKUP(INDIRECT(ADDRESS(2,COLUMN())),OFFSET($P$2,0,0,ROW()-1,10),ROW()-1,FALSE))</f>
        <v>0.83299999999999996</v>
      </c>
      <c r="J52">
        <f ca="1">IF(AND(ISNUMBER($J$143),$B$108=1),$J$143,HLOOKUP(INDIRECT(ADDRESS(2,COLUMN())),OFFSET($P$2,0,0,ROW()-1,10),ROW()-1,FALSE))</f>
        <v>0.9506</v>
      </c>
      <c r="K52">
        <f ca="1">IF(AND(ISNUMBER($K$143),$B$108=1),$K$143,HLOOKUP(INDIRECT(ADDRESS(2,COLUMN())),OFFSET($P$2,0,0,ROW()-1,10),ROW()-1,FALSE))</f>
        <v>0.92100000000000004</v>
      </c>
      <c r="L52">
        <f ca="1">IF(AND(ISNUMBER($L$143),$B$108=1),$L$143,HLOOKUP(INDIRECT(ADDRESS(2,COLUMN())),OFFSET($P$2,0,0,ROW()-1,10),ROW()-1,FALSE))</f>
        <v>0.8266</v>
      </c>
      <c r="M52">
        <f ca="1">IF(AND(ISNUMBER($M$143),$B$108=1),$M$143,HLOOKUP(INDIRECT(ADDRESS(2,COLUMN())),OFFSET($P$2,0,0,ROW()-1,10),ROW()-1,FALSE))</f>
        <v>0.72770000000000001</v>
      </c>
      <c r="N52">
        <f ca="1">IF(AND(ISNUMBER($N$143),$B$108=1),$N$143,HLOOKUP(INDIRECT(ADDRESS(2,COLUMN())),OFFSET($P$2,0,0,ROW()-1,10),ROW()-1,FALSE))</f>
        <v>0.75800000000000001</v>
      </c>
      <c r="O52">
        <f ca="1">IF(AND(ISNUMBER($O$143),$B$108=1),$O$143,HLOOKUP(INDIRECT(ADDRESS(2,COLUMN())),OFFSET($P$2,0,0,ROW()-1,10),ROW()-1,FALSE))</f>
        <v>0.77139999999999997</v>
      </c>
      <c r="P52">
        <f>0.885</f>
        <v>0.88500000000000001</v>
      </c>
      <c r="Q52">
        <f>0.8919</f>
        <v>0.89190000000000003</v>
      </c>
      <c r="R52">
        <f>0.8722</f>
        <v>0.87219999999999998</v>
      </c>
      <c r="S52">
        <f>0.833</f>
        <v>0.83299999999999996</v>
      </c>
      <c r="T52">
        <f>0.9506</f>
        <v>0.9506</v>
      </c>
      <c r="U52">
        <f>0.921</f>
        <v>0.92100000000000004</v>
      </c>
      <c r="V52">
        <f>0.8266</f>
        <v>0.8266</v>
      </c>
      <c r="W52">
        <f>0.7277</f>
        <v>0.72770000000000001</v>
      </c>
      <c r="X52">
        <f>0.758</f>
        <v>0.75800000000000001</v>
      </c>
      <c r="Y52">
        <f>0.7714</f>
        <v>0.77139999999999997</v>
      </c>
    </row>
    <row r="53" spans="1:25" x14ac:dyDescent="0.25">
      <c r="A53" t="str">
        <f>"        USD INR"</f>
        <v xml:space="preserve">        USD INR</v>
      </c>
      <c r="B53" t="str">
        <f>"USDINR Curncy"</f>
        <v>USDINR Curncy</v>
      </c>
      <c r="C53" t="str">
        <f t="shared" si="15"/>
        <v>PR005</v>
      </c>
      <c r="D53" t="str">
        <f t="shared" si="16"/>
        <v>PX_LAST</v>
      </c>
      <c r="E53" t="str">
        <f t="shared" si="17"/>
        <v>Dynamic</v>
      </c>
      <c r="F53">
        <f ca="1">IF(AND(ISNUMBER($F$144),$B$108=1),$F$144,HLOOKUP(INDIRECT(ADDRESS(2,COLUMN())),OFFSET($P$2,0,0,ROW()-1,10),ROW()-1,FALSE))</f>
        <v>76.03</v>
      </c>
      <c r="G53">
        <f ca="1">IF(AND(ISNUMBER($G$144),$B$108=1),$G$144,HLOOKUP(INDIRECT(ADDRESS(2,COLUMN())),OFFSET($P$2,0,0,ROW()-1,10),ROW()-1,FALSE))</f>
        <v>71.38</v>
      </c>
      <c r="H53">
        <f ca="1">IF(AND(ISNUMBER($H$144),$B$108=1),$H$144,HLOOKUP(INDIRECT(ADDRESS(2,COLUMN())),OFFSET($P$2,0,0,ROW()-1,10),ROW()-1,FALSE))</f>
        <v>69.767499999999998</v>
      </c>
      <c r="I53">
        <f ca="1">IF(AND(ISNUMBER($I$144),$B$108=1),$I$144,HLOOKUP(INDIRECT(ADDRESS(2,COLUMN())),OFFSET($P$2,0,0,ROW()-1,10),ROW()-1,FALSE))</f>
        <v>63.872500000000002</v>
      </c>
      <c r="J53">
        <f ca="1">IF(AND(ISNUMBER($J$144),$B$108=1),$J$144,HLOOKUP(INDIRECT(ADDRESS(2,COLUMN())),OFFSET($P$2,0,0,ROW()-1,10),ROW()-1,FALSE))</f>
        <v>67.9238</v>
      </c>
      <c r="K53">
        <f ca="1">IF(AND(ISNUMBER($K$144),$B$108=1),$K$144,HLOOKUP(INDIRECT(ADDRESS(2,COLUMN())),OFFSET($P$2,0,0,ROW()-1,10),ROW()-1,FALSE))</f>
        <v>66.153700000000001</v>
      </c>
      <c r="L53">
        <f ca="1">IF(AND(ISNUMBER($L$144),$B$108=1),$L$144,HLOOKUP(INDIRECT(ADDRESS(2,COLUMN())),OFFSET($P$2,0,0,ROW()-1,10),ROW()-1,FALSE))</f>
        <v>63.043700000000001</v>
      </c>
      <c r="M53">
        <f ca="1">IF(AND(ISNUMBER($M$144),$B$108=1),$M$144,HLOOKUP(INDIRECT(ADDRESS(2,COLUMN())),OFFSET($P$2,0,0,ROW()-1,10),ROW()-1,FALSE))</f>
        <v>61.8</v>
      </c>
      <c r="N53">
        <f ca="1">IF(AND(ISNUMBER($N$144),$B$108=1),$N$144,HLOOKUP(INDIRECT(ADDRESS(2,COLUMN())),OFFSET($P$2,0,0,ROW()-1,10),ROW()-1,FALSE))</f>
        <v>54.994999999999997</v>
      </c>
      <c r="O53">
        <f ca="1">IF(AND(ISNUMBER($O$144),$B$108=1),$O$144,HLOOKUP(INDIRECT(ADDRESS(2,COLUMN())),OFFSET($P$2,0,0,ROW()-1,10),ROW()-1,FALSE))</f>
        <v>53.064999999999998</v>
      </c>
      <c r="P53">
        <f>76.03</f>
        <v>76.03</v>
      </c>
      <c r="Q53">
        <f>71.38</f>
        <v>71.38</v>
      </c>
      <c r="R53">
        <f>69.7675</f>
        <v>69.767499999999998</v>
      </c>
      <c r="S53">
        <f>63.8725</f>
        <v>63.872500000000002</v>
      </c>
      <c r="T53">
        <f>67.9238</f>
        <v>67.9238</v>
      </c>
      <c r="U53">
        <f>66.1537</f>
        <v>66.153700000000001</v>
      </c>
      <c r="V53">
        <f>63.0437</f>
        <v>63.043700000000001</v>
      </c>
      <c r="W53">
        <f>61.8</f>
        <v>61.8</v>
      </c>
      <c r="X53">
        <f>54.995</f>
        <v>54.994999999999997</v>
      </c>
      <c r="Y53">
        <f>53.065</f>
        <v>53.064999999999998</v>
      </c>
    </row>
    <row r="54" spans="1:25" x14ac:dyDescent="0.25">
      <c r="A54" t="str">
        <f>"        USD GBP"</f>
        <v xml:space="preserve">        USD GBP</v>
      </c>
      <c r="B54" t="str">
        <f>"USDGBP Curncy"</f>
        <v>USDGBP Curncy</v>
      </c>
      <c r="C54" t="str">
        <f t="shared" si="15"/>
        <v>PR005</v>
      </c>
      <c r="D54" t="str">
        <f t="shared" si="16"/>
        <v>PX_LAST</v>
      </c>
      <c r="E54" t="str">
        <f t="shared" si="17"/>
        <v>Dynamic</v>
      </c>
      <c r="F54">
        <f ca="1">IF(AND(ISNUMBER($F$145),$B$108=1),$F$145,HLOOKUP(INDIRECT(ADDRESS(2,COLUMN())),OFFSET($P$2,0,0,ROW()-1,10),ROW()-1,FALSE))</f>
        <v>0.79590000000000005</v>
      </c>
      <c r="G54">
        <f ca="1">IF(AND(ISNUMBER($G$145),$B$108=1),$G$145,HLOOKUP(INDIRECT(ADDRESS(2,COLUMN())),OFFSET($P$2,0,0,ROW()-1,10),ROW()-1,FALSE))</f>
        <v>0.75429999999999997</v>
      </c>
      <c r="H54">
        <f ca="1">IF(AND(ISNUMBER($H$145),$B$108=1),$H$145,HLOOKUP(INDIRECT(ADDRESS(2,COLUMN())),OFFSET($P$2,0,0,ROW()-1,10),ROW()-1,FALSE))</f>
        <v>0.78390000000000004</v>
      </c>
      <c r="I54">
        <f ca="1">IF(AND(ISNUMBER($I$145),$B$108=1),$I$145,HLOOKUP(INDIRECT(ADDRESS(2,COLUMN())),OFFSET($P$2,0,0,ROW()-1,10),ROW()-1,FALSE))</f>
        <v>0.74019999999999997</v>
      </c>
      <c r="J54">
        <f ca="1">IF(AND(ISNUMBER($J$145),$B$108=1),$J$145,HLOOKUP(INDIRECT(ADDRESS(2,COLUMN())),OFFSET($P$2,0,0,ROW()-1,10),ROW()-1,FALSE))</f>
        <v>0.81010000000000004</v>
      </c>
      <c r="K54">
        <f ca="1">IF(AND(ISNUMBER($K$145),$B$108=1),$K$145,HLOOKUP(INDIRECT(ADDRESS(2,COLUMN())),OFFSET($P$2,0,0,ROW()-1,10),ROW()-1,FALSE))</f>
        <v>0.67859999999999998</v>
      </c>
      <c r="L54">
        <f ca="1">IF(AND(ISNUMBER($L$145),$B$108=1),$L$145,HLOOKUP(INDIRECT(ADDRESS(2,COLUMN())),OFFSET($P$2,0,0,ROW()-1,10),ROW()-1,FALSE))</f>
        <v>0.64190000000000003</v>
      </c>
      <c r="M54">
        <f ca="1">IF(AND(ISNUMBER($M$145),$B$108=1),$M$145,HLOOKUP(INDIRECT(ADDRESS(2,COLUMN())),OFFSET($P$2,0,0,ROW()-1,10),ROW()-1,FALSE))</f>
        <v>0.60399999999999998</v>
      </c>
      <c r="N54">
        <f ca="1">IF(AND(ISNUMBER($N$145),$B$108=1),$N$145,HLOOKUP(INDIRECT(ADDRESS(2,COLUMN())),OFFSET($P$2,0,0,ROW()-1,10),ROW()-1,FALSE))</f>
        <v>0.61539999999999995</v>
      </c>
      <c r="O54">
        <f ca="1">IF(AND(ISNUMBER($O$145),$B$108=1),$O$145,HLOOKUP(INDIRECT(ADDRESS(2,COLUMN())),OFFSET($P$2,0,0,ROW()-1,10),ROW()-1,FALSE))</f>
        <v>0.64349999999999996</v>
      </c>
      <c r="P54">
        <f>0.7959</f>
        <v>0.79590000000000005</v>
      </c>
      <c r="Q54">
        <f>0.7543</f>
        <v>0.75429999999999997</v>
      </c>
      <c r="R54">
        <f>0.7839</f>
        <v>0.78390000000000004</v>
      </c>
      <c r="S54">
        <f>0.7402</f>
        <v>0.74019999999999997</v>
      </c>
      <c r="T54">
        <f>0.8101</f>
        <v>0.81010000000000004</v>
      </c>
      <c r="U54">
        <f>0.6786</f>
        <v>0.67859999999999998</v>
      </c>
      <c r="V54">
        <f>0.6419</f>
        <v>0.64190000000000003</v>
      </c>
      <c r="W54">
        <f>0.604</f>
        <v>0.60399999999999998</v>
      </c>
      <c r="X54">
        <f>0.6154</f>
        <v>0.61539999999999995</v>
      </c>
      <c r="Y54">
        <f>0.6435</f>
        <v>0.64349999999999996</v>
      </c>
    </row>
    <row r="55" spans="1:25" x14ac:dyDescent="0.25">
      <c r="A55" t="str">
        <f>"        USD BRL"</f>
        <v xml:space="preserve">        USD BRL</v>
      </c>
      <c r="B55" t="str">
        <f>"USDBRL Curncy"</f>
        <v>USDBRL Curncy</v>
      </c>
      <c r="C55" t="str">
        <f t="shared" si="15"/>
        <v>PR005</v>
      </c>
      <c r="D55" t="str">
        <f t="shared" si="16"/>
        <v>PX_LAST</v>
      </c>
      <c r="E55" t="str">
        <f t="shared" si="17"/>
        <v>Dynamic</v>
      </c>
      <c r="F55">
        <f ca="1">IF(AND(ISNUMBER($F$146),$B$108=1),$F$146,HLOOKUP(INDIRECT(ADDRESS(2,COLUMN())),OFFSET($P$2,0,0,ROW()-1,10),ROW()-1,FALSE))</f>
        <v>5.1444999999999999</v>
      </c>
      <c r="G55">
        <f ca="1">IF(AND(ISNUMBER($G$146),$B$108=1),$G$146,HLOOKUP(INDIRECT(ADDRESS(2,COLUMN())),OFFSET($P$2,0,0,ROW()-1,10),ROW()-1,FALSE))</f>
        <v>4.0248999999999997</v>
      </c>
      <c r="H55">
        <f ca="1">IF(AND(ISNUMBER($H$146),$B$108=1),$H$146,HLOOKUP(INDIRECT(ADDRESS(2,COLUMN())),OFFSET($P$2,0,0,ROW()-1,10),ROW()-1,FALSE))</f>
        <v>3.8812000000000002</v>
      </c>
      <c r="I55">
        <f ca="1">IF(AND(ISNUMBER($I$146),$B$108=1),$I$146,HLOOKUP(INDIRECT(ADDRESS(2,COLUMN())),OFFSET($P$2,0,0,ROW()-1,10),ROW()-1,FALSE))</f>
        <v>3.3125</v>
      </c>
      <c r="J55">
        <f ca="1">IF(AND(ISNUMBER($J$146),$B$108=1),$J$146,HLOOKUP(INDIRECT(ADDRESS(2,COLUMN())),OFFSET($P$2,0,0,ROW()-1,10),ROW()-1,FALSE))</f>
        <v>3.2551999999999999</v>
      </c>
      <c r="K55">
        <f ca="1">IF(AND(ISNUMBER($K$146),$B$108=1),$K$146,HLOOKUP(INDIRECT(ADDRESS(2,COLUMN())),OFFSET($P$2,0,0,ROW()-1,10),ROW()-1,FALSE))</f>
        <v>3.9607999999999999</v>
      </c>
      <c r="L55">
        <f ca="1">IF(AND(ISNUMBER($L$146),$B$108=1),$L$146,HLOOKUP(INDIRECT(ADDRESS(2,COLUMN())),OFFSET($P$2,0,0,ROW()-1,10),ROW()-1,FALSE))</f>
        <v>2.6576</v>
      </c>
      <c r="M55">
        <f ca="1">IF(AND(ISNUMBER($M$146),$B$108=1),$M$146,HLOOKUP(INDIRECT(ADDRESS(2,COLUMN())),OFFSET($P$2,0,0,ROW()-1,10),ROW()-1,FALSE))</f>
        <v>2.3620999999999999</v>
      </c>
      <c r="N55">
        <f ca="1">IF(AND(ISNUMBER($N$146),$B$108=1),$N$146,HLOOKUP(INDIRECT(ADDRESS(2,COLUMN())),OFFSET($P$2,0,0,ROW()-1,10),ROW()-1,FALSE))</f>
        <v>2.0516000000000001</v>
      </c>
      <c r="O55">
        <f ca="1">IF(AND(ISNUMBER($O$146),$B$108=1),$O$146,HLOOKUP(INDIRECT(ADDRESS(2,COLUMN())),OFFSET($P$2,0,0,ROW()-1,10),ROW()-1,FALSE))</f>
        <v>1.8668</v>
      </c>
      <c r="P55">
        <f>5.1445</f>
        <v>5.1444999999999999</v>
      </c>
      <c r="Q55">
        <f>4.0249</f>
        <v>4.0248999999999997</v>
      </c>
      <c r="R55">
        <f>3.8812</f>
        <v>3.8812000000000002</v>
      </c>
      <c r="S55">
        <f>3.3125</f>
        <v>3.3125</v>
      </c>
      <c r="T55">
        <f>3.2552</f>
        <v>3.2551999999999999</v>
      </c>
      <c r="U55">
        <f>3.9608</f>
        <v>3.9607999999999999</v>
      </c>
      <c r="V55">
        <f>2.6576</f>
        <v>2.6576</v>
      </c>
      <c r="W55">
        <f>2.3621</f>
        <v>2.3620999999999999</v>
      </c>
      <c r="X55">
        <f>2.0516</f>
        <v>2.0516000000000001</v>
      </c>
      <c r="Y55">
        <f>1.8668</f>
        <v>1.8668</v>
      </c>
    </row>
    <row r="56" spans="1:25" x14ac:dyDescent="0.25">
      <c r="A56" t="str">
        <f>"        USD CNY"</f>
        <v xml:space="preserve">        USD CNY</v>
      </c>
      <c r="B56" t="str">
        <f>"USDCNY Curncy"</f>
        <v>USDCNY Curncy</v>
      </c>
      <c r="C56" t="str">
        <f t="shared" si="15"/>
        <v>PR005</v>
      </c>
      <c r="D56" t="str">
        <f t="shared" si="16"/>
        <v>PX_LAST</v>
      </c>
      <c r="E56" t="str">
        <f t="shared" si="17"/>
        <v>Dynamic</v>
      </c>
      <c r="F56">
        <f ca="1">IF(AND(ISNUMBER($F$147),$B$108=1),$F$147,HLOOKUP(INDIRECT(ADDRESS(2,COLUMN())),OFFSET($P$2,0,0,ROW()-1,10),ROW()-1,FALSE))</f>
        <v>7.0902000000000003</v>
      </c>
      <c r="G56">
        <f ca="1">IF(AND(ISNUMBER($G$147),$B$108=1),$G$147,HLOOKUP(INDIRECT(ADDRESS(2,COLUMN())),OFFSET($P$2,0,0,ROW()-1,10),ROW()-1,FALSE))</f>
        <v>6.9631999999999996</v>
      </c>
      <c r="H56">
        <f ca="1">IF(AND(ISNUMBER($H$147),$B$108=1),$H$147,HLOOKUP(INDIRECT(ADDRESS(2,COLUMN())),OFFSET($P$2,0,0,ROW()-1,10),ROW()-1,FALSE))</f>
        <v>6.8784999999999998</v>
      </c>
      <c r="I56">
        <f ca="1">IF(AND(ISNUMBER($I$147),$B$108=1),$I$147,HLOOKUP(INDIRECT(ADDRESS(2,COLUMN())),OFFSET($P$2,0,0,ROW()-1,10),ROW()-1,FALSE))</f>
        <v>6.5068000000000001</v>
      </c>
      <c r="J56">
        <f ca="1">IF(AND(ISNUMBER($J$147),$B$108=1),$J$147,HLOOKUP(INDIRECT(ADDRESS(2,COLUMN())),OFFSET($P$2,0,0,ROW()-1,10),ROW()-1,FALSE))</f>
        <v>6.9450000000000003</v>
      </c>
      <c r="K56">
        <f ca="1">IF(AND(ISNUMBER($K$147),$B$108=1),$K$147,HLOOKUP(INDIRECT(ADDRESS(2,COLUMN())),OFFSET($P$2,0,0,ROW()-1,10),ROW()-1,FALSE))</f>
        <v>6.4936999999999996</v>
      </c>
      <c r="L56">
        <f ca="1">IF(AND(ISNUMBER($L$147),$B$108=1),$L$147,HLOOKUP(INDIRECT(ADDRESS(2,COLUMN())),OFFSET($P$2,0,0,ROW()-1,10),ROW()-1,FALSE))</f>
        <v>6.2054999999999998</v>
      </c>
      <c r="M56">
        <f ca="1">IF(AND(ISNUMBER($M$147),$B$108=1),$M$147,HLOOKUP(INDIRECT(ADDRESS(2,COLUMN())),OFFSET($P$2,0,0,ROW()-1,10),ROW()-1,FALSE))</f>
        <v>6.0542999999999996</v>
      </c>
      <c r="N56">
        <f ca="1">IF(AND(ISNUMBER($N$147),$B$108=1),$N$147,HLOOKUP(INDIRECT(ADDRESS(2,COLUMN())),OFFSET($P$2,0,0,ROW()-1,10),ROW()-1,FALSE))</f>
        <v>6.2305999999999999</v>
      </c>
      <c r="O56">
        <f ca="1">IF(AND(ISNUMBER($O$147),$B$108=1),$O$147,HLOOKUP(INDIRECT(ADDRESS(2,COLUMN())),OFFSET($P$2,0,0,ROW()-1,10),ROW()-1,FALSE))</f>
        <v>6.2949999999999999</v>
      </c>
      <c r="P56">
        <f>7.0902</f>
        <v>7.0902000000000003</v>
      </c>
      <c r="Q56">
        <f>6.9632</f>
        <v>6.9631999999999996</v>
      </c>
      <c r="R56">
        <f>6.8785</f>
        <v>6.8784999999999998</v>
      </c>
      <c r="S56">
        <f>6.5068</f>
        <v>6.5068000000000001</v>
      </c>
      <c r="T56">
        <f>6.945</f>
        <v>6.9450000000000003</v>
      </c>
      <c r="U56">
        <f>6.4937</f>
        <v>6.4936999999999996</v>
      </c>
      <c r="V56">
        <f>6.2055</f>
        <v>6.2054999999999998</v>
      </c>
      <c r="W56">
        <f>6.0543</f>
        <v>6.0542999999999996</v>
      </c>
      <c r="X56">
        <f>6.2306</f>
        <v>6.2305999999999999</v>
      </c>
      <c r="Y56">
        <f>6.295</f>
        <v>6.2949999999999999</v>
      </c>
    </row>
    <row r="57" spans="1:25" x14ac:dyDescent="0.25">
      <c r="A57" t="str">
        <f>"        USD JPY"</f>
        <v xml:space="preserve">        USD JPY</v>
      </c>
      <c r="B57" t="str">
        <f>"USDJPY Curncy"</f>
        <v>USDJPY Curncy</v>
      </c>
      <c r="C57" t="str">
        <f t="shared" si="15"/>
        <v>PR005</v>
      </c>
      <c r="D57" t="str">
        <f t="shared" si="16"/>
        <v>PX_LAST</v>
      </c>
      <c r="E57" t="str">
        <f t="shared" si="17"/>
        <v>Dynamic</v>
      </c>
      <c r="F57">
        <f ca="1">IF(AND(ISNUMBER($F$148),$B$108=1),$F$148,HLOOKUP(INDIRECT(ADDRESS(2,COLUMN())),OFFSET($P$2,0,0,ROW()-1,10),ROW()-1,FALSE))</f>
        <v>107.32</v>
      </c>
      <c r="G57">
        <f ca="1">IF(AND(ISNUMBER($G$148),$B$108=1),$G$148,HLOOKUP(INDIRECT(ADDRESS(2,COLUMN())),OFFSET($P$2,0,0,ROW()-1,10),ROW()-1,FALSE))</f>
        <v>108.61</v>
      </c>
      <c r="H57">
        <f ca="1">IF(AND(ISNUMBER($H$148),$B$108=1),$H$148,HLOOKUP(INDIRECT(ADDRESS(2,COLUMN())),OFFSET($P$2,0,0,ROW()-1,10),ROW()-1,FALSE))</f>
        <v>109.69</v>
      </c>
      <c r="I57">
        <f ca="1">IF(AND(ISNUMBER($I$148),$B$108=1),$I$148,HLOOKUP(INDIRECT(ADDRESS(2,COLUMN())),OFFSET($P$2,0,0,ROW()-1,10),ROW()-1,FALSE))</f>
        <v>112.69</v>
      </c>
      <c r="J57">
        <f ca="1">IF(AND(ISNUMBER($J$148),$B$108=1),$J$148,HLOOKUP(INDIRECT(ADDRESS(2,COLUMN())),OFFSET($P$2,0,0,ROW()-1,10),ROW()-1,FALSE))</f>
        <v>116.96</v>
      </c>
      <c r="K57">
        <f ca="1">IF(AND(ISNUMBER($K$148),$B$108=1),$K$148,HLOOKUP(INDIRECT(ADDRESS(2,COLUMN())),OFFSET($P$2,0,0,ROW()-1,10),ROW()-1,FALSE))</f>
        <v>120.22</v>
      </c>
      <c r="L57">
        <f ca="1">IF(AND(ISNUMBER($L$148),$B$108=1),$L$148,HLOOKUP(INDIRECT(ADDRESS(2,COLUMN())),OFFSET($P$2,0,0,ROW()-1,10),ROW()-1,FALSE))</f>
        <v>119.78</v>
      </c>
      <c r="M57">
        <f ca="1">IF(AND(ISNUMBER($M$148),$B$108=1),$M$148,HLOOKUP(INDIRECT(ADDRESS(2,COLUMN())),OFFSET($P$2,0,0,ROW()-1,10),ROW()-1,FALSE))</f>
        <v>105.31</v>
      </c>
      <c r="N57">
        <f ca="1">IF(AND(ISNUMBER($N$148),$B$108=1),$N$148,HLOOKUP(INDIRECT(ADDRESS(2,COLUMN())),OFFSET($P$2,0,0,ROW()-1,10),ROW()-1,FALSE))</f>
        <v>86.75</v>
      </c>
      <c r="O57">
        <f ca="1">IF(AND(ISNUMBER($O$148),$B$108=1),$O$148,HLOOKUP(INDIRECT(ADDRESS(2,COLUMN())),OFFSET($P$2,0,0,ROW()-1,10),ROW()-1,FALSE))</f>
        <v>76.91</v>
      </c>
      <c r="P57">
        <f>107.32</f>
        <v>107.32</v>
      </c>
      <c r="Q57">
        <f>108.61</f>
        <v>108.61</v>
      </c>
      <c r="R57">
        <f>109.69</f>
        <v>109.69</v>
      </c>
      <c r="S57">
        <f>112.69</f>
        <v>112.69</v>
      </c>
      <c r="T57">
        <f>116.96</f>
        <v>116.96</v>
      </c>
      <c r="U57">
        <f>120.22</f>
        <v>120.22</v>
      </c>
      <c r="V57">
        <f>119.78</f>
        <v>119.78</v>
      </c>
      <c r="W57">
        <f>105.31</f>
        <v>105.31</v>
      </c>
      <c r="X57">
        <f>86.75</f>
        <v>86.75</v>
      </c>
      <c r="Y57">
        <f>76.91</f>
        <v>76.91</v>
      </c>
    </row>
    <row r="58" spans="1:25" x14ac:dyDescent="0.25">
      <c r="A58" t="str">
        <f>"        USD CAD"</f>
        <v xml:space="preserve">        USD CAD</v>
      </c>
      <c r="B58" t="str">
        <f>"USDCAD Curncy"</f>
        <v>USDCAD Curncy</v>
      </c>
      <c r="C58" t="str">
        <f t="shared" si="15"/>
        <v>PR005</v>
      </c>
      <c r="D58" t="str">
        <f t="shared" si="16"/>
        <v>PX_LAST</v>
      </c>
      <c r="E58" t="str">
        <f t="shared" si="17"/>
        <v>Dynamic</v>
      </c>
      <c r="F58">
        <f ca="1">IF(AND(ISNUMBER($F$149),$B$108=1),$F$149,HLOOKUP(INDIRECT(ADDRESS(2,COLUMN())),OFFSET($P$2,0,0,ROW()-1,10),ROW()-1,FALSE))</f>
        <v>1.3574999999999999</v>
      </c>
      <c r="G58">
        <f ca="1">IF(AND(ISNUMBER($G$149),$B$108=1),$G$149,HLOOKUP(INDIRECT(ADDRESS(2,COLUMN())),OFFSET($P$2,0,0,ROW()-1,10),ROW()-1,FALSE))</f>
        <v>1.2989999999999999</v>
      </c>
      <c r="H58">
        <f ca="1">IF(AND(ISNUMBER($H$149),$B$108=1),$H$149,HLOOKUP(INDIRECT(ADDRESS(2,COLUMN())),OFFSET($P$2,0,0,ROW()-1,10),ROW()-1,FALSE))</f>
        <v>1.3636999999999999</v>
      </c>
      <c r="I58">
        <f ca="1">IF(AND(ISNUMBER($I$149),$B$108=1),$I$149,HLOOKUP(INDIRECT(ADDRESS(2,COLUMN())),OFFSET($P$2,0,0,ROW()-1,10),ROW()-1,FALSE))</f>
        <v>1.2571000000000001</v>
      </c>
      <c r="J58">
        <f ca="1">IF(AND(ISNUMBER($J$149),$B$108=1),$J$149,HLOOKUP(INDIRECT(ADDRESS(2,COLUMN())),OFFSET($P$2,0,0,ROW()-1,10),ROW()-1,FALSE))</f>
        <v>1.3441000000000001</v>
      </c>
      <c r="K58">
        <f ca="1">IF(AND(ISNUMBER($K$149),$B$108=1),$K$149,HLOOKUP(INDIRECT(ADDRESS(2,COLUMN())),OFFSET($P$2,0,0,ROW()-1,10),ROW()-1,FALSE))</f>
        <v>1.3838999999999999</v>
      </c>
      <c r="L58">
        <f ca="1">IF(AND(ISNUMBER($L$149),$B$108=1),$L$149,HLOOKUP(INDIRECT(ADDRESS(2,COLUMN())),OFFSET($P$2,0,0,ROW()-1,10),ROW()-1,FALSE))</f>
        <v>1.1620999999999999</v>
      </c>
      <c r="M58">
        <f ca="1">IF(AND(ISNUMBER($M$149),$B$108=1),$M$149,HLOOKUP(INDIRECT(ADDRESS(2,COLUMN())),OFFSET($P$2,0,0,ROW()-1,10),ROW()-1,FALSE))</f>
        <v>1.0623</v>
      </c>
      <c r="N58">
        <f ca="1">IF(AND(ISNUMBER($N$149),$B$108=1),$N$149,HLOOKUP(INDIRECT(ADDRESS(2,COLUMN())),OFFSET($P$2,0,0,ROW()-1,10),ROW()-1,FALSE))</f>
        <v>0.99209999999999998</v>
      </c>
      <c r="O58">
        <f ca="1">IF(AND(ISNUMBER($O$149),$B$108=1),$O$149,HLOOKUP(INDIRECT(ADDRESS(2,COLUMN())),OFFSET($P$2,0,0,ROW()-1,10),ROW()-1,FALSE))</f>
        <v>1.0213000000000001</v>
      </c>
      <c r="P58">
        <f>1.3575</f>
        <v>1.3574999999999999</v>
      </c>
      <c r="Q58">
        <f>1.299</f>
        <v>1.2989999999999999</v>
      </c>
      <c r="R58">
        <f>1.3637</f>
        <v>1.3636999999999999</v>
      </c>
      <c r="S58">
        <f>1.2571</f>
        <v>1.2571000000000001</v>
      </c>
      <c r="T58">
        <f>1.3441</f>
        <v>1.3441000000000001</v>
      </c>
      <c r="U58">
        <f>1.3839</f>
        <v>1.3838999999999999</v>
      </c>
      <c r="V58">
        <f>1.1621</f>
        <v>1.1620999999999999</v>
      </c>
      <c r="W58">
        <f>1.0623</f>
        <v>1.0623</v>
      </c>
      <c r="X58">
        <f>0.9921</f>
        <v>0.99209999999999998</v>
      </c>
      <c r="Y58">
        <f>1.0213</f>
        <v>1.0213000000000001</v>
      </c>
    </row>
    <row r="59" spans="1:25" x14ac:dyDescent="0.25">
      <c r="A59" t="str">
        <f>"        USD AUD"</f>
        <v xml:space="preserve">        USD AUD</v>
      </c>
      <c r="B59" t="str">
        <f>"USDAUD Curncy"</f>
        <v>USDAUD Curncy</v>
      </c>
      <c r="C59" t="str">
        <f t="shared" si="15"/>
        <v>PR005</v>
      </c>
      <c r="D59" t="str">
        <f t="shared" si="16"/>
        <v>PX_LAST</v>
      </c>
      <c r="E59" t="str">
        <f t="shared" si="17"/>
        <v>Dynamic</v>
      </c>
      <c r="F59">
        <f ca="1">IF(AND(ISNUMBER($F$150),$B$108=1),$F$150,HLOOKUP(INDIRECT(ADDRESS(2,COLUMN())),OFFSET($P$2,0,0,ROW()-1,10),ROW()-1,FALSE))</f>
        <v>1.4521999999999999</v>
      </c>
      <c r="G59">
        <f ca="1">IF(AND(ISNUMBER($G$150),$B$108=1),$G$150,HLOOKUP(INDIRECT(ADDRESS(2,COLUMN())),OFFSET($P$2,0,0,ROW()-1,10),ROW()-1,FALSE))</f>
        <v>1.4252</v>
      </c>
      <c r="H59">
        <f ca="1">IF(AND(ISNUMBER($H$150),$B$108=1),$H$150,HLOOKUP(INDIRECT(ADDRESS(2,COLUMN())),OFFSET($P$2,0,0,ROW()-1,10),ROW()-1,FALSE))</f>
        <v>1.4188000000000001</v>
      </c>
      <c r="I59">
        <f ca="1">IF(AND(ISNUMBER($I$150),$B$108=1),$I$150,HLOOKUP(INDIRECT(ADDRESS(2,COLUMN())),OFFSET($P$2,0,0,ROW()-1,10),ROW()-1,FALSE))</f>
        <v>1.2809999999999999</v>
      </c>
      <c r="J59">
        <f ca="1">IF(AND(ISNUMBER($J$150),$B$108=1),$J$150,HLOOKUP(INDIRECT(ADDRESS(2,COLUMN())),OFFSET($P$2,0,0,ROW()-1,10),ROW()-1,FALSE))</f>
        <v>1.3887</v>
      </c>
      <c r="K59">
        <f ca="1">IF(AND(ISNUMBER($K$150),$B$108=1),$K$150,HLOOKUP(INDIRECT(ADDRESS(2,COLUMN())),OFFSET($P$2,0,0,ROW()-1,10),ROW()-1,FALSE))</f>
        <v>1.3723000000000001</v>
      </c>
      <c r="L59">
        <f ca="1">IF(AND(ISNUMBER($L$150),$B$108=1),$L$150,HLOOKUP(INDIRECT(ADDRESS(2,COLUMN())),OFFSET($P$2,0,0,ROW()-1,10),ROW()-1,FALSE))</f>
        <v>1.2239</v>
      </c>
      <c r="M59">
        <f ca="1">IF(AND(ISNUMBER($M$150),$B$108=1),$M$150,HLOOKUP(INDIRECT(ADDRESS(2,COLUMN())),OFFSET($P$2,0,0,ROW()-1,10),ROW()-1,FALSE))</f>
        <v>1.1216999999999999</v>
      </c>
      <c r="N59">
        <f ca="1">IF(AND(ISNUMBER($N$150),$B$108=1),$N$150,HLOOKUP(INDIRECT(ADDRESS(2,COLUMN())),OFFSET($P$2,0,0,ROW()-1,10),ROW()-1,FALSE))</f>
        <v>0.96199999999999997</v>
      </c>
      <c r="O59">
        <f ca="1">IF(AND(ISNUMBER($O$150),$B$108=1),$O$150,HLOOKUP(INDIRECT(ADDRESS(2,COLUMN())),OFFSET($P$2,0,0,ROW()-1,10),ROW()-1,FALSE))</f>
        <v>0.97960000000000003</v>
      </c>
      <c r="P59">
        <f>1.4522</f>
        <v>1.4521999999999999</v>
      </c>
      <c r="Q59">
        <f>1.4252</f>
        <v>1.4252</v>
      </c>
      <c r="R59">
        <f>1.4188</f>
        <v>1.4188000000000001</v>
      </c>
      <c r="S59">
        <f>1.281</f>
        <v>1.2809999999999999</v>
      </c>
      <c r="T59">
        <f>1.3887</f>
        <v>1.3887</v>
      </c>
      <c r="U59">
        <f>1.3723</f>
        <v>1.3723000000000001</v>
      </c>
      <c r="V59">
        <f>1.2239</f>
        <v>1.2239</v>
      </c>
      <c r="W59">
        <f>1.1217</f>
        <v>1.1216999999999999</v>
      </c>
      <c r="X59">
        <f>0.962</f>
        <v>0.96199999999999997</v>
      </c>
      <c r="Y59">
        <f>0.9796</f>
        <v>0.97960000000000003</v>
      </c>
    </row>
    <row r="60" spans="1:25" x14ac:dyDescent="0.25">
      <c r="A60" t="str">
        <f>"    EUR"</f>
        <v xml:space="preserve">    EUR</v>
      </c>
      <c r="B60" t="str">
        <f>""</f>
        <v/>
      </c>
      <c r="E60" t="str">
        <f>"Static"</f>
        <v>Static</v>
      </c>
      <c r="F60" t="str">
        <f t="shared" ref="F60:O60" ca="1" si="18">HLOOKUP(INDIRECT(ADDRESS(2,COLUMN())),OFFSET($P$2,0,0,ROW()-1,10),ROW()-1,FALSE)</f>
        <v/>
      </c>
      <c r="G60" t="str">
        <f t="shared" ca="1" si="18"/>
        <v/>
      </c>
      <c r="H60" t="str">
        <f t="shared" ca="1" si="18"/>
        <v/>
      </c>
      <c r="I60" t="str">
        <f t="shared" ca="1" si="18"/>
        <v/>
      </c>
      <c r="J60" t="str">
        <f t="shared" ca="1" si="18"/>
        <v/>
      </c>
      <c r="K60" t="str">
        <f t="shared" ca="1" si="18"/>
        <v/>
      </c>
      <c r="L60" t="str">
        <f t="shared" ca="1" si="18"/>
        <v/>
      </c>
      <c r="M60" t="str">
        <f t="shared" ca="1" si="18"/>
        <v/>
      </c>
      <c r="N60" t="str">
        <f t="shared" ca="1" si="18"/>
        <v/>
      </c>
      <c r="O60" t="str">
        <f t="shared" ca="1" si="18"/>
        <v/>
      </c>
      <c r="P60" t="str">
        <f>""</f>
        <v/>
      </c>
      <c r="Q60" t="str">
        <f>""</f>
        <v/>
      </c>
      <c r="R60" t="str">
        <f>""</f>
        <v/>
      </c>
      <c r="S60" t="str">
        <f>""</f>
        <v/>
      </c>
      <c r="T60" t="str">
        <f>""</f>
        <v/>
      </c>
      <c r="U60" t="str">
        <f>""</f>
        <v/>
      </c>
      <c r="V60" t="str">
        <f>""</f>
        <v/>
      </c>
      <c r="W60" t="str">
        <f>""</f>
        <v/>
      </c>
      <c r="X60" t="str">
        <f>""</f>
        <v/>
      </c>
      <c r="Y60" t="str">
        <f>""</f>
        <v/>
      </c>
    </row>
    <row r="61" spans="1:25" x14ac:dyDescent="0.25">
      <c r="A61" t="str">
        <f>"        EUR USD"</f>
        <v xml:space="preserve">        EUR USD</v>
      </c>
      <c r="B61" t="str">
        <f>"EURUSD Curncy"</f>
        <v>EURUSD Curncy</v>
      </c>
      <c r="C61" t="str">
        <f t="shared" ref="C61:C68" si="19">"PR005"</f>
        <v>PR005</v>
      </c>
      <c r="D61" t="str">
        <f t="shared" ref="D61:D68" si="20">"PX_LAST"</f>
        <v>PX_LAST</v>
      </c>
      <c r="E61" t="str">
        <f t="shared" ref="E61:E68" si="21">"Dynamic"</f>
        <v>Dynamic</v>
      </c>
      <c r="F61">
        <f ca="1">IF(AND(ISNUMBER($F$151),$B$108=1),$F$151,HLOOKUP(INDIRECT(ADDRESS(2,COLUMN())),OFFSET($P$2,0,0,ROW()-1,10),ROW()-1,FALSE))</f>
        <v>1.1284000000000001</v>
      </c>
      <c r="G61">
        <f ca="1">IF(AND(ISNUMBER($G$151),$B$108=1),$G$151,HLOOKUP(INDIRECT(ADDRESS(2,COLUMN())),OFFSET($P$2,0,0,ROW()-1,10),ROW()-1,FALSE))</f>
        <v>1.1213</v>
      </c>
      <c r="H61">
        <f ca="1">IF(AND(ISNUMBER($H$151),$B$108=1),$H$151,HLOOKUP(INDIRECT(ADDRESS(2,COLUMN())),OFFSET($P$2,0,0,ROW()-1,10),ROW()-1,FALSE))</f>
        <v>1.1467000000000001</v>
      </c>
      <c r="I61">
        <f ca="1">IF(AND(ISNUMBER($I$151),$B$108=1),$I$151,HLOOKUP(INDIRECT(ADDRESS(2,COLUMN())),OFFSET($P$2,0,0,ROW()-1,10),ROW()-1,FALSE))</f>
        <v>1.2004999999999999</v>
      </c>
      <c r="J61">
        <f ca="1">IF(AND(ISNUMBER($J$151),$B$108=1),$J$151,HLOOKUP(INDIRECT(ADDRESS(2,COLUMN())),OFFSET($P$2,0,0,ROW()-1,10),ROW()-1,FALSE))</f>
        <v>1.0517000000000001</v>
      </c>
      <c r="K61">
        <f ca="1">IF(AND(ISNUMBER($K$151),$B$108=1),$K$151,HLOOKUP(INDIRECT(ADDRESS(2,COLUMN())),OFFSET($P$2,0,0,ROW()-1,10),ROW()-1,FALSE))</f>
        <v>1.0862000000000001</v>
      </c>
      <c r="L61">
        <f ca="1">IF(AND(ISNUMBER($L$151),$B$108=1),$L$151,HLOOKUP(INDIRECT(ADDRESS(2,COLUMN())),OFFSET($P$2,0,0,ROW()-1,10),ROW()-1,FALSE))</f>
        <v>1.2098</v>
      </c>
      <c r="M61">
        <f ca="1">IF(AND(ISNUMBER($M$151),$B$108=1),$M$151,HLOOKUP(INDIRECT(ADDRESS(2,COLUMN())),OFFSET($P$2,0,0,ROW()-1,10),ROW()-1,FALSE))</f>
        <v>1.3743000000000001</v>
      </c>
      <c r="N61">
        <f ca="1">IF(AND(ISNUMBER($N$151),$B$108=1),$N$151,HLOOKUP(INDIRECT(ADDRESS(2,COLUMN())),OFFSET($P$2,0,0,ROW()-1,10),ROW()-1,FALSE))</f>
        <v>1.3192999999999999</v>
      </c>
      <c r="O61">
        <f ca="1">IF(AND(ISNUMBER($O$151),$B$108=1),$O$151,HLOOKUP(INDIRECT(ADDRESS(2,COLUMN())),OFFSET($P$2,0,0,ROW()-1,10),ROW()-1,FALSE))</f>
        <v>1.2961</v>
      </c>
      <c r="P61">
        <f>1.1284</f>
        <v>1.1284000000000001</v>
      </c>
      <c r="Q61">
        <f>1.1213</f>
        <v>1.1213</v>
      </c>
      <c r="R61">
        <f>1.1467</f>
        <v>1.1467000000000001</v>
      </c>
      <c r="S61">
        <f>1.2005</f>
        <v>1.2004999999999999</v>
      </c>
      <c r="T61">
        <f>1.0517</f>
        <v>1.0517000000000001</v>
      </c>
      <c r="U61">
        <f>1.0862</f>
        <v>1.0862000000000001</v>
      </c>
      <c r="V61">
        <f>1.2098</f>
        <v>1.2098</v>
      </c>
      <c r="W61">
        <f>1.3743</f>
        <v>1.3743000000000001</v>
      </c>
      <c r="X61">
        <f>1.3193</f>
        <v>1.3192999999999999</v>
      </c>
      <c r="Y61">
        <f>1.2961</f>
        <v>1.2961</v>
      </c>
    </row>
    <row r="62" spans="1:25" x14ac:dyDescent="0.25">
      <c r="A62" t="str">
        <f>"        EUR INR"</f>
        <v xml:space="preserve">        EUR INR</v>
      </c>
      <c r="B62" t="str">
        <f>"EURINR Curncy"</f>
        <v>EURINR Curncy</v>
      </c>
      <c r="C62" t="str">
        <f t="shared" si="19"/>
        <v>PR005</v>
      </c>
      <c r="D62" t="str">
        <f t="shared" si="20"/>
        <v>PX_LAST</v>
      </c>
      <c r="E62" t="str">
        <f t="shared" si="21"/>
        <v>Dynamic</v>
      </c>
      <c r="F62">
        <f ca="1">IF(AND(ISNUMBER($F$152),$B$108=1),$F$152,HLOOKUP(INDIRECT(ADDRESS(2,COLUMN())),OFFSET($P$2,0,0,ROW()-1,10),ROW()-1,FALSE))</f>
        <v>85.566999999999993</v>
      </c>
      <c r="G62">
        <f ca="1">IF(AND(ISNUMBER($G$152),$B$108=1),$G$152,HLOOKUP(INDIRECT(ADDRESS(2,COLUMN())),OFFSET($P$2,0,0,ROW()-1,10),ROW()-1,FALSE))</f>
        <v>80.085800000000006</v>
      </c>
      <c r="H62">
        <f ca="1">IF(AND(ISNUMBER($H$152),$B$108=1),$H$152,HLOOKUP(INDIRECT(ADDRESS(2,COLUMN())),OFFSET($P$2,0,0,ROW()-1,10),ROW()-1,FALSE))</f>
        <v>79.997</v>
      </c>
      <c r="I62">
        <f ca="1">IF(AND(ISNUMBER($I$152),$B$108=1),$I$152,HLOOKUP(INDIRECT(ADDRESS(2,COLUMN())),OFFSET($P$2,0,0,ROW()-1,10),ROW()-1,FALSE))</f>
        <v>76.532700000000006</v>
      </c>
      <c r="J62">
        <f ca="1">IF(AND(ISNUMBER($J$152),$B$108=1),$J$152,HLOOKUP(INDIRECT(ADDRESS(2,COLUMN())),OFFSET($P$2,0,0,ROW()-1,10),ROW()-1,FALSE))</f>
        <v>71.677000000000007</v>
      </c>
      <c r="K62">
        <f ca="1">IF(AND(ISNUMBER($K$152),$B$108=1),$K$152,HLOOKUP(INDIRECT(ADDRESS(2,COLUMN())),OFFSET($P$2,0,0,ROW()-1,10),ROW()-1,FALSE))</f>
        <v>72.123000000000005</v>
      </c>
      <c r="L62">
        <f ca="1">IF(AND(ISNUMBER($L$152),$B$108=1),$L$152,HLOOKUP(INDIRECT(ADDRESS(2,COLUMN())),OFFSET($P$2,0,0,ROW()-1,10),ROW()-1,FALSE))</f>
        <v>76.627099999999999</v>
      </c>
      <c r="M62">
        <f ca="1">IF(AND(ISNUMBER($M$152),$B$108=1),$M$152,HLOOKUP(INDIRECT(ADDRESS(2,COLUMN())),OFFSET($P$2,0,0,ROW()-1,10),ROW()-1,FALSE))</f>
        <v>85.061300000000003</v>
      </c>
      <c r="N62">
        <f ca="1">IF(AND(ISNUMBER($N$152),$B$108=1),$N$152,HLOOKUP(INDIRECT(ADDRESS(2,COLUMN())),OFFSET($P$2,0,0,ROW()-1,10),ROW()-1,FALSE))</f>
        <v>72.545599999999993</v>
      </c>
      <c r="O62">
        <f ca="1">IF(AND(ISNUMBER($O$152),$B$108=1),$O$152,HLOOKUP(INDIRECT(ADDRESS(2,COLUMN())),OFFSET($P$2,0,0,ROW()-1,10),ROW()-1,FALSE))</f>
        <v>68.742000000000004</v>
      </c>
      <c r="P62">
        <f>85.567</f>
        <v>85.566999999999993</v>
      </c>
      <c r="Q62">
        <f>80.0858</f>
        <v>80.085800000000006</v>
      </c>
      <c r="R62">
        <f>79.997</f>
        <v>79.997</v>
      </c>
      <c r="S62">
        <f>76.5327</f>
        <v>76.532700000000006</v>
      </c>
      <c r="T62">
        <f>71.677</f>
        <v>71.677000000000007</v>
      </c>
      <c r="U62">
        <f>72.123</f>
        <v>72.123000000000005</v>
      </c>
      <c r="V62">
        <f>76.6271</f>
        <v>76.627099999999999</v>
      </c>
      <c r="W62">
        <f>85.0613</f>
        <v>85.061300000000003</v>
      </c>
      <c r="X62">
        <f>72.5456</f>
        <v>72.545599999999993</v>
      </c>
      <c r="Y62">
        <f>68.742</f>
        <v>68.742000000000004</v>
      </c>
    </row>
    <row r="63" spans="1:25" x14ac:dyDescent="0.25">
      <c r="A63" t="str">
        <f>"        EUR GBP"</f>
        <v xml:space="preserve">        EUR GBP</v>
      </c>
      <c r="B63" t="str">
        <f>"EURGBP Curncy"</f>
        <v>EURGBP Curncy</v>
      </c>
      <c r="C63" t="str">
        <f t="shared" si="19"/>
        <v>PR005</v>
      </c>
      <c r="D63" t="str">
        <f t="shared" si="20"/>
        <v>PX_LAST</v>
      </c>
      <c r="E63" t="str">
        <f t="shared" si="21"/>
        <v>Dynamic</v>
      </c>
      <c r="F63">
        <f ca="1">IF(AND(ISNUMBER($F$153),$B$108=1),$F$153,HLOOKUP(INDIRECT(ADDRESS(2,COLUMN())),OFFSET($P$2,0,0,ROW()-1,10),ROW()-1,FALSE))</f>
        <v>0.89842999999999995</v>
      </c>
      <c r="G63">
        <f ca="1">IF(AND(ISNUMBER($G$153),$B$108=1),$G$153,HLOOKUP(INDIRECT(ADDRESS(2,COLUMN())),OFFSET($P$2,0,0,ROW()-1,10),ROW()-1,FALSE))</f>
        <v>0.84592999999999996</v>
      </c>
      <c r="H63">
        <f ca="1">IF(AND(ISNUMBER($H$153),$B$108=1),$H$153,HLOOKUP(INDIRECT(ADDRESS(2,COLUMN())),OFFSET($P$2,0,0,ROW()-1,10),ROW()-1,FALSE))</f>
        <v>0.89895000000000003</v>
      </c>
      <c r="I63">
        <f ca="1">IF(AND(ISNUMBER($I$153),$B$108=1),$I$153,HLOOKUP(INDIRECT(ADDRESS(2,COLUMN())),OFFSET($P$2,0,0,ROW()-1,10),ROW()-1,FALSE))</f>
        <v>0.88809000000000005</v>
      </c>
      <c r="J63">
        <f ca="1">IF(AND(ISNUMBER($J$153),$B$108=1),$J$153,HLOOKUP(INDIRECT(ADDRESS(2,COLUMN())),OFFSET($P$2,0,0,ROW()-1,10),ROW()-1,FALSE))</f>
        <v>0.85351999999999995</v>
      </c>
      <c r="K63">
        <f ca="1">IF(AND(ISNUMBER($K$153),$B$108=1),$K$153,HLOOKUP(INDIRECT(ADDRESS(2,COLUMN())),OFFSET($P$2,0,0,ROW()-1,10),ROW()-1,FALSE))</f>
        <v>0.73701000000000005</v>
      </c>
      <c r="L63">
        <f ca="1">IF(AND(ISNUMBER($L$153),$B$108=1),$L$153,HLOOKUP(INDIRECT(ADDRESS(2,COLUMN())),OFFSET($P$2,0,0,ROW()-1,10),ROW()-1,FALSE))</f>
        <v>0.77651999999999999</v>
      </c>
      <c r="M63">
        <f ca="1">IF(AND(ISNUMBER($M$153),$B$108=1),$M$153,HLOOKUP(INDIRECT(ADDRESS(2,COLUMN())),OFFSET($P$2,0,0,ROW()-1,10),ROW()-1,FALSE))</f>
        <v>0.83020000000000005</v>
      </c>
      <c r="N63">
        <f ca="1">IF(AND(ISNUMBER($N$153),$B$108=1),$N$153,HLOOKUP(INDIRECT(ADDRESS(2,COLUMN())),OFFSET($P$2,0,0,ROW()-1,10),ROW()-1,FALSE))</f>
        <v>0.81189</v>
      </c>
      <c r="O63">
        <f ca="1">IF(AND(ISNUMBER($O$153),$B$108=1),$O$153,HLOOKUP(INDIRECT(ADDRESS(2,COLUMN())),OFFSET($P$2,0,0,ROW()-1,10),ROW()-1,FALSE))</f>
        <v>0.83338999999999996</v>
      </c>
      <c r="P63">
        <f>0.89843</f>
        <v>0.89842999999999995</v>
      </c>
      <c r="Q63">
        <f>0.84593</f>
        <v>0.84592999999999996</v>
      </c>
      <c r="R63">
        <f>0.89895</f>
        <v>0.89895000000000003</v>
      </c>
      <c r="S63">
        <f>0.88809</f>
        <v>0.88809000000000005</v>
      </c>
      <c r="T63">
        <f>0.85352</f>
        <v>0.85351999999999995</v>
      </c>
      <c r="U63">
        <f>0.73701</f>
        <v>0.73701000000000005</v>
      </c>
      <c r="V63">
        <f>0.77652</f>
        <v>0.77651999999999999</v>
      </c>
      <c r="W63">
        <f>0.8302</f>
        <v>0.83020000000000005</v>
      </c>
      <c r="X63">
        <f>0.81189</f>
        <v>0.81189</v>
      </c>
      <c r="Y63">
        <f>0.83339</f>
        <v>0.83338999999999996</v>
      </c>
    </row>
    <row r="64" spans="1:25" x14ac:dyDescent="0.25">
      <c r="A64" t="str">
        <f>"        EUR BRL"</f>
        <v xml:space="preserve">        EUR BRL</v>
      </c>
      <c r="B64" t="str">
        <f>"EURBRL Curncy"</f>
        <v>EURBRL Curncy</v>
      </c>
      <c r="C64" t="str">
        <f t="shared" si="19"/>
        <v>PR005</v>
      </c>
      <c r="D64" t="str">
        <f t="shared" si="20"/>
        <v>PX_LAST</v>
      </c>
      <c r="E64" t="str">
        <f t="shared" si="21"/>
        <v>Dynamic</v>
      </c>
      <c r="F64">
        <f ca="1">IF(AND(ISNUMBER($F$154),$B$108=1),$F$154,HLOOKUP(INDIRECT(ADDRESS(2,COLUMN())),OFFSET($P$2,0,0,ROW()-1,10),ROW()-1,FALSE))</f>
        <v>5.8532999999999999</v>
      </c>
      <c r="G64">
        <f ca="1">IF(AND(ISNUMBER($G$154),$B$108=1),$G$154,HLOOKUP(INDIRECT(ADDRESS(2,COLUMN())),OFFSET($P$2,0,0,ROW()-1,10),ROW()-1,FALSE))</f>
        <v>4.5122999999999998</v>
      </c>
      <c r="H64">
        <f ca="1">IF(AND(ISNUMBER($H$154),$B$108=1),$H$154,HLOOKUP(INDIRECT(ADDRESS(2,COLUMN())),OFFSET($P$2,0,0,ROW()-1,10),ROW()-1,FALSE))</f>
        <v>4.4465000000000003</v>
      </c>
      <c r="I64">
        <f ca="1">IF(AND(ISNUMBER($I$154),$B$108=1),$I$154,HLOOKUP(INDIRECT(ADDRESS(2,COLUMN())),OFFSET($P$2,0,0,ROW()-1,10),ROW()-1,FALSE))</f>
        <v>3.9784999999999999</v>
      </c>
      <c r="J64">
        <f ca="1">IF(AND(ISNUMBER($J$154),$B$108=1),$J$154,HLOOKUP(INDIRECT(ADDRESS(2,COLUMN())),OFFSET($P$2,0,0,ROW()-1,10),ROW()-1,FALSE))</f>
        <v>3.4287999999999998</v>
      </c>
      <c r="K64">
        <f ca="1">IF(AND(ISNUMBER($K$154),$B$108=1),$K$154,HLOOKUP(INDIRECT(ADDRESS(2,COLUMN())),OFFSET($P$2,0,0,ROW()-1,10),ROW()-1,FALSE))</f>
        <v>4.3006000000000002</v>
      </c>
      <c r="L64">
        <f ca="1">IF(AND(ISNUMBER($L$154),$B$108=1),$L$154,HLOOKUP(INDIRECT(ADDRESS(2,COLUMN())),OFFSET($P$2,0,0,ROW()-1,10),ROW()-1,FALSE))</f>
        <v>3.2164000000000001</v>
      </c>
      <c r="M64">
        <f ca="1">IF(AND(ISNUMBER($M$154),$B$108=1),$M$154,HLOOKUP(INDIRECT(ADDRESS(2,COLUMN())),OFFSET($P$2,0,0,ROW()-1,10),ROW()-1,FALSE))</f>
        <v>3.2452999999999999</v>
      </c>
      <c r="N64">
        <f ca="1">IF(AND(ISNUMBER($N$154),$B$108=1),$N$154,HLOOKUP(INDIRECT(ADDRESS(2,COLUMN())),OFFSET($P$2,0,0,ROW()-1,10),ROW()-1,FALSE))</f>
        <v>2.7073999999999998</v>
      </c>
      <c r="O64">
        <f ca="1">IF(AND(ISNUMBER($O$154),$B$108=1),$O$154,HLOOKUP(INDIRECT(ADDRESS(2,COLUMN())),OFFSET($P$2,0,0,ROW()-1,10),ROW()-1,FALSE))</f>
        <v>2.4159999999999999</v>
      </c>
      <c r="P64">
        <f>5.8533</f>
        <v>5.8532999999999999</v>
      </c>
      <c r="Q64">
        <f>4.5123</f>
        <v>4.5122999999999998</v>
      </c>
      <c r="R64">
        <f>4.4465</f>
        <v>4.4465000000000003</v>
      </c>
      <c r="S64">
        <f>3.9785</f>
        <v>3.9784999999999999</v>
      </c>
      <c r="T64">
        <f>3.4288</f>
        <v>3.4287999999999998</v>
      </c>
      <c r="U64">
        <f>4.3006</f>
        <v>4.3006000000000002</v>
      </c>
      <c r="V64">
        <f>3.2164</f>
        <v>3.2164000000000001</v>
      </c>
      <c r="W64">
        <f>3.2453</f>
        <v>3.2452999999999999</v>
      </c>
      <c r="X64">
        <f>2.7074</f>
        <v>2.7073999999999998</v>
      </c>
      <c r="Y64">
        <f>2.416</f>
        <v>2.4159999999999999</v>
      </c>
    </row>
    <row r="65" spans="1:25" x14ac:dyDescent="0.25">
      <c r="A65" t="str">
        <f>"        EUR CNY"</f>
        <v xml:space="preserve">        EUR CNY</v>
      </c>
      <c r="B65" t="str">
        <f>"EURCNY Curncy"</f>
        <v>EURCNY Curncy</v>
      </c>
      <c r="C65" t="str">
        <f t="shared" si="19"/>
        <v>PR005</v>
      </c>
      <c r="D65" t="str">
        <f t="shared" si="20"/>
        <v>PX_LAST</v>
      </c>
      <c r="E65" t="str">
        <f t="shared" si="21"/>
        <v>Dynamic</v>
      </c>
      <c r="F65">
        <f ca="1">IF(AND(ISNUMBER($F$155),$B$108=1),$F$155,HLOOKUP(INDIRECT(ADDRESS(2,COLUMN())),OFFSET($P$2,0,0,ROW()-1,10),ROW()-1,FALSE))</f>
        <v>7.9870000000000001</v>
      </c>
      <c r="G65">
        <f ca="1">IF(AND(ISNUMBER($G$155),$B$108=1),$G$155,HLOOKUP(INDIRECT(ADDRESS(2,COLUMN())),OFFSET($P$2,0,0,ROW()-1,10),ROW()-1,FALSE))</f>
        <v>7.8148999999999997</v>
      </c>
      <c r="H65">
        <f ca="1">IF(AND(ISNUMBER($H$155),$B$108=1),$H$155,HLOOKUP(INDIRECT(ADDRESS(2,COLUMN())),OFFSET($P$2,0,0,ROW()-1,10),ROW()-1,FALSE))</f>
        <v>7.8669000000000002</v>
      </c>
      <c r="I65">
        <f ca="1">IF(AND(ISNUMBER($I$155),$B$108=1),$I$155,HLOOKUP(INDIRECT(ADDRESS(2,COLUMN())),OFFSET($P$2,0,0,ROW()-1,10),ROW()-1,FALSE))</f>
        <v>7.8023999999999996</v>
      </c>
      <c r="J65">
        <f ca="1">IF(AND(ISNUMBER($J$155),$B$108=1),$J$155,HLOOKUP(INDIRECT(ADDRESS(2,COLUMN())),OFFSET($P$2,0,0,ROW()-1,10),ROW()-1,FALSE))</f>
        <v>7.3380999999999998</v>
      </c>
      <c r="K65">
        <f ca="1">IF(AND(ISNUMBER($K$155),$B$108=1),$K$155,HLOOKUP(INDIRECT(ADDRESS(2,COLUMN())),OFFSET($P$2,0,0,ROW()-1,10),ROW()-1,FALSE))</f>
        <v>7.0914000000000001</v>
      </c>
      <c r="L65">
        <f ca="1">IF(AND(ISNUMBER($L$155),$B$108=1),$L$155,HLOOKUP(INDIRECT(ADDRESS(2,COLUMN())),OFFSET($P$2,0,0,ROW()-1,10),ROW()-1,FALSE))</f>
        <v>7.5442999999999998</v>
      </c>
      <c r="M65">
        <f ca="1">IF(AND(ISNUMBER($M$155),$B$108=1),$M$155,HLOOKUP(INDIRECT(ADDRESS(2,COLUMN())),OFFSET($P$2,0,0,ROW()-1,10),ROW()-1,FALSE))</f>
        <v>8.3409999999999993</v>
      </c>
      <c r="N65">
        <f ca="1">IF(AND(ISNUMBER($N$155),$B$108=1),$N$155,HLOOKUP(INDIRECT(ADDRESS(2,COLUMN())),OFFSET($P$2,0,0,ROW()-1,10),ROW()-1,FALSE))</f>
        <v>8.2174999999999994</v>
      </c>
      <c r="O65">
        <f ca="1">IF(AND(ISNUMBER($O$155),$B$108=1),$O$155,HLOOKUP(INDIRECT(ADDRESS(2,COLUMN())),OFFSET($P$2,0,0,ROW()-1,10),ROW()-1,FALSE))</f>
        <v>8.1341999999999999</v>
      </c>
      <c r="P65">
        <f>7.987</f>
        <v>7.9870000000000001</v>
      </c>
      <c r="Q65">
        <f>7.8149</f>
        <v>7.8148999999999997</v>
      </c>
      <c r="R65">
        <f>7.8669</f>
        <v>7.8669000000000002</v>
      </c>
      <c r="S65">
        <f>7.8024</f>
        <v>7.8023999999999996</v>
      </c>
      <c r="T65">
        <f>7.3381</f>
        <v>7.3380999999999998</v>
      </c>
      <c r="U65">
        <f>7.0914</f>
        <v>7.0914000000000001</v>
      </c>
      <c r="V65">
        <f>7.5443</f>
        <v>7.5442999999999998</v>
      </c>
      <c r="W65">
        <f>8.341</f>
        <v>8.3409999999999993</v>
      </c>
      <c r="X65">
        <f>8.2175</f>
        <v>8.2174999999999994</v>
      </c>
      <c r="Y65">
        <f>8.1342</f>
        <v>8.1341999999999999</v>
      </c>
    </row>
    <row r="66" spans="1:25" x14ac:dyDescent="0.25">
      <c r="A66" t="str">
        <f>"        EUR JPY"</f>
        <v xml:space="preserve">        EUR JPY</v>
      </c>
      <c r="B66" t="str">
        <f>"EURJPY Curncy"</f>
        <v>EURJPY Curncy</v>
      </c>
      <c r="C66" t="str">
        <f t="shared" si="19"/>
        <v>PR005</v>
      </c>
      <c r="D66" t="str">
        <f t="shared" si="20"/>
        <v>PX_LAST</v>
      </c>
      <c r="E66" t="str">
        <f t="shared" si="21"/>
        <v>Dynamic</v>
      </c>
      <c r="F66">
        <f ca="1">IF(AND(ISNUMBER($F$156),$B$108=1),$F$156,HLOOKUP(INDIRECT(ADDRESS(2,COLUMN())),OFFSET($P$2,0,0,ROW()-1,10),ROW()-1,FALSE))</f>
        <v>121.07</v>
      </c>
      <c r="G66">
        <f ca="1">IF(AND(ISNUMBER($G$156),$B$108=1),$G$156,HLOOKUP(INDIRECT(ADDRESS(2,COLUMN())),OFFSET($P$2,0,0,ROW()-1,10),ROW()-1,FALSE))</f>
        <v>121.77</v>
      </c>
      <c r="H66">
        <f ca="1">IF(AND(ISNUMBER($H$156),$B$108=1),$H$156,HLOOKUP(INDIRECT(ADDRESS(2,COLUMN())),OFFSET($P$2,0,0,ROW()-1,10),ROW()-1,FALSE))</f>
        <v>125.83</v>
      </c>
      <c r="I66">
        <f ca="1">IF(AND(ISNUMBER($I$156),$B$108=1),$I$156,HLOOKUP(INDIRECT(ADDRESS(2,COLUMN())),OFFSET($P$2,0,0,ROW()-1,10),ROW()-1,FALSE))</f>
        <v>135.28</v>
      </c>
      <c r="J66">
        <f ca="1">IF(AND(ISNUMBER($J$156),$B$108=1),$J$156,HLOOKUP(INDIRECT(ADDRESS(2,COLUMN())),OFFSET($P$2,0,0,ROW()-1,10),ROW()-1,FALSE))</f>
        <v>122.97</v>
      </c>
      <c r="K66">
        <f ca="1">IF(AND(ISNUMBER($K$156),$B$108=1),$K$156,HLOOKUP(INDIRECT(ADDRESS(2,COLUMN())),OFFSET($P$2,0,0,ROW()-1,10),ROW()-1,FALSE))</f>
        <v>130.63999999999999</v>
      </c>
      <c r="L66">
        <f ca="1">IF(AND(ISNUMBER($L$156),$B$108=1),$L$156,HLOOKUP(INDIRECT(ADDRESS(2,COLUMN())),OFFSET($P$2,0,0,ROW()-1,10),ROW()-1,FALSE))</f>
        <v>144.85</v>
      </c>
      <c r="M66">
        <f ca="1">IF(AND(ISNUMBER($M$156),$B$108=1),$M$156,HLOOKUP(INDIRECT(ADDRESS(2,COLUMN())),OFFSET($P$2,0,0,ROW()-1,10),ROW()-1,FALSE))</f>
        <v>144.72999999999999</v>
      </c>
      <c r="N66">
        <f ca="1">IF(AND(ISNUMBER($N$156),$B$108=1),$N$156,HLOOKUP(INDIRECT(ADDRESS(2,COLUMN())),OFFSET($P$2,0,0,ROW()-1,10),ROW()-1,FALSE))</f>
        <v>114.46</v>
      </c>
      <c r="O66">
        <f ca="1">IF(AND(ISNUMBER($O$156),$B$108=1),$O$156,HLOOKUP(INDIRECT(ADDRESS(2,COLUMN())),OFFSET($P$2,0,0,ROW()-1,10),ROW()-1,FALSE))</f>
        <v>99.66</v>
      </c>
      <c r="P66">
        <f>121.07</f>
        <v>121.07</v>
      </c>
      <c r="Q66">
        <f>121.77</f>
        <v>121.77</v>
      </c>
      <c r="R66">
        <f>125.83</f>
        <v>125.83</v>
      </c>
      <c r="S66">
        <f>135.28</f>
        <v>135.28</v>
      </c>
      <c r="T66">
        <f>122.97</f>
        <v>122.97</v>
      </c>
      <c r="U66">
        <f>130.64</f>
        <v>130.63999999999999</v>
      </c>
      <c r="V66">
        <f>144.85</f>
        <v>144.85</v>
      </c>
      <c r="W66">
        <f>144.73</f>
        <v>144.72999999999999</v>
      </c>
      <c r="X66">
        <f>114.46</f>
        <v>114.46</v>
      </c>
      <c r="Y66">
        <f>99.66</f>
        <v>99.66</v>
      </c>
    </row>
    <row r="67" spans="1:25" x14ac:dyDescent="0.25">
      <c r="A67" t="str">
        <f>"        EUR CAD"</f>
        <v xml:space="preserve">        EUR CAD</v>
      </c>
      <c r="B67" t="str">
        <f>"EURCAD Curncy"</f>
        <v>EURCAD Curncy</v>
      </c>
      <c r="C67" t="str">
        <f t="shared" si="19"/>
        <v>PR005</v>
      </c>
      <c r="D67" t="str">
        <f t="shared" si="20"/>
        <v>PX_LAST</v>
      </c>
      <c r="E67" t="str">
        <f t="shared" si="21"/>
        <v>Dynamic</v>
      </c>
      <c r="F67">
        <f ca="1">IF(AND(ISNUMBER($F$157),$B$108=1),$F$157,HLOOKUP(INDIRECT(ADDRESS(2,COLUMN())),OFFSET($P$2,0,0,ROW()-1,10),ROW()-1,FALSE))</f>
        <v>1.5344599999999999</v>
      </c>
      <c r="G67">
        <f ca="1">IF(AND(ISNUMBER($G$157),$B$108=1),$G$157,HLOOKUP(INDIRECT(ADDRESS(2,COLUMN())),OFFSET($P$2,0,0,ROW()-1,10),ROW()-1,FALSE))</f>
        <v>1.45668</v>
      </c>
      <c r="H67">
        <f ca="1">IF(AND(ISNUMBER($H$157),$B$108=1),$H$157,HLOOKUP(INDIRECT(ADDRESS(2,COLUMN())),OFFSET($P$2,0,0,ROW()-1,10),ROW()-1,FALSE))</f>
        <v>1.5636000000000001</v>
      </c>
      <c r="I67">
        <f ca="1">IF(AND(ISNUMBER($I$157),$B$108=1),$I$157,HLOOKUP(INDIRECT(ADDRESS(2,COLUMN())),OFFSET($P$2,0,0,ROW()-1,10),ROW()-1,FALSE))</f>
        <v>1.5088600000000001</v>
      </c>
      <c r="J67">
        <f ca="1">IF(AND(ISNUMBER($J$157),$B$108=1),$J$157,HLOOKUP(INDIRECT(ADDRESS(2,COLUMN())),OFFSET($P$2,0,0,ROW()-1,10),ROW()-1,FALSE))</f>
        <v>1.4133800000000001</v>
      </c>
      <c r="K67">
        <f ca="1">IF(AND(ISNUMBER($K$157),$B$108=1),$K$157,HLOOKUP(INDIRECT(ADDRESS(2,COLUMN())),OFFSET($P$2,0,0,ROW()-1,10),ROW()-1,FALSE))</f>
        <v>1.5033799999999999</v>
      </c>
      <c r="L67">
        <f ca="1">IF(AND(ISNUMBER($L$157),$B$108=1),$L$157,HLOOKUP(INDIRECT(ADDRESS(2,COLUMN())),OFFSET($P$2,0,0,ROW()-1,10),ROW()-1,FALSE))</f>
        <v>1.40605</v>
      </c>
      <c r="M67">
        <f ca="1">IF(AND(ISNUMBER($M$157),$B$108=1),$M$157,HLOOKUP(INDIRECT(ADDRESS(2,COLUMN())),OFFSET($P$2,0,0,ROW()-1,10),ROW()-1,FALSE))</f>
        <v>1.46008</v>
      </c>
      <c r="N67">
        <f ca="1">IF(AND(ISNUMBER($N$157),$B$108=1),$N$157,HLOOKUP(INDIRECT(ADDRESS(2,COLUMN())),OFFSET($P$2,0,0,ROW()-1,10),ROW()-1,FALSE))</f>
        <v>1.30948</v>
      </c>
      <c r="O67">
        <f ca="1">IF(AND(ISNUMBER($O$157),$B$108=1),$O$157,HLOOKUP(INDIRECT(ADDRESS(2,COLUMN())),OFFSET($P$2,0,0,ROW()-1,10),ROW()-1,FALSE))</f>
        <v>1.32368</v>
      </c>
      <c r="P67">
        <f>1.53446</f>
        <v>1.5344599999999999</v>
      </c>
      <c r="Q67">
        <f>1.45668</f>
        <v>1.45668</v>
      </c>
      <c r="R67">
        <f>1.5636</f>
        <v>1.5636000000000001</v>
      </c>
      <c r="S67">
        <f>1.50886</f>
        <v>1.5088600000000001</v>
      </c>
      <c r="T67">
        <f>1.41338</f>
        <v>1.4133800000000001</v>
      </c>
      <c r="U67">
        <f>1.50338</f>
        <v>1.5033799999999999</v>
      </c>
      <c r="V67">
        <f>1.40605</f>
        <v>1.40605</v>
      </c>
      <c r="W67">
        <f>1.46008</f>
        <v>1.46008</v>
      </c>
      <c r="X67">
        <f>1.30948</f>
        <v>1.30948</v>
      </c>
      <c r="Y67">
        <f>1.32368</f>
        <v>1.32368</v>
      </c>
    </row>
    <row r="68" spans="1:25" x14ac:dyDescent="0.25">
      <c r="A68" t="str">
        <f>"        EUR AUD"</f>
        <v xml:space="preserve">        EUR AUD</v>
      </c>
      <c r="B68" t="str">
        <f>"EURAUD Curncy"</f>
        <v>EURAUD Curncy</v>
      </c>
      <c r="C68" t="str">
        <f t="shared" si="19"/>
        <v>PR005</v>
      </c>
      <c r="D68" t="str">
        <f t="shared" si="20"/>
        <v>PX_LAST</v>
      </c>
      <c r="E68" t="str">
        <f t="shared" si="21"/>
        <v>Dynamic</v>
      </c>
      <c r="F68">
        <f ca="1">IF(AND(ISNUMBER($F$158),$B$108=1),$F$158,HLOOKUP(INDIRECT(ADDRESS(2,COLUMN())),OFFSET($P$2,0,0,ROW()-1,10),ROW()-1,FALSE))</f>
        <v>1.64324</v>
      </c>
      <c r="G68">
        <f ca="1">IF(AND(ISNUMBER($G$158),$B$108=1),$G$158,HLOOKUP(INDIRECT(ADDRESS(2,COLUMN())),OFFSET($P$2,0,0,ROW()-1,10),ROW()-1,FALSE))</f>
        <v>1.5971299999999999</v>
      </c>
      <c r="H68">
        <f ca="1">IF(AND(ISNUMBER($H$158),$B$108=1),$H$158,HLOOKUP(INDIRECT(ADDRESS(2,COLUMN())),OFFSET($P$2,0,0,ROW()-1,10),ROW()-1,FALSE))</f>
        <v>1.6268100000000001</v>
      </c>
      <c r="I68">
        <f ca="1">IF(AND(ISNUMBER($I$158),$B$108=1),$I$158,HLOOKUP(INDIRECT(ADDRESS(2,COLUMN())),OFFSET($P$2,0,0,ROW()-1,10),ROW()-1,FALSE))</f>
        <v>1.53722</v>
      </c>
      <c r="J68">
        <f ca="1">IF(AND(ISNUMBER($J$158),$B$108=1),$J$158,HLOOKUP(INDIRECT(ADDRESS(2,COLUMN())),OFFSET($P$2,0,0,ROW()-1,10),ROW()-1,FALSE))</f>
        <v>1.4596899999999999</v>
      </c>
      <c r="K68">
        <f ca="1">IF(AND(ISNUMBER($K$158),$B$108=1),$K$158,HLOOKUP(INDIRECT(ADDRESS(2,COLUMN())),OFFSET($P$2,0,0,ROW()-1,10),ROW()-1,FALSE))</f>
        <v>1.4915099999999999</v>
      </c>
      <c r="L68">
        <f ca="1">IF(AND(ISNUMBER($L$158),$B$108=1),$L$158,HLOOKUP(INDIRECT(ADDRESS(2,COLUMN())),OFFSET($P$2,0,0,ROW()-1,10),ROW()-1,FALSE))</f>
        <v>1.4799500000000001</v>
      </c>
      <c r="M68">
        <f ca="1">IF(AND(ISNUMBER($M$158),$B$108=1),$M$158,HLOOKUP(INDIRECT(ADDRESS(2,COLUMN())),OFFSET($P$2,0,0,ROW()-1,10),ROW()-1,FALSE))</f>
        <v>1.5411600000000001</v>
      </c>
      <c r="N68">
        <f ca="1">IF(AND(ISNUMBER($N$158),$B$108=1),$N$158,HLOOKUP(INDIRECT(ADDRESS(2,COLUMN())),OFFSET($P$2,0,0,ROW()-1,10),ROW()-1,FALSE))</f>
        <v>1.26922</v>
      </c>
      <c r="O68">
        <f ca="1">IF(AND(ISNUMBER($O$158),$B$108=1),$O$158,HLOOKUP(INDIRECT(ADDRESS(2,COLUMN())),OFFSET($P$2,0,0,ROW()-1,10),ROW()-1,FALSE))</f>
        <v>1.26938</v>
      </c>
      <c r="P68">
        <f>1.64324</f>
        <v>1.64324</v>
      </c>
      <c r="Q68">
        <f>1.59713</f>
        <v>1.5971299999999999</v>
      </c>
      <c r="R68">
        <f>1.62681</f>
        <v>1.6268100000000001</v>
      </c>
      <c r="S68">
        <f>1.53722</f>
        <v>1.53722</v>
      </c>
      <c r="T68">
        <f>1.45969</f>
        <v>1.4596899999999999</v>
      </c>
      <c r="U68">
        <f>1.49151</f>
        <v>1.4915099999999999</v>
      </c>
      <c r="V68">
        <f>1.47995</f>
        <v>1.4799500000000001</v>
      </c>
      <c r="W68">
        <f>1.54116</f>
        <v>1.5411600000000001</v>
      </c>
      <c r="X68">
        <f>1.26922</f>
        <v>1.26922</v>
      </c>
      <c r="Y68">
        <f>1.26938</f>
        <v>1.26938</v>
      </c>
    </row>
    <row r="69" spans="1:25" x14ac:dyDescent="0.25">
      <c r="A69" t="str">
        <f>""</f>
        <v/>
      </c>
      <c r="B69" t="str">
        <f>""</f>
        <v/>
      </c>
      <c r="E69" t="str">
        <f>"Static"</f>
        <v>Static</v>
      </c>
      <c r="F69" t="str">
        <f t="shared" ref="F69:O71" ca="1" si="22">HLOOKUP(INDIRECT(ADDRESS(2,COLUMN())),OFFSET($P$2,0,0,ROW()-1,10),ROW()-1,FALSE)</f>
        <v/>
      </c>
      <c r="G69" t="str">
        <f t="shared" ca="1" si="22"/>
        <v/>
      </c>
      <c r="H69" t="str">
        <f t="shared" ca="1" si="22"/>
        <v/>
      </c>
      <c r="I69" t="str">
        <f t="shared" ca="1" si="22"/>
        <v/>
      </c>
      <c r="J69" t="str">
        <f t="shared" ca="1" si="22"/>
        <v/>
      </c>
      <c r="K69" t="str">
        <f t="shared" ca="1" si="22"/>
        <v/>
      </c>
      <c r="L69" t="str">
        <f t="shared" ca="1" si="22"/>
        <v/>
      </c>
      <c r="M69" t="str">
        <f t="shared" ca="1" si="22"/>
        <v/>
      </c>
      <c r="N69" t="str">
        <f t="shared" ca="1" si="22"/>
        <v/>
      </c>
      <c r="O69" t="str">
        <f t="shared" ca="1" si="22"/>
        <v/>
      </c>
      <c r="P69" t="str">
        <f>""</f>
        <v/>
      </c>
      <c r="Q69" t="str">
        <f>""</f>
        <v/>
      </c>
      <c r="R69" t="str">
        <f>""</f>
        <v/>
      </c>
      <c r="S69" t="str">
        <f>""</f>
        <v/>
      </c>
      <c r="T69" t="str">
        <f>""</f>
        <v/>
      </c>
      <c r="U69" t="str">
        <f>""</f>
        <v/>
      </c>
      <c r="V69" t="str">
        <f>""</f>
        <v/>
      </c>
      <c r="W69" t="str">
        <f>""</f>
        <v/>
      </c>
      <c r="X69" t="str">
        <f>""</f>
        <v/>
      </c>
      <c r="Y69" t="str">
        <f>""</f>
        <v/>
      </c>
    </row>
    <row r="70" spans="1:25" x14ac:dyDescent="0.25">
      <c r="A70" t="str">
        <f>"GDP"</f>
        <v>GDP</v>
      </c>
      <c r="B70" t="str">
        <f>""</f>
        <v/>
      </c>
      <c r="E70" t="str">
        <f>"Static"</f>
        <v>Static</v>
      </c>
      <c r="F70" t="str">
        <f t="shared" ca="1" si="22"/>
        <v/>
      </c>
      <c r="G70" t="str">
        <f t="shared" ca="1" si="22"/>
        <v/>
      </c>
      <c r="H70" t="str">
        <f t="shared" ca="1" si="22"/>
        <v/>
      </c>
      <c r="I70" t="str">
        <f t="shared" ca="1" si="22"/>
        <v/>
      </c>
      <c r="J70" t="str">
        <f t="shared" ca="1" si="22"/>
        <v/>
      </c>
      <c r="K70" t="str">
        <f t="shared" ca="1" si="22"/>
        <v/>
      </c>
      <c r="L70" t="str">
        <f t="shared" ca="1" si="22"/>
        <v/>
      </c>
      <c r="M70" t="str">
        <f t="shared" ca="1" si="22"/>
        <v/>
      </c>
      <c r="N70" t="str">
        <f t="shared" ca="1" si="22"/>
        <v/>
      </c>
      <c r="O70" t="str">
        <f t="shared" ca="1" si="22"/>
        <v/>
      </c>
      <c r="P70" t="str">
        <f>""</f>
        <v/>
      </c>
      <c r="Q70" t="str">
        <f>""</f>
        <v/>
      </c>
      <c r="R70" t="str">
        <f>""</f>
        <v/>
      </c>
      <c r="S70" t="str">
        <f>""</f>
        <v/>
      </c>
      <c r="T70" t="str">
        <f>""</f>
        <v/>
      </c>
      <c r="U70" t="str">
        <f>""</f>
        <v/>
      </c>
      <c r="V70" t="str">
        <f>""</f>
        <v/>
      </c>
      <c r="W70" t="str">
        <f>""</f>
        <v/>
      </c>
      <c r="X70" t="str">
        <f>""</f>
        <v/>
      </c>
      <c r="Y70" t="str">
        <f>""</f>
        <v/>
      </c>
    </row>
    <row r="71" spans="1:25" x14ac:dyDescent="0.25">
      <c r="A71" t="str">
        <f>"    North America"</f>
        <v xml:space="preserve">    North America</v>
      </c>
      <c r="B71" t="str">
        <f>""</f>
        <v/>
      </c>
      <c r="E71" t="str">
        <f>"Static"</f>
        <v>Static</v>
      </c>
      <c r="F71" t="str">
        <f t="shared" ca="1" si="22"/>
        <v/>
      </c>
      <c r="G71" t="str">
        <f t="shared" ca="1" si="22"/>
        <v/>
      </c>
      <c r="H71" t="str">
        <f t="shared" ca="1" si="22"/>
        <v/>
      </c>
      <c r="I71" t="str">
        <f t="shared" ca="1" si="22"/>
        <v/>
      </c>
      <c r="J71" t="str">
        <f t="shared" ca="1" si="22"/>
        <v/>
      </c>
      <c r="K71" t="str">
        <f t="shared" ca="1" si="22"/>
        <v/>
      </c>
      <c r="L71" t="str">
        <f t="shared" ca="1" si="22"/>
        <v/>
      </c>
      <c r="M71" t="str">
        <f t="shared" ca="1" si="22"/>
        <v/>
      </c>
      <c r="N71" t="str">
        <f t="shared" ca="1" si="22"/>
        <v/>
      </c>
      <c r="O71" t="str">
        <f t="shared" ca="1" si="22"/>
        <v/>
      </c>
      <c r="P71" t="str">
        <f>""</f>
        <v/>
      </c>
      <c r="Q71" t="str">
        <f>""</f>
        <v/>
      </c>
      <c r="R71" t="str">
        <f>""</f>
        <v/>
      </c>
      <c r="S71" t="str">
        <f>""</f>
        <v/>
      </c>
      <c r="T71" t="str">
        <f>""</f>
        <v/>
      </c>
      <c r="U71" t="str">
        <f>""</f>
        <v/>
      </c>
      <c r="V71" t="str">
        <f>""</f>
        <v/>
      </c>
      <c r="W71" t="str">
        <f>""</f>
        <v/>
      </c>
      <c r="X71" t="str">
        <f>""</f>
        <v/>
      </c>
      <c r="Y71" t="str">
        <f>""</f>
        <v/>
      </c>
    </row>
    <row r="72" spans="1:25" x14ac:dyDescent="0.25">
      <c r="A72" t="str">
        <f>"        United States (qoq %)"</f>
        <v xml:space="preserve">        United States (qoq %)</v>
      </c>
      <c r="B72" t="str">
        <f>"GDP CQOQ Index"</f>
        <v>GDP CQOQ Index</v>
      </c>
      <c r="C72" t="str">
        <f t="shared" ref="C72:C78" si="23">"PR005"</f>
        <v>PR005</v>
      </c>
      <c r="D72" t="str">
        <f t="shared" ref="D72:D78" si="24">"PX_LAST"</f>
        <v>PX_LAST</v>
      </c>
      <c r="E72" t="str">
        <f t="shared" ref="E72:E78" si="25">"Dynamic"</f>
        <v>Dynamic</v>
      </c>
      <c r="F72">
        <f ca="1">IF(AND(ISNUMBER($F$159),$B$108=1),$F$159,HLOOKUP(INDIRECT(ADDRESS(2,COLUMN())),OFFSET($P$2,0,0,ROW()-1,10),ROW()-1,FALSE))</f>
        <v>-5</v>
      </c>
      <c r="G72">
        <f ca="1">IF(AND(ISNUMBER($G$159),$B$108=1),$G$159,HLOOKUP(INDIRECT(ADDRESS(2,COLUMN())),OFFSET($P$2,0,0,ROW()-1,10),ROW()-1,FALSE))</f>
        <v>2.2999999999999998</v>
      </c>
      <c r="H72">
        <f ca="1">IF(AND(ISNUMBER($H$159),$B$108=1),$H$159,HLOOKUP(INDIRECT(ADDRESS(2,COLUMN())),OFFSET($P$2,0,0,ROW()-1,10),ROW()-1,FALSE))</f>
        <v>2.9</v>
      </c>
      <c r="I72">
        <f ca="1">IF(AND(ISNUMBER($I$159),$B$108=1),$I$159,HLOOKUP(INDIRECT(ADDRESS(2,COLUMN())),OFFSET($P$2,0,0,ROW()-1,10),ROW()-1,FALSE))</f>
        <v>2.4</v>
      </c>
      <c r="J72">
        <f ca="1">IF(AND(ISNUMBER($J$159),$B$108=1),$J$159,HLOOKUP(INDIRECT(ADDRESS(2,COLUMN())),OFFSET($P$2,0,0,ROW()-1,10),ROW()-1,FALSE))</f>
        <v>1.6</v>
      </c>
      <c r="K72">
        <f ca="1">IF(AND(ISNUMBER($K$159),$B$108=1),$K$159,HLOOKUP(INDIRECT(ADDRESS(2,COLUMN())),OFFSET($P$2,0,0,ROW()-1,10),ROW()-1,FALSE))</f>
        <v>2.9</v>
      </c>
      <c r="L72">
        <f ca="1">IF(AND(ISNUMBER($L$159),$B$108=1),$L$159,HLOOKUP(INDIRECT(ADDRESS(2,COLUMN())),OFFSET($P$2,0,0,ROW()-1,10),ROW()-1,FALSE))</f>
        <v>2.5</v>
      </c>
      <c r="M72">
        <f ca="1">IF(AND(ISNUMBER($M$159),$B$108=1),$M$159,HLOOKUP(INDIRECT(ADDRESS(2,COLUMN())),OFFSET($P$2,0,0,ROW()-1,10),ROW()-1,FALSE))</f>
        <v>1.8</v>
      </c>
      <c r="N72">
        <f ca="1">IF(AND(ISNUMBER($N$159),$B$108=1),$N$159,HLOOKUP(INDIRECT(ADDRESS(2,COLUMN())),OFFSET($P$2,0,0,ROW()-1,10),ROW()-1,FALSE))</f>
        <v>2.2000000000000002</v>
      </c>
      <c r="O72">
        <f ca="1">IF(AND(ISNUMBER($O$159),$B$108=1),$O$159,HLOOKUP(INDIRECT(ADDRESS(2,COLUMN())),OFFSET($P$2,0,0,ROW()-1,10),ROW()-1,FALSE))</f>
        <v>1.6</v>
      </c>
      <c r="P72">
        <f>-5</f>
        <v>-5</v>
      </c>
      <c r="Q72">
        <f>2.3</f>
        <v>2.2999999999999998</v>
      </c>
      <c r="R72">
        <f>2.9</f>
        <v>2.9</v>
      </c>
      <c r="S72">
        <f>2.4</f>
        <v>2.4</v>
      </c>
      <c r="T72">
        <f>1.6</f>
        <v>1.6</v>
      </c>
      <c r="U72">
        <f>2.9</f>
        <v>2.9</v>
      </c>
      <c r="V72">
        <f>2.5</f>
        <v>2.5</v>
      </c>
      <c r="W72">
        <f>1.8</f>
        <v>1.8</v>
      </c>
      <c r="X72">
        <f>2.2</f>
        <v>2.2000000000000002</v>
      </c>
      <c r="Y72">
        <f>1.6</f>
        <v>1.6</v>
      </c>
    </row>
    <row r="73" spans="1:25" x14ac:dyDescent="0.25">
      <c r="A73" t="str">
        <f>"            GDP ($)"</f>
        <v xml:space="preserve">            GDP ($)</v>
      </c>
      <c r="B73" t="str">
        <f>"GDP CHWG Index"</f>
        <v>GDP CHWG Index</v>
      </c>
      <c r="C73" t="str">
        <f t="shared" si="23"/>
        <v>PR005</v>
      </c>
      <c r="D73" t="str">
        <f t="shared" si="24"/>
        <v>PX_LAST</v>
      </c>
      <c r="E73" t="str">
        <f t="shared" si="25"/>
        <v>Dynamic</v>
      </c>
      <c r="F73" t="str">
        <f ca="1">IF(AND(ISNUMBER($F$160),$B$108=1),$F$160,HLOOKUP(INDIRECT(ADDRESS(2,COLUMN())),OFFSET($P$2,0,0,ROW()-1,10),ROW()-1,FALSE))</f>
        <v/>
      </c>
      <c r="G73">
        <f ca="1">IF(AND(ISNUMBER($G$160),$B$108=1),$G$160,HLOOKUP(INDIRECT(ADDRESS(2,COLUMN())),OFFSET($P$2,0,0,ROW()-1,10),ROW()-1,FALSE))</f>
        <v>19073.056</v>
      </c>
      <c r="H73">
        <f ca="1">IF(AND(ISNUMBER($H$160),$B$108=1),$H$160,HLOOKUP(INDIRECT(ADDRESS(2,COLUMN())),OFFSET($P$2,0,0,ROW()-1,10),ROW()-1,FALSE))</f>
        <v>18638.164000000001</v>
      </c>
      <c r="I73">
        <f ca="1">IF(AND(ISNUMBER($I$160),$B$108=1),$I$160,HLOOKUP(INDIRECT(ADDRESS(2,COLUMN())),OFFSET($P$2,0,0,ROW()-1,10),ROW()-1,FALSE))</f>
        <v>18108.081999999999</v>
      </c>
      <c r="J73">
        <f ca="1">IF(AND(ISNUMBER($J$160),$B$108=1),$J$160,HLOOKUP(INDIRECT(ADDRESS(2,COLUMN())),OFFSET($P$2,0,0,ROW()-1,10),ROW()-1,FALSE))</f>
        <v>17688.89</v>
      </c>
      <c r="K73">
        <f ca="1">IF(AND(ISNUMBER($K$160),$B$108=1),$K$160,HLOOKUP(INDIRECT(ADDRESS(2,COLUMN())),OFFSET($P$2,0,0,ROW()-1,10),ROW()-1,FALSE))</f>
        <v>17403.843000000001</v>
      </c>
      <c r="L73">
        <f ca="1">IF(AND(ISNUMBER($L$160),$B$108=1),$L$160,HLOOKUP(INDIRECT(ADDRESS(2,COLUMN())),OFFSET($P$2,0,0,ROW()-1,10),ROW()-1,FALSE))</f>
        <v>16912.038</v>
      </c>
      <c r="M73">
        <f ca="1">IF(AND(ISNUMBER($M$160),$B$108=1),$M$160,HLOOKUP(INDIRECT(ADDRESS(2,COLUMN())),OFFSET($P$2,0,0,ROW()-1,10),ROW()-1,FALSE))</f>
        <v>16495.368999999999</v>
      </c>
      <c r="N73">
        <f ca="1">IF(AND(ISNUMBER($N$160),$B$108=1),$N$160,HLOOKUP(INDIRECT(ADDRESS(2,COLUMN())),OFFSET($P$2,0,0,ROW()-1,10),ROW()-1,FALSE))</f>
        <v>16197.007</v>
      </c>
      <c r="O73">
        <f ca="1">IF(AND(ISNUMBER($O$160),$B$108=1),$O$160,HLOOKUP(INDIRECT(ADDRESS(2,COLUMN())),OFFSET($P$2,0,0,ROW()-1,10),ROW()-1,FALSE))</f>
        <v>15840.664000000001</v>
      </c>
      <c r="P73" t="str">
        <f>""</f>
        <v/>
      </c>
      <c r="Q73">
        <f>19073.056</f>
        <v>19073.056</v>
      </c>
      <c r="R73">
        <f>18638.164</f>
        <v>18638.164000000001</v>
      </c>
      <c r="S73">
        <f>18108.082</f>
        <v>18108.081999999999</v>
      </c>
      <c r="T73">
        <f>17688.89</f>
        <v>17688.89</v>
      </c>
      <c r="U73">
        <f>17403.843</f>
        <v>17403.843000000001</v>
      </c>
      <c r="V73">
        <f>16912.038</f>
        <v>16912.038</v>
      </c>
      <c r="W73">
        <f>16495.369</f>
        <v>16495.368999999999</v>
      </c>
      <c r="X73">
        <f>16197.007</f>
        <v>16197.007</v>
      </c>
      <c r="Y73">
        <f>15840.664</f>
        <v>15840.664000000001</v>
      </c>
    </row>
    <row r="74" spans="1:25" x14ac:dyDescent="0.25">
      <c r="A74" t="str">
        <f>"            Software (yoy %)"</f>
        <v xml:space="preserve">            Software (yoy %)</v>
      </c>
      <c r="B74" t="str">
        <f>"GDP$SOFY Index"</f>
        <v>GDP$SOFY Index</v>
      </c>
      <c r="C74" t="str">
        <f t="shared" si="23"/>
        <v>PR005</v>
      </c>
      <c r="D74" t="str">
        <f t="shared" si="24"/>
        <v>PX_LAST</v>
      </c>
      <c r="E74" t="str">
        <f t="shared" si="25"/>
        <v>Dynamic</v>
      </c>
      <c r="F74" t="str">
        <f ca="1">IF(AND(ISNUMBER($F$161),$B$108=1),$F$161,HLOOKUP(INDIRECT(ADDRESS(2,COLUMN())),OFFSET($P$2,0,0,ROW()-1,10),ROW()-1,FALSE))</f>
        <v/>
      </c>
      <c r="G74">
        <f ca="1">IF(AND(ISNUMBER($G$161),$B$108=1),$G$161,HLOOKUP(INDIRECT(ADDRESS(2,COLUMN())),OFFSET($P$2,0,0,ROW()-1,10),ROW()-1,FALSE))</f>
        <v>9.3344400000000007</v>
      </c>
      <c r="H74">
        <f ca="1">IF(AND(ISNUMBER($H$161),$B$108=1),$H$161,HLOOKUP(INDIRECT(ADDRESS(2,COLUMN())),OFFSET($P$2,0,0,ROW()-1,10),ROW()-1,FALSE))</f>
        <v>9.2233199999999993</v>
      </c>
      <c r="I74">
        <f ca="1">IF(AND(ISNUMBER($I$161),$B$108=1),$I$161,HLOOKUP(INDIRECT(ADDRESS(2,COLUMN())),OFFSET($P$2,0,0,ROW()-1,10),ROW()-1,FALSE))</f>
        <v>6.1989400000000003</v>
      </c>
      <c r="J74">
        <f ca="1">IF(AND(ISNUMBER($J$161),$B$108=1),$J$161,HLOOKUP(INDIRECT(ADDRESS(2,COLUMN())),OFFSET($P$2,0,0,ROW()-1,10),ROW()-1,FALSE))</f>
        <v>6.6631099999999996</v>
      </c>
      <c r="K74">
        <f ca="1">IF(AND(ISNUMBER($K$161),$B$108=1),$K$161,HLOOKUP(INDIRECT(ADDRESS(2,COLUMN())),OFFSET($P$2,0,0,ROW()-1,10),ROW()-1,FALSE))</f>
        <v>3.2257799999999999</v>
      </c>
      <c r="L74">
        <f ca="1">IF(AND(ISNUMBER($L$161),$B$108=1),$L$161,HLOOKUP(INDIRECT(ADDRESS(2,COLUMN())),OFFSET($P$2,0,0,ROW()-1,10),ROW()-1,FALSE))</f>
        <v>4.8913200000000003</v>
      </c>
      <c r="M74">
        <f ca="1">IF(AND(ISNUMBER($M$161),$B$108=1),$M$161,HLOOKUP(INDIRECT(ADDRESS(2,COLUMN())),OFFSET($P$2,0,0,ROW()-1,10),ROW()-1,FALSE))</f>
        <v>4.2655799999999999</v>
      </c>
      <c r="N74">
        <f ca="1">IF(AND(ISNUMBER($N$161),$B$108=1),$N$161,HLOOKUP(INDIRECT(ADDRESS(2,COLUMN())),OFFSET($P$2,0,0,ROW()-1,10),ROW()-1,FALSE))</f>
        <v>8.9307200000000009</v>
      </c>
      <c r="O74">
        <f ca="1">IF(AND(ISNUMBER($O$161),$B$108=1),$O$161,HLOOKUP(INDIRECT(ADDRESS(2,COLUMN())),OFFSET($P$2,0,0,ROW()-1,10),ROW()-1,FALSE))</f>
        <v>10.32405</v>
      </c>
      <c r="P74" t="str">
        <f>""</f>
        <v/>
      </c>
      <c r="Q74">
        <f>9.33444</f>
        <v>9.3344400000000007</v>
      </c>
      <c r="R74">
        <f>9.22332</f>
        <v>9.2233199999999993</v>
      </c>
      <c r="S74">
        <f>6.19894</f>
        <v>6.1989400000000003</v>
      </c>
      <c r="T74">
        <f>6.66311</f>
        <v>6.6631099999999996</v>
      </c>
      <c r="U74">
        <f>3.22578</f>
        <v>3.2257799999999999</v>
      </c>
      <c r="V74">
        <f>4.89132</f>
        <v>4.8913200000000003</v>
      </c>
      <c r="W74">
        <f>4.26558</f>
        <v>4.2655799999999999</v>
      </c>
      <c r="X74">
        <f>8.93072</f>
        <v>8.9307200000000009</v>
      </c>
      <c r="Y74">
        <f>10.32405</f>
        <v>10.32405</v>
      </c>
    </row>
    <row r="75" spans="1:25" x14ac:dyDescent="0.25">
      <c r="A75" t="str">
        <f>"                Software ($)"</f>
        <v xml:space="preserve">                Software ($)</v>
      </c>
      <c r="B75" t="str">
        <f>"GDP$SOFT Index"</f>
        <v>GDP$SOFT Index</v>
      </c>
      <c r="C75" t="str">
        <f t="shared" si="23"/>
        <v>PR005</v>
      </c>
      <c r="D75" t="str">
        <f t="shared" si="24"/>
        <v>PX_LAST</v>
      </c>
      <c r="E75" t="str">
        <f t="shared" si="25"/>
        <v>Dynamic</v>
      </c>
      <c r="F75" t="str">
        <f ca="1">IF(AND(ISNUMBER($F$162),$B$108=1),$F$162,HLOOKUP(INDIRECT(ADDRESS(2,COLUMN())),OFFSET($P$2,0,0,ROW()-1,10),ROW()-1,FALSE))</f>
        <v/>
      </c>
      <c r="G75">
        <f ca="1">IF(AND(ISNUMBER($G$162),$B$108=1),$G$162,HLOOKUP(INDIRECT(ADDRESS(2,COLUMN())),OFFSET($P$2,0,0,ROW()-1,10),ROW()-1,FALSE))</f>
        <v>415.47199999999998</v>
      </c>
      <c r="H75">
        <f ca="1">IF(AND(ISNUMBER($H$162),$B$108=1),$H$162,HLOOKUP(INDIRECT(ADDRESS(2,COLUMN())),OFFSET($P$2,0,0,ROW()-1,10),ROW()-1,FALSE))</f>
        <v>380.00099999999998</v>
      </c>
      <c r="I75">
        <f ca="1">IF(AND(ISNUMBER($I$162),$B$108=1),$I$162,HLOOKUP(INDIRECT(ADDRESS(2,COLUMN())),OFFSET($P$2,0,0,ROW()-1,10),ROW()-1,FALSE))</f>
        <v>347.91199999999998</v>
      </c>
      <c r="J75">
        <f ca="1">IF(AND(ISNUMBER($J$162),$B$108=1),$J$162,HLOOKUP(INDIRECT(ADDRESS(2,COLUMN())),OFFSET($P$2,0,0,ROW()-1,10),ROW()-1,FALSE))</f>
        <v>327.60399999999998</v>
      </c>
      <c r="K75">
        <f ca="1">IF(AND(ISNUMBER($K$162),$B$108=1),$K$162,HLOOKUP(INDIRECT(ADDRESS(2,COLUMN())),OFFSET($P$2,0,0,ROW()-1,10),ROW()-1,FALSE))</f>
        <v>307.13900000000001</v>
      </c>
      <c r="L75">
        <f ca="1">IF(AND(ISNUMBER($L$162),$B$108=1),$L$162,HLOOKUP(INDIRECT(ADDRESS(2,COLUMN())),OFFSET($P$2,0,0,ROW()-1,10),ROW()-1,FALSE))</f>
        <v>297.541</v>
      </c>
      <c r="M75">
        <f ca="1">IF(AND(ISNUMBER($M$162),$B$108=1),$M$162,HLOOKUP(INDIRECT(ADDRESS(2,COLUMN())),OFFSET($P$2,0,0,ROW()-1,10),ROW()-1,FALSE))</f>
        <v>283.666</v>
      </c>
      <c r="N75">
        <f ca="1">IF(AND(ISNUMBER($N$162),$B$108=1),$N$162,HLOOKUP(INDIRECT(ADDRESS(2,COLUMN())),OFFSET($P$2,0,0,ROW()-1,10),ROW()-1,FALSE))</f>
        <v>272.06099999999998</v>
      </c>
      <c r="O75">
        <f ca="1">IF(AND(ISNUMBER($O$162),$B$108=1),$O$162,HLOOKUP(INDIRECT(ADDRESS(2,COLUMN())),OFFSET($P$2,0,0,ROW()-1,10),ROW()-1,FALSE))</f>
        <v>249.756</v>
      </c>
      <c r="P75" t="str">
        <f>""</f>
        <v/>
      </c>
      <c r="Q75">
        <f>415.472</f>
        <v>415.47199999999998</v>
      </c>
      <c r="R75">
        <f>380.001</f>
        <v>380.00099999999998</v>
      </c>
      <c r="S75">
        <f>347.912</f>
        <v>347.91199999999998</v>
      </c>
      <c r="T75">
        <f>327.604</f>
        <v>327.60399999999998</v>
      </c>
      <c r="U75">
        <f>307.139</f>
        <v>307.13900000000001</v>
      </c>
      <c r="V75">
        <f>297.541</f>
        <v>297.541</v>
      </c>
      <c r="W75">
        <f>283.666</f>
        <v>283.666</v>
      </c>
      <c r="X75">
        <f>272.061</f>
        <v>272.06099999999998</v>
      </c>
      <c r="Y75">
        <f>249.756</f>
        <v>249.756</v>
      </c>
    </row>
    <row r="76" spans="1:25" x14ac:dyDescent="0.25">
      <c r="A76" t="str">
        <f>"            Computer  (yoy%)"</f>
        <v xml:space="preserve">            Computer  (yoy%)</v>
      </c>
      <c r="B76" t="str">
        <f>"GDP$CAPY Index"</f>
        <v>GDP$CAPY Index</v>
      </c>
      <c r="C76" t="str">
        <f t="shared" si="23"/>
        <v>PR005</v>
      </c>
      <c r="D76" t="str">
        <f t="shared" si="24"/>
        <v>PX_LAST</v>
      </c>
      <c r="E76" t="str">
        <f t="shared" si="25"/>
        <v>Dynamic</v>
      </c>
      <c r="F76" t="str">
        <f ca="1">IF(AND(ISNUMBER($F$163),$B$108=1),$F$163,HLOOKUP(INDIRECT(ADDRESS(2,COLUMN())),OFFSET($P$2,0,0,ROW()-1,10),ROW()-1,FALSE))</f>
        <v/>
      </c>
      <c r="G76">
        <f ca="1">IF(AND(ISNUMBER($G$163),$B$108=1),$G$163,HLOOKUP(INDIRECT(ADDRESS(2,COLUMN())),OFFSET($P$2,0,0,ROW()-1,10),ROW()-1,FALSE))</f>
        <v>0.98836999999999997</v>
      </c>
      <c r="H76">
        <f ca="1">IF(AND(ISNUMBER($H$163),$B$108=1),$H$163,HLOOKUP(INDIRECT(ADDRESS(2,COLUMN())),OFFSET($P$2,0,0,ROW()-1,10),ROW()-1,FALSE))</f>
        <v>10.141400000000001</v>
      </c>
      <c r="I76">
        <f ca="1">IF(AND(ISNUMBER($I$163),$B$108=1),$I$163,HLOOKUP(INDIRECT(ADDRESS(2,COLUMN())),OFFSET($P$2,0,0,ROW()-1,10),ROW()-1,FALSE))</f>
        <v>8.3499199999999991</v>
      </c>
      <c r="J76">
        <f ca="1">IF(AND(ISNUMBER($J$163),$B$108=1),$J$163,HLOOKUP(INDIRECT(ADDRESS(2,COLUMN())),OFFSET($P$2,0,0,ROW()-1,10),ROW()-1,FALSE))</f>
        <v>-2.0498500000000002</v>
      </c>
      <c r="K76">
        <f ca="1">IF(AND(ISNUMBER($K$163),$B$108=1),$K$163,HLOOKUP(INDIRECT(ADDRESS(2,COLUMN())),OFFSET($P$2,0,0,ROW()-1,10),ROW()-1,FALSE))</f>
        <v>-0.27772999999999998</v>
      </c>
      <c r="L76">
        <f ca="1">IF(AND(ISNUMBER($L$163),$B$108=1),$L$163,HLOOKUP(INDIRECT(ADDRESS(2,COLUMN())),OFFSET($P$2,0,0,ROW()-1,10),ROW()-1,FALSE))</f>
        <v>-0.20957000000000001</v>
      </c>
      <c r="M76">
        <f ca="1">IF(AND(ISNUMBER($M$163),$B$108=1),$M$163,HLOOKUP(INDIRECT(ADDRESS(2,COLUMN())),OFFSET($P$2,0,0,ROW()-1,10),ROW()-1,FALSE))</f>
        <v>-1.36772</v>
      </c>
      <c r="N76">
        <f ca="1">IF(AND(ISNUMBER($N$163),$B$108=1),$N$163,HLOOKUP(INDIRECT(ADDRESS(2,COLUMN())),OFFSET($P$2,0,0,ROW()-1,10),ROW()-1,FALSE))</f>
        <v>8.3097100000000008</v>
      </c>
      <c r="O76">
        <f ca="1">IF(AND(ISNUMBER($O$163),$B$108=1),$O$163,HLOOKUP(INDIRECT(ADDRESS(2,COLUMN())),OFFSET($P$2,0,0,ROW()-1,10),ROW()-1,FALSE))</f>
        <v>-4.0098500000000001</v>
      </c>
      <c r="P76" t="str">
        <f>""</f>
        <v/>
      </c>
      <c r="Q76">
        <f>0.98837</f>
        <v>0.98836999999999997</v>
      </c>
      <c r="R76">
        <f>10.1414</f>
        <v>10.141400000000001</v>
      </c>
      <c r="S76">
        <f>8.34992</f>
        <v>8.3499199999999991</v>
      </c>
      <c r="T76">
        <f>-2.04985</f>
        <v>-2.0498500000000002</v>
      </c>
      <c r="U76">
        <f>-0.27773</f>
        <v>-0.27772999999999998</v>
      </c>
      <c r="V76">
        <f>-0.20957</f>
        <v>-0.20957000000000001</v>
      </c>
      <c r="W76">
        <f>-1.36772</f>
        <v>-1.36772</v>
      </c>
      <c r="X76">
        <f>8.30971</f>
        <v>8.3097100000000008</v>
      </c>
      <c r="Y76">
        <f>-4.00985</f>
        <v>-4.0098500000000001</v>
      </c>
    </row>
    <row r="77" spans="1:25" x14ac:dyDescent="0.25">
      <c r="A77" t="str">
        <f>"                Computer  ($)"</f>
        <v xml:space="preserve">                Computer  ($)</v>
      </c>
      <c r="B77" t="str">
        <f>"GDP$CAPE Index"</f>
        <v>GDP$CAPE Index</v>
      </c>
      <c r="C77" t="str">
        <f t="shared" si="23"/>
        <v>PR005</v>
      </c>
      <c r="D77" t="str">
        <f t="shared" si="24"/>
        <v>PX_LAST</v>
      </c>
      <c r="E77" t="str">
        <f t="shared" si="25"/>
        <v>Dynamic</v>
      </c>
      <c r="F77" t="str">
        <f ca="1">IF(AND(ISNUMBER($F$164),$B$108=1),$F$164,HLOOKUP(INDIRECT(ADDRESS(2,COLUMN())),OFFSET($P$2,0,0,ROW()-1,10),ROW()-1,FALSE))</f>
        <v/>
      </c>
      <c r="G77">
        <f ca="1">IF(AND(ISNUMBER($G$164),$B$108=1),$G$164,HLOOKUP(INDIRECT(ADDRESS(2,COLUMN())),OFFSET($P$2,0,0,ROW()-1,10),ROW()-1,FALSE))</f>
        <v>119.956</v>
      </c>
      <c r="H77">
        <f ca="1">IF(AND(ISNUMBER($H$164),$B$108=1),$H$164,HLOOKUP(INDIRECT(ADDRESS(2,COLUMN())),OFFSET($P$2,0,0,ROW()-1,10),ROW()-1,FALSE))</f>
        <v>118.782</v>
      </c>
      <c r="I77">
        <f ca="1">IF(AND(ISNUMBER($I$164),$B$108=1),$I$164,HLOOKUP(INDIRECT(ADDRESS(2,COLUMN())),OFFSET($P$2,0,0,ROW()-1,10),ROW()-1,FALSE))</f>
        <v>107.845</v>
      </c>
      <c r="J77">
        <f ca="1">IF(AND(ISNUMBER($J$164),$B$108=1),$J$164,HLOOKUP(INDIRECT(ADDRESS(2,COLUMN())),OFFSET($P$2,0,0,ROW()-1,10),ROW()-1,FALSE))</f>
        <v>99.534000000000006</v>
      </c>
      <c r="K77">
        <f ca="1">IF(AND(ISNUMBER($K$164),$B$108=1),$K$164,HLOOKUP(INDIRECT(ADDRESS(2,COLUMN())),OFFSET($P$2,0,0,ROW()-1,10),ROW()-1,FALSE))</f>
        <v>101.617</v>
      </c>
      <c r="L77">
        <f ca="1">IF(AND(ISNUMBER($L$164),$B$108=1),$L$164,HLOOKUP(INDIRECT(ADDRESS(2,COLUMN())),OFFSET($P$2,0,0,ROW()-1,10),ROW()-1,FALSE))</f>
        <v>101.9</v>
      </c>
      <c r="M77">
        <f ca="1">IF(AND(ISNUMBER($M$164),$B$108=1),$M$164,HLOOKUP(INDIRECT(ADDRESS(2,COLUMN())),OFFSET($P$2,0,0,ROW()-1,10),ROW()-1,FALSE))</f>
        <v>102.114</v>
      </c>
      <c r="N77">
        <f ca="1">IF(AND(ISNUMBER($N$164),$B$108=1),$N$164,HLOOKUP(INDIRECT(ADDRESS(2,COLUMN())),OFFSET($P$2,0,0,ROW()-1,10),ROW()-1,FALSE))</f>
        <v>103.53</v>
      </c>
      <c r="O77">
        <f ca="1">IF(AND(ISNUMBER($O$164),$B$108=1),$O$164,HLOOKUP(INDIRECT(ADDRESS(2,COLUMN())),OFFSET($P$2,0,0,ROW()-1,10),ROW()-1,FALSE))</f>
        <v>95.587000000000003</v>
      </c>
      <c r="P77" t="str">
        <f>""</f>
        <v/>
      </c>
      <c r="Q77">
        <f>119.956</f>
        <v>119.956</v>
      </c>
      <c r="R77">
        <f>118.782</f>
        <v>118.782</v>
      </c>
      <c r="S77">
        <f>107.845</f>
        <v>107.845</v>
      </c>
      <c r="T77">
        <f>99.534</f>
        <v>99.534000000000006</v>
      </c>
      <c r="U77">
        <f>101.617</f>
        <v>101.617</v>
      </c>
      <c r="V77">
        <f>101.9</f>
        <v>101.9</v>
      </c>
      <c r="W77">
        <f>102.114</f>
        <v>102.114</v>
      </c>
      <c r="X77">
        <f>103.53</f>
        <v>103.53</v>
      </c>
      <c r="Y77">
        <f>95.587</f>
        <v>95.587000000000003</v>
      </c>
    </row>
    <row r="78" spans="1:25" x14ac:dyDescent="0.25">
      <c r="A78" t="str">
        <f>"        Canada"</f>
        <v xml:space="preserve">        Canada</v>
      </c>
      <c r="B78" t="str">
        <f>"CAGDPYOY Index"</f>
        <v>CAGDPYOY Index</v>
      </c>
      <c r="C78" t="str">
        <f t="shared" si="23"/>
        <v>PR005</v>
      </c>
      <c r="D78" t="str">
        <f t="shared" si="24"/>
        <v>PX_LAST</v>
      </c>
      <c r="E78" t="str">
        <f t="shared" si="25"/>
        <v>Dynamic</v>
      </c>
      <c r="F78">
        <f ca="1">IF(AND(ISNUMBER($F$165),$B$108=1),$F$165,HLOOKUP(INDIRECT(ADDRESS(2,COLUMN())),OFFSET($P$2,0,0,ROW()-1,10),ROW()-1,FALSE))</f>
        <v>-5.8343499999999997</v>
      </c>
      <c r="G78">
        <f ca="1">IF(AND(ISNUMBER($G$165),$B$108=1),$G$165,HLOOKUP(INDIRECT(ADDRESS(2,COLUMN())),OFFSET($P$2,0,0,ROW()-1,10),ROW()-1,FALSE))</f>
        <v>2.0614499999999998</v>
      </c>
      <c r="H78">
        <f ca="1">IF(AND(ISNUMBER($H$165),$B$108=1),$H$165,HLOOKUP(INDIRECT(ADDRESS(2,COLUMN())),OFFSET($P$2,0,0,ROW()-1,10),ROW()-1,FALSE))</f>
        <v>1.3010299999999999</v>
      </c>
      <c r="I78">
        <f ca="1">IF(AND(ISNUMBER($I$165),$B$108=1),$I$165,HLOOKUP(INDIRECT(ADDRESS(2,COLUMN())),OFFSET($P$2,0,0,ROW()-1,10),ROW()-1,FALSE))</f>
        <v>3.33107</v>
      </c>
      <c r="J78">
        <f ca="1">IF(AND(ISNUMBER($J$165),$B$108=1),$J$165,HLOOKUP(INDIRECT(ADDRESS(2,COLUMN())),OFFSET($P$2,0,0,ROW()-1,10),ROW()-1,FALSE))</f>
        <v>1.84724</v>
      </c>
      <c r="K78">
        <f ca="1">IF(AND(ISNUMBER($K$165),$B$108=1),$K$165,HLOOKUP(INDIRECT(ADDRESS(2,COLUMN())),OFFSET($P$2,0,0,ROW()-1,10),ROW()-1,FALSE))</f>
        <v>6.8199999999999997E-2</v>
      </c>
      <c r="L78">
        <f ca="1">IF(AND(ISNUMBER($L$165),$B$108=1),$L$165,HLOOKUP(INDIRECT(ADDRESS(2,COLUMN())),OFFSET($P$2,0,0,ROW()-1,10),ROW()-1,FALSE))</f>
        <v>2.99248</v>
      </c>
      <c r="M78">
        <f ca="1">IF(AND(ISNUMBER($M$165),$B$108=1),$M$165,HLOOKUP(INDIRECT(ADDRESS(2,COLUMN())),OFFSET($P$2,0,0,ROW()-1,10),ROW()-1,FALSE))</f>
        <v>3.0689099999999998</v>
      </c>
      <c r="N78">
        <f ca="1">IF(AND(ISNUMBER($N$165),$B$108=1),$N$165,HLOOKUP(INDIRECT(ADDRESS(2,COLUMN())),OFFSET($P$2,0,0,ROW()-1,10),ROW()-1,FALSE))</f>
        <v>0.93537000000000003</v>
      </c>
      <c r="O78">
        <f ca="1">IF(AND(ISNUMBER($O$165),$B$108=1),$O$165,HLOOKUP(INDIRECT(ADDRESS(2,COLUMN())),OFFSET($P$2,0,0,ROW()-1,10),ROW()-1,FALSE))</f>
        <v>2.8025600000000002</v>
      </c>
      <c r="P78">
        <f>-5.83435</f>
        <v>-5.8343499999999997</v>
      </c>
      <c r="Q78">
        <f>2.06145</f>
        <v>2.0614499999999998</v>
      </c>
      <c r="R78">
        <f>1.30103</f>
        <v>1.3010299999999999</v>
      </c>
      <c r="S78">
        <f>3.33107</f>
        <v>3.33107</v>
      </c>
      <c r="T78">
        <f>1.84724</f>
        <v>1.84724</v>
      </c>
      <c r="U78">
        <f>0.0682</f>
        <v>6.8199999999999997E-2</v>
      </c>
      <c r="V78">
        <f>2.99248</f>
        <v>2.99248</v>
      </c>
      <c r="W78">
        <f>3.06891</f>
        <v>3.0689099999999998</v>
      </c>
      <c r="X78">
        <f>0.93537</f>
        <v>0.93537000000000003</v>
      </c>
      <c r="Y78">
        <f>2.80256</f>
        <v>2.8025600000000002</v>
      </c>
    </row>
    <row r="79" spans="1:25" x14ac:dyDescent="0.25">
      <c r="A79" t="str">
        <f>"    South America"</f>
        <v xml:space="preserve">    South America</v>
      </c>
      <c r="B79" t="str">
        <f>""</f>
        <v/>
      </c>
      <c r="E79" t="str">
        <f>"Static"</f>
        <v>Static</v>
      </c>
      <c r="F79" t="str">
        <f t="shared" ref="F79:O79" ca="1" si="26">HLOOKUP(INDIRECT(ADDRESS(2,COLUMN())),OFFSET($P$2,0,0,ROW()-1,10),ROW()-1,FALSE)</f>
        <v/>
      </c>
      <c r="G79" t="str">
        <f t="shared" ca="1" si="26"/>
        <v/>
      </c>
      <c r="H79" t="str">
        <f t="shared" ca="1" si="26"/>
        <v/>
      </c>
      <c r="I79" t="str">
        <f t="shared" ca="1" si="26"/>
        <v/>
      </c>
      <c r="J79" t="str">
        <f t="shared" ca="1" si="26"/>
        <v/>
      </c>
      <c r="K79" t="str">
        <f t="shared" ca="1" si="26"/>
        <v/>
      </c>
      <c r="L79" t="str">
        <f t="shared" ca="1" si="26"/>
        <v/>
      </c>
      <c r="M79" t="str">
        <f t="shared" ca="1" si="26"/>
        <v/>
      </c>
      <c r="N79" t="str">
        <f t="shared" ca="1" si="26"/>
        <v/>
      </c>
      <c r="O79" t="str">
        <f t="shared" ca="1" si="26"/>
        <v/>
      </c>
      <c r="P79" t="str">
        <f>""</f>
        <v/>
      </c>
      <c r="Q79" t="str">
        <f>""</f>
        <v/>
      </c>
      <c r="R79" t="str">
        <f>""</f>
        <v/>
      </c>
      <c r="S79" t="str">
        <f>""</f>
        <v/>
      </c>
      <c r="T79" t="str">
        <f>""</f>
        <v/>
      </c>
      <c r="U79" t="str">
        <f>""</f>
        <v/>
      </c>
      <c r="V79" t="str">
        <f>""</f>
        <v/>
      </c>
      <c r="W79" t="str">
        <f>""</f>
        <v/>
      </c>
      <c r="X79" t="str">
        <f>""</f>
        <v/>
      </c>
      <c r="Y79" t="str">
        <f>""</f>
        <v/>
      </c>
    </row>
    <row r="80" spans="1:25" x14ac:dyDescent="0.25">
      <c r="A80" t="str">
        <f>"        Brazil"</f>
        <v xml:space="preserve">        Brazil</v>
      </c>
      <c r="B80" t="str">
        <f>"BZGDYOY% Index"</f>
        <v>BZGDYOY% Index</v>
      </c>
      <c r="C80" t="str">
        <f>"PR005"</f>
        <v>PR005</v>
      </c>
      <c r="D80" t="str">
        <f>"PX_LAST"</f>
        <v>PX_LAST</v>
      </c>
      <c r="E80" t="str">
        <f>"Dynamic"</f>
        <v>Dynamic</v>
      </c>
      <c r="F80">
        <f ca="1">IF(AND(ISNUMBER($F$166),$B$108=1),$F$166,HLOOKUP(INDIRECT(ADDRESS(2,COLUMN())),OFFSET($P$2,0,0,ROW()-1,10),ROW()-1,FALSE))</f>
        <v>-0.25330000000000003</v>
      </c>
      <c r="G80">
        <f ca="1">IF(AND(ISNUMBER($G$166),$B$108=1),$G$166,HLOOKUP(INDIRECT(ADDRESS(2,COLUMN())),OFFSET($P$2,0,0,ROW()-1,10),ROW()-1,FALSE))</f>
        <v>1.6690400000000001</v>
      </c>
      <c r="H80">
        <f ca="1">IF(AND(ISNUMBER($H$166),$B$108=1),$H$166,HLOOKUP(INDIRECT(ADDRESS(2,COLUMN())),OFFSET($P$2,0,0,ROW()-1,10),ROW()-1,FALSE))</f>
        <v>1.2204600000000001</v>
      </c>
      <c r="I80">
        <f ca="1">IF(AND(ISNUMBER($I$166),$B$108=1),$I$166,HLOOKUP(INDIRECT(ADDRESS(2,COLUMN())),OFFSET($P$2,0,0,ROW()-1,10),ROW()-1,FALSE))</f>
        <v>2.38212</v>
      </c>
      <c r="J80">
        <f ca="1">IF(AND(ISNUMBER($J$166),$B$108=1),$J$166,HLOOKUP(INDIRECT(ADDRESS(2,COLUMN())),OFFSET($P$2,0,0,ROW()-1,10),ROW()-1,FALSE))</f>
        <v>-2.2149899999999998</v>
      </c>
      <c r="K80">
        <f ca="1">IF(AND(ISNUMBER($K$166),$B$108=1),$K$166,HLOOKUP(INDIRECT(ADDRESS(2,COLUMN())),OFFSET($P$2,0,0,ROW()-1,10),ROW()-1,FALSE))</f>
        <v>-5.52712</v>
      </c>
      <c r="L80">
        <f ca="1">IF(AND(ISNUMBER($L$166),$B$108=1),$L$166,HLOOKUP(INDIRECT(ADDRESS(2,COLUMN())),OFFSET($P$2,0,0,ROW()-1,10),ROW()-1,FALSE))</f>
        <v>-0.22692999999999999</v>
      </c>
      <c r="M80">
        <f ca="1">IF(AND(ISNUMBER($M$166),$B$108=1),$M$166,HLOOKUP(INDIRECT(ADDRESS(2,COLUMN())),OFFSET($P$2,0,0,ROW()-1,10),ROW()-1,FALSE))</f>
        <v>2.5303900000000001</v>
      </c>
      <c r="N80">
        <f ca="1">IF(AND(ISNUMBER($N$166),$B$108=1),$N$166,HLOOKUP(INDIRECT(ADDRESS(2,COLUMN())),OFFSET($P$2,0,0,ROW()-1,10),ROW()-1,FALSE))</f>
        <v>2.4798800000000001</v>
      </c>
      <c r="O80">
        <f ca="1">IF(AND(ISNUMBER($O$166),$B$108=1),$O$166,HLOOKUP(INDIRECT(ADDRESS(2,COLUMN())),OFFSET($P$2,0,0,ROW()-1,10),ROW()-1,FALSE))</f>
        <v>2.5680200000000002</v>
      </c>
      <c r="P80">
        <f>-0.2533</f>
        <v>-0.25330000000000003</v>
      </c>
      <c r="Q80">
        <f>1.66904</f>
        <v>1.6690400000000001</v>
      </c>
      <c r="R80">
        <f>1.22046</f>
        <v>1.2204600000000001</v>
      </c>
      <c r="S80">
        <f>2.38212</f>
        <v>2.38212</v>
      </c>
      <c r="T80">
        <f>-2.21499</f>
        <v>-2.2149899999999998</v>
      </c>
      <c r="U80">
        <f>-5.52712</f>
        <v>-5.52712</v>
      </c>
      <c r="V80">
        <f>-0.22693</f>
        <v>-0.22692999999999999</v>
      </c>
      <c r="W80">
        <f>2.53039</f>
        <v>2.5303900000000001</v>
      </c>
      <c r="X80">
        <f>2.47988</f>
        <v>2.4798800000000001</v>
      </c>
      <c r="Y80">
        <f>2.56802</f>
        <v>2.5680200000000002</v>
      </c>
    </row>
    <row r="81" spans="1:25" x14ac:dyDescent="0.25">
      <c r="A81" t="str">
        <f>"    Europe"</f>
        <v xml:space="preserve">    Europe</v>
      </c>
      <c r="B81" t="str">
        <f>""</f>
        <v/>
      </c>
      <c r="E81" t="str">
        <f>"Static"</f>
        <v>Static</v>
      </c>
      <c r="F81" t="str">
        <f t="shared" ref="F81:O81" ca="1" si="27">HLOOKUP(INDIRECT(ADDRESS(2,COLUMN())),OFFSET($P$2,0,0,ROW()-1,10),ROW()-1,FALSE)</f>
        <v/>
      </c>
      <c r="G81" t="str">
        <f t="shared" ca="1" si="27"/>
        <v/>
      </c>
      <c r="H81" t="str">
        <f t="shared" ca="1" si="27"/>
        <v/>
      </c>
      <c r="I81" t="str">
        <f t="shared" ca="1" si="27"/>
        <v/>
      </c>
      <c r="J81" t="str">
        <f t="shared" ca="1" si="27"/>
        <v/>
      </c>
      <c r="K81" t="str">
        <f t="shared" ca="1" si="27"/>
        <v/>
      </c>
      <c r="L81" t="str">
        <f t="shared" ca="1" si="27"/>
        <v/>
      </c>
      <c r="M81" t="str">
        <f t="shared" ca="1" si="27"/>
        <v/>
      </c>
      <c r="N81" t="str">
        <f t="shared" ca="1" si="27"/>
        <v/>
      </c>
      <c r="O81" t="str">
        <f t="shared" ca="1" si="27"/>
        <v/>
      </c>
      <c r="P81" t="str">
        <f>""</f>
        <v/>
      </c>
      <c r="Q81" t="str">
        <f>""</f>
        <v/>
      </c>
      <c r="R81" t="str">
        <f>""</f>
        <v/>
      </c>
      <c r="S81" t="str">
        <f>""</f>
        <v/>
      </c>
      <c r="T81" t="str">
        <f>""</f>
        <v/>
      </c>
      <c r="U81" t="str">
        <f>""</f>
        <v/>
      </c>
      <c r="V81" t="str">
        <f>""</f>
        <v/>
      </c>
      <c r="W81" t="str">
        <f>""</f>
        <v/>
      </c>
      <c r="X81" t="str">
        <f>""</f>
        <v/>
      </c>
      <c r="Y81" t="str">
        <f>""</f>
        <v/>
      </c>
    </row>
    <row r="82" spans="1:25" x14ac:dyDescent="0.25">
      <c r="A82" t="str">
        <f>"        Eurozone"</f>
        <v xml:space="preserve">        Eurozone</v>
      </c>
      <c r="B82" t="str">
        <f>"EUGNEMUY Index"</f>
        <v>EUGNEMUY Index</v>
      </c>
      <c r="C82" t="str">
        <f>"PR005"</f>
        <v>PR005</v>
      </c>
      <c r="D82" t="str">
        <f>"PX_LAST"</f>
        <v>PX_LAST</v>
      </c>
      <c r="E82" t="str">
        <f>"Dynamic"</f>
        <v>Dynamic</v>
      </c>
      <c r="F82">
        <f ca="1">IF(AND(ISNUMBER($F$167),$B$108=1),$F$167,HLOOKUP(INDIRECT(ADDRESS(2,COLUMN())),OFFSET($P$2,0,0,ROW()-1,10),ROW()-1,FALSE))</f>
        <v>-3.1</v>
      </c>
      <c r="G82">
        <f ca="1">IF(AND(ISNUMBER($G$167),$B$108=1),$G$167,HLOOKUP(INDIRECT(ADDRESS(2,COLUMN())),OFFSET($P$2,0,0,ROW()-1,10),ROW()-1,FALSE))</f>
        <v>1</v>
      </c>
      <c r="H82">
        <f ca="1">IF(AND(ISNUMBER($H$167),$B$108=1),$H$167,HLOOKUP(INDIRECT(ADDRESS(2,COLUMN())),OFFSET($P$2,0,0,ROW()-1,10),ROW()-1,FALSE))</f>
        <v>1.2</v>
      </c>
      <c r="I82">
        <f ca="1">IF(AND(ISNUMBER($I$167),$B$108=1),$I$167,HLOOKUP(INDIRECT(ADDRESS(2,COLUMN())),OFFSET($P$2,0,0,ROW()-1,10),ROW()-1,FALSE))</f>
        <v>3</v>
      </c>
      <c r="J82">
        <f ca="1">IF(AND(ISNUMBER($J$167),$B$108=1),$J$167,HLOOKUP(INDIRECT(ADDRESS(2,COLUMN())),OFFSET($P$2,0,0,ROW()-1,10),ROW()-1,FALSE))</f>
        <v>2.1</v>
      </c>
      <c r="K82">
        <f ca="1">IF(AND(ISNUMBER($K$167),$B$108=1),$K$167,HLOOKUP(INDIRECT(ADDRESS(2,COLUMN())),OFFSET($P$2,0,0,ROW()-1,10),ROW()-1,FALSE))</f>
        <v>2</v>
      </c>
      <c r="L82">
        <f ca="1">IF(AND(ISNUMBER($L$167),$B$108=1),$L$167,HLOOKUP(INDIRECT(ADDRESS(2,COLUMN())),OFFSET($P$2,0,0,ROW()-1,10),ROW()-1,FALSE))</f>
        <v>1.6</v>
      </c>
      <c r="M82">
        <f ca="1">IF(AND(ISNUMBER($M$167),$B$108=1),$M$167,HLOOKUP(INDIRECT(ADDRESS(2,COLUMN())),OFFSET($P$2,0,0,ROW()-1,10),ROW()-1,FALSE))</f>
        <v>0.7</v>
      </c>
      <c r="N82">
        <f ca="1">IF(AND(ISNUMBER($N$167),$B$108=1),$N$167,HLOOKUP(INDIRECT(ADDRESS(2,COLUMN())),OFFSET($P$2,0,0,ROW()-1,10),ROW()-1,FALSE))</f>
        <v>-1.1000000000000001</v>
      </c>
      <c r="O82">
        <f ca="1">IF(AND(ISNUMBER($O$167),$B$108=1),$O$167,HLOOKUP(INDIRECT(ADDRESS(2,COLUMN())),OFFSET($P$2,0,0,ROW()-1,10),ROW()-1,FALSE))</f>
        <v>0.6</v>
      </c>
      <c r="P82">
        <f>-3.1</f>
        <v>-3.1</v>
      </c>
      <c r="Q82">
        <f>1</f>
        <v>1</v>
      </c>
      <c r="R82">
        <f>1.2</f>
        <v>1.2</v>
      </c>
      <c r="S82">
        <f>3</f>
        <v>3</v>
      </c>
      <c r="T82">
        <f>2.1</f>
        <v>2.1</v>
      </c>
      <c r="U82">
        <f>2</f>
        <v>2</v>
      </c>
      <c r="V82">
        <f>1.6</f>
        <v>1.6</v>
      </c>
      <c r="W82">
        <f>0.7</f>
        <v>0.7</v>
      </c>
      <c r="X82">
        <f>-1.1</f>
        <v>-1.1000000000000001</v>
      </c>
      <c r="Y82">
        <f>0.6</f>
        <v>0.6</v>
      </c>
    </row>
    <row r="83" spans="1:25" x14ac:dyDescent="0.25">
      <c r="A83" t="str">
        <f>"        United Kingdom"</f>
        <v xml:space="preserve">        United Kingdom</v>
      </c>
      <c r="B83" t="str">
        <f>"UKGRABIY Index"</f>
        <v>UKGRABIY Index</v>
      </c>
      <c r="C83" t="str">
        <f>"PR005"</f>
        <v>PR005</v>
      </c>
      <c r="D83" t="str">
        <f>"PX_LAST"</f>
        <v>PX_LAST</v>
      </c>
      <c r="E83" t="str">
        <f>"Dynamic"</f>
        <v>Dynamic</v>
      </c>
      <c r="F83">
        <f ca="1">IF(AND(ISNUMBER($F$168),$B$108=1),$F$168,HLOOKUP(INDIRECT(ADDRESS(2,COLUMN())),OFFSET($P$2,0,0,ROW()-1,10),ROW()-1,FALSE))</f>
        <v>-1.6</v>
      </c>
      <c r="G83">
        <f ca="1">IF(AND(ISNUMBER($G$168),$B$108=1),$G$168,HLOOKUP(INDIRECT(ADDRESS(2,COLUMN())),OFFSET($P$2,0,0,ROW()-1,10),ROW()-1,FALSE))</f>
        <v>1.4</v>
      </c>
      <c r="H83">
        <f ca="1">IF(AND(ISNUMBER($H$168),$B$108=1),$H$168,HLOOKUP(INDIRECT(ADDRESS(2,COLUMN())),OFFSET($P$2,0,0,ROW()-1,10),ROW()-1,FALSE))</f>
        <v>1.3</v>
      </c>
      <c r="I83">
        <f ca="1">IF(AND(ISNUMBER($I$168),$B$108=1),$I$168,HLOOKUP(INDIRECT(ADDRESS(2,COLUMN())),OFFSET($P$2,0,0,ROW()-1,10),ROW()-1,FALSE))</f>
        <v>1.9</v>
      </c>
      <c r="J83">
        <f ca="1">IF(AND(ISNUMBER($J$168),$B$108=1),$J$168,HLOOKUP(INDIRECT(ADDRESS(2,COLUMN())),OFFSET($P$2,0,0,ROW()-1,10),ROW()-1,FALSE))</f>
        <v>1.9</v>
      </c>
      <c r="K83">
        <f ca="1">IF(AND(ISNUMBER($K$168),$B$108=1),$K$168,HLOOKUP(INDIRECT(ADDRESS(2,COLUMN())),OFFSET($P$2,0,0,ROW()-1,10),ROW()-1,FALSE))</f>
        <v>2.4</v>
      </c>
      <c r="L83">
        <f ca="1">IF(AND(ISNUMBER($L$168),$B$108=1),$L$168,HLOOKUP(INDIRECT(ADDRESS(2,COLUMN())),OFFSET($P$2,0,0,ROW()-1,10),ROW()-1,FALSE))</f>
        <v>2.6</v>
      </c>
      <c r="M83">
        <f ca="1">IF(AND(ISNUMBER($M$168),$B$108=1),$M$168,HLOOKUP(INDIRECT(ADDRESS(2,COLUMN())),OFFSET($P$2,0,0,ROW()-1,10),ROW()-1,FALSE))</f>
        <v>2.1</v>
      </c>
      <c r="N83">
        <f ca="1">IF(AND(ISNUMBER($N$168),$B$108=1),$N$168,HLOOKUP(INDIRECT(ADDRESS(2,COLUMN())),OFFSET($P$2,0,0,ROW()-1,10),ROW()-1,FALSE))</f>
        <v>1.5</v>
      </c>
      <c r="O83">
        <f ca="1">IF(AND(ISNUMBER($O$168),$B$108=1),$O$168,HLOOKUP(INDIRECT(ADDRESS(2,COLUMN())),OFFSET($P$2,0,0,ROW()-1,10),ROW()-1,FALSE))</f>
        <v>1.5</v>
      </c>
      <c r="P83">
        <f>-1.6</f>
        <v>-1.6</v>
      </c>
      <c r="Q83">
        <f>1.4</f>
        <v>1.4</v>
      </c>
      <c r="R83">
        <f>1.3</f>
        <v>1.3</v>
      </c>
      <c r="S83">
        <f>1.9</f>
        <v>1.9</v>
      </c>
      <c r="T83">
        <f>1.9</f>
        <v>1.9</v>
      </c>
      <c r="U83">
        <f>2.4</f>
        <v>2.4</v>
      </c>
      <c r="V83">
        <f>2.6</f>
        <v>2.6</v>
      </c>
      <c r="W83">
        <f>2.1</f>
        <v>2.1</v>
      </c>
      <c r="X83">
        <f>1.5</f>
        <v>1.5</v>
      </c>
      <c r="Y83">
        <f>1.5</f>
        <v>1.5</v>
      </c>
    </row>
    <row r="84" spans="1:25" x14ac:dyDescent="0.25">
      <c r="A84" t="str">
        <f>"        France"</f>
        <v xml:space="preserve">        France</v>
      </c>
      <c r="B84" t="str">
        <f>"FRGEGDPY Index"</f>
        <v>FRGEGDPY Index</v>
      </c>
      <c r="C84" t="str">
        <f>"PR005"</f>
        <v>PR005</v>
      </c>
      <c r="D84" t="str">
        <f>"PX_LAST"</f>
        <v>PX_LAST</v>
      </c>
      <c r="E84" t="str">
        <f>"Dynamic"</f>
        <v>Dynamic</v>
      </c>
      <c r="F84">
        <f ca="1">IF(AND(ISNUMBER($F$169),$B$108=1),$F$169,HLOOKUP(INDIRECT(ADDRESS(2,COLUMN())),OFFSET($P$2,0,0,ROW()-1,10),ROW()-1,FALSE))</f>
        <v>-4.9863799999999996</v>
      </c>
      <c r="G84">
        <f ca="1">IF(AND(ISNUMBER($G$169),$B$108=1),$G$169,HLOOKUP(INDIRECT(ADDRESS(2,COLUMN())),OFFSET($P$2,0,0,ROW()-1,10),ROW()-1,FALSE))</f>
        <v>0.88417999999999997</v>
      </c>
      <c r="H84">
        <f ca="1">IF(AND(ISNUMBER($H$169),$B$108=1),$H$169,HLOOKUP(INDIRECT(ADDRESS(2,COLUMN())),OFFSET($P$2,0,0,ROW()-1,10),ROW()-1,FALSE))</f>
        <v>1.3488199999999999</v>
      </c>
      <c r="I84">
        <f ca="1">IF(AND(ISNUMBER($I$169),$B$108=1),$I$169,HLOOKUP(INDIRECT(ADDRESS(2,COLUMN())),OFFSET($P$2,0,0,ROW()-1,10),ROW()-1,FALSE))</f>
        <v>3.1128200000000001</v>
      </c>
      <c r="J84">
        <f ca="1">IF(AND(ISNUMBER($J$169),$B$108=1),$J$169,HLOOKUP(INDIRECT(ADDRESS(2,COLUMN())),OFFSET($P$2,0,0,ROW()-1,10),ROW()-1,FALSE))</f>
        <v>1.27711</v>
      </c>
      <c r="K84">
        <f ca="1">IF(AND(ISNUMBER($K$169),$B$108=1),$K$169,HLOOKUP(INDIRECT(ADDRESS(2,COLUMN())),OFFSET($P$2,0,0,ROW()-1,10),ROW()-1,FALSE))</f>
        <v>0.90125999999999995</v>
      </c>
      <c r="L84">
        <f ca="1">IF(AND(ISNUMBER($L$169),$B$108=1),$L$169,HLOOKUP(INDIRECT(ADDRESS(2,COLUMN())),OFFSET($P$2,0,0,ROW()-1,10),ROW()-1,FALSE))</f>
        <v>0.79452</v>
      </c>
      <c r="M84">
        <f ca="1">IF(AND(ISNUMBER($M$169),$B$108=1),$M$169,HLOOKUP(INDIRECT(ADDRESS(2,COLUMN())),OFFSET($P$2,0,0,ROW()-1,10),ROW()-1,FALSE))</f>
        <v>1.17527</v>
      </c>
      <c r="N84">
        <f ca="1">IF(AND(ISNUMBER($N$169),$B$108=1),$N$169,HLOOKUP(INDIRECT(ADDRESS(2,COLUMN())),OFFSET($P$2,0,0,ROW()-1,10),ROW()-1,FALSE))</f>
        <v>3.0800000000000001E-2</v>
      </c>
      <c r="O84">
        <f ca="1">IF(AND(ISNUMBER($O$169),$B$108=1),$O$169,HLOOKUP(INDIRECT(ADDRESS(2,COLUMN())),OFFSET($P$2,0,0,ROW()-1,10),ROW()-1,FALSE))</f>
        <v>1.61009</v>
      </c>
      <c r="P84">
        <f>-4.98638</f>
        <v>-4.9863799999999996</v>
      </c>
      <c r="Q84">
        <f>0.88418</f>
        <v>0.88417999999999997</v>
      </c>
      <c r="R84">
        <f>1.34882</f>
        <v>1.3488199999999999</v>
      </c>
      <c r="S84">
        <f>3.11282</f>
        <v>3.1128200000000001</v>
      </c>
      <c r="T84">
        <f>1.27711</f>
        <v>1.27711</v>
      </c>
      <c r="U84">
        <f>0.90126</f>
        <v>0.90125999999999995</v>
      </c>
      <c r="V84">
        <f>0.79452</f>
        <v>0.79452</v>
      </c>
      <c r="W84">
        <f>1.17527</f>
        <v>1.17527</v>
      </c>
      <c r="X84">
        <f>0.0308</f>
        <v>3.0800000000000001E-2</v>
      </c>
      <c r="Y84">
        <f>1.61009</f>
        <v>1.61009</v>
      </c>
    </row>
    <row r="85" spans="1:25" x14ac:dyDescent="0.25">
      <c r="A85" t="str">
        <f>"        Germany"</f>
        <v xml:space="preserve">        Germany</v>
      </c>
      <c r="B85" t="str">
        <f>"GRGDPPGY Index"</f>
        <v>GRGDPPGY Index</v>
      </c>
      <c r="C85" t="str">
        <f>"PR005"</f>
        <v>PR005</v>
      </c>
      <c r="D85" t="str">
        <f>"PX_LAST"</f>
        <v>PX_LAST</v>
      </c>
      <c r="E85" t="str">
        <f>"Dynamic"</f>
        <v>Dynamic</v>
      </c>
      <c r="F85">
        <f ca="1">IF(AND(ISNUMBER($F$170),$B$108=1),$F$170,HLOOKUP(INDIRECT(ADDRESS(2,COLUMN())),OFFSET($P$2,0,0,ROW()-1,10),ROW()-1,FALSE))</f>
        <v>-2.2999999999999998</v>
      </c>
      <c r="G85">
        <f ca="1">IF(AND(ISNUMBER($G$170),$B$108=1),$G$170,HLOOKUP(INDIRECT(ADDRESS(2,COLUMN())),OFFSET($P$2,0,0,ROW()-1,10),ROW()-1,FALSE))</f>
        <v>0.4</v>
      </c>
      <c r="H85">
        <f ca="1">IF(AND(ISNUMBER($H$170),$B$108=1),$H$170,HLOOKUP(INDIRECT(ADDRESS(2,COLUMN())),OFFSET($P$2,0,0,ROW()-1,10),ROW()-1,FALSE))</f>
        <v>0.6</v>
      </c>
      <c r="I85">
        <f ca="1">IF(AND(ISNUMBER($I$170),$B$108=1),$I$170,HLOOKUP(INDIRECT(ADDRESS(2,COLUMN())),OFFSET($P$2,0,0,ROW()-1,10),ROW()-1,FALSE))</f>
        <v>3.4</v>
      </c>
      <c r="J85">
        <f ca="1">IF(AND(ISNUMBER($J$170),$B$108=1),$J$170,HLOOKUP(INDIRECT(ADDRESS(2,COLUMN())),OFFSET($P$2,0,0,ROW()-1,10),ROW()-1,FALSE))</f>
        <v>1.8</v>
      </c>
      <c r="K85">
        <f ca="1">IF(AND(ISNUMBER($K$170),$B$108=1),$K$170,HLOOKUP(INDIRECT(ADDRESS(2,COLUMN())),OFFSET($P$2,0,0,ROW()-1,10),ROW()-1,FALSE))</f>
        <v>1.3</v>
      </c>
      <c r="L85">
        <f ca="1">IF(AND(ISNUMBER($L$170),$B$108=1),$L$170,HLOOKUP(INDIRECT(ADDRESS(2,COLUMN())),OFFSET($P$2,0,0,ROW()-1,10),ROW()-1,FALSE))</f>
        <v>1.6</v>
      </c>
      <c r="M85">
        <f ca="1">IF(AND(ISNUMBER($M$170),$B$108=1),$M$170,HLOOKUP(INDIRECT(ADDRESS(2,COLUMN())),OFFSET($P$2,0,0,ROW()-1,10),ROW()-1,FALSE))</f>
        <v>1.3</v>
      </c>
      <c r="N85">
        <f ca="1">IF(AND(ISNUMBER($N$170),$B$108=1),$N$170,HLOOKUP(INDIRECT(ADDRESS(2,COLUMN())),OFFSET($P$2,0,0,ROW()-1,10),ROW()-1,FALSE))</f>
        <v>0.115685</v>
      </c>
      <c r="O85">
        <f ca="1">IF(AND(ISNUMBER($O$170),$B$108=1),$O$170,HLOOKUP(INDIRECT(ADDRESS(2,COLUMN())),OFFSET($P$2,0,0,ROW()-1,10),ROW()-1,FALSE))</f>
        <v>2.4202309999999998</v>
      </c>
      <c r="P85">
        <f>-2.3</f>
        <v>-2.2999999999999998</v>
      </c>
      <c r="Q85">
        <f>0.4</f>
        <v>0.4</v>
      </c>
      <c r="R85">
        <f>0.6</f>
        <v>0.6</v>
      </c>
      <c r="S85">
        <f>3.4</f>
        <v>3.4</v>
      </c>
      <c r="T85">
        <f>1.8</f>
        <v>1.8</v>
      </c>
      <c r="U85">
        <f>1.3</f>
        <v>1.3</v>
      </c>
      <c r="V85">
        <f>1.6</f>
        <v>1.6</v>
      </c>
      <c r="W85">
        <f>1.3</f>
        <v>1.3</v>
      </c>
      <c r="X85">
        <f>0.115685</f>
        <v>0.115685</v>
      </c>
      <c r="Y85">
        <f>2.420231</f>
        <v>2.4202309999999998</v>
      </c>
    </row>
    <row r="86" spans="1:25" x14ac:dyDescent="0.25">
      <c r="A86" t="str">
        <f>"        Russia"</f>
        <v xml:space="preserve">        Russia</v>
      </c>
      <c r="B86" t="str">
        <f>"RUDPRYOY Index"</f>
        <v>RUDPRYOY Index</v>
      </c>
      <c r="C86" t="str">
        <f>"PR005"</f>
        <v>PR005</v>
      </c>
      <c r="D86" t="str">
        <f>"PX_LAST"</f>
        <v>PX_LAST</v>
      </c>
      <c r="E86" t="str">
        <f>"Dynamic"</f>
        <v>Dynamic</v>
      </c>
      <c r="F86">
        <f ca="1">IF(AND(ISNUMBER($F$171),$B$108=1),$F$171,HLOOKUP(INDIRECT(ADDRESS(2,COLUMN())),OFFSET($P$2,0,0,ROW()-1,10),ROW()-1,FALSE))</f>
        <v>1.6</v>
      </c>
      <c r="G86">
        <f ca="1">IF(AND(ISNUMBER($G$171),$B$108=1),$G$171,HLOOKUP(INDIRECT(ADDRESS(2,COLUMN())),OFFSET($P$2,0,0,ROW()-1,10),ROW()-1,FALSE))</f>
        <v>2.1126299999999998</v>
      </c>
      <c r="H86">
        <f ca="1">IF(AND(ISNUMBER($H$171),$B$108=1),$H$171,HLOOKUP(INDIRECT(ADDRESS(2,COLUMN())),OFFSET($P$2,0,0,ROW()-1,10),ROW()-1,FALSE))</f>
        <v>2.7984499999999999</v>
      </c>
      <c r="I86">
        <f ca="1">IF(AND(ISNUMBER($I$171),$B$108=1),$I$171,HLOOKUP(INDIRECT(ADDRESS(2,COLUMN())),OFFSET($P$2,0,0,ROW()-1,10),ROW()-1,FALSE))</f>
        <v>1.04182</v>
      </c>
      <c r="J86">
        <f ca="1">IF(AND(ISNUMBER($J$171),$B$108=1),$J$171,HLOOKUP(INDIRECT(ADDRESS(2,COLUMN())),OFFSET($P$2,0,0,ROW()-1,10),ROW()-1,FALSE))</f>
        <v>0.30035000000000001</v>
      </c>
      <c r="K86">
        <f ca="1">IF(AND(ISNUMBER($K$171),$B$108=1),$K$171,HLOOKUP(INDIRECT(ADDRESS(2,COLUMN())),OFFSET($P$2,0,0,ROW()-1,10),ROW()-1,FALSE))</f>
        <v>-3.2328700000000001</v>
      </c>
      <c r="L86">
        <f ca="1">IF(AND(ISNUMBER($L$171),$B$108=1),$L$171,HLOOKUP(INDIRECT(ADDRESS(2,COLUMN())),OFFSET($P$2,0,0,ROW()-1,10),ROW()-1,FALSE))</f>
        <v>0.32795999999999997</v>
      </c>
      <c r="M86">
        <f ca="1">IF(AND(ISNUMBER($M$171),$B$108=1),$M$171,HLOOKUP(INDIRECT(ADDRESS(2,COLUMN())),OFFSET($P$2,0,0,ROW()-1,10),ROW()-1,FALSE))</f>
        <v>2.4701</v>
      </c>
      <c r="N86">
        <f ca="1">IF(AND(ISNUMBER($N$171),$B$108=1),$N$171,HLOOKUP(INDIRECT(ADDRESS(2,COLUMN())),OFFSET($P$2,0,0,ROW()-1,10),ROW()-1,FALSE))</f>
        <v>1.9055200000000001</v>
      </c>
      <c r="O86">
        <f ca="1">IF(AND(ISNUMBER($O$171),$B$108=1),$O$171,HLOOKUP(INDIRECT(ADDRESS(2,COLUMN())),OFFSET($P$2,0,0,ROW()-1,10),ROW()-1,FALSE))</f>
        <v>5.1737799999999998</v>
      </c>
      <c r="P86">
        <f>1.6</f>
        <v>1.6</v>
      </c>
      <c r="Q86">
        <f>2.11263</f>
        <v>2.1126299999999998</v>
      </c>
      <c r="R86">
        <f>2.79845</f>
        <v>2.7984499999999999</v>
      </c>
      <c r="S86">
        <f>1.04182</f>
        <v>1.04182</v>
      </c>
      <c r="T86">
        <f>0.30035</f>
        <v>0.30035000000000001</v>
      </c>
      <c r="U86">
        <f>-3.23287</f>
        <v>-3.2328700000000001</v>
      </c>
      <c r="V86">
        <f>0.32796</f>
        <v>0.32795999999999997</v>
      </c>
      <c r="W86">
        <f>2.4701</f>
        <v>2.4701</v>
      </c>
      <c r="X86">
        <f>1.90552</f>
        <v>1.9055200000000001</v>
      </c>
      <c r="Y86">
        <f>5.17378</f>
        <v>5.1737799999999998</v>
      </c>
    </row>
    <row r="87" spans="1:25" x14ac:dyDescent="0.25">
      <c r="A87" t="str">
        <f>"    Asia/Pacific"</f>
        <v xml:space="preserve">    Asia/Pacific</v>
      </c>
      <c r="B87" t="str">
        <f>""</f>
        <v/>
      </c>
      <c r="E87" t="str">
        <f>"Static"</f>
        <v>Static</v>
      </c>
      <c r="F87" t="str">
        <f t="shared" ref="F87:O87" ca="1" si="28">HLOOKUP(INDIRECT(ADDRESS(2,COLUMN())),OFFSET($P$2,0,0,ROW()-1,10),ROW()-1,FALSE)</f>
        <v/>
      </c>
      <c r="G87" t="str">
        <f t="shared" ca="1" si="28"/>
        <v/>
      </c>
      <c r="H87" t="str">
        <f t="shared" ca="1" si="28"/>
        <v/>
      </c>
      <c r="I87" t="str">
        <f t="shared" ca="1" si="28"/>
        <v/>
      </c>
      <c r="J87" t="str">
        <f t="shared" ca="1" si="28"/>
        <v/>
      </c>
      <c r="K87" t="str">
        <f t="shared" ca="1" si="28"/>
        <v/>
      </c>
      <c r="L87" t="str">
        <f t="shared" ca="1" si="28"/>
        <v/>
      </c>
      <c r="M87" t="str">
        <f t="shared" ca="1" si="28"/>
        <v/>
      </c>
      <c r="N87" t="str">
        <f t="shared" ca="1" si="28"/>
        <v/>
      </c>
      <c r="O87" t="str">
        <f t="shared" ca="1" si="28"/>
        <v/>
      </c>
      <c r="P87" t="str">
        <f>""</f>
        <v/>
      </c>
      <c r="Q87" t="str">
        <f>""</f>
        <v/>
      </c>
      <c r="R87" t="str">
        <f>""</f>
        <v/>
      </c>
      <c r="S87" t="str">
        <f>""</f>
        <v/>
      </c>
      <c r="T87" t="str">
        <f>""</f>
        <v/>
      </c>
      <c r="U87" t="str">
        <f>""</f>
        <v/>
      </c>
      <c r="V87" t="str">
        <f>""</f>
        <v/>
      </c>
      <c r="W87" t="str">
        <f>""</f>
        <v/>
      </c>
      <c r="X87" t="str">
        <f>""</f>
        <v/>
      </c>
      <c r="Y87" t="str">
        <f>""</f>
        <v/>
      </c>
    </row>
    <row r="88" spans="1:25" x14ac:dyDescent="0.25">
      <c r="A88" t="str">
        <f>"        Japan"</f>
        <v xml:space="preserve">        Japan</v>
      </c>
      <c r="B88" t="str">
        <f>"JGDPNSAQ Index"</f>
        <v>JGDPNSAQ Index</v>
      </c>
      <c r="C88" t="str">
        <f>"PR005"</f>
        <v>PR005</v>
      </c>
      <c r="D88" t="str">
        <f>"PX_LAST"</f>
        <v>PX_LAST</v>
      </c>
      <c r="E88" t="str">
        <f>"Dynamic"</f>
        <v>Dynamic</v>
      </c>
      <c r="F88">
        <f ca="1">IF(AND(ISNUMBER($F$172),$B$108=1),$F$172,HLOOKUP(INDIRECT(ADDRESS(2,COLUMN())),OFFSET($P$2,0,0,ROW()-1,10),ROW()-1,FALSE))</f>
        <v>-1.7</v>
      </c>
      <c r="G88">
        <f ca="1">IF(AND(ISNUMBER($G$172),$B$108=1),$G$172,HLOOKUP(INDIRECT(ADDRESS(2,COLUMN())),OFFSET($P$2,0,0,ROW()-1,10),ROW()-1,FALSE))</f>
        <v>-0.7</v>
      </c>
      <c r="H88">
        <f ca="1">IF(AND(ISNUMBER($H$172),$B$108=1),$H$172,HLOOKUP(INDIRECT(ADDRESS(2,COLUMN())),OFFSET($P$2,0,0,ROW()-1,10),ROW()-1,FALSE))</f>
        <v>-0.4</v>
      </c>
      <c r="I88">
        <f ca="1">IF(AND(ISNUMBER($I$172),$B$108=1),$I$172,HLOOKUP(INDIRECT(ADDRESS(2,COLUMN())),OFFSET($P$2,0,0,ROW()-1,10),ROW()-1,FALSE))</f>
        <v>2.5</v>
      </c>
      <c r="J88">
        <f ca="1">IF(AND(ISNUMBER($J$172),$B$108=1),$J$172,HLOOKUP(INDIRECT(ADDRESS(2,COLUMN())),OFFSET($P$2,0,0,ROW()-1,10),ROW()-1,FALSE))</f>
        <v>1.2</v>
      </c>
      <c r="K88">
        <f ca="1">IF(AND(ISNUMBER($K$172),$B$108=1),$K$172,HLOOKUP(INDIRECT(ADDRESS(2,COLUMN())),OFFSET($P$2,0,0,ROW()-1,10),ROW()-1,FALSE))</f>
        <v>0.9</v>
      </c>
      <c r="L88">
        <f ca="1">IF(AND(ISNUMBER($L$172),$B$108=1),$L$172,HLOOKUP(INDIRECT(ADDRESS(2,COLUMN())),OFFSET($P$2,0,0,ROW()-1,10),ROW()-1,FALSE))</f>
        <v>-0.5</v>
      </c>
      <c r="M88">
        <f ca="1">IF(AND(ISNUMBER($M$172),$B$108=1),$M$172,HLOOKUP(INDIRECT(ADDRESS(2,COLUMN())),OFFSET($P$2,0,0,ROW()-1,10),ROW()-1,FALSE))</f>
        <v>2.7</v>
      </c>
      <c r="N88">
        <f ca="1">IF(AND(ISNUMBER($N$172),$B$108=1),$N$172,HLOOKUP(INDIRECT(ADDRESS(2,COLUMN())),OFFSET($P$2,0,0,ROW()-1,10),ROW()-1,FALSE))</f>
        <v>0.3</v>
      </c>
      <c r="O88">
        <f ca="1">IF(AND(ISNUMBER($O$172),$B$108=1),$O$172,HLOOKUP(INDIRECT(ADDRESS(2,COLUMN())),OFFSET($P$2,0,0,ROW()-1,10),ROW()-1,FALSE))</f>
        <v>0.1</v>
      </c>
      <c r="P88">
        <f>-1.7</f>
        <v>-1.7</v>
      </c>
      <c r="Q88">
        <f>-0.7</f>
        <v>-0.7</v>
      </c>
      <c r="R88">
        <f>-0.4</f>
        <v>-0.4</v>
      </c>
      <c r="S88">
        <f>2.5</f>
        <v>2.5</v>
      </c>
      <c r="T88">
        <f>1.2</f>
        <v>1.2</v>
      </c>
      <c r="U88">
        <f>0.9</f>
        <v>0.9</v>
      </c>
      <c r="V88">
        <f>-0.5</f>
        <v>-0.5</v>
      </c>
      <c r="W88">
        <f>2.7</f>
        <v>2.7</v>
      </c>
      <c r="X88">
        <f>0.3</f>
        <v>0.3</v>
      </c>
      <c r="Y88">
        <f>0.1</f>
        <v>0.1</v>
      </c>
    </row>
    <row r="89" spans="1:25" x14ac:dyDescent="0.25">
      <c r="A89" t="str">
        <f>"        China"</f>
        <v xml:space="preserve">        China</v>
      </c>
      <c r="B89" t="str">
        <f>"CNGDPYOY Index"</f>
        <v>CNGDPYOY Index</v>
      </c>
      <c r="C89" t="str">
        <f>"PR005"</f>
        <v>PR005</v>
      </c>
      <c r="D89" t="str">
        <f>"PX_LAST"</f>
        <v>PX_LAST</v>
      </c>
      <c r="E89" t="str">
        <f>"Dynamic"</f>
        <v>Dynamic</v>
      </c>
      <c r="F89">
        <f ca="1">IF(AND(ISNUMBER($F$173),$B$108=1),$F$173,HLOOKUP(INDIRECT(ADDRESS(2,COLUMN())),OFFSET($P$2,0,0,ROW()-1,10),ROW()-1,FALSE))</f>
        <v>-6.8</v>
      </c>
      <c r="G89">
        <f ca="1">IF(AND(ISNUMBER($G$173),$B$108=1),$G$173,HLOOKUP(INDIRECT(ADDRESS(2,COLUMN())),OFFSET($P$2,0,0,ROW()-1,10),ROW()-1,FALSE))</f>
        <v>6</v>
      </c>
      <c r="H89">
        <f ca="1">IF(AND(ISNUMBER($H$173),$B$108=1),$H$173,HLOOKUP(INDIRECT(ADDRESS(2,COLUMN())),OFFSET($P$2,0,0,ROW()-1,10),ROW()-1,FALSE))</f>
        <v>6.5</v>
      </c>
      <c r="I89">
        <f ca="1">IF(AND(ISNUMBER($I$173),$B$108=1),$I$173,HLOOKUP(INDIRECT(ADDRESS(2,COLUMN())),OFFSET($P$2,0,0,ROW()-1,10),ROW()-1,FALSE))</f>
        <v>6.8</v>
      </c>
      <c r="J89">
        <f ca="1">IF(AND(ISNUMBER($J$173),$B$108=1),$J$173,HLOOKUP(INDIRECT(ADDRESS(2,COLUMN())),OFFSET($P$2,0,0,ROW()-1,10),ROW()-1,FALSE))</f>
        <v>6.8</v>
      </c>
      <c r="K89">
        <f ca="1">IF(AND(ISNUMBER($K$173),$B$108=1),$K$173,HLOOKUP(INDIRECT(ADDRESS(2,COLUMN())),OFFSET($P$2,0,0,ROW()-1,10),ROW()-1,FALSE))</f>
        <v>6.8</v>
      </c>
      <c r="L89">
        <f ca="1">IF(AND(ISNUMBER($L$173),$B$108=1),$L$173,HLOOKUP(INDIRECT(ADDRESS(2,COLUMN())),OFFSET($P$2,0,0,ROW()-1,10),ROW()-1,FALSE))</f>
        <v>7.2</v>
      </c>
      <c r="M89">
        <f ca="1">IF(AND(ISNUMBER($M$173),$B$108=1),$M$173,HLOOKUP(INDIRECT(ADDRESS(2,COLUMN())),OFFSET($P$2,0,0,ROW()-1,10),ROW()-1,FALSE))</f>
        <v>7.7</v>
      </c>
      <c r="N89">
        <f ca="1">IF(AND(ISNUMBER($N$173),$B$108=1),$N$173,HLOOKUP(INDIRECT(ADDRESS(2,COLUMN())),OFFSET($P$2,0,0,ROW()-1,10),ROW()-1,FALSE))</f>
        <v>8.1</v>
      </c>
      <c r="O89">
        <f ca="1">IF(AND(ISNUMBER($O$173),$B$108=1),$O$173,HLOOKUP(INDIRECT(ADDRESS(2,COLUMN())),OFFSET($P$2,0,0,ROW()-1,10),ROW()-1,FALSE))</f>
        <v>8.8000000000000007</v>
      </c>
      <c r="P89">
        <f>-6.8</f>
        <v>-6.8</v>
      </c>
      <c r="Q89">
        <f>6</f>
        <v>6</v>
      </c>
      <c r="R89">
        <f>6.5</f>
        <v>6.5</v>
      </c>
      <c r="S89">
        <f>6.8</f>
        <v>6.8</v>
      </c>
      <c r="T89">
        <f>6.8</f>
        <v>6.8</v>
      </c>
      <c r="U89">
        <f>6.8</f>
        <v>6.8</v>
      </c>
      <c r="V89">
        <f>7.2</f>
        <v>7.2</v>
      </c>
      <c r="W89">
        <f>7.7</f>
        <v>7.7</v>
      </c>
      <c r="X89">
        <f>8.1</f>
        <v>8.1</v>
      </c>
      <c r="Y89">
        <f>8.8</f>
        <v>8.8000000000000007</v>
      </c>
    </row>
    <row r="90" spans="1:25" x14ac:dyDescent="0.25">
      <c r="A90" t="str">
        <f>"        India"</f>
        <v xml:space="preserve">        India</v>
      </c>
      <c r="B90" t="str">
        <f>"INQGGDPY Index"</f>
        <v>INQGGDPY Index</v>
      </c>
      <c r="C90" t="str">
        <f>"PR005"</f>
        <v>PR005</v>
      </c>
      <c r="D90" t="str">
        <f>"PX_LAST"</f>
        <v>PX_LAST</v>
      </c>
      <c r="E90" t="str">
        <f>"Dynamic"</f>
        <v>Dynamic</v>
      </c>
      <c r="F90" t="str">
        <f ca="1">IF(AND(ISNUMBER($F$174),$B$108=1),$F$174,HLOOKUP(INDIRECT(ADDRESS(2,COLUMN())),OFFSET($P$2,0,0,ROW()-1,10),ROW()-1,FALSE))</f>
        <v/>
      </c>
      <c r="G90" t="str">
        <f ca="1">IF(AND(ISNUMBER($G$174),$B$108=1),$G$174,HLOOKUP(INDIRECT(ADDRESS(2,COLUMN())),OFFSET($P$2,0,0,ROW()-1,10),ROW()-1,FALSE))</f>
        <v/>
      </c>
      <c r="H90" t="str">
        <f ca="1">IF(AND(ISNUMBER($H$174),$B$108=1),$H$174,HLOOKUP(INDIRECT(ADDRESS(2,COLUMN())),OFFSET($P$2,0,0,ROW()-1,10),ROW()-1,FALSE))</f>
        <v/>
      </c>
      <c r="I90" t="str">
        <f ca="1">IF(AND(ISNUMBER($I$174),$B$108=1),$I$174,HLOOKUP(INDIRECT(ADDRESS(2,COLUMN())),OFFSET($P$2,0,0,ROW()-1,10),ROW()-1,FALSE))</f>
        <v/>
      </c>
      <c r="J90" t="str">
        <f ca="1">IF(AND(ISNUMBER($J$174),$B$108=1),$J$174,HLOOKUP(INDIRECT(ADDRESS(2,COLUMN())),OFFSET($P$2,0,0,ROW()-1,10),ROW()-1,FALSE))</f>
        <v/>
      </c>
      <c r="K90" t="str">
        <f ca="1">IF(AND(ISNUMBER($K$174),$B$108=1),$K$174,HLOOKUP(INDIRECT(ADDRESS(2,COLUMN())),OFFSET($P$2,0,0,ROW()-1,10),ROW()-1,FALSE))</f>
        <v/>
      </c>
      <c r="L90">
        <f ca="1">IF(AND(ISNUMBER($L$174),$B$108=1),$L$174,HLOOKUP(INDIRECT(ADDRESS(2,COLUMN())),OFFSET($P$2,0,0,ROW()-1,10),ROW()-1,FALSE))</f>
        <v>5.3</v>
      </c>
      <c r="M90">
        <f ca="1">IF(AND(ISNUMBER($M$174),$B$108=1),$M$174,HLOOKUP(INDIRECT(ADDRESS(2,COLUMN())),OFFSET($P$2,0,0,ROW()-1,10),ROW()-1,FALSE))</f>
        <v>4.5999999999999996</v>
      </c>
      <c r="N90">
        <f ca="1">IF(AND(ISNUMBER($N$174),$B$108=1),$N$174,HLOOKUP(INDIRECT(ADDRESS(2,COLUMN())),OFFSET($P$2,0,0,ROW()-1,10),ROW()-1,FALSE))</f>
        <v>4.4000000000000004</v>
      </c>
      <c r="O90">
        <f ca="1">IF(AND(ISNUMBER($O$174),$B$108=1),$O$174,HLOOKUP(INDIRECT(ADDRESS(2,COLUMN())),OFFSET($P$2,0,0,ROW()-1,10),ROW()-1,FALSE))</f>
        <v>6.5</v>
      </c>
      <c r="P90" t="str">
        <f>""</f>
        <v/>
      </c>
      <c r="Q90" t="str">
        <f>""</f>
        <v/>
      </c>
      <c r="R90" t="str">
        <f>""</f>
        <v/>
      </c>
      <c r="S90" t="str">
        <f>""</f>
        <v/>
      </c>
      <c r="T90" t="str">
        <f>""</f>
        <v/>
      </c>
      <c r="U90" t="str">
        <f>""</f>
        <v/>
      </c>
      <c r="V90">
        <f>5.3</f>
        <v>5.3</v>
      </c>
      <c r="W90">
        <f>4.6</f>
        <v>4.5999999999999996</v>
      </c>
      <c r="X90">
        <f>4.4</f>
        <v>4.4000000000000004</v>
      </c>
      <c r="Y90">
        <f>6.5</f>
        <v>6.5</v>
      </c>
    </row>
    <row r="91" spans="1:25" x14ac:dyDescent="0.25">
      <c r="A91" t="str">
        <f>"        Australia"</f>
        <v xml:space="preserve">        Australia</v>
      </c>
      <c r="B91" t="str">
        <f>"AUNAGDPY Index"</f>
        <v>AUNAGDPY Index</v>
      </c>
      <c r="C91" t="str">
        <f>"PR005"</f>
        <v>PR005</v>
      </c>
      <c r="D91" t="str">
        <f>"PX_LAST"</f>
        <v>PX_LAST</v>
      </c>
      <c r="E91" t="str">
        <f>"Dynamic"</f>
        <v>Dynamic</v>
      </c>
      <c r="F91">
        <f ca="1">IF(AND(ISNUMBER($F$175),$B$108=1),$F$175,HLOOKUP(INDIRECT(ADDRESS(2,COLUMN())),OFFSET($P$2,0,0,ROW()-1,10),ROW()-1,FALSE))</f>
        <v>1.3856599999999999</v>
      </c>
      <c r="G91">
        <f ca="1">IF(AND(ISNUMBER($G$175),$B$108=1),$G$175,HLOOKUP(INDIRECT(ADDRESS(2,COLUMN())),OFFSET($P$2,0,0,ROW()-1,10),ROW()-1,FALSE))</f>
        <v>2.1568000000000001</v>
      </c>
      <c r="H91">
        <f ca="1">IF(AND(ISNUMBER($H$175),$B$108=1),$H$175,HLOOKUP(INDIRECT(ADDRESS(2,COLUMN())),OFFSET($P$2,0,0,ROW()-1,10),ROW()-1,FALSE))</f>
        <v>2.1827999999999999</v>
      </c>
      <c r="I91">
        <f ca="1">IF(AND(ISNUMBER($I$175),$B$108=1),$I$175,HLOOKUP(INDIRECT(ADDRESS(2,COLUMN())),OFFSET($P$2,0,0,ROW()-1,10),ROW()-1,FALSE))</f>
        <v>2.4698899999999999</v>
      </c>
      <c r="J91">
        <f ca="1">IF(AND(ISNUMBER($J$175),$B$108=1),$J$175,HLOOKUP(INDIRECT(ADDRESS(2,COLUMN())),OFFSET($P$2,0,0,ROW()-1,10),ROW()-1,FALSE))</f>
        <v>2.79535</v>
      </c>
      <c r="K91">
        <f ca="1">IF(AND(ISNUMBER($K$175),$B$108=1),$K$175,HLOOKUP(INDIRECT(ADDRESS(2,COLUMN())),OFFSET($P$2,0,0,ROW()-1,10),ROW()-1,FALSE))</f>
        <v>2.65741</v>
      </c>
      <c r="L91">
        <f ca="1">IF(AND(ISNUMBER($L$175),$B$108=1),$L$175,HLOOKUP(INDIRECT(ADDRESS(2,COLUMN())),OFFSET($P$2,0,0,ROW()-1,10),ROW()-1,FALSE))</f>
        <v>2.1082100000000001</v>
      </c>
      <c r="M91">
        <f ca="1">IF(AND(ISNUMBER($M$175),$B$108=1),$M$175,HLOOKUP(INDIRECT(ADDRESS(2,COLUMN())),OFFSET($P$2,0,0,ROW()-1,10),ROW()-1,FALSE))</f>
        <v>2.3608799999999999</v>
      </c>
      <c r="N91">
        <f ca="1">IF(AND(ISNUMBER($N$175),$B$108=1),$N$175,HLOOKUP(INDIRECT(ADDRESS(2,COLUMN())),OFFSET($P$2,0,0,ROW()-1,10),ROW()-1,FALSE))</f>
        <v>2.8547600000000002</v>
      </c>
      <c r="O91">
        <f ca="1">IF(AND(ISNUMBER($O$175),$B$108=1),$O$175,HLOOKUP(INDIRECT(ADDRESS(2,COLUMN())),OFFSET($P$2,0,0,ROW()-1,10),ROW()-1,FALSE))</f>
        <v>3.43228</v>
      </c>
      <c r="P91">
        <f>1.38566</f>
        <v>1.3856599999999999</v>
      </c>
      <c r="Q91">
        <f>2.1568</f>
        <v>2.1568000000000001</v>
      </c>
      <c r="R91">
        <f>2.1828</f>
        <v>2.1827999999999999</v>
      </c>
      <c r="S91">
        <f>2.46989</f>
        <v>2.4698899999999999</v>
      </c>
      <c r="T91">
        <f>2.79535</f>
        <v>2.79535</v>
      </c>
      <c r="U91">
        <f>2.65741</f>
        <v>2.65741</v>
      </c>
      <c r="V91">
        <f>2.10821</f>
        <v>2.1082100000000001</v>
      </c>
      <c r="W91">
        <f>2.36088</f>
        <v>2.3608799999999999</v>
      </c>
      <c r="X91">
        <f>2.85476</f>
        <v>2.8547600000000002</v>
      </c>
      <c r="Y91">
        <f>3.43228</f>
        <v>3.43228</v>
      </c>
    </row>
    <row r="92" spans="1:25" x14ac:dyDescent="0.25">
      <c r="A92" t="str">
        <f>""</f>
        <v/>
      </c>
      <c r="B92" t="str">
        <f>""</f>
        <v/>
      </c>
      <c r="E92" t="str">
        <f>"Static"</f>
        <v>Static</v>
      </c>
      <c r="F92" t="str">
        <f t="shared" ref="F92:O92" ca="1" si="29">HLOOKUP(INDIRECT(ADDRESS(2,COLUMN())),OFFSET($P$2,0,0,ROW()-1,10),ROW()-1,FALSE)</f>
        <v/>
      </c>
      <c r="G92" t="str">
        <f t="shared" ca="1" si="29"/>
        <v/>
      </c>
      <c r="H92" t="str">
        <f t="shared" ca="1" si="29"/>
        <v/>
      </c>
      <c r="I92" t="str">
        <f t="shared" ca="1" si="29"/>
        <v/>
      </c>
      <c r="J92" t="str">
        <f t="shared" ca="1" si="29"/>
        <v/>
      </c>
      <c r="K92" t="str">
        <f t="shared" ca="1" si="29"/>
        <v/>
      </c>
      <c r="L92" t="str">
        <f t="shared" ca="1" si="29"/>
        <v/>
      </c>
      <c r="M92" t="str">
        <f t="shared" ca="1" si="29"/>
        <v/>
      </c>
      <c r="N92" t="str">
        <f t="shared" ca="1" si="29"/>
        <v/>
      </c>
      <c r="O92" t="str">
        <f t="shared" ca="1" si="29"/>
        <v/>
      </c>
      <c r="P92" t="str">
        <f>""</f>
        <v/>
      </c>
      <c r="Q92" t="str">
        <f>""</f>
        <v/>
      </c>
      <c r="R92" t="str">
        <f>""</f>
        <v/>
      </c>
      <c r="S92" t="str">
        <f>""</f>
        <v/>
      </c>
      <c r="T92" t="str">
        <f>""</f>
        <v/>
      </c>
      <c r="U92" t="str">
        <f>""</f>
        <v/>
      </c>
      <c r="V92" t="str">
        <f>""</f>
        <v/>
      </c>
      <c r="W92" t="str">
        <f>""</f>
        <v/>
      </c>
      <c r="X92" t="str">
        <f>""</f>
        <v/>
      </c>
      <c r="Y92" t="str">
        <f>""</f>
        <v/>
      </c>
    </row>
    <row r="93" spans="1:25" x14ac:dyDescent="0.25">
      <c r="P93" t="str">
        <f>""</f>
        <v/>
      </c>
      <c r="Q93" t="str">
        <f>""</f>
        <v/>
      </c>
      <c r="R93" t="str">
        <f>""</f>
        <v/>
      </c>
      <c r="S93" t="str">
        <f>""</f>
        <v/>
      </c>
      <c r="T93" t="str">
        <f>""</f>
        <v/>
      </c>
      <c r="U93" t="str">
        <f>""</f>
        <v/>
      </c>
      <c r="V93" t="str">
        <f>""</f>
        <v/>
      </c>
      <c r="W93" t="str">
        <f>""</f>
        <v/>
      </c>
      <c r="X93" t="str">
        <f>""</f>
        <v/>
      </c>
      <c r="Y93" t="str">
        <f>""</f>
        <v/>
      </c>
    </row>
    <row r="94" spans="1:25" x14ac:dyDescent="0.25">
      <c r="P94" t="str">
        <f>""</f>
        <v/>
      </c>
      <c r="Q94" t="str">
        <f>""</f>
        <v/>
      </c>
      <c r="R94" t="str">
        <f>""</f>
        <v/>
      </c>
      <c r="S94" t="str">
        <f>""</f>
        <v/>
      </c>
      <c r="T94" t="str">
        <f>""</f>
        <v/>
      </c>
      <c r="U94" t="str">
        <f>""</f>
        <v/>
      </c>
      <c r="V94" t="str">
        <f>""</f>
        <v/>
      </c>
      <c r="W94" t="str">
        <f>""</f>
        <v/>
      </c>
      <c r="X94" t="str">
        <f>""</f>
        <v/>
      </c>
      <c r="Y94" t="str">
        <f>""</f>
        <v/>
      </c>
    </row>
    <row r="95" spans="1:25" x14ac:dyDescent="0.25">
      <c r="P95" t="str">
        <f>""</f>
        <v/>
      </c>
      <c r="Q95" t="str">
        <f>""</f>
        <v/>
      </c>
      <c r="R95" t="str">
        <f>""</f>
        <v/>
      </c>
      <c r="S95" t="str">
        <f>""</f>
        <v/>
      </c>
      <c r="T95" t="str">
        <f>""</f>
        <v/>
      </c>
      <c r="U95" t="str">
        <f>""</f>
        <v/>
      </c>
      <c r="V95" t="str">
        <f>""</f>
        <v/>
      </c>
      <c r="W95" t="str">
        <f>""</f>
        <v/>
      </c>
      <c r="X95" t="str">
        <f>""</f>
        <v/>
      </c>
      <c r="Y95" t="str">
        <f>""</f>
        <v/>
      </c>
    </row>
    <row r="96" spans="1:25" x14ac:dyDescent="0.25">
      <c r="P96" t="str">
        <f>""</f>
        <v/>
      </c>
      <c r="Q96" t="str">
        <f>""</f>
        <v/>
      </c>
      <c r="R96" t="str">
        <f>""</f>
        <v/>
      </c>
      <c r="S96" t="str">
        <f>""</f>
        <v/>
      </c>
      <c r="T96" t="str">
        <f>""</f>
        <v/>
      </c>
      <c r="U96" t="str">
        <f>""</f>
        <v/>
      </c>
      <c r="V96" t="str">
        <f>""</f>
        <v/>
      </c>
      <c r="W96" t="str">
        <f>""</f>
        <v/>
      </c>
      <c r="X96" t="str">
        <f>""</f>
        <v/>
      </c>
      <c r="Y96" t="str">
        <f>""</f>
        <v/>
      </c>
    </row>
    <row r="97" spans="1:25" x14ac:dyDescent="0.25">
      <c r="P97" t="str">
        <f>""</f>
        <v/>
      </c>
      <c r="Q97" t="str">
        <f>""</f>
        <v/>
      </c>
      <c r="R97" t="str">
        <f>""</f>
        <v/>
      </c>
      <c r="S97" t="str">
        <f>""</f>
        <v/>
      </c>
      <c r="T97" t="str">
        <f>""</f>
        <v/>
      </c>
      <c r="U97" t="str">
        <f>""</f>
        <v/>
      </c>
      <c r="V97" t="str">
        <f>""</f>
        <v/>
      </c>
      <c r="W97" t="str">
        <f>""</f>
        <v/>
      </c>
      <c r="X97" t="str">
        <f>""</f>
        <v/>
      </c>
      <c r="Y97" t="str">
        <f>""</f>
        <v/>
      </c>
    </row>
    <row r="98" spans="1:25" x14ac:dyDescent="0.25">
      <c r="P98" t="str">
        <f>""</f>
        <v/>
      </c>
      <c r="Q98" t="str">
        <f>""</f>
        <v/>
      </c>
      <c r="R98" t="str">
        <f>""</f>
        <v/>
      </c>
      <c r="S98" t="str">
        <f>""</f>
        <v/>
      </c>
      <c r="T98" t="str">
        <f>""</f>
        <v/>
      </c>
      <c r="U98" t="str">
        <f>""</f>
        <v/>
      </c>
      <c r="V98" t="str">
        <f>""</f>
        <v/>
      </c>
      <c r="W98" t="str">
        <f>""</f>
        <v/>
      </c>
      <c r="X98" t="str">
        <f>""</f>
        <v/>
      </c>
      <c r="Y98" t="str">
        <f>""</f>
        <v/>
      </c>
    </row>
    <row r="99" spans="1:25" x14ac:dyDescent="0.25">
      <c r="P99" t="str">
        <f>""</f>
        <v/>
      </c>
      <c r="Q99" t="str">
        <f>""</f>
        <v/>
      </c>
      <c r="R99" t="str">
        <f>""</f>
        <v/>
      </c>
      <c r="S99" t="str">
        <f>""</f>
        <v/>
      </c>
      <c r="T99" t="str">
        <f>""</f>
        <v/>
      </c>
      <c r="U99" t="str">
        <f>""</f>
        <v/>
      </c>
      <c r="V99" t="str">
        <f>""</f>
        <v/>
      </c>
      <c r="W99" t="str">
        <f>""</f>
        <v/>
      </c>
      <c r="X99" t="str">
        <f>""</f>
        <v/>
      </c>
      <c r="Y99" t="str">
        <f>""</f>
        <v/>
      </c>
    </row>
    <row r="100" spans="1:25" x14ac:dyDescent="0.25">
      <c r="A100" t="str">
        <f t="shared" ref="A100:O100" si="30">"~~~~~~~~~~"</f>
        <v>~~~~~~~~~~</v>
      </c>
      <c r="B100" t="str">
        <f t="shared" si="30"/>
        <v>~~~~~~~~~~</v>
      </c>
      <c r="C100" t="str">
        <f t="shared" si="30"/>
        <v>~~~~~~~~~~</v>
      </c>
      <c r="D100" t="str">
        <f t="shared" si="30"/>
        <v>~~~~~~~~~~</v>
      </c>
      <c r="E100" t="str">
        <f t="shared" si="30"/>
        <v>~~~~~~~~~~</v>
      </c>
      <c r="F100" t="str">
        <f t="shared" si="30"/>
        <v>~~~~~~~~~~</v>
      </c>
      <c r="G100" t="str">
        <f t="shared" si="30"/>
        <v>~~~~~~~~~~</v>
      </c>
      <c r="H100" t="str">
        <f t="shared" si="30"/>
        <v>~~~~~~~~~~</v>
      </c>
      <c r="I100" t="str">
        <f t="shared" si="30"/>
        <v>~~~~~~~~~~</v>
      </c>
      <c r="J100" t="str">
        <f t="shared" si="30"/>
        <v>~~~~~~~~~~</v>
      </c>
      <c r="K100" t="str">
        <f t="shared" si="30"/>
        <v>~~~~~~~~~~</v>
      </c>
      <c r="L100" t="str">
        <f t="shared" si="30"/>
        <v>~~~~~~~~~~</v>
      </c>
      <c r="M100" t="str">
        <f t="shared" si="30"/>
        <v>~~~~~~~~~~</v>
      </c>
      <c r="N100" t="str">
        <f t="shared" si="30"/>
        <v>~~~~~~~~~~</v>
      </c>
      <c r="O100" t="str">
        <f t="shared" si="30"/>
        <v>~~~~~~~~~~</v>
      </c>
      <c r="P100" t="str">
        <f>""</f>
        <v/>
      </c>
      <c r="Q100" t="str">
        <f>""</f>
        <v/>
      </c>
      <c r="R100" t="str">
        <f>""</f>
        <v/>
      </c>
      <c r="S100" t="str">
        <f>""</f>
        <v/>
      </c>
      <c r="T100" t="str">
        <f>""</f>
        <v/>
      </c>
      <c r="U100" t="str">
        <f>""</f>
        <v/>
      </c>
      <c r="V100" t="str">
        <f>""</f>
        <v/>
      </c>
      <c r="W100" t="str">
        <f>""</f>
        <v/>
      </c>
      <c r="X100" t="str">
        <f>""</f>
        <v/>
      </c>
      <c r="Y100" t="str">
        <f>""</f>
        <v/>
      </c>
    </row>
    <row r="101" spans="1:25" x14ac:dyDescent="0.25">
      <c r="A101" t="str">
        <f>"All rows below have been added for reference by formula rows above."</f>
        <v>All rows below have been added for reference by formula rows above.</v>
      </c>
      <c r="P101" t="str">
        <f>""</f>
        <v/>
      </c>
      <c r="Q101" t="str">
        <f>""</f>
        <v/>
      </c>
      <c r="R101" t="str">
        <f>""</f>
        <v/>
      </c>
      <c r="S101" t="str">
        <f>""</f>
        <v/>
      </c>
      <c r="T101" t="str">
        <f>""</f>
        <v/>
      </c>
      <c r="U101" t="str">
        <f>""</f>
        <v/>
      </c>
      <c r="V101" t="str">
        <f>""</f>
        <v/>
      </c>
      <c r="W101" t="str">
        <f>""</f>
        <v/>
      </c>
      <c r="X101" t="str">
        <f>""</f>
        <v/>
      </c>
      <c r="Y101" t="str">
        <f>""</f>
        <v/>
      </c>
    </row>
    <row r="102" spans="1:25" x14ac:dyDescent="0.25">
      <c r="A102">
        <f>RTD("bloomberg.ccyreader", "", "#track", "DBG", "BIHITX", "1.0","RepeatHit")</f>
        <v>0</v>
      </c>
      <c r="P102" t="str">
        <f>""</f>
        <v/>
      </c>
      <c r="Q102" t="str">
        <f>""</f>
        <v/>
      </c>
      <c r="R102" t="str">
        <f>""</f>
        <v/>
      </c>
      <c r="S102" t="str">
        <f>""</f>
        <v/>
      </c>
      <c r="T102" t="str">
        <f>""</f>
        <v/>
      </c>
      <c r="U102" t="str">
        <f>""</f>
        <v/>
      </c>
      <c r="V102" t="str">
        <f>""</f>
        <v/>
      </c>
      <c r="W102" t="str">
        <f>""</f>
        <v/>
      </c>
      <c r="X102" t="str">
        <f>""</f>
        <v/>
      </c>
      <c r="Y102" t="str">
        <f>""</f>
        <v/>
      </c>
    </row>
    <row r="103" spans="1:25" x14ac:dyDescent="0.25">
      <c r="A103" t="str">
        <f>"Currency"</f>
        <v>Currency</v>
      </c>
      <c r="B103" t="str">
        <f>"USD"</f>
        <v>USD</v>
      </c>
      <c r="P103" t="str">
        <f>""</f>
        <v/>
      </c>
      <c r="Q103" t="str">
        <f>""</f>
        <v/>
      </c>
      <c r="R103" t="str">
        <f>""</f>
        <v/>
      </c>
      <c r="S103" t="str">
        <f>""</f>
        <v/>
      </c>
      <c r="T103" t="str">
        <f>""</f>
        <v/>
      </c>
      <c r="U103" t="str">
        <f>""</f>
        <v/>
      </c>
      <c r="V103" t="str">
        <f>""</f>
        <v/>
      </c>
      <c r="W103" t="str">
        <f>""</f>
        <v/>
      </c>
      <c r="X103" t="str">
        <f>""</f>
        <v/>
      </c>
      <c r="Y103" t="str">
        <f>""</f>
        <v/>
      </c>
    </row>
    <row r="104" spans="1:25" x14ac:dyDescent="0.25">
      <c r="A104" t="str">
        <f>"Periodicity"</f>
        <v>Periodicity</v>
      </c>
      <c r="B104" t="str">
        <f>"CY"</f>
        <v>CY</v>
      </c>
      <c r="C104" t="str">
        <f>"AY"</f>
        <v>AY</v>
      </c>
      <c r="P104" t="str">
        <f>""</f>
        <v/>
      </c>
      <c r="Q104" t="str">
        <f>""</f>
        <v/>
      </c>
      <c r="R104" t="str">
        <f>""</f>
        <v/>
      </c>
      <c r="S104" t="str">
        <f>""</f>
        <v/>
      </c>
      <c r="T104" t="str">
        <f>""</f>
        <v/>
      </c>
      <c r="U104" t="str">
        <f>""</f>
        <v/>
      </c>
      <c r="V104" t="str">
        <f>""</f>
        <v/>
      </c>
      <c r="W104" t="str">
        <f>""</f>
        <v/>
      </c>
      <c r="X104" t="str">
        <f>""</f>
        <v/>
      </c>
      <c r="Y104" t="str">
        <f>""</f>
        <v/>
      </c>
    </row>
    <row r="105" spans="1:25" x14ac:dyDescent="0.25">
      <c r="A105" t="str">
        <f>"Number of Periods"</f>
        <v>Number of Periods</v>
      </c>
      <c r="B105">
        <f>10</f>
        <v>10</v>
      </c>
      <c r="P105" t="str">
        <f>""</f>
        <v/>
      </c>
      <c r="Q105" t="str">
        <f>""</f>
        <v/>
      </c>
      <c r="R105" t="str">
        <f>""</f>
        <v/>
      </c>
      <c r="S105" t="str">
        <f>""</f>
        <v/>
      </c>
      <c r="T105" t="str">
        <f>""</f>
        <v/>
      </c>
      <c r="U105" t="str">
        <f>""</f>
        <v/>
      </c>
      <c r="V105" t="str">
        <f>""</f>
        <v/>
      </c>
      <c r="W105" t="str">
        <f>""</f>
        <v/>
      </c>
      <c r="X105" t="str">
        <f>""</f>
        <v/>
      </c>
      <c r="Y105" t="str">
        <f>""</f>
        <v/>
      </c>
    </row>
    <row r="106" spans="1:25" x14ac:dyDescent="0.25">
      <c r="A106" t="str">
        <f>"Start Date"</f>
        <v>Start Date</v>
      </c>
      <c r="B106" t="str">
        <f>CONCATENATE("-",$B$105,$B$104)</f>
        <v>-10CY</v>
      </c>
      <c r="C106" t="str">
        <f>CONCATENATE("-",$B$105,$C$104)</f>
        <v>-10AY</v>
      </c>
      <c r="P106" t="str">
        <f>""</f>
        <v/>
      </c>
      <c r="Q106" t="str">
        <f>""</f>
        <v/>
      </c>
      <c r="R106" t="str">
        <f>""</f>
        <v/>
      </c>
      <c r="S106" t="str">
        <f>""</f>
        <v/>
      </c>
      <c r="T106" t="str">
        <f>""</f>
        <v/>
      </c>
      <c r="U106" t="str">
        <f>""</f>
        <v/>
      </c>
      <c r="V106" t="str">
        <f>""</f>
        <v/>
      </c>
      <c r="W106" t="str">
        <f>""</f>
        <v/>
      </c>
      <c r="X106" t="str">
        <f>""</f>
        <v/>
      </c>
      <c r="Y106" t="str">
        <f>""</f>
        <v/>
      </c>
    </row>
    <row r="107" spans="1:25" x14ac:dyDescent="0.25">
      <c r="A107" t="str">
        <f>"End Date"</f>
        <v>End Date</v>
      </c>
      <c r="B107">
        <f ca="1">IF(TODAY()&lt;DATE(2020, 12,31),DATE(2020, 12,31),TODAY())</f>
        <v>44196</v>
      </c>
      <c r="P107" t="str">
        <f>""</f>
        <v/>
      </c>
      <c r="Q107" t="str">
        <f>""</f>
        <v/>
      </c>
      <c r="R107" t="str">
        <f>""</f>
        <v/>
      </c>
      <c r="S107" t="str">
        <f>""</f>
        <v/>
      </c>
      <c r="T107" t="str">
        <f>""</f>
        <v/>
      </c>
      <c r="U107" t="str">
        <f>""</f>
        <v/>
      </c>
      <c r="V107" t="str">
        <f>""</f>
        <v/>
      </c>
      <c r="W107" t="str">
        <f>""</f>
        <v/>
      </c>
      <c r="X107" t="str">
        <f>""</f>
        <v/>
      </c>
      <c r="Y107" t="str">
        <f>""</f>
        <v/>
      </c>
    </row>
    <row r="108" spans="1:25" x14ac:dyDescent="0.25">
      <c r="A108" t="str">
        <f>"HeaderStatus(custom data)"</f>
        <v>HeaderStatus(custom data)</v>
      </c>
      <c r="P108" t="str">
        <f>""</f>
        <v/>
      </c>
      <c r="Q108" t="str">
        <f>""</f>
        <v/>
      </c>
      <c r="R108" t="str">
        <f>""</f>
        <v/>
      </c>
      <c r="S108" t="str">
        <f>""</f>
        <v/>
      </c>
      <c r="T108" t="str">
        <f>""</f>
        <v/>
      </c>
      <c r="U108" t="str">
        <f>""</f>
        <v/>
      </c>
      <c r="V108" t="str">
        <f>""</f>
        <v/>
      </c>
      <c r="W108" t="str">
        <f>""</f>
        <v/>
      </c>
      <c r="X108" t="str">
        <f>""</f>
        <v/>
      </c>
      <c r="Y108" t="str">
        <f>""</f>
        <v/>
      </c>
    </row>
    <row r="109" spans="1:25" x14ac:dyDescent="0.25">
      <c r="P109" t="str">
        <f>""</f>
        <v/>
      </c>
      <c r="Q109" t="str">
        <f>""</f>
        <v/>
      </c>
      <c r="R109" t="str">
        <f>""</f>
        <v/>
      </c>
      <c r="S109" t="str">
        <f>""</f>
        <v/>
      </c>
      <c r="T109" t="str">
        <f>""</f>
        <v/>
      </c>
      <c r="U109" t="str">
        <f>""</f>
        <v/>
      </c>
      <c r="V109" t="str">
        <f>""</f>
        <v/>
      </c>
      <c r="W109" t="str">
        <f>""</f>
        <v/>
      </c>
      <c r="X109" t="str">
        <f>""</f>
        <v/>
      </c>
      <c r="Y109" t="str">
        <f>""</f>
        <v/>
      </c>
    </row>
    <row r="110" spans="1:25" x14ac:dyDescent="0.25">
      <c r="A110" t="str">
        <f>$A$4</f>
        <v>Corporate Profits ($B)</v>
      </c>
      <c r="B110" t="str">
        <f>$B$4</f>
        <v>CPFTTOT Index</v>
      </c>
      <c r="C110" t="str">
        <f>$C$4</f>
        <v>PR005</v>
      </c>
      <c r="D110" t="str">
        <f>$D$4</f>
        <v>PX_LAST</v>
      </c>
      <c r="E110" t="str">
        <f>$E$4</f>
        <v>Dynamic</v>
      </c>
      <c r="F110" t="str">
        <f ca="1">_xll.BDH($B$4,$C$4,$B$106,$B$107,CONCATENATE("Per=",$B$104),"Dts=H","Dir=H",CONCATENATE("Points=",$B$105),"Sort=R","Days=A","Fill=B",CONCATENATE("FX=", $B$103) )</f>
        <v/>
      </c>
      <c r="P110" t="str">
        <f>""</f>
        <v/>
      </c>
      <c r="Q110" t="str">
        <f>""</f>
        <v/>
      </c>
      <c r="R110" t="str">
        <f>""</f>
        <v/>
      </c>
      <c r="S110" t="str">
        <f>""</f>
        <v/>
      </c>
      <c r="T110" t="str">
        <f>""</f>
        <v/>
      </c>
      <c r="U110" t="str">
        <f>""</f>
        <v/>
      </c>
      <c r="V110" t="str">
        <f>""</f>
        <v/>
      </c>
      <c r="W110" t="str">
        <f>""</f>
        <v/>
      </c>
      <c r="X110" t="str">
        <f>""</f>
        <v/>
      </c>
      <c r="Y110" t="str">
        <f>""</f>
        <v/>
      </c>
    </row>
    <row r="111" spans="1:25" x14ac:dyDescent="0.25">
      <c r="A111" t="str">
        <f>$A$5</f>
        <v>Undistributed Corporate Profits ($B)</v>
      </c>
      <c r="B111" t="str">
        <f>$B$5</f>
        <v>CPFTUNDI Index</v>
      </c>
      <c r="C111" t="str">
        <f>$C$5</f>
        <v>PR005</v>
      </c>
      <c r="D111" t="str">
        <f>$D$5</f>
        <v>PX_LAST</v>
      </c>
      <c r="E111" t="str">
        <f>$E$5</f>
        <v>Dynamic</v>
      </c>
      <c r="F111" t="str">
        <f ca="1">_xll.BDH($B$5,$C$5,$B$106,$B$107,CONCATENATE("Per=",$B$104),"Dts=H","Dir=H",CONCATENATE("Points=",$B$105),"Sort=R","Days=A","Fill=B",CONCATENATE("FX=", $B$103) )</f>
        <v/>
      </c>
      <c r="P111" t="str">
        <f>""</f>
        <v/>
      </c>
      <c r="Q111" t="str">
        <f>""</f>
        <v/>
      </c>
      <c r="R111" t="str">
        <f>""</f>
        <v/>
      </c>
      <c r="S111" t="str">
        <f>""</f>
        <v/>
      </c>
      <c r="T111" t="str">
        <f>""</f>
        <v/>
      </c>
      <c r="U111" t="str">
        <f>""</f>
        <v/>
      </c>
      <c r="V111" t="str">
        <f>""</f>
        <v/>
      </c>
      <c r="W111" t="str">
        <f>""</f>
        <v/>
      </c>
      <c r="X111" t="str">
        <f>""</f>
        <v/>
      </c>
      <c r="Y111" t="str">
        <f>""</f>
        <v/>
      </c>
    </row>
    <row r="112" spans="1:25" x14ac:dyDescent="0.25">
      <c r="A112" t="str">
        <f>$A$6</f>
        <v>S&amp;P 500 T12M EPS</v>
      </c>
      <c r="B112" t="str">
        <f>$B$6</f>
        <v>SPX Index</v>
      </c>
      <c r="C112" t="str">
        <f>$C$6</f>
        <v>RR906</v>
      </c>
      <c r="D112" t="str">
        <f>$D$6</f>
        <v>TRAIL_12M_EPS</v>
      </c>
      <c r="E112" t="str">
        <f>$E$6</f>
        <v>Dynamic</v>
      </c>
      <c r="F112">
        <f ca="1">_xll.BDH($B$6,$C$6,$B$106,$B$107,CONCATENATE("Per=",$B$104),"Dts=H","Dir=H",CONCATENATE("Points=",$B$105),"Sort=R","Days=A","Fill=B",CONCATENATE("FX=", $B$103) )</f>
        <v>143.43</v>
      </c>
      <c r="P112" t="str">
        <f>""</f>
        <v/>
      </c>
      <c r="Q112" t="str">
        <f>""</f>
        <v/>
      </c>
      <c r="R112" t="str">
        <f>""</f>
        <v/>
      </c>
      <c r="S112" t="str">
        <f>""</f>
        <v/>
      </c>
      <c r="T112" t="str">
        <f>""</f>
        <v/>
      </c>
      <c r="U112" t="str">
        <f>""</f>
        <v/>
      </c>
      <c r="V112" t="str">
        <f>""</f>
        <v/>
      </c>
      <c r="W112" t="str">
        <f>""</f>
        <v/>
      </c>
      <c r="X112" t="str">
        <f>""</f>
        <v/>
      </c>
      <c r="Y112" t="str">
        <f>""</f>
        <v/>
      </c>
    </row>
    <row r="113" spans="1:25" x14ac:dyDescent="0.25">
      <c r="A113" t="str">
        <f>$A$9</f>
        <v>CEO Confidence</v>
      </c>
      <c r="B113" t="str">
        <f>$B$9</f>
        <v>CEOCINDX Index</v>
      </c>
      <c r="C113" t="str">
        <f>$C$9</f>
        <v>PR005</v>
      </c>
      <c r="D113" t="str">
        <f>$D$9</f>
        <v>PX_LAST</v>
      </c>
      <c r="E113" t="str">
        <f>$E$9</f>
        <v>Dynamic</v>
      </c>
      <c r="F113">
        <f ca="1">_xll.BDH($B$9,$C$9,$B$106,$B$107,CONCATENATE("Per=",$B$104),"Dts=H","Dir=H",CONCATENATE("Points=",$B$105),"Sort=R","Days=A","Fill=B",CONCATENATE("FX=", $B$103) )</f>
        <v>6.5</v>
      </c>
      <c r="P113" t="str">
        <f>""</f>
        <v/>
      </c>
      <c r="Q113" t="str">
        <f>""</f>
        <v/>
      </c>
      <c r="R113" t="str">
        <f>""</f>
        <v/>
      </c>
      <c r="S113" t="str">
        <f>""</f>
        <v/>
      </c>
      <c r="T113" t="str">
        <f>""</f>
        <v/>
      </c>
      <c r="U113" t="str">
        <f>""</f>
        <v/>
      </c>
      <c r="V113" t="str">
        <f>""</f>
        <v/>
      </c>
      <c r="W113" t="str">
        <f>""</f>
        <v/>
      </c>
      <c r="X113" t="str">
        <f>""</f>
        <v/>
      </c>
      <c r="Y113" t="str">
        <f>""</f>
        <v/>
      </c>
    </row>
    <row r="114" spans="1:25" x14ac:dyDescent="0.25">
      <c r="A114" t="str">
        <f>$A$10</f>
        <v>Eurozone Business Confidence</v>
      </c>
      <c r="B114" t="str">
        <f>$B$10</f>
        <v>EUESEMU Index</v>
      </c>
      <c r="C114" t="str">
        <f>$C$10</f>
        <v>PR005</v>
      </c>
      <c r="D114" t="str">
        <f>$D$10</f>
        <v>PX_LAST</v>
      </c>
      <c r="E114" t="str">
        <f>$E$10</f>
        <v>Dynamic</v>
      </c>
      <c r="F114">
        <f ca="1">_xll.BDH($B$10,$C$10,$B$106,$B$107,CONCATENATE("Per=",$B$104),"Dts=H","Dir=H",CONCATENATE("Points=",$B$105),"Sort=R","Days=A","Fill=B",CONCATENATE("FX=", $B$103) )</f>
        <v>67.5</v>
      </c>
      <c r="P114" t="str">
        <f>""</f>
        <v/>
      </c>
      <c r="Q114" t="str">
        <f>""</f>
        <v/>
      </c>
      <c r="R114" t="str">
        <f>""</f>
        <v/>
      </c>
      <c r="S114" t="str">
        <f>""</f>
        <v/>
      </c>
      <c r="T114" t="str">
        <f>""</f>
        <v/>
      </c>
      <c r="U114" t="str">
        <f>""</f>
        <v/>
      </c>
      <c r="V114" t="str">
        <f>""</f>
        <v/>
      </c>
      <c r="W114" t="str">
        <f>""</f>
        <v/>
      </c>
      <c r="X114" t="str">
        <f>""</f>
        <v/>
      </c>
      <c r="Y114" t="str">
        <f>""</f>
        <v/>
      </c>
    </row>
    <row r="115" spans="1:25" x14ac:dyDescent="0.25">
      <c r="A115" t="str">
        <f>$A$11</f>
        <v xml:space="preserve">    France</v>
      </c>
      <c r="B115" t="str">
        <f>$B$11</f>
        <v>EUESFR Index</v>
      </c>
      <c r="C115" t="str">
        <f>$C$11</f>
        <v>PR005</v>
      </c>
      <c r="D115" t="str">
        <f>$D$11</f>
        <v>PX_LAST</v>
      </c>
      <c r="E115" t="str">
        <f>$E$11</f>
        <v>Dynamic</v>
      </c>
      <c r="F115">
        <f ca="1">_xll.BDH($B$11,$C$11,$B$106,$B$107,CONCATENATE("Per=",$B$104),"Dts=H","Dir=H",CONCATENATE("Points=",$B$105),"Sort=R","Days=A","Fill=B",CONCATENATE("FX=", $B$103) )</f>
        <v>67.599999999999994</v>
      </c>
      <c r="P115" t="str">
        <f>""</f>
        <v/>
      </c>
      <c r="Q115" t="str">
        <f>""</f>
        <v/>
      </c>
      <c r="R115" t="str">
        <f>""</f>
        <v/>
      </c>
      <c r="S115" t="str">
        <f>""</f>
        <v/>
      </c>
      <c r="T115" t="str">
        <f>""</f>
        <v/>
      </c>
      <c r="U115" t="str">
        <f>""</f>
        <v/>
      </c>
      <c r="V115" t="str">
        <f>""</f>
        <v/>
      </c>
      <c r="W115" t="str">
        <f>""</f>
        <v/>
      </c>
      <c r="X115" t="str">
        <f>""</f>
        <v/>
      </c>
      <c r="Y115" t="str">
        <f>""</f>
        <v/>
      </c>
    </row>
    <row r="116" spans="1:25" x14ac:dyDescent="0.25">
      <c r="A116" t="str">
        <f>$A$12</f>
        <v xml:space="preserve">    Germany</v>
      </c>
      <c r="B116" t="str">
        <f>$B$12</f>
        <v>EUESDE Index</v>
      </c>
      <c r="C116" t="str">
        <f>$C$12</f>
        <v>PR005</v>
      </c>
      <c r="D116" t="str">
        <f>$D$12</f>
        <v>PX_LAST</v>
      </c>
      <c r="E116" t="str">
        <f>$E$12</f>
        <v>Dynamic</v>
      </c>
      <c r="F116">
        <f ca="1">_xll.BDH($B$12,$C$12,$B$106,$B$107,CONCATENATE("Per=",$B$104),"Dts=H","Dir=H",CONCATENATE("Points=",$B$105),"Sort=R","Days=A","Fill=B",CONCATENATE("FX=", $B$103) )</f>
        <v>75.3</v>
      </c>
      <c r="P116" t="str">
        <f>""</f>
        <v/>
      </c>
      <c r="Q116" t="str">
        <f>""</f>
        <v/>
      </c>
      <c r="R116" t="str">
        <f>""</f>
        <v/>
      </c>
      <c r="S116" t="str">
        <f>""</f>
        <v/>
      </c>
      <c r="T116" t="str">
        <f>""</f>
        <v/>
      </c>
      <c r="U116" t="str">
        <f>""</f>
        <v/>
      </c>
      <c r="V116" t="str">
        <f>""</f>
        <v/>
      </c>
      <c r="W116" t="str">
        <f>""</f>
        <v/>
      </c>
      <c r="X116" t="str">
        <f>""</f>
        <v/>
      </c>
      <c r="Y116" t="str">
        <f>""</f>
        <v/>
      </c>
    </row>
    <row r="117" spans="1:25" x14ac:dyDescent="0.25">
      <c r="A117" t="str">
        <f>$A$13</f>
        <v xml:space="preserve">    Greece</v>
      </c>
      <c r="B117" t="str">
        <f>$B$13</f>
        <v>EUESGR Index</v>
      </c>
      <c r="C117" t="str">
        <f>$C$13</f>
        <v>PR005</v>
      </c>
      <c r="D117" t="str">
        <f>$D$13</f>
        <v>PX_LAST</v>
      </c>
      <c r="E117" t="str">
        <f>$E$13</f>
        <v>Dynamic</v>
      </c>
      <c r="F117">
        <f ca="1">_xll.BDH($B$13,$C$13,$B$106,$B$107,CONCATENATE("Per=",$B$104),"Dts=H","Dir=H",CONCATENATE("Points=",$B$105),"Sort=R","Days=A","Fill=B",CONCATENATE("FX=", $B$103) )</f>
        <v>88.5</v>
      </c>
      <c r="P117" t="str">
        <f>""</f>
        <v/>
      </c>
      <c r="Q117" t="str">
        <f>""</f>
        <v/>
      </c>
      <c r="R117" t="str">
        <f>""</f>
        <v/>
      </c>
      <c r="S117" t="str">
        <f>""</f>
        <v/>
      </c>
      <c r="T117" t="str">
        <f>""</f>
        <v/>
      </c>
      <c r="U117" t="str">
        <f>""</f>
        <v/>
      </c>
      <c r="V117" t="str">
        <f>""</f>
        <v/>
      </c>
      <c r="W117" t="str">
        <f>""</f>
        <v/>
      </c>
      <c r="X117" t="str">
        <f>""</f>
        <v/>
      </c>
      <c r="Y117" t="str">
        <f>""</f>
        <v/>
      </c>
    </row>
    <row r="118" spans="1:25" x14ac:dyDescent="0.25">
      <c r="A118" t="str">
        <f>$A$14</f>
        <v xml:space="preserve">    Italy</v>
      </c>
      <c r="B118" t="str">
        <f>$B$14</f>
        <v>EUESIT Index</v>
      </c>
      <c r="C118" t="str">
        <f>$C$14</f>
        <v>PR005</v>
      </c>
      <c r="D118" t="str">
        <f>$D$14</f>
        <v>PX_LAST</v>
      </c>
      <c r="E118" t="str">
        <f>$E$14</f>
        <v>Dynamic</v>
      </c>
      <c r="F118">
        <f ca="1">_xll.BDH($B$14,$C$14,$B$106,$B$107,CONCATENATE("Per=",$B$104),"Dts=H","Dir=H",CONCATENATE("Points=",$B$105),"Sort=R","Days=A","Fill=B",CONCATENATE("FX=", $B$103) )</f>
        <v>63</v>
      </c>
      <c r="P118" t="str">
        <f>""</f>
        <v/>
      </c>
      <c r="Q118" t="str">
        <f>""</f>
        <v/>
      </c>
      <c r="R118" t="str">
        <f>""</f>
        <v/>
      </c>
      <c r="S118" t="str">
        <f>""</f>
        <v/>
      </c>
      <c r="T118" t="str">
        <f>""</f>
        <v/>
      </c>
      <c r="U118" t="str">
        <f>""</f>
        <v/>
      </c>
      <c r="V118" t="str">
        <f>""</f>
        <v/>
      </c>
      <c r="W118" t="str">
        <f>""</f>
        <v/>
      </c>
      <c r="X118" t="str">
        <f>""</f>
        <v/>
      </c>
      <c r="Y118" t="str">
        <f>""</f>
        <v/>
      </c>
    </row>
    <row r="119" spans="1:25" x14ac:dyDescent="0.25">
      <c r="A119" t="str">
        <f>$A$15</f>
        <v xml:space="preserve">    Spain</v>
      </c>
      <c r="B119" t="str">
        <f>$B$15</f>
        <v>EUESES Index</v>
      </c>
      <c r="C119" t="str">
        <f>$C$15</f>
        <v>PR005</v>
      </c>
      <c r="D119" t="str">
        <f>$D$15</f>
        <v>PX_LAST</v>
      </c>
      <c r="E119" t="str">
        <f>$E$15</f>
        <v>Dynamic</v>
      </c>
      <c r="F119">
        <f ca="1">_xll.BDH($B$15,$C$15,$B$106,$B$107,CONCATENATE("Per=",$B$104),"Dts=H","Dir=H",CONCATENATE("Points=",$B$105),"Sort=R","Days=A","Fill=B",CONCATENATE("FX=", $B$103) )</f>
        <v>74.900000000000006</v>
      </c>
      <c r="P119" t="str">
        <f>""</f>
        <v/>
      </c>
      <c r="Q119" t="str">
        <f>""</f>
        <v/>
      </c>
      <c r="R119" t="str">
        <f>""</f>
        <v/>
      </c>
      <c r="S119" t="str">
        <f>""</f>
        <v/>
      </c>
      <c r="T119" t="str">
        <f>""</f>
        <v/>
      </c>
      <c r="U119" t="str">
        <f>""</f>
        <v/>
      </c>
      <c r="V119" t="str">
        <f>""</f>
        <v/>
      </c>
      <c r="W119" t="str">
        <f>""</f>
        <v/>
      </c>
      <c r="X119" t="str">
        <f>""</f>
        <v/>
      </c>
      <c r="Y119" t="str">
        <f>""</f>
        <v/>
      </c>
    </row>
    <row r="120" spans="1:25" x14ac:dyDescent="0.25">
      <c r="A120" t="str">
        <f>$A$16</f>
        <v xml:space="preserve">    UK</v>
      </c>
      <c r="B120" t="str">
        <f>$B$16</f>
        <v>EUESUK Index</v>
      </c>
      <c r="C120" t="str">
        <f>$C$16</f>
        <v>PR005</v>
      </c>
      <c r="D120" t="str">
        <f>$D$16</f>
        <v>PX_LAST</v>
      </c>
      <c r="E120" t="str">
        <f>$E$16</f>
        <v>Dynamic</v>
      </c>
      <c r="F120">
        <f ca="1">_xll.BDH($B$16,$C$16,$B$106,$B$107,CONCATENATE("Per=",$B$104),"Dts=H","Dir=H",CONCATENATE("Points=",$B$105),"Sort=R","Days=A","Fill=B",CONCATENATE("FX=", $B$103) )</f>
        <v>61.7</v>
      </c>
      <c r="P120" t="str">
        <f>""</f>
        <v/>
      </c>
      <c r="Q120" t="str">
        <f>""</f>
        <v/>
      </c>
      <c r="R120" t="str">
        <f>""</f>
        <v/>
      </c>
      <c r="S120" t="str">
        <f>""</f>
        <v/>
      </c>
      <c r="T120" t="str">
        <f>""</f>
        <v/>
      </c>
      <c r="U120" t="str">
        <f>""</f>
        <v/>
      </c>
      <c r="V120" t="str">
        <f>""</f>
        <v/>
      </c>
      <c r="W120" t="str">
        <f>""</f>
        <v/>
      </c>
      <c r="X120" t="str">
        <f>""</f>
        <v/>
      </c>
      <c r="Y120" t="str">
        <f>""</f>
        <v/>
      </c>
    </row>
    <row r="121" spans="1:25" x14ac:dyDescent="0.25">
      <c r="A121" t="str">
        <f>$A$17</f>
        <v>IFO World Economic Climate</v>
      </c>
      <c r="B121" t="str">
        <f>$B$17</f>
        <v>ENOMWLEC Index</v>
      </c>
      <c r="C121" t="str">
        <f>$C$17</f>
        <v>PR005</v>
      </c>
      <c r="D121" t="str">
        <f>$D$17</f>
        <v>PX_LAST</v>
      </c>
      <c r="E121" t="str">
        <f>$E$17</f>
        <v>Dynamic</v>
      </c>
      <c r="F121" t="str">
        <f ca="1">_xll.BDH($B$17,$C$17,$B$106,$B$107,CONCATENATE("Per=",$B$104),"Dts=H","Dir=H",CONCATENATE("Points=",$B$105),"Sort=R","Days=A","Fill=B",CONCATENATE("FX=", $B$103) )</f>
        <v/>
      </c>
      <c r="P121" t="str">
        <f>""</f>
        <v/>
      </c>
      <c r="Q121" t="str">
        <f>""</f>
        <v/>
      </c>
      <c r="R121" t="str">
        <f>""</f>
        <v/>
      </c>
      <c r="S121" t="str">
        <f>""</f>
        <v/>
      </c>
      <c r="T121" t="str">
        <f>""</f>
        <v/>
      </c>
      <c r="U121" t="str">
        <f>""</f>
        <v/>
      </c>
      <c r="V121" t="str">
        <f>""</f>
        <v/>
      </c>
      <c r="W121" t="str">
        <f>""</f>
        <v/>
      </c>
      <c r="X121" t="str">
        <f>""</f>
        <v/>
      </c>
      <c r="Y121" t="str">
        <f>""</f>
        <v/>
      </c>
    </row>
    <row r="122" spans="1:25" x14ac:dyDescent="0.25">
      <c r="A122" t="str">
        <f>$A$20</f>
        <v>ISM Non-Manufacturing Index</v>
      </c>
      <c r="B122" t="str">
        <f>$B$20</f>
        <v>NAPMNMI Index</v>
      </c>
      <c r="C122" t="str">
        <f>$C$20</f>
        <v>PR005</v>
      </c>
      <c r="D122" t="str">
        <f>$D$20</f>
        <v>PX_LAST</v>
      </c>
      <c r="E122" t="str">
        <f>$E$20</f>
        <v>Dynamic</v>
      </c>
      <c r="F122">
        <f ca="1">_xll.BDH($B$20,$C$20,$B$106,$B$107,CONCATENATE("Per=",$B$104),"Dts=H","Dir=H",CONCATENATE("Points=",$B$105),"Sort=R","Days=A","Fill=B",CONCATENATE("FX=", $B$103) )</f>
        <v>45.4</v>
      </c>
      <c r="P122" t="str">
        <f>""</f>
        <v/>
      </c>
      <c r="Q122" t="str">
        <f>""</f>
        <v/>
      </c>
      <c r="R122" t="str">
        <f>""</f>
        <v/>
      </c>
      <c r="S122" t="str">
        <f>""</f>
        <v/>
      </c>
      <c r="T122" t="str">
        <f>""</f>
        <v/>
      </c>
      <c r="U122" t="str">
        <f>""</f>
        <v/>
      </c>
      <c r="V122" t="str">
        <f>""</f>
        <v/>
      </c>
      <c r="W122" t="str">
        <f>""</f>
        <v/>
      </c>
      <c r="X122" t="str">
        <f>""</f>
        <v/>
      </c>
      <c r="Y122" t="str">
        <f>""</f>
        <v/>
      </c>
    </row>
    <row r="123" spans="1:25" x14ac:dyDescent="0.25">
      <c r="A123" t="str">
        <f>$A$21</f>
        <v>Total Durable Goods (yoy %)</v>
      </c>
      <c r="B123" t="str">
        <f>$B$21</f>
        <v>DGNOYOY Index</v>
      </c>
      <c r="C123" t="str">
        <f>$C$21</f>
        <v>PR005</v>
      </c>
      <c r="D123" t="str">
        <f>$D$21</f>
        <v>PX_LAST</v>
      </c>
      <c r="E123" t="str">
        <f>$E$21</f>
        <v>Dynamic</v>
      </c>
      <c r="F123">
        <f ca="1">_xll.BDH($B$21,$C$21,$B$106,$B$107,CONCATENATE("Per=",$B$104),"Dts=H","Dir=H",CONCATENATE("Points=",$B$105),"Sort=R","Days=A","Fill=B",CONCATENATE("FX=", $B$103) )</f>
        <v>-29.9</v>
      </c>
      <c r="P123" t="str">
        <f>""</f>
        <v/>
      </c>
      <c r="Q123" t="str">
        <f>""</f>
        <v/>
      </c>
      <c r="R123" t="str">
        <f>""</f>
        <v/>
      </c>
      <c r="S123" t="str">
        <f>""</f>
        <v/>
      </c>
      <c r="T123" t="str">
        <f>""</f>
        <v/>
      </c>
      <c r="U123" t="str">
        <f>""</f>
        <v/>
      </c>
      <c r="V123" t="str">
        <f>""</f>
        <v/>
      </c>
      <c r="W123" t="str">
        <f>""</f>
        <v/>
      </c>
      <c r="X123" t="str">
        <f>""</f>
        <v/>
      </c>
      <c r="Y123" t="str">
        <f>""</f>
        <v/>
      </c>
    </row>
    <row r="124" spans="1:25" x14ac:dyDescent="0.25">
      <c r="A124" t="str">
        <f>$A$22</f>
        <v xml:space="preserve">    Computers Related Products (yoy %)</v>
      </c>
      <c r="B124" t="str">
        <f>$B$22</f>
        <v>DGCOCOPY Index</v>
      </c>
      <c r="C124" t="str">
        <f>$C$22</f>
        <v>PR005</v>
      </c>
      <c r="D124" t="str">
        <f>$D$22</f>
        <v>PX_LAST</v>
      </c>
      <c r="E124" t="str">
        <f>$E$22</f>
        <v>Dynamic</v>
      </c>
      <c r="F124">
        <f ca="1">_xll.BDH($B$22,$C$22,$B$106,$B$107,CONCATENATE("Per=",$B$104),"Dts=H","Dir=H",CONCATENATE("Points=",$B$105),"Sort=R","Days=A","Fill=B",CONCATENATE("FX=", $B$103) )</f>
        <v>2.57</v>
      </c>
      <c r="P124" t="str">
        <f>""</f>
        <v/>
      </c>
      <c r="Q124" t="str">
        <f>""</f>
        <v/>
      </c>
      <c r="R124" t="str">
        <f>""</f>
        <v/>
      </c>
      <c r="S124" t="str">
        <f>""</f>
        <v/>
      </c>
      <c r="T124" t="str">
        <f>""</f>
        <v/>
      </c>
      <c r="U124" t="str">
        <f>""</f>
        <v/>
      </c>
      <c r="V124" t="str">
        <f>""</f>
        <v/>
      </c>
      <c r="W124" t="str">
        <f>""</f>
        <v/>
      </c>
      <c r="X124" t="str">
        <f>""</f>
        <v/>
      </c>
      <c r="Y124" t="str">
        <f>""</f>
        <v/>
      </c>
    </row>
    <row r="125" spans="1:25" x14ac:dyDescent="0.25">
      <c r="A125" t="str">
        <f>$A$23</f>
        <v xml:space="preserve">    Computers Related Products ($)</v>
      </c>
      <c r="B125" t="str">
        <f>$B$23</f>
        <v>DGCOCOPR Index</v>
      </c>
      <c r="C125" t="str">
        <f>$C$23</f>
        <v>PR005</v>
      </c>
      <c r="D125" t="str">
        <f>$D$23</f>
        <v>PX_LAST</v>
      </c>
      <c r="E125" t="str">
        <f>$E$23</f>
        <v>Dynamic</v>
      </c>
      <c r="F125">
        <f ca="1">_xll.BDH($B$23,$C$23,$B$106,$B$107,CONCATENATE("Per=",$B$104),"Dts=H","Dir=H",CONCATENATE("Points=",$B$105),"Sort=R","Days=A","Fill=B",CONCATENATE("FX=", $B$103) )</f>
        <v>1717</v>
      </c>
      <c r="P125" t="str">
        <f>""</f>
        <v/>
      </c>
      <c r="Q125" t="str">
        <f>""</f>
        <v/>
      </c>
      <c r="R125" t="str">
        <f>""</f>
        <v/>
      </c>
      <c r="S125" t="str">
        <f>""</f>
        <v/>
      </c>
      <c r="T125" t="str">
        <f>""</f>
        <v/>
      </c>
      <c r="U125" t="str">
        <f>""</f>
        <v/>
      </c>
      <c r="V125" t="str">
        <f>""</f>
        <v/>
      </c>
      <c r="W125" t="str">
        <f>""</f>
        <v/>
      </c>
      <c r="X125" t="str">
        <f>""</f>
        <v/>
      </c>
      <c r="Y125" t="str">
        <f>""</f>
        <v/>
      </c>
    </row>
    <row r="126" spans="1:25" x14ac:dyDescent="0.25">
      <c r="A126" t="str">
        <f>$A$26</f>
        <v xml:space="preserve">        United States</v>
      </c>
      <c r="B126" t="str">
        <f>$B$26</f>
        <v>IP YOY Index</v>
      </c>
      <c r="C126" t="str">
        <f>$C$26</f>
        <v>PR005</v>
      </c>
      <c r="D126" t="str">
        <f>$D$26</f>
        <v>PX_LAST</v>
      </c>
      <c r="E126" t="str">
        <f>$E$26</f>
        <v>Dynamic</v>
      </c>
      <c r="F126" t="str">
        <f ca="1">_xll.BDH($B$26,$C$26,$B$106,$B$107,CONCATENATE("Per=",$B$104),"Dts=H","Dir=H",CONCATENATE("Points=",$B$105),"Sort=R","Days=A","Fill=B",CONCATENATE("FX=", $B$103) )</f>
        <v/>
      </c>
      <c r="P126" t="str">
        <f>""</f>
        <v/>
      </c>
      <c r="Q126" t="str">
        <f>""</f>
        <v/>
      </c>
      <c r="R126" t="str">
        <f>""</f>
        <v/>
      </c>
      <c r="S126" t="str">
        <f>""</f>
        <v/>
      </c>
      <c r="T126" t="str">
        <f>""</f>
        <v/>
      </c>
      <c r="U126" t="str">
        <f>""</f>
        <v/>
      </c>
      <c r="V126" t="str">
        <f>""</f>
        <v/>
      </c>
      <c r="W126" t="str">
        <f>""</f>
        <v/>
      </c>
      <c r="X126" t="str">
        <f>""</f>
        <v/>
      </c>
      <c r="Y126" t="str">
        <f>""</f>
        <v/>
      </c>
    </row>
    <row r="127" spans="1:25" x14ac:dyDescent="0.25">
      <c r="A127" t="str">
        <f>$A$27</f>
        <v xml:space="preserve">            High Tech Industries</v>
      </c>
      <c r="B127" t="str">
        <f>$B$27</f>
        <v>IPNEHITY Index</v>
      </c>
      <c r="C127" t="str">
        <f>$C$27</f>
        <v>PR005</v>
      </c>
      <c r="D127" t="str">
        <f>$D$27</f>
        <v>PX_LAST</v>
      </c>
      <c r="E127" t="str">
        <f>$E$27</f>
        <v>Dynamic</v>
      </c>
      <c r="F127">
        <f ca="1">_xll.BDH($B$27,$C$27,$B$106,$B$107,CONCATENATE("Per=",$B$104),"Dts=H","Dir=H",CONCATENATE("Points=",$B$105),"Sort=R","Days=A","Fill=B",CONCATENATE("FX=", $B$103) )</f>
        <v>4.21</v>
      </c>
      <c r="P127" t="str">
        <f>""</f>
        <v/>
      </c>
      <c r="Q127" t="str">
        <f>""</f>
        <v/>
      </c>
      <c r="R127" t="str">
        <f>""</f>
        <v/>
      </c>
      <c r="S127" t="str">
        <f>""</f>
        <v/>
      </c>
      <c r="T127" t="str">
        <f>""</f>
        <v/>
      </c>
      <c r="U127" t="str">
        <f>""</f>
        <v/>
      </c>
      <c r="V127" t="str">
        <f>""</f>
        <v/>
      </c>
      <c r="W127" t="str">
        <f>""</f>
        <v/>
      </c>
      <c r="X127" t="str">
        <f>""</f>
        <v/>
      </c>
      <c r="Y127" t="str">
        <f>""</f>
        <v/>
      </c>
    </row>
    <row r="128" spans="1:25" x14ac:dyDescent="0.25">
      <c r="A128" t="str">
        <f>$A$28</f>
        <v xml:space="preserve">                High Tech Industries ($)</v>
      </c>
      <c r="B128" t="str">
        <f>$B$28</f>
        <v>IPNEHITC Index</v>
      </c>
      <c r="C128" t="str">
        <f>$C$28</f>
        <v>PR005</v>
      </c>
      <c r="D128" t="str">
        <f>$D$28</f>
        <v>PX_LAST</v>
      </c>
      <c r="E128" t="str">
        <f>$E$28</f>
        <v>Dynamic</v>
      </c>
      <c r="F128" t="str">
        <f ca="1">_xll.BDH($B$28,$C$28,$B$106,$B$107,CONCATENATE("Per=",$B$104),"Dts=H","Dir=H",CONCATENATE("Points=",$B$105),"Sort=R","Days=A","Fill=B",CONCATENATE("FX=", $B$103) )</f>
        <v/>
      </c>
      <c r="P128" t="str">
        <f>""</f>
        <v/>
      </c>
      <c r="Q128" t="str">
        <f>""</f>
        <v/>
      </c>
      <c r="R128" t="str">
        <f>""</f>
        <v/>
      </c>
      <c r="S128" t="str">
        <f>""</f>
        <v/>
      </c>
      <c r="T128" t="str">
        <f>""</f>
        <v/>
      </c>
      <c r="U128" t="str">
        <f>""</f>
        <v/>
      </c>
      <c r="V128" t="str">
        <f>""</f>
        <v/>
      </c>
      <c r="W128" t="str">
        <f>""</f>
        <v/>
      </c>
      <c r="X128" t="str">
        <f>""</f>
        <v/>
      </c>
      <c r="Y128" t="str">
        <f>""</f>
        <v/>
      </c>
    </row>
    <row r="129" spans="1:25" x14ac:dyDescent="0.25">
      <c r="A129" t="str">
        <f>$A$29</f>
        <v xml:space="preserve">                Computers (yoy %)</v>
      </c>
      <c r="B129" t="str">
        <f>$B$29</f>
        <v>IPNECOMY Index</v>
      </c>
      <c r="C129" t="str">
        <f>$C$29</f>
        <v>PR005</v>
      </c>
      <c r="D129" t="str">
        <f>$D$29</f>
        <v>PX_LAST</v>
      </c>
      <c r="E129" t="str">
        <f>$E$29</f>
        <v>Dynamic</v>
      </c>
      <c r="F129">
        <f ca="1">_xll.BDH($B$29,$C$29,$B$106,$B$107,CONCATENATE("Per=",$B$104),"Dts=H","Dir=H",CONCATENATE("Points=",$B$105),"Sort=R","Days=A","Fill=B",CONCATENATE("FX=", $B$103) )</f>
        <v>1.24</v>
      </c>
      <c r="P129" t="str">
        <f>""</f>
        <v/>
      </c>
      <c r="Q129" t="str">
        <f>""</f>
        <v/>
      </c>
      <c r="R129" t="str">
        <f>""</f>
        <v/>
      </c>
      <c r="S129" t="str">
        <f>""</f>
        <v/>
      </c>
      <c r="T129" t="str">
        <f>""</f>
        <v/>
      </c>
      <c r="U129" t="str">
        <f>""</f>
        <v/>
      </c>
      <c r="V129" t="str">
        <f>""</f>
        <v/>
      </c>
      <c r="W129" t="str">
        <f>""</f>
        <v/>
      </c>
      <c r="X129" t="str">
        <f>""</f>
        <v/>
      </c>
      <c r="Y129" t="str">
        <f>""</f>
        <v/>
      </c>
    </row>
    <row r="130" spans="1:25" x14ac:dyDescent="0.25">
      <c r="A130" t="str">
        <f>$A$30</f>
        <v xml:space="preserve">                Semiconductors (yoy %)</v>
      </c>
      <c r="B130" t="str">
        <f>$B$30</f>
        <v>IPNESEMY Index</v>
      </c>
      <c r="C130" t="str">
        <f>$C$30</f>
        <v>PR005</v>
      </c>
      <c r="D130" t="str">
        <f>$D$30</f>
        <v>PX_LAST</v>
      </c>
      <c r="E130" t="str">
        <f>$E$30</f>
        <v>Dynamic</v>
      </c>
      <c r="F130" t="str">
        <f ca="1">_xll.BDH($B$30,$C$30,$B$106,$B$107,CONCATENATE("Per=",$B$104),"Dts=H","Dir=H",CONCATENATE("Points=",$B$105),"Sort=R","Days=A","Fill=B",CONCATENATE("FX=", $B$103) )</f>
        <v/>
      </c>
      <c r="P130" t="str">
        <f>""</f>
        <v/>
      </c>
      <c r="Q130" t="str">
        <f>""</f>
        <v/>
      </c>
      <c r="R130" t="str">
        <f>""</f>
        <v/>
      </c>
      <c r="S130" t="str">
        <f>""</f>
        <v/>
      </c>
      <c r="T130" t="str">
        <f>""</f>
        <v/>
      </c>
      <c r="U130" t="str">
        <f>""</f>
        <v/>
      </c>
      <c r="V130" t="str">
        <f>""</f>
        <v/>
      </c>
      <c r="W130" t="str">
        <f>""</f>
        <v/>
      </c>
      <c r="X130" t="str">
        <f>""</f>
        <v/>
      </c>
      <c r="Y130" t="str">
        <f>""</f>
        <v/>
      </c>
    </row>
    <row r="131" spans="1:25" x14ac:dyDescent="0.25">
      <c r="A131" t="str">
        <f>$A$31</f>
        <v xml:space="preserve">                Comm. Equipment (yoy %)</v>
      </c>
      <c r="B131" t="str">
        <f>$B$31</f>
        <v>IPNECMMY Index</v>
      </c>
      <c r="C131" t="str">
        <f>$C$31</f>
        <v>PR005</v>
      </c>
      <c r="D131" t="str">
        <f>$D$31</f>
        <v>PX_LAST</v>
      </c>
      <c r="E131" t="str">
        <f>$E$31</f>
        <v>Dynamic</v>
      </c>
      <c r="F131">
        <f ca="1">_xll.BDH($B$31,$C$31,$B$106,$B$107,CONCATENATE("Per=",$B$104),"Dts=H","Dir=H",CONCATENATE("Points=",$B$105),"Sort=R","Days=A","Fill=B",CONCATENATE("FX=", $B$103) )</f>
        <v>5.85</v>
      </c>
      <c r="P131" t="str">
        <f>""</f>
        <v/>
      </c>
      <c r="Q131" t="str">
        <f>""</f>
        <v/>
      </c>
      <c r="R131" t="str">
        <f>""</f>
        <v/>
      </c>
      <c r="S131" t="str">
        <f>""</f>
        <v/>
      </c>
      <c r="T131" t="str">
        <f>""</f>
        <v/>
      </c>
      <c r="U131" t="str">
        <f>""</f>
        <v/>
      </c>
      <c r="V131" t="str">
        <f>""</f>
        <v/>
      </c>
      <c r="W131" t="str">
        <f>""</f>
        <v/>
      </c>
      <c r="X131" t="str">
        <f>""</f>
        <v/>
      </c>
      <c r="Y131" t="str">
        <f>""</f>
        <v/>
      </c>
    </row>
    <row r="132" spans="1:25" x14ac:dyDescent="0.25">
      <c r="A132" t="str">
        <f>$A$32</f>
        <v xml:space="preserve">        Canada</v>
      </c>
      <c r="B132" t="str">
        <f>$B$32</f>
        <v>CDIP%YOY Index</v>
      </c>
      <c r="C132" t="str">
        <f>$C$32</f>
        <v>PR005</v>
      </c>
      <c r="D132" t="str">
        <f>$D$32</f>
        <v>PX_LAST</v>
      </c>
      <c r="E132" t="str">
        <f>$E$32</f>
        <v>Dynamic</v>
      </c>
      <c r="F132">
        <f ca="1">_xll.BDH($B$32,$C$32,$B$106,$B$107,CONCATENATE("Per=",$B$104),"Dts=H","Dir=H",CONCATENATE("Points=",$B$105),"Sort=R","Days=A","Fill=B",CONCATENATE("FX=", $B$103) )</f>
        <v>0.7</v>
      </c>
      <c r="P132" t="str">
        <f>""</f>
        <v/>
      </c>
      <c r="Q132" t="str">
        <f>""</f>
        <v/>
      </c>
      <c r="R132" t="str">
        <f>""</f>
        <v/>
      </c>
      <c r="S132" t="str">
        <f>""</f>
        <v/>
      </c>
      <c r="T132" t="str">
        <f>""</f>
        <v/>
      </c>
      <c r="U132" t="str">
        <f>""</f>
        <v/>
      </c>
      <c r="V132" t="str">
        <f>""</f>
        <v/>
      </c>
      <c r="W132" t="str">
        <f>""</f>
        <v/>
      </c>
      <c r="X132" t="str">
        <f>""</f>
        <v/>
      </c>
      <c r="Y132" t="str">
        <f>""</f>
        <v/>
      </c>
    </row>
    <row r="133" spans="1:25" x14ac:dyDescent="0.25">
      <c r="A133" t="str">
        <f>$A$37</f>
        <v>U.S. Unemployment Rate</v>
      </c>
      <c r="B133" t="str">
        <f>$B$37</f>
        <v>USURTOT Index</v>
      </c>
      <c r="C133" t="str">
        <f>$C$37</f>
        <v>PR005</v>
      </c>
      <c r="D133" t="str">
        <f>$D$37</f>
        <v>PX_LAST</v>
      </c>
      <c r="E133" t="str">
        <f>$E$37</f>
        <v>Dynamic</v>
      </c>
      <c r="F133">
        <f ca="1">_xll.BDH($B$37,$C$37,$B$106,$B$107,CONCATENATE("Per=",$B$104),"Dts=H","Dir=H",CONCATENATE("Points=",$B$105),"Sort=R","Days=A","Fill=B",CONCATENATE("FX=", $B$103) )</f>
        <v>13.3</v>
      </c>
      <c r="P133" t="str">
        <f>""</f>
        <v/>
      </c>
      <c r="Q133" t="str">
        <f>""</f>
        <v/>
      </c>
      <c r="R133" t="str">
        <f>""</f>
        <v/>
      </c>
      <c r="S133" t="str">
        <f>""</f>
        <v/>
      </c>
      <c r="T133" t="str">
        <f>""</f>
        <v/>
      </c>
      <c r="U133" t="str">
        <f>""</f>
        <v/>
      </c>
      <c r="V133" t="str">
        <f>""</f>
        <v/>
      </c>
      <c r="W133" t="str">
        <f>""</f>
        <v/>
      </c>
      <c r="X133" t="str">
        <f>""</f>
        <v/>
      </c>
      <c r="Y133" t="str">
        <f>""</f>
        <v/>
      </c>
    </row>
    <row r="134" spans="1:25" x14ac:dyDescent="0.25">
      <c r="A134" t="str">
        <f>$A$39</f>
        <v xml:space="preserve">    Computer &amp; Information Systems Managers</v>
      </c>
      <c r="B134" t="str">
        <f>$B$39</f>
        <v>UMOCCOIN Index</v>
      </c>
      <c r="C134" t="str">
        <f>$C$39</f>
        <v>PR005</v>
      </c>
      <c r="D134" t="str">
        <f>$D$39</f>
        <v>PX_LAST</v>
      </c>
      <c r="E134" t="str">
        <f>$E$39</f>
        <v>Dynamic</v>
      </c>
      <c r="F134">
        <f ca="1">_xll.BDH($B$39,$C$39,$B$106,$B$107,CONCATENATE("Per=",$B$104),"Dts=H","Dir=H",CONCATENATE("Points=",$B$105),"Sort=R","Days=A","Fill=B",CONCATENATE("FX=", $B$103) )</f>
        <v>1.6</v>
      </c>
      <c r="P134" t="str">
        <f>""</f>
        <v/>
      </c>
      <c r="Q134" t="str">
        <f>""</f>
        <v/>
      </c>
      <c r="R134" t="str">
        <f>""</f>
        <v/>
      </c>
      <c r="S134" t="str">
        <f>""</f>
        <v/>
      </c>
      <c r="T134" t="str">
        <f>""</f>
        <v/>
      </c>
      <c r="U134" t="str">
        <f>""</f>
        <v/>
      </c>
      <c r="V134" t="str">
        <f>""</f>
        <v/>
      </c>
      <c r="W134" t="str">
        <f>""</f>
        <v/>
      </c>
      <c r="X134" t="str">
        <f>""</f>
        <v/>
      </c>
      <c r="Y134" t="str">
        <f>""</f>
        <v/>
      </c>
    </row>
    <row r="135" spans="1:25" x14ac:dyDescent="0.25">
      <c r="A135" t="str">
        <f>$A$40</f>
        <v xml:space="preserve">    Computer &amp; Mathmatical Occupations</v>
      </c>
      <c r="B135" t="str">
        <f>$B$40</f>
        <v>UMOCCOOC Index</v>
      </c>
      <c r="C135" t="str">
        <f>$C$40</f>
        <v>PR005</v>
      </c>
      <c r="D135" t="str">
        <f>$D$40</f>
        <v>PX_LAST</v>
      </c>
      <c r="E135" t="str">
        <f>$E$40</f>
        <v>Dynamic</v>
      </c>
      <c r="F135">
        <f ca="1">_xll.BDH($B$40,$C$40,$B$106,$B$107,CONCATENATE("Per=",$B$104),"Dts=H","Dir=H",CONCATENATE("Points=",$B$105),"Sort=R","Days=A","Fill=B",CONCATENATE("FX=", $B$103) )</f>
        <v>2.6</v>
      </c>
      <c r="P135" t="str">
        <f>""</f>
        <v/>
      </c>
      <c r="Q135" t="str">
        <f>""</f>
        <v/>
      </c>
      <c r="R135" t="str">
        <f>""</f>
        <v/>
      </c>
      <c r="S135" t="str">
        <f>""</f>
        <v/>
      </c>
      <c r="T135" t="str">
        <f>""</f>
        <v/>
      </c>
      <c r="U135" t="str">
        <f>""</f>
        <v/>
      </c>
      <c r="V135" t="str">
        <f>""</f>
        <v/>
      </c>
      <c r="W135" t="str">
        <f>""</f>
        <v/>
      </c>
      <c r="X135" t="str">
        <f>""</f>
        <v/>
      </c>
      <c r="Y135" t="str">
        <f>""</f>
        <v/>
      </c>
    </row>
    <row r="136" spans="1:25" x14ac:dyDescent="0.25">
      <c r="A136" t="str">
        <f>$A$41</f>
        <v xml:space="preserve">    Computer Programmers</v>
      </c>
      <c r="B136" t="str">
        <f>$B$41</f>
        <v>UMOCCOPR Index</v>
      </c>
      <c r="C136" t="str">
        <f>$C$41</f>
        <v>PR005</v>
      </c>
      <c r="D136" t="str">
        <f>$D$41</f>
        <v>PX_LAST</v>
      </c>
      <c r="E136" t="str">
        <f>$E$41</f>
        <v>Dynamic</v>
      </c>
      <c r="F136">
        <f ca="1">_xll.BDH($B$41,$C$41,$B$106,$B$107,CONCATENATE("Per=",$B$104),"Dts=H","Dir=H",CONCATENATE("Points=",$B$105),"Sort=R","Days=A","Fill=B",CONCATENATE("FX=", $B$103) )</f>
        <v>4.9000000000000004</v>
      </c>
      <c r="P136" t="str">
        <f>""</f>
        <v/>
      </c>
      <c r="Q136" t="str">
        <f>""</f>
        <v/>
      </c>
      <c r="R136" t="str">
        <f>""</f>
        <v/>
      </c>
      <c r="S136" t="str">
        <f>""</f>
        <v/>
      </c>
      <c r="T136" t="str">
        <f>""</f>
        <v/>
      </c>
      <c r="U136" t="str">
        <f>""</f>
        <v/>
      </c>
      <c r="V136" t="str">
        <f>""</f>
        <v/>
      </c>
      <c r="W136" t="str">
        <f>""</f>
        <v/>
      </c>
      <c r="X136" t="str">
        <f>""</f>
        <v/>
      </c>
      <c r="Y136" t="str">
        <f>""</f>
        <v/>
      </c>
    </row>
    <row r="137" spans="1:25" x14ac:dyDescent="0.25">
      <c r="A137" t="str">
        <f>$A$42</f>
        <v xml:space="preserve">    Network &amp; Computer Systems Administrators</v>
      </c>
      <c r="B137" t="str">
        <f>$B$42</f>
        <v>UMOCNEWO Index</v>
      </c>
      <c r="C137" t="str">
        <f>$C$42</f>
        <v>PR005</v>
      </c>
      <c r="D137" t="str">
        <f>$D$42</f>
        <v>PX_LAST</v>
      </c>
      <c r="E137" t="str">
        <f>$E$42</f>
        <v>Dynamic</v>
      </c>
      <c r="F137">
        <f ca="1">_xll.BDH($B$42,$C$42,$B$106,$B$107,CONCATENATE("Per=",$B$104),"Dts=H","Dir=H",CONCATENATE("Points=",$B$105),"Sort=R","Days=A","Fill=B",CONCATENATE("FX=", $B$103) )</f>
        <v>0.6</v>
      </c>
      <c r="P137" t="str">
        <f>""</f>
        <v/>
      </c>
      <c r="Q137" t="str">
        <f>""</f>
        <v/>
      </c>
      <c r="R137" t="str">
        <f>""</f>
        <v/>
      </c>
      <c r="S137" t="str">
        <f>""</f>
        <v/>
      </c>
      <c r="T137" t="str">
        <f>""</f>
        <v/>
      </c>
      <c r="U137" t="str">
        <f>""</f>
        <v/>
      </c>
      <c r="V137" t="str">
        <f>""</f>
        <v/>
      </c>
      <c r="W137" t="str">
        <f>""</f>
        <v/>
      </c>
      <c r="X137" t="str">
        <f>""</f>
        <v/>
      </c>
      <c r="Y137" t="str">
        <f>""</f>
        <v/>
      </c>
    </row>
    <row r="138" spans="1:25" x14ac:dyDescent="0.25">
      <c r="A138" t="str">
        <f>$A$43</f>
        <v>Initial Jobless Claims (yoy %)</v>
      </c>
      <c r="B138" t="str">
        <f>$B$43</f>
        <v>INJCJYOY Index</v>
      </c>
      <c r="C138" t="str">
        <f>$C$43</f>
        <v>PR005</v>
      </c>
      <c r="D138" t="str">
        <f>$D$43</f>
        <v>PX_LAST</v>
      </c>
      <c r="E138" t="str">
        <f>$E$43</f>
        <v>Dynamic</v>
      </c>
      <c r="F138">
        <f ca="1">_xll.BDH($B$43,$C$43,$B$106,$B$107,CONCATENATE("Per=",$B$104),"Dts=H","Dir=H",CONCATENATE("Points=",$B$105),"Sort=R","Days=A","Fill=B",CONCATENATE("FX=", $B$103) )</f>
        <v>600.9</v>
      </c>
      <c r="P138" t="str">
        <f>""</f>
        <v/>
      </c>
      <c r="Q138" t="str">
        <f>""</f>
        <v/>
      </c>
      <c r="R138" t="str">
        <f>""</f>
        <v/>
      </c>
      <c r="S138" t="str">
        <f>""</f>
        <v/>
      </c>
      <c r="T138" t="str">
        <f>""</f>
        <v/>
      </c>
      <c r="U138" t="str">
        <f>""</f>
        <v/>
      </c>
      <c r="V138" t="str">
        <f>""</f>
        <v/>
      </c>
      <c r="W138" t="str">
        <f>""</f>
        <v/>
      </c>
      <c r="X138" t="str">
        <f>""</f>
        <v/>
      </c>
      <c r="Y138" t="str">
        <f>""</f>
        <v/>
      </c>
    </row>
    <row r="139" spans="1:25" x14ac:dyDescent="0.25">
      <c r="A139" t="str">
        <f>$A$44</f>
        <v xml:space="preserve">    Initial Jobless Claims (#)</v>
      </c>
      <c r="B139" t="str">
        <f>$B$44</f>
        <v>INJCJC Index</v>
      </c>
      <c r="C139" t="str">
        <f>$C$44</f>
        <v>PR005</v>
      </c>
      <c r="D139" t="str">
        <f>$D$44</f>
        <v>PX_LAST</v>
      </c>
      <c r="E139" t="str">
        <f>$E$44</f>
        <v>Dynamic</v>
      </c>
      <c r="F139">
        <f ca="1">_xll.BDH($B$44,$C$44,$B$106,$B$107,CONCATENATE("Per=",$B$104),"Dts=H","Dir=H",CONCATENATE("Points=",$B$105),"Sort=R","Days=A","Fill=B",CONCATENATE("FX=", $B$103) )</f>
        <v>1542</v>
      </c>
      <c r="P139" t="str">
        <f>""</f>
        <v/>
      </c>
      <c r="Q139" t="str">
        <f>""</f>
        <v/>
      </c>
      <c r="R139" t="str">
        <f>""</f>
        <v/>
      </c>
      <c r="S139" t="str">
        <f>""</f>
        <v/>
      </c>
      <c r="T139" t="str">
        <f>""</f>
        <v/>
      </c>
      <c r="U139" t="str">
        <f>""</f>
        <v/>
      </c>
      <c r="V139" t="str">
        <f>""</f>
        <v/>
      </c>
      <c r="W139" t="str">
        <f>""</f>
        <v/>
      </c>
      <c r="X139" t="str">
        <f>""</f>
        <v/>
      </c>
      <c r="Y139" t="str">
        <f>""</f>
        <v/>
      </c>
    </row>
    <row r="140" spans="1:25" x14ac:dyDescent="0.25">
      <c r="A140" t="str">
        <f>$A$45</f>
        <v>ADP Non Farm Payrolls (yoy %)</v>
      </c>
      <c r="B140" t="str">
        <f>$B$45</f>
        <v>ADP YOYL Index</v>
      </c>
      <c r="C140" t="str">
        <f>$C$45</f>
        <v>PR005</v>
      </c>
      <c r="D140" t="str">
        <f>$D$45</f>
        <v>PX_LAST</v>
      </c>
      <c r="E140" t="str">
        <f>$E$45</f>
        <v>Dynamic</v>
      </c>
      <c r="F140">
        <f ca="1">_xll.BDH($B$45,$C$45,$B$106,$B$107,CONCATENATE("Per=",$B$104),"Dts=H","Dir=H",CONCATENATE("Points=",$B$105),"Sort=R","Days=A","Fill=B",CONCATENATE("FX=", $B$103) )</f>
        <v>-16.57</v>
      </c>
      <c r="P140" t="str">
        <f>""</f>
        <v/>
      </c>
      <c r="Q140" t="str">
        <f>""</f>
        <v/>
      </c>
      <c r="R140" t="str">
        <f>""</f>
        <v/>
      </c>
      <c r="S140" t="str">
        <f>""</f>
        <v/>
      </c>
      <c r="T140" t="str">
        <f>""</f>
        <v/>
      </c>
      <c r="U140" t="str">
        <f>""</f>
        <v/>
      </c>
      <c r="V140" t="str">
        <f>""</f>
        <v/>
      </c>
      <c r="W140" t="str">
        <f>""</f>
        <v/>
      </c>
      <c r="X140" t="str">
        <f>""</f>
        <v/>
      </c>
      <c r="Y140" t="str">
        <f>""</f>
        <v/>
      </c>
    </row>
    <row r="141" spans="1:25" x14ac:dyDescent="0.25">
      <c r="A141" t="str">
        <f>$A$46</f>
        <v xml:space="preserve">    ADP Non Farm Payrolls (#)</v>
      </c>
      <c r="B141" t="str">
        <f>$B$46</f>
        <v>ADP LEVL Index</v>
      </c>
      <c r="C141" t="str">
        <f>$C$46</f>
        <v>PR005</v>
      </c>
      <c r="D141" t="str">
        <f>$D$46</f>
        <v>PX_LAST</v>
      </c>
      <c r="E141" t="str">
        <f>$E$46</f>
        <v>Dynamic</v>
      </c>
      <c r="F141">
        <f ca="1">_xll.BDH($B$46,$C$46,$B$106,$B$107,CONCATENATE("Per=",$B$104),"Dts=H","Dir=H",CONCATENATE("Points=",$B$105),"Sort=R","Days=A","Fill=B",CONCATENATE("FX=", $B$103) )</f>
        <v>106818.4</v>
      </c>
      <c r="P141" t="str">
        <f>""</f>
        <v/>
      </c>
      <c r="Q141" t="str">
        <f>""</f>
        <v/>
      </c>
      <c r="R141" t="str">
        <f>""</f>
        <v/>
      </c>
      <c r="S141" t="str">
        <f>""</f>
        <v/>
      </c>
      <c r="T141" t="str">
        <f>""</f>
        <v/>
      </c>
      <c r="U141" t="str">
        <f>""</f>
        <v/>
      </c>
      <c r="V141" t="str">
        <f>""</f>
        <v/>
      </c>
      <c r="W141" t="str">
        <f>""</f>
        <v/>
      </c>
      <c r="X141" t="str">
        <f>""</f>
        <v/>
      </c>
      <c r="Y141" t="str">
        <f>""</f>
        <v/>
      </c>
    </row>
    <row r="142" spans="1:25" x14ac:dyDescent="0.25">
      <c r="A142" t="str">
        <f>$A$47</f>
        <v xml:space="preserve">    ADP Non Farm Payrolls Service Firms</v>
      </c>
      <c r="B142" t="str">
        <f>$B$47</f>
        <v>ADP SERV Index</v>
      </c>
      <c r="C142" t="str">
        <f>$C$47</f>
        <v>PR005</v>
      </c>
      <c r="D142" t="str">
        <f>$D$47</f>
        <v>PX_LAST</v>
      </c>
      <c r="E142" t="str">
        <f>$E$47</f>
        <v>Dynamic</v>
      </c>
      <c r="F142">
        <f ca="1">_xll.BDH($B$47,$C$47,$B$106,$B$107,CONCATENATE("Per=",$B$104),"Dts=H","Dir=H",CONCATENATE("Points=",$B$105),"Sort=R","Days=A","Fill=B",CONCATENATE("FX=", $B$103) )</f>
        <v>88941.6</v>
      </c>
      <c r="P142" t="str">
        <f>""</f>
        <v/>
      </c>
      <c r="Q142" t="str">
        <f>""</f>
        <v/>
      </c>
      <c r="R142" t="str">
        <f>""</f>
        <v/>
      </c>
      <c r="S142" t="str">
        <f>""</f>
        <v/>
      </c>
      <c r="T142" t="str">
        <f>""</f>
        <v/>
      </c>
      <c r="U142" t="str">
        <f>""</f>
        <v/>
      </c>
      <c r="V142" t="str">
        <f>""</f>
        <v/>
      </c>
      <c r="W142" t="str">
        <f>""</f>
        <v/>
      </c>
      <c r="X142" t="str">
        <f>""</f>
        <v/>
      </c>
      <c r="Y142" t="str">
        <f>""</f>
        <v/>
      </c>
    </row>
    <row r="143" spans="1:25" x14ac:dyDescent="0.25">
      <c r="A143" t="str">
        <f>$A$52</f>
        <v xml:space="preserve">        USD EUR</v>
      </c>
      <c r="B143" t="str">
        <f>$B$52</f>
        <v>USDEUR Curncy</v>
      </c>
      <c r="C143" t="str">
        <f>$C$52</f>
        <v>PR005</v>
      </c>
      <c r="D143" t="str">
        <f>$D$52</f>
        <v>PX_LAST</v>
      </c>
      <c r="E143" t="str">
        <f>$E$52</f>
        <v>Dynamic</v>
      </c>
      <c r="F143">
        <f ca="1">_xll.BDH($B$52,$C$52,$B$106,$B$107,CONCATENATE("Per=",$B$104),"Dts=H","Dir=H",CONCATENATE("Points=",$B$105),"Sort=R","Days=A","Fill=B",CONCATENATE("FX=", $B$103) )</f>
        <v>0.88260000000000005</v>
      </c>
      <c r="P143" t="str">
        <f>""</f>
        <v/>
      </c>
      <c r="Q143" t="str">
        <f>""</f>
        <v/>
      </c>
      <c r="R143" t="str">
        <f>""</f>
        <v/>
      </c>
      <c r="S143" t="str">
        <f>""</f>
        <v/>
      </c>
      <c r="T143" t="str">
        <f>""</f>
        <v/>
      </c>
      <c r="U143" t="str">
        <f>""</f>
        <v/>
      </c>
      <c r="V143" t="str">
        <f>""</f>
        <v/>
      </c>
      <c r="W143" t="str">
        <f>""</f>
        <v/>
      </c>
      <c r="X143" t="str">
        <f>""</f>
        <v/>
      </c>
      <c r="Y143" t="str">
        <f>""</f>
        <v/>
      </c>
    </row>
    <row r="144" spans="1:25" x14ac:dyDescent="0.25">
      <c r="A144" t="str">
        <f>$A$53</f>
        <v xml:space="preserve">        USD INR</v>
      </c>
      <c r="B144" t="str">
        <f>$B$53</f>
        <v>USDINR Curncy</v>
      </c>
      <c r="C144" t="str">
        <f>$C$53</f>
        <v>PR005</v>
      </c>
      <c r="D144" t="str">
        <f>$D$53</f>
        <v>PX_LAST</v>
      </c>
      <c r="E144" t="str">
        <f>$E$53</f>
        <v>Dynamic</v>
      </c>
      <c r="F144">
        <f ca="1">_xll.BDH($B$53,$C$53,$B$106,$B$107,CONCATENATE("Per=",$B$104),"Dts=H","Dir=H",CONCATENATE("Points=",$B$105),"Sort=R","Days=A","Fill=B",CONCATENATE("FX=", $B$103) )</f>
        <v>76.031300000000002</v>
      </c>
      <c r="P144" t="str">
        <f>""</f>
        <v/>
      </c>
      <c r="Q144" t="str">
        <f>""</f>
        <v/>
      </c>
      <c r="R144" t="str">
        <f>""</f>
        <v/>
      </c>
      <c r="S144" t="str">
        <f>""</f>
        <v/>
      </c>
      <c r="T144" t="str">
        <f>""</f>
        <v/>
      </c>
      <c r="U144" t="str">
        <f>""</f>
        <v/>
      </c>
      <c r="V144" t="str">
        <f>""</f>
        <v/>
      </c>
      <c r="W144" t="str">
        <f>""</f>
        <v/>
      </c>
      <c r="X144" t="str">
        <f>""</f>
        <v/>
      </c>
      <c r="Y144" t="str">
        <f>""</f>
        <v/>
      </c>
    </row>
    <row r="145" spans="1:25" x14ac:dyDescent="0.25">
      <c r="A145" t="str">
        <f>$A$54</f>
        <v xml:space="preserve">        USD GBP</v>
      </c>
      <c r="B145" t="str">
        <f>$B$54</f>
        <v>USDGBP Curncy</v>
      </c>
      <c r="C145" t="str">
        <f>$C$54</f>
        <v>PR005</v>
      </c>
      <c r="D145" t="str">
        <f>$D$54</f>
        <v>PX_LAST</v>
      </c>
      <c r="E145" t="str">
        <f>$E$54</f>
        <v>Dynamic</v>
      </c>
      <c r="F145">
        <f ca="1">_xll.BDH($B$54,$C$54,$B$106,$B$107,CONCATENATE("Per=",$B$104),"Dts=H","Dir=H",CONCATENATE("Points=",$B$105),"Sort=R","Days=A","Fill=B",CONCATENATE("FX=", $B$103) )</f>
        <v>0.79200000000000004</v>
      </c>
      <c r="P145" t="str">
        <f>""</f>
        <v/>
      </c>
      <c r="Q145" t="str">
        <f>""</f>
        <v/>
      </c>
      <c r="R145" t="str">
        <f>""</f>
        <v/>
      </c>
      <c r="S145" t="str">
        <f>""</f>
        <v/>
      </c>
      <c r="T145" t="str">
        <f>""</f>
        <v/>
      </c>
      <c r="U145" t="str">
        <f>""</f>
        <v/>
      </c>
      <c r="V145" t="str">
        <f>""</f>
        <v/>
      </c>
      <c r="W145" t="str">
        <f>""</f>
        <v/>
      </c>
      <c r="X145" t="str">
        <f>""</f>
        <v/>
      </c>
      <c r="Y145" t="str">
        <f>""</f>
        <v/>
      </c>
    </row>
    <row r="146" spans="1:25" x14ac:dyDescent="0.25">
      <c r="A146" t="str">
        <f>$A$55</f>
        <v xml:space="preserve">        USD BRL</v>
      </c>
      <c r="B146" t="str">
        <f>$B$55</f>
        <v>USDBRL Curncy</v>
      </c>
      <c r="C146" t="str">
        <f>$C$55</f>
        <v>PR005</v>
      </c>
      <c r="D146" t="str">
        <f>$D$55</f>
        <v>PX_LAST</v>
      </c>
      <c r="E146" t="str">
        <f>$E$55</f>
        <v>Dynamic</v>
      </c>
      <c r="F146">
        <f ca="1">_xll.BDH($B$55,$C$55,$B$106,$B$107,CONCATENATE("Per=",$B$104),"Dts=H","Dir=H",CONCATENATE("Points=",$B$105),"Sort=R","Days=A","Fill=B",CONCATENATE("FX=", $B$103) )</f>
        <v>5.1563999999999997</v>
      </c>
      <c r="P146" t="str">
        <f>""</f>
        <v/>
      </c>
      <c r="Q146" t="str">
        <f>""</f>
        <v/>
      </c>
      <c r="R146" t="str">
        <f>""</f>
        <v/>
      </c>
      <c r="S146" t="str">
        <f>""</f>
        <v/>
      </c>
      <c r="T146" t="str">
        <f>""</f>
        <v/>
      </c>
      <c r="U146" t="str">
        <f>""</f>
        <v/>
      </c>
      <c r="V146" t="str">
        <f>""</f>
        <v/>
      </c>
      <c r="W146" t="str">
        <f>""</f>
        <v/>
      </c>
      <c r="X146" t="str">
        <f>""</f>
        <v/>
      </c>
      <c r="Y146" t="str">
        <f>""</f>
        <v/>
      </c>
    </row>
    <row r="147" spans="1:25" x14ac:dyDescent="0.25">
      <c r="A147" t="str">
        <f>$A$56</f>
        <v xml:space="preserve">        USD CNY</v>
      </c>
      <c r="B147" t="str">
        <f>$B$56</f>
        <v>USDCNY Curncy</v>
      </c>
      <c r="C147" t="str">
        <f>$C$56</f>
        <v>PR005</v>
      </c>
      <c r="D147" t="str">
        <f>$D$56</f>
        <v>PX_LAST</v>
      </c>
      <c r="E147" t="str">
        <f>$E$56</f>
        <v>Dynamic</v>
      </c>
      <c r="F147">
        <f ca="1">_xll.BDH($B$56,$C$56,$B$106,$B$107,CONCATENATE("Per=",$B$104),"Dts=H","Dir=H",CONCATENATE("Points=",$B$105),"Sort=R","Days=A","Fill=B",CONCATENATE("FX=", $B$103) )</f>
        <v>7.0781999999999998</v>
      </c>
      <c r="P147" t="str">
        <f>""</f>
        <v/>
      </c>
      <c r="Q147" t="str">
        <f>""</f>
        <v/>
      </c>
      <c r="R147" t="str">
        <f>""</f>
        <v/>
      </c>
      <c r="S147" t="str">
        <f>""</f>
        <v/>
      </c>
      <c r="T147" t="str">
        <f>""</f>
        <v/>
      </c>
      <c r="U147" t="str">
        <f>""</f>
        <v/>
      </c>
      <c r="V147" t="str">
        <f>""</f>
        <v/>
      </c>
      <c r="W147" t="str">
        <f>""</f>
        <v/>
      </c>
      <c r="X147" t="str">
        <f>""</f>
        <v/>
      </c>
      <c r="Y147" t="str">
        <f>""</f>
        <v/>
      </c>
    </row>
    <row r="148" spans="1:25" x14ac:dyDescent="0.25">
      <c r="A148" t="str">
        <f>$A$57</f>
        <v xml:space="preserve">        USD JPY</v>
      </c>
      <c r="B148" t="str">
        <f>$B$57</f>
        <v>USDJPY Curncy</v>
      </c>
      <c r="C148" t="str">
        <f>$C$57</f>
        <v>PR005</v>
      </c>
      <c r="D148" t="str">
        <f>$D$57</f>
        <v>PX_LAST</v>
      </c>
      <c r="E148" t="str">
        <f>$E$57</f>
        <v>Dynamic</v>
      </c>
      <c r="F148">
        <f ca="1">_xll.BDH($B$57,$C$57,$B$106,$B$107,CONCATENATE("Per=",$B$104),"Dts=H","Dir=H",CONCATENATE("Points=",$B$105),"Sort=R","Days=A","Fill=B",CONCATENATE("FX=", $B$103) )</f>
        <v>107.3</v>
      </c>
      <c r="P148" t="str">
        <f>""</f>
        <v/>
      </c>
      <c r="Q148" t="str">
        <f>""</f>
        <v/>
      </c>
      <c r="R148" t="str">
        <f>""</f>
        <v/>
      </c>
      <c r="S148" t="str">
        <f>""</f>
        <v/>
      </c>
      <c r="T148" t="str">
        <f>""</f>
        <v/>
      </c>
      <c r="U148" t="str">
        <f>""</f>
        <v/>
      </c>
      <c r="V148" t="str">
        <f>""</f>
        <v/>
      </c>
      <c r="W148" t="str">
        <f>""</f>
        <v/>
      </c>
      <c r="X148" t="str">
        <f>""</f>
        <v/>
      </c>
      <c r="Y148" t="str">
        <f>""</f>
        <v/>
      </c>
    </row>
    <row r="149" spans="1:25" x14ac:dyDescent="0.25">
      <c r="A149" t="str">
        <f>$A$58</f>
        <v xml:space="preserve">        USD CAD</v>
      </c>
      <c r="B149" t="str">
        <f>$B$58</f>
        <v>USDCAD Curncy</v>
      </c>
      <c r="C149" t="str">
        <f>$C$58</f>
        <v>PR005</v>
      </c>
      <c r="D149" t="str">
        <f>$D$58</f>
        <v>PX_LAST</v>
      </c>
      <c r="E149" t="str">
        <f>$E$58</f>
        <v>Dynamic</v>
      </c>
      <c r="F149">
        <f ca="1">_xll.BDH($B$58,$C$58,$B$106,$B$107,CONCATENATE("Per=",$B$104),"Dts=H","Dir=H",CONCATENATE("Points=",$B$105),"Sort=R","Days=A","Fill=B",CONCATENATE("FX=", $B$103) )</f>
        <v>1.3543000000000001</v>
      </c>
      <c r="P149" t="str">
        <f>""</f>
        <v/>
      </c>
      <c r="Q149" t="str">
        <f>""</f>
        <v/>
      </c>
      <c r="R149" t="str">
        <f>""</f>
        <v/>
      </c>
      <c r="S149" t="str">
        <f>""</f>
        <v/>
      </c>
      <c r="T149" t="str">
        <f>""</f>
        <v/>
      </c>
      <c r="U149" t="str">
        <f>""</f>
        <v/>
      </c>
      <c r="V149" t="str">
        <f>""</f>
        <v/>
      </c>
      <c r="W149" t="str">
        <f>""</f>
        <v/>
      </c>
      <c r="X149" t="str">
        <f>""</f>
        <v/>
      </c>
      <c r="Y149" t="str">
        <f>""</f>
        <v/>
      </c>
    </row>
    <row r="150" spans="1:25" x14ac:dyDescent="0.25">
      <c r="A150" t="str">
        <f>$A$59</f>
        <v xml:space="preserve">        USD AUD</v>
      </c>
      <c r="B150" t="str">
        <f>$B$59</f>
        <v>USDAUD Curncy</v>
      </c>
      <c r="C150" t="str">
        <f>$C$59</f>
        <v>PR005</v>
      </c>
      <c r="D150" t="str">
        <f>$D$59</f>
        <v>PX_LAST</v>
      </c>
      <c r="E150" t="str">
        <f>$E$59</f>
        <v>Dynamic</v>
      </c>
      <c r="F150">
        <f ca="1">_xll.BDH($B$59,$C$59,$B$106,$B$107,CONCATENATE("Per=",$B$104),"Dts=H","Dir=H",CONCATENATE("Points=",$B$105),"Sort=R","Days=A","Fill=B",CONCATENATE("FX=", $B$103) )</f>
        <v>1.4407000000000001</v>
      </c>
      <c r="P150" t="str">
        <f>""</f>
        <v/>
      </c>
      <c r="Q150" t="str">
        <f>""</f>
        <v/>
      </c>
      <c r="R150" t="str">
        <f>""</f>
        <v/>
      </c>
      <c r="S150" t="str">
        <f>""</f>
        <v/>
      </c>
      <c r="T150" t="str">
        <f>""</f>
        <v/>
      </c>
      <c r="U150" t="str">
        <f>""</f>
        <v/>
      </c>
      <c r="V150" t="str">
        <f>""</f>
        <v/>
      </c>
      <c r="W150" t="str">
        <f>""</f>
        <v/>
      </c>
      <c r="X150" t="str">
        <f>""</f>
        <v/>
      </c>
      <c r="Y150" t="str">
        <f>""</f>
        <v/>
      </c>
    </row>
    <row r="151" spans="1:25" x14ac:dyDescent="0.25">
      <c r="A151" t="str">
        <f>$A$61</f>
        <v xml:space="preserve">        EUR USD</v>
      </c>
      <c r="B151" t="str">
        <f>$B$61</f>
        <v>EURUSD Curncy</v>
      </c>
      <c r="C151" t="str">
        <f>$C$61</f>
        <v>PR005</v>
      </c>
      <c r="D151" t="str">
        <f>$D$61</f>
        <v>PX_LAST</v>
      </c>
      <c r="E151" t="str">
        <f>$E$61</f>
        <v>Dynamic</v>
      </c>
      <c r="F151">
        <f ca="1">_xll.BDH($B$61,$C$61,$B$106,$B$107,CONCATENATE("Per=",$B$104),"Dts=H","Dir=H",CONCATENATE("Points=",$B$105),"Sort=R","Days=A","Fill=B",CONCATENATE("FX=", $B$103) )</f>
        <v>1.1331</v>
      </c>
      <c r="P151" t="str">
        <f>""</f>
        <v/>
      </c>
      <c r="Q151" t="str">
        <f>""</f>
        <v/>
      </c>
      <c r="R151" t="str">
        <f>""</f>
        <v/>
      </c>
      <c r="S151" t="str">
        <f>""</f>
        <v/>
      </c>
      <c r="T151" t="str">
        <f>""</f>
        <v/>
      </c>
      <c r="U151" t="str">
        <f>""</f>
        <v/>
      </c>
      <c r="V151" t="str">
        <f>""</f>
        <v/>
      </c>
      <c r="W151" t="str">
        <f>""</f>
        <v/>
      </c>
      <c r="X151" t="str">
        <f>""</f>
        <v/>
      </c>
      <c r="Y151" t="str">
        <f>""</f>
        <v/>
      </c>
    </row>
    <row r="152" spans="1:25" x14ac:dyDescent="0.25">
      <c r="A152" t="str">
        <f>$A$62</f>
        <v xml:space="preserve">        EUR INR</v>
      </c>
      <c r="B152" t="str">
        <f>$B$62</f>
        <v>EURINR Curncy</v>
      </c>
      <c r="C152" t="str">
        <f>$C$62</f>
        <v>PR005</v>
      </c>
      <c r="D152" t="str">
        <f>$D$62</f>
        <v>PX_LAST</v>
      </c>
      <c r="E152" t="str">
        <f>$E$62</f>
        <v>Dynamic</v>
      </c>
      <c r="F152">
        <f ca="1">_xll.BDH($B$62,$C$62,$B$106,$B$107,CONCATENATE("Per=",$B$104),"Dts=H","Dir=H",CONCATENATE("Points=",$B$105),"Sort=R","Days=A","Fill=B",CONCATENATE("FX=", $B$103) )</f>
        <v>85.566999999999993</v>
      </c>
      <c r="P152" t="str">
        <f>""</f>
        <v/>
      </c>
      <c r="Q152" t="str">
        <f>""</f>
        <v/>
      </c>
      <c r="R152" t="str">
        <f>""</f>
        <v/>
      </c>
      <c r="S152" t="str">
        <f>""</f>
        <v/>
      </c>
      <c r="T152" t="str">
        <f>""</f>
        <v/>
      </c>
      <c r="U152" t="str">
        <f>""</f>
        <v/>
      </c>
      <c r="V152" t="str">
        <f>""</f>
        <v/>
      </c>
      <c r="W152" t="str">
        <f>""</f>
        <v/>
      </c>
      <c r="X152" t="str">
        <f>""</f>
        <v/>
      </c>
      <c r="Y152" t="str">
        <f>""</f>
        <v/>
      </c>
    </row>
    <row r="153" spans="1:25" x14ac:dyDescent="0.25">
      <c r="A153" t="str">
        <f>$A$63</f>
        <v xml:space="preserve">        EUR GBP</v>
      </c>
      <c r="B153" t="str">
        <f>$B$63</f>
        <v>EURGBP Curncy</v>
      </c>
      <c r="C153" t="str">
        <f>$C$63</f>
        <v>PR005</v>
      </c>
      <c r="D153" t="str">
        <f>$D$63</f>
        <v>PX_LAST</v>
      </c>
      <c r="E153" t="str">
        <f>$E$63</f>
        <v>Dynamic</v>
      </c>
      <c r="F153">
        <f ca="1">_xll.BDH($B$63,$C$63,$B$106,$B$107,CONCATENATE("Per=",$B$104),"Dts=H","Dir=H",CONCATENATE("Points=",$B$105),"Sort=R","Days=A","Fill=B",CONCATENATE("FX=", $B$103) )</f>
        <v>0.89741000000000004</v>
      </c>
      <c r="P153" t="str">
        <f>""</f>
        <v/>
      </c>
      <c r="Q153" t="str">
        <f>""</f>
        <v/>
      </c>
      <c r="R153" t="str">
        <f>""</f>
        <v/>
      </c>
      <c r="S153" t="str">
        <f>""</f>
        <v/>
      </c>
      <c r="T153" t="str">
        <f>""</f>
        <v/>
      </c>
      <c r="U153" t="str">
        <f>""</f>
        <v/>
      </c>
      <c r="V153" t="str">
        <f>""</f>
        <v/>
      </c>
      <c r="W153" t="str">
        <f>""</f>
        <v/>
      </c>
      <c r="X153" t="str">
        <f>""</f>
        <v/>
      </c>
      <c r="Y153" t="str">
        <f>""</f>
        <v/>
      </c>
    </row>
    <row r="154" spans="1:25" x14ac:dyDescent="0.25">
      <c r="A154" t="str">
        <f>$A$64</f>
        <v xml:space="preserve">        EUR BRL</v>
      </c>
      <c r="B154" t="str">
        <f>$B$64</f>
        <v>EURBRL Curncy</v>
      </c>
      <c r="C154" t="str">
        <f>$C$64</f>
        <v>PR005</v>
      </c>
      <c r="D154" t="str">
        <f>$D$64</f>
        <v>PX_LAST</v>
      </c>
      <c r="E154" t="str">
        <f>$E$64</f>
        <v>Dynamic</v>
      </c>
      <c r="F154">
        <f ca="1">_xll.BDH($B$64,$C$64,$B$106,$B$107,CONCATENATE("Per=",$B$104),"Dts=H","Dir=H",CONCATENATE("Points=",$B$105),"Sort=R","Days=A","Fill=B",CONCATENATE("FX=", $B$103) )</f>
        <v>5.8377999999999997</v>
      </c>
      <c r="P154" t="str">
        <f>""</f>
        <v/>
      </c>
      <c r="Q154" t="str">
        <f>""</f>
        <v/>
      </c>
      <c r="R154" t="str">
        <f>""</f>
        <v/>
      </c>
      <c r="S154" t="str">
        <f>""</f>
        <v/>
      </c>
      <c r="T154" t="str">
        <f>""</f>
        <v/>
      </c>
      <c r="U154" t="str">
        <f>""</f>
        <v/>
      </c>
      <c r="V154" t="str">
        <f>""</f>
        <v/>
      </c>
      <c r="W154" t="str">
        <f>""</f>
        <v/>
      </c>
      <c r="X154" t="str">
        <f>""</f>
        <v/>
      </c>
      <c r="Y154" t="str">
        <f>""</f>
        <v/>
      </c>
    </row>
    <row r="155" spans="1:25" x14ac:dyDescent="0.25">
      <c r="A155" t="str">
        <f>$A$65</f>
        <v xml:space="preserve">        EUR CNY</v>
      </c>
      <c r="B155" t="str">
        <f>$B$65</f>
        <v>EURCNY Curncy</v>
      </c>
      <c r="C155" t="str">
        <f>$C$65</f>
        <v>PR005</v>
      </c>
      <c r="D155" t="str">
        <f>$D$65</f>
        <v>PX_LAST</v>
      </c>
      <c r="E155" t="str">
        <f>$E$65</f>
        <v>Dynamic</v>
      </c>
      <c r="F155">
        <f ca="1">_xll.BDH($B$65,$C$65,$B$106,$B$107,CONCATENATE("Per=",$B$104),"Dts=H","Dir=H",CONCATENATE("Points=",$B$105),"Sort=R","Days=A","Fill=B",CONCATENATE("FX=", $B$103) )</f>
        <v>8.0228999999999999</v>
      </c>
      <c r="P155" t="str">
        <f>""</f>
        <v/>
      </c>
      <c r="Q155" t="str">
        <f>""</f>
        <v/>
      </c>
      <c r="R155" t="str">
        <f>""</f>
        <v/>
      </c>
      <c r="S155" t="str">
        <f>""</f>
        <v/>
      </c>
      <c r="T155" t="str">
        <f>""</f>
        <v/>
      </c>
      <c r="U155" t="str">
        <f>""</f>
        <v/>
      </c>
      <c r="V155" t="str">
        <f>""</f>
        <v/>
      </c>
      <c r="W155" t="str">
        <f>""</f>
        <v/>
      </c>
      <c r="X155" t="str">
        <f>""</f>
        <v/>
      </c>
      <c r="Y155" t="str">
        <f>""</f>
        <v/>
      </c>
    </row>
    <row r="156" spans="1:25" x14ac:dyDescent="0.25">
      <c r="A156" t="str">
        <f>$A$66</f>
        <v xml:space="preserve">        EUR JPY</v>
      </c>
      <c r="B156" t="str">
        <f>$B$66</f>
        <v>EURJPY Curncy</v>
      </c>
      <c r="C156" t="str">
        <f>$C$66</f>
        <v>PR005</v>
      </c>
      <c r="D156" t="str">
        <f>$D$66</f>
        <v>PX_LAST</v>
      </c>
      <c r="E156" t="str">
        <f>$E$66</f>
        <v>Dynamic</v>
      </c>
      <c r="F156">
        <f ca="1">_xll.BDH($B$66,$C$66,$B$106,$B$107,CONCATENATE("Per=",$B$104),"Dts=H","Dir=H",CONCATENATE("Points=",$B$105),"Sort=R","Days=A","Fill=B",CONCATENATE("FX=", $B$103) )</f>
        <v>121.58</v>
      </c>
      <c r="P156" t="str">
        <f>""</f>
        <v/>
      </c>
      <c r="Q156" t="str">
        <f>""</f>
        <v/>
      </c>
      <c r="R156" t="str">
        <f>""</f>
        <v/>
      </c>
      <c r="S156" t="str">
        <f>""</f>
        <v/>
      </c>
      <c r="T156" t="str">
        <f>""</f>
        <v/>
      </c>
      <c r="U156" t="str">
        <f>""</f>
        <v/>
      </c>
      <c r="V156" t="str">
        <f>""</f>
        <v/>
      </c>
      <c r="W156" t="str">
        <f>""</f>
        <v/>
      </c>
      <c r="X156" t="str">
        <f>""</f>
        <v/>
      </c>
      <c r="Y156" t="str">
        <f>""</f>
        <v/>
      </c>
    </row>
    <row r="157" spans="1:25" x14ac:dyDescent="0.25">
      <c r="A157" t="str">
        <f>$A$67</f>
        <v xml:space="preserve">        EUR CAD</v>
      </c>
      <c r="B157" t="str">
        <f>$B$67</f>
        <v>EURCAD Curncy</v>
      </c>
      <c r="C157" t="str">
        <f>$C$67</f>
        <v>PR005</v>
      </c>
      <c r="D157" t="str">
        <f>$D$67</f>
        <v>PX_LAST</v>
      </c>
      <c r="E157" t="str">
        <f>$E$67</f>
        <v>Dynamic</v>
      </c>
      <c r="F157">
        <f ca="1">_xll.BDH($B$67,$C$67,$B$106,$B$107,CONCATENATE("Per=",$B$104),"Dts=H","Dir=H",CONCATENATE("Points=",$B$105),"Sort=R","Days=A","Fill=B",CONCATENATE("FX=", $B$103) )</f>
        <v>1.53451</v>
      </c>
      <c r="P157" t="str">
        <f>""</f>
        <v/>
      </c>
      <c r="Q157" t="str">
        <f>""</f>
        <v/>
      </c>
      <c r="R157" t="str">
        <f>""</f>
        <v/>
      </c>
      <c r="S157" t="str">
        <f>""</f>
        <v/>
      </c>
      <c r="T157" t="str">
        <f>""</f>
        <v/>
      </c>
      <c r="U157" t="str">
        <f>""</f>
        <v/>
      </c>
      <c r="V157" t="str">
        <f>""</f>
        <v/>
      </c>
      <c r="W157" t="str">
        <f>""</f>
        <v/>
      </c>
      <c r="X157" t="str">
        <f>""</f>
        <v/>
      </c>
      <c r="Y157" t="str">
        <f>""</f>
        <v/>
      </c>
    </row>
    <row r="158" spans="1:25" x14ac:dyDescent="0.25">
      <c r="A158" t="str">
        <f>$A$68</f>
        <v xml:space="preserve">        EUR AUD</v>
      </c>
      <c r="B158" t="str">
        <f>$B$68</f>
        <v>EURAUD Curncy</v>
      </c>
      <c r="C158" t="str">
        <f>$C$68</f>
        <v>PR005</v>
      </c>
      <c r="D158" t="str">
        <f>$D$68</f>
        <v>PX_LAST</v>
      </c>
      <c r="E158" t="str">
        <f>$E$68</f>
        <v>Dynamic</v>
      </c>
      <c r="F158">
        <f ca="1">_xll.BDH($B$68,$C$68,$B$106,$B$107,CONCATENATE("Per=",$B$104),"Dts=H","Dir=H",CONCATENATE("Points=",$B$105),"Sort=R","Days=A","Fill=B",CONCATENATE("FX=", $B$103) )</f>
        <v>1.63228</v>
      </c>
      <c r="P158" t="str">
        <f>""</f>
        <v/>
      </c>
      <c r="Q158" t="str">
        <f>""</f>
        <v/>
      </c>
      <c r="R158" t="str">
        <f>""</f>
        <v/>
      </c>
      <c r="S158" t="str">
        <f>""</f>
        <v/>
      </c>
      <c r="T158" t="str">
        <f>""</f>
        <v/>
      </c>
      <c r="U158" t="str">
        <f>""</f>
        <v/>
      </c>
      <c r="V158" t="str">
        <f>""</f>
        <v/>
      </c>
      <c r="W158" t="str">
        <f>""</f>
        <v/>
      </c>
      <c r="X158" t="str">
        <f>""</f>
        <v/>
      </c>
      <c r="Y158" t="str">
        <f>""</f>
        <v/>
      </c>
    </row>
    <row r="159" spans="1:25" x14ac:dyDescent="0.25">
      <c r="A159" t="str">
        <f>$A$72</f>
        <v xml:space="preserve">        United States (qoq %)</v>
      </c>
      <c r="B159" t="str">
        <f>$B$72</f>
        <v>GDP CQOQ Index</v>
      </c>
      <c r="C159" t="str">
        <f>$C$72</f>
        <v>PR005</v>
      </c>
      <c r="D159" t="str">
        <f>$D$72</f>
        <v>PX_LAST</v>
      </c>
      <c r="E159" t="str">
        <f>$E$72</f>
        <v>Dynamic</v>
      </c>
      <c r="F159">
        <f ca="1">_xll.BDH($B$72,$C$72,$B$106,$B$107,CONCATENATE("Per=",$B$104),"Dts=H","Dir=H",CONCATENATE("Points=",$B$105),"Sort=R","Days=A","Fill=B",CONCATENATE("FX=", $B$103) )</f>
        <v>-5</v>
      </c>
      <c r="P159" t="str">
        <f>""</f>
        <v/>
      </c>
      <c r="Q159" t="str">
        <f>""</f>
        <v/>
      </c>
      <c r="R159" t="str">
        <f>""</f>
        <v/>
      </c>
      <c r="S159" t="str">
        <f>""</f>
        <v/>
      </c>
      <c r="T159" t="str">
        <f>""</f>
        <v/>
      </c>
      <c r="U159" t="str">
        <f>""</f>
        <v/>
      </c>
      <c r="V159" t="str">
        <f>""</f>
        <v/>
      </c>
      <c r="W159" t="str">
        <f>""</f>
        <v/>
      </c>
      <c r="X159" t="str">
        <f>""</f>
        <v/>
      </c>
      <c r="Y159" t="str">
        <f>""</f>
        <v/>
      </c>
    </row>
    <row r="160" spans="1:25" x14ac:dyDescent="0.25">
      <c r="A160" t="str">
        <f>$A$73</f>
        <v xml:space="preserve">            GDP ($)</v>
      </c>
      <c r="B160" t="str">
        <f>$B$73</f>
        <v>GDP CHWG Index</v>
      </c>
      <c r="C160" t="str">
        <f>$C$73</f>
        <v>PR005</v>
      </c>
      <c r="D160" t="str">
        <f>$D$73</f>
        <v>PX_LAST</v>
      </c>
      <c r="E160" t="str">
        <f>$E$73</f>
        <v>Dynamic</v>
      </c>
      <c r="F160" t="str">
        <f ca="1">_xll.BDH($B$73,$C$73,$B$106,$B$107,CONCATENATE("Per=",$B$104),"Dts=H","Dir=H",CONCATENATE("Points=",$B$105),"Sort=R","Days=A","Fill=B",CONCATENATE("FX=", $B$103) )</f>
        <v/>
      </c>
      <c r="P160" t="str">
        <f>""</f>
        <v/>
      </c>
      <c r="Q160" t="str">
        <f>""</f>
        <v/>
      </c>
      <c r="R160" t="str">
        <f>""</f>
        <v/>
      </c>
      <c r="S160" t="str">
        <f>""</f>
        <v/>
      </c>
      <c r="T160" t="str">
        <f>""</f>
        <v/>
      </c>
      <c r="U160" t="str">
        <f>""</f>
        <v/>
      </c>
      <c r="V160" t="str">
        <f>""</f>
        <v/>
      </c>
      <c r="W160" t="str">
        <f>""</f>
        <v/>
      </c>
      <c r="X160" t="str">
        <f>""</f>
        <v/>
      </c>
      <c r="Y160" t="str">
        <f>""</f>
        <v/>
      </c>
    </row>
    <row r="161" spans="1:25" x14ac:dyDescent="0.25">
      <c r="A161" t="str">
        <f>$A$74</f>
        <v xml:space="preserve">            Software (yoy %)</v>
      </c>
      <c r="B161" t="str">
        <f>$B$74</f>
        <v>GDP$SOFY Index</v>
      </c>
      <c r="C161" t="str">
        <f>$C$74</f>
        <v>PR005</v>
      </c>
      <c r="D161" t="str">
        <f>$D$74</f>
        <v>PX_LAST</v>
      </c>
      <c r="E161" t="str">
        <f>$E$74</f>
        <v>Dynamic</v>
      </c>
      <c r="F161" t="str">
        <f ca="1">_xll.BDH($B$74,$C$74,$B$106,$B$107,CONCATENATE("Per=",$B$104),"Dts=H","Dir=H",CONCATENATE("Points=",$B$105),"Sort=R","Days=A","Fill=B",CONCATENATE("FX=", $B$103) )</f>
        <v/>
      </c>
      <c r="P161" t="str">
        <f>""</f>
        <v/>
      </c>
      <c r="Q161" t="str">
        <f>""</f>
        <v/>
      </c>
      <c r="R161" t="str">
        <f>""</f>
        <v/>
      </c>
      <c r="S161" t="str">
        <f>""</f>
        <v/>
      </c>
      <c r="T161" t="str">
        <f>""</f>
        <v/>
      </c>
      <c r="U161" t="str">
        <f>""</f>
        <v/>
      </c>
      <c r="V161" t="str">
        <f>""</f>
        <v/>
      </c>
      <c r="W161" t="str">
        <f>""</f>
        <v/>
      </c>
      <c r="X161" t="str">
        <f>""</f>
        <v/>
      </c>
      <c r="Y161" t="str">
        <f>""</f>
        <v/>
      </c>
    </row>
    <row r="162" spans="1:25" x14ac:dyDescent="0.25">
      <c r="A162" t="str">
        <f>$A$75</f>
        <v xml:space="preserve">                Software ($)</v>
      </c>
      <c r="B162" t="str">
        <f>$B$75</f>
        <v>GDP$SOFT Index</v>
      </c>
      <c r="C162" t="str">
        <f>$C$75</f>
        <v>PR005</v>
      </c>
      <c r="D162" t="str">
        <f>$D$75</f>
        <v>PX_LAST</v>
      </c>
      <c r="E162" t="str">
        <f>$E$75</f>
        <v>Dynamic</v>
      </c>
      <c r="F162" t="str">
        <f ca="1">_xll.BDH($B$75,$C$75,$B$106,$B$107,CONCATENATE("Per=",$B$104),"Dts=H","Dir=H",CONCATENATE("Points=",$B$105),"Sort=R","Days=A","Fill=B",CONCATENATE("FX=", $B$103) )</f>
        <v/>
      </c>
      <c r="P162" t="str">
        <f>""</f>
        <v/>
      </c>
      <c r="Q162" t="str">
        <f>""</f>
        <v/>
      </c>
      <c r="R162" t="str">
        <f>""</f>
        <v/>
      </c>
      <c r="S162" t="str">
        <f>""</f>
        <v/>
      </c>
      <c r="T162" t="str">
        <f>""</f>
        <v/>
      </c>
      <c r="U162" t="str">
        <f>""</f>
        <v/>
      </c>
      <c r="V162" t="str">
        <f>""</f>
        <v/>
      </c>
      <c r="W162" t="str">
        <f>""</f>
        <v/>
      </c>
      <c r="X162" t="str">
        <f>""</f>
        <v/>
      </c>
      <c r="Y162" t="str">
        <f>""</f>
        <v/>
      </c>
    </row>
    <row r="163" spans="1:25" x14ac:dyDescent="0.25">
      <c r="A163" t="str">
        <f>$A$76</f>
        <v xml:space="preserve">            Computer  (yoy%)</v>
      </c>
      <c r="B163" t="str">
        <f>$B$76</f>
        <v>GDP$CAPY Index</v>
      </c>
      <c r="C163" t="str">
        <f>$C$76</f>
        <v>PR005</v>
      </c>
      <c r="D163" t="str">
        <f>$D$76</f>
        <v>PX_LAST</v>
      </c>
      <c r="E163" t="str">
        <f>$E$76</f>
        <v>Dynamic</v>
      </c>
      <c r="F163" t="str">
        <f ca="1">_xll.BDH($B$76,$C$76,$B$106,$B$107,CONCATENATE("Per=",$B$104),"Dts=H","Dir=H",CONCATENATE("Points=",$B$105),"Sort=R","Days=A","Fill=B",CONCATENATE("FX=", $B$103) )</f>
        <v/>
      </c>
      <c r="P163" t="str">
        <f>""</f>
        <v/>
      </c>
      <c r="Q163" t="str">
        <f>""</f>
        <v/>
      </c>
      <c r="R163" t="str">
        <f>""</f>
        <v/>
      </c>
      <c r="S163" t="str">
        <f>""</f>
        <v/>
      </c>
      <c r="T163" t="str">
        <f>""</f>
        <v/>
      </c>
      <c r="U163" t="str">
        <f>""</f>
        <v/>
      </c>
      <c r="V163" t="str">
        <f>""</f>
        <v/>
      </c>
      <c r="W163" t="str">
        <f>""</f>
        <v/>
      </c>
      <c r="X163" t="str">
        <f>""</f>
        <v/>
      </c>
      <c r="Y163" t="str">
        <f>""</f>
        <v/>
      </c>
    </row>
    <row r="164" spans="1:25" x14ac:dyDescent="0.25">
      <c r="A164" t="str">
        <f>$A$77</f>
        <v xml:space="preserve">                Computer  ($)</v>
      </c>
      <c r="B164" t="str">
        <f>$B$77</f>
        <v>GDP$CAPE Index</v>
      </c>
      <c r="C164" t="str">
        <f>$C$77</f>
        <v>PR005</v>
      </c>
      <c r="D164" t="str">
        <f>$D$77</f>
        <v>PX_LAST</v>
      </c>
      <c r="E164" t="str">
        <f>$E$77</f>
        <v>Dynamic</v>
      </c>
      <c r="F164" t="str">
        <f ca="1">_xll.BDH($B$77,$C$77,$B$106,$B$107,CONCATENATE("Per=",$B$104),"Dts=H","Dir=H",CONCATENATE("Points=",$B$105),"Sort=R","Days=A","Fill=B",CONCATENATE("FX=", $B$103) )</f>
        <v/>
      </c>
      <c r="P164" t="str">
        <f>""</f>
        <v/>
      </c>
      <c r="Q164" t="str">
        <f>""</f>
        <v/>
      </c>
      <c r="R164" t="str">
        <f>""</f>
        <v/>
      </c>
      <c r="S164" t="str">
        <f>""</f>
        <v/>
      </c>
      <c r="T164" t="str">
        <f>""</f>
        <v/>
      </c>
      <c r="U164" t="str">
        <f>""</f>
        <v/>
      </c>
      <c r="V164" t="str">
        <f>""</f>
        <v/>
      </c>
      <c r="W164" t="str">
        <f>""</f>
        <v/>
      </c>
      <c r="X164" t="str">
        <f>""</f>
        <v/>
      </c>
      <c r="Y164" t="str">
        <f>""</f>
        <v/>
      </c>
    </row>
    <row r="165" spans="1:25" x14ac:dyDescent="0.25">
      <c r="A165" t="str">
        <f>$A$78</f>
        <v xml:space="preserve">        Canada</v>
      </c>
      <c r="B165" t="str">
        <f>$B$78</f>
        <v>CAGDPYOY Index</v>
      </c>
      <c r="C165" t="str">
        <f>$C$78</f>
        <v>PR005</v>
      </c>
      <c r="D165" t="str">
        <f>$D$78</f>
        <v>PX_LAST</v>
      </c>
      <c r="E165" t="str">
        <f>$E$78</f>
        <v>Dynamic</v>
      </c>
      <c r="F165">
        <f ca="1">_xll.BDH($B$78,$C$78,$B$106,$B$107,CONCATENATE("Per=",$B$104),"Dts=H","Dir=H",CONCATENATE("Points=",$B$105),"Sort=R","Days=A","Fill=B",CONCATENATE("FX=", $B$103) )</f>
        <v>-5.8</v>
      </c>
      <c r="P165" t="str">
        <f>""</f>
        <v/>
      </c>
      <c r="Q165" t="str">
        <f>""</f>
        <v/>
      </c>
      <c r="R165" t="str">
        <f>""</f>
        <v/>
      </c>
      <c r="S165" t="str">
        <f>""</f>
        <v/>
      </c>
      <c r="T165" t="str">
        <f>""</f>
        <v/>
      </c>
      <c r="U165" t="str">
        <f>""</f>
        <v/>
      </c>
      <c r="V165" t="str">
        <f>""</f>
        <v/>
      </c>
      <c r="W165" t="str">
        <f>""</f>
        <v/>
      </c>
      <c r="X165" t="str">
        <f>""</f>
        <v/>
      </c>
      <c r="Y165" t="str">
        <f>""</f>
        <v/>
      </c>
    </row>
    <row r="166" spans="1:25" x14ac:dyDescent="0.25">
      <c r="A166" t="str">
        <f>$A$80</f>
        <v xml:space="preserve">        Brazil</v>
      </c>
      <c r="B166" t="str">
        <f>$B$80</f>
        <v>BZGDYOY% Index</v>
      </c>
      <c r="C166" t="str">
        <f>$C$80</f>
        <v>PR005</v>
      </c>
      <c r="D166" t="str">
        <f>$D$80</f>
        <v>PX_LAST</v>
      </c>
      <c r="E166" t="str">
        <f>$E$80</f>
        <v>Dynamic</v>
      </c>
      <c r="F166">
        <f ca="1">_xll.BDH($B$80,$C$80,$B$106,$B$107,CONCATENATE("Per=",$B$104),"Dts=H","Dir=H",CONCATENATE("Points=",$B$105),"Sort=R","Days=A","Fill=B",CONCATENATE("FX=", $B$103) )</f>
        <v>-0.25</v>
      </c>
      <c r="P166" t="str">
        <f>""</f>
        <v/>
      </c>
      <c r="Q166" t="str">
        <f>""</f>
        <v/>
      </c>
      <c r="R166" t="str">
        <f>""</f>
        <v/>
      </c>
      <c r="S166" t="str">
        <f>""</f>
        <v/>
      </c>
      <c r="T166" t="str">
        <f>""</f>
        <v/>
      </c>
      <c r="U166" t="str">
        <f>""</f>
        <v/>
      </c>
      <c r="V166" t="str">
        <f>""</f>
        <v/>
      </c>
      <c r="W166" t="str">
        <f>""</f>
        <v/>
      </c>
      <c r="X166" t="str">
        <f>""</f>
        <v/>
      </c>
      <c r="Y166" t="str">
        <f>""</f>
        <v/>
      </c>
    </row>
    <row r="167" spans="1:25" x14ac:dyDescent="0.25">
      <c r="A167" t="str">
        <f>$A$82</f>
        <v xml:space="preserve">        Eurozone</v>
      </c>
      <c r="B167" t="str">
        <f>$B$82</f>
        <v>EUGNEMUY Index</v>
      </c>
      <c r="C167" t="str">
        <f>$C$82</f>
        <v>PR005</v>
      </c>
      <c r="D167" t="str">
        <f>$D$82</f>
        <v>PX_LAST</v>
      </c>
      <c r="E167" t="str">
        <f>$E$82</f>
        <v>Dynamic</v>
      </c>
      <c r="F167">
        <f ca="1">_xll.BDH($B$82,$C$82,$B$106,$B$107,CONCATENATE("Per=",$B$104),"Dts=H","Dir=H",CONCATENATE("Points=",$B$105),"Sort=R","Days=A","Fill=B",CONCATENATE("FX=", $B$103) )</f>
        <v>-3.1</v>
      </c>
      <c r="P167" t="str">
        <f>""</f>
        <v/>
      </c>
      <c r="Q167" t="str">
        <f>""</f>
        <v/>
      </c>
      <c r="R167" t="str">
        <f>""</f>
        <v/>
      </c>
      <c r="S167" t="str">
        <f>""</f>
        <v/>
      </c>
      <c r="T167" t="str">
        <f>""</f>
        <v/>
      </c>
      <c r="U167" t="str">
        <f>""</f>
        <v/>
      </c>
      <c r="V167" t="str">
        <f>""</f>
        <v/>
      </c>
      <c r="W167" t="str">
        <f>""</f>
        <v/>
      </c>
      <c r="X167" t="str">
        <f>""</f>
        <v/>
      </c>
      <c r="Y167" t="str">
        <f>""</f>
        <v/>
      </c>
    </row>
    <row r="168" spans="1:25" x14ac:dyDescent="0.25">
      <c r="A168" t="str">
        <f>$A$83</f>
        <v xml:space="preserve">        United Kingdom</v>
      </c>
      <c r="B168" t="str">
        <f>$B$83</f>
        <v>UKGRABIY Index</v>
      </c>
      <c r="C168" t="str">
        <f>$C$83</f>
        <v>PR005</v>
      </c>
      <c r="D168" t="str">
        <f>$D$83</f>
        <v>PX_LAST</v>
      </c>
      <c r="E168" t="str">
        <f>$E$83</f>
        <v>Dynamic</v>
      </c>
      <c r="F168">
        <f ca="1">_xll.BDH($B$83,$C$83,$B$106,$B$107,CONCATENATE("Per=",$B$104),"Dts=H","Dir=H",CONCATENATE("Points=",$B$105),"Sort=R","Days=A","Fill=B",CONCATENATE("FX=", $B$103) )</f>
        <v>-1.6</v>
      </c>
      <c r="P168" t="str">
        <f>""</f>
        <v/>
      </c>
      <c r="Q168" t="str">
        <f>""</f>
        <v/>
      </c>
      <c r="R168" t="str">
        <f>""</f>
        <v/>
      </c>
      <c r="S168" t="str">
        <f>""</f>
        <v/>
      </c>
      <c r="T168" t="str">
        <f>""</f>
        <v/>
      </c>
      <c r="U168" t="str">
        <f>""</f>
        <v/>
      </c>
      <c r="V168" t="str">
        <f>""</f>
        <v/>
      </c>
      <c r="W168" t="str">
        <f>""</f>
        <v/>
      </c>
      <c r="X168" t="str">
        <f>""</f>
        <v/>
      </c>
      <c r="Y168" t="str">
        <f>""</f>
        <v/>
      </c>
    </row>
    <row r="169" spans="1:25" x14ac:dyDescent="0.25">
      <c r="A169" t="str">
        <f>$A$84</f>
        <v xml:space="preserve">        France</v>
      </c>
      <c r="B169" t="str">
        <f>$B$84</f>
        <v>FRGEGDPY Index</v>
      </c>
      <c r="C169" t="str">
        <f>$C$84</f>
        <v>PR005</v>
      </c>
      <c r="D169" t="str">
        <f>$D$84</f>
        <v>PX_LAST</v>
      </c>
      <c r="E169" t="str">
        <f>$E$84</f>
        <v>Dynamic</v>
      </c>
      <c r="F169">
        <f ca="1">_xll.BDH($B$84,$C$84,$B$106,$B$107,CONCATENATE("Per=",$B$104),"Dts=H","Dir=H",CONCATENATE("Points=",$B$105),"Sort=R","Days=A","Fill=B",CONCATENATE("FX=", $B$103) )</f>
        <v>-5</v>
      </c>
      <c r="P169" t="str">
        <f>""</f>
        <v/>
      </c>
      <c r="Q169" t="str">
        <f>""</f>
        <v/>
      </c>
      <c r="R169" t="str">
        <f>""</f>
        <v/>
      </c>
      <c r="S169" t="str">
        <f>""</f>
        <v/>
      </c>
      <c r="T169" t="str">
        <f>""</f>
        <v/>
      </c>
      <c r="U169" t="str">
        <f>""</f>
        <v/>
      </c>
      <c r="V169" t="str">
        <f>""</f>
        <v/>
      </c>
      <c r="W169" t="str">
        <f>""</f>
        <v/>
      </c>
      <c r="X169" t="str">
        <f>""</f>
        <v/>
      </c>
      <c r="Y169" t="str">
        <f>""</f>
        <v/>
      </c>
    </row>
    <row r="170" spans="1:25" x14ac:dyDescent="0.25">
      <c r="A170" t="str">
        <f>$A$85</f>
        <v xml:space="preserve">        Germany</v>
      </c>
      <c r="B170" t="str">
        <f>$B$85</f>
        <v>GRGDPPGY Index</v>
      </c>
      <c r="C170" t="str">
        <f>$C$85</f>
        <v>PR005</v>
      </c>
      <c r="D170" t="str">
        <f>$D$85</f>
        <v>PX_LAST</v>
      </c>
      <c r="E170" t="str">
        <f>$E$85</f>
        <v>Dynamic</v>
      </c>
      <c r="F170">
        <f ca="1">_xll.BDH($B$85,$C$85,$B$106,$B$107,CONCATENATE("Per=",$B$104),"Dts=H","Dir=H",CONCATENATE("Points=",$B$105),"Sort=R","Days=A","Fill=B",CONCATENATE("FX=", $B$103) )</f>
        <v>-2.2999999999999998</v>
      </c>
      <c r="P170" t="str">
        <f>""</f>
        <v/>
      </c>
      <c r="Q170" t="str">
        <f>""</f>
        <v/>
      </c>
      <c r="R170" t="str">
        <f>""</f>
        <v/>
      </c>
      <c r="S170" t="str">
        <f>""</f>
        <v/>
      </c>
      <c r="T170" t="str">
        <f>""</f>
        <v/>
      </c>
      <c r="U170" t="str">
        <f>""</f>
        <v/>
      </c>
      <c r="V170" t="str">
        <f>""</f>
        <v/>
      </c>
      <c r="W170" t="str">
        <f>""</f>
        <v/>
      </c>
      <c r="X170" t="str">
        <f>""</f>
        <v/>
      </c>
      <c r="Y170" t="str">
        <f>""</f>
        <v/>
      </c>
    </row>
    <row r="171" spans="1:25" x14ac:dyDescent="0.25">
      <c r="A171" t="str">
        <f>$A$86</f>
        <v xml:space="preserve">        Russia</v>
      </c>
      <c r="B171" t="str">
        <f>$B$86</f>
        <v>RUDPRYOY Index</v>
      </c>
      <c r="C171" t="str">
        <f>$C$86</f>
        <v>PR005</v>
      </c>
      <c r="D171" t="str">
        <f>$D$86</f>
        <v>PX_LAST</v>
      </c>
      <c r="E171" t="str">
        <f>$E$86</f>
        <v>Dynamic</v>
      </c>
      <c r="F171">
        <f ca="1">_xll.BDH($B$86,$C$86,$B$106,$B$107,CONCATENATE("Per=",$B$104),"Dts=H","Dir=H",CONCATENATE("Points=",$B$105),"Sort=R","Days=A","Fill=B",CONCATENATE("FX=", $B$103) )</f>
        <v>1.6</v>
      </c>
      <c r="P171" t="str">
        <f>""</f>
        <v/>
      </c>
      <c r="Q171" t="str">
        <f>""</f>
        <v/>
      </c>
      <c r="R171" t="str">
        <f>""</f>
        <v/>
      </c>
      <c r="S171" t="str">
        <f>""</f>
        <v/>
      </c>
      <c r="T171" t="str">
        <f>""</f>
        <v/>
      </c>
      <c r="U171" t="str">
        <f>""</f>
        <v/>
      </c>
      <c r="V171" t="str">
        <f>""</f>
        <v/>
      </c>
      <c r="W171" t="str">
        <f>""</f>
        <v/>
      </c>
      <c r="X171" t="str">
        <f>""</f>
        <v/>
      </c>
      <c r="Y171" t="str">
        <f>""</f>
        <v/>
      </c>
    </row>
    <row r="172" spans="1:25" x14ac:dyDescent="0.25">
      <c r="A172" t="str">
        <f>$A$88</f>
        <v xml:space="preserve">        Japan</v>
      </c>
      <c r="B172" t="str">
        <f>$B$88</f>
        <v>JGDPNSAQ Index</v>
      </c>
      <c r="C172" t="str">
        <f>$C$88</f>
        <v>PR005</v>
      </c>
      <c r="D172" t="str">
        <f>$D$88</f>
        <v>PX_LAST</v>
      </c>
      <c r="E172" t="str">
        <f>$E$88</f>
        <v>Dynamic</v>
      </c>
      <c r="F172">
        <f ca="1">_xll.BDH($B$88,$C$88,$B$106,$B$107,CONCATENATE("Per=",$B$104),"Dts=H","Dir=H",CONCATENATE("Points=",$B$105),"Sort=R","Days=A","Fill=B",CONCATENATE("FX=", $B$103) )</f>
        <v>-1.7</v>
      </c>
      <c r="P172" t="str">
        <f>""</f>
        <v/>
      </c>
      <c r="Q172" t="str">
        <f>""</f>
        <v/>
      </c>
      <c r="R172" t="str">
        <f>""</f>
        <v/>
      </c>
      <c r="S172" t="str">
        <f>""</f>
        <v/>
      </c>
      <c r="T172" t="str">
        <f>""</f>
        <v/>
      </c>
      <c r="U172" t="str">
        <f>""</f>
        <v/>
      </c>
      <c r="V172" t="str">
        <f>""</f>
        <v/>
      </c>
      <c r="W172" t="str">
        <f>""</f>
        <v/>
      </c>
      <c r="X172" t="str">
        <f>""</f>
        <v/>
      </c>
      <c r="Y172" t="str">
        <f>""</f>
        <v/>
      </c>
    </row>
    <row r="173" spans="1:25" x14ac:dyDescent="0.25">
      <c r="A173" t="str">
        <f>$A$89</f>
        <v xml:space="preserve">        China</v>
      </c>
      <c r="B173" t="str">
        <f>$B$89</f>
        <v>CNGDPYOY Index</v>
      </c>
      <c r="C173" t="str">
        <f>$C$89</f>
        <v>PR005</v>
      </c>
      <c r="D173" t="str">
        <f>$D$89</f>
        <v>PX_LAST</v>
      </c>
      <c r="E173" t="str">
        <f>$E$89</f>
        <v>Dynamic</v>
      </c>
      <c r="F173">
        <f ca="1">_xll.BDH($B$89,$C$89,$B$106,$B$107,CONCATENATE("Per=",$B$104),"Dts=H","Dir=H",CONCATENATE("Points=",$B$105),"Sort=R","Days=A","Fill=B",CONCATENATE("FX=", $B$103) )</f>
        <v>-6.8</v>
      </c>
      <c r="P173" t="str">
        <f>""</f>
        <v/>
      </c>
      <c r="Q173" t="str">
        <f>""</f>
        <v/>
      </c>
      <c r="R173" t="str">
        <f>""</f>
        <v/>
      </c>
      <c r="S173" t="str">
        <f>""</f>
        <v/>
      </c>
      <c r="T173" t="str">
        <f>""</f>
        <v/>
      </c>
      <c r="U173" t="str">
        <f>""</f>
        <v/>
      </c>
      <c r="V173" t="str">
        <f>""</f>
        <v/>
      </c>
      <c r="W173" t="str">
        <f>""</f>
        <v/>
      </c>
      <c r="X173" t="str">
        <f>""</f>
        <v/>
      </c>
      <c r="Y173" t="str">
        <f>""</f>
        <v/>
      </c>
    </row>
    <row r="174" spans="1:25" x14ac:dyDescent="0.25">
      <c r="A174" t="str">
        <f>$A$90</f>
        <v xml:space="preserve">        India</v>
      </c>
      <c r="B174" t="str">
        <f>$B$90</f>
        <v>INQGGDPY Index</v>
      </c>
      <c r="C174" t="str">
        <f>$C$90</f>
        <v>PR005</v>
      </c>
      <c r="D174" t="str">
        <f>$D$90</f>
        <v>PX_LAST</v>
      </c>
      <c r="E174" t="str">
        <f>$E$90</f>
        <v>Dynamic</v>
      </c>
      <c r="F174" t="str">
        <f ca="1">_xll.BDH($B$90,$C$90,$B$106,$B$107,CONCATENATE("Per=",$B$104),"Dts=H","Dir=H",CONCATENATE("Points=",$B$105),"Sort=R","Days=A","Fill=B",CONCATENATE("FX=", $B$103) )</f>
        <v/>
      </c>
      <c r="P174" t="str">
        <f>""</f>
        <v/>
      </c>
      <c r="Q174" t="str">
        <f>""</f>
        <v/>
      </c>
      <c r="R174" t="str">
        <f>""</f>
        <v/>
      </c>
      <c r="S174" t="str">
        <f>""</f>
        <v/>
      </c>
      <c r="T174" t="str">
        <f>""</f>
        <v/>
      </c>
      <c r="U174" t="str">
        <f>""</f>
        <v/>
      </c>
      <c r="V174" t="str">
        <f>""</f>
        <v/>
      </c>
      <c r="W174" t="str">
        <f>""</f>
        <v/>
      </c>
      <c r="X174" t="str">
        <f>""</f>
        <v/>
      </c>
      <c r="Y174" t="str">
        <f>""</f>
        <v/>
      </c>
    </row>
    <row r="175" spans="1:25" x14ac:dyDescent="0.25">
      <c r="A175" t="str">
        <f>$A$91</f>
        <v xml:space="preserve">        Australia</v>
      </c>
      <c r="B175" t="str">
        <f>$B$91</f>
        <v>AUNAGDPY Index</v>
      </c>
      <c r="C175" t="str">
        <f>$C$91</f>
        <v>PR005</v>
      </c>
      <c r="D175" t="str">
        <f>$D$91</f>
        <v>PX_LAST</v>
      </c>
      <c r="E175" t="str">
        <f>$E$91</f>
        <v>Dynamic</v>
      </c>
      <c r="F175">
        <f ca="1">_xll.BDH($B$91,$C$91,$B$106,$B$107,CONCATENATE("Per=",$B$104),"Dts=H","Dir=H",CONCATENATE("Points=",$B$105),"Sort=R","Days=A","Fill=B",CONCATENATE("FX=", $B$103) )</f>
        <v>1.4</v>
      </c>
      <c r="P175" t="str">
        <f>""</f>
        <v/>
      </c>
      <c r="Q175" t="str">
        <f>""</f>
        <v/>
      </c>
      <c r="R175" t="str">
        <f>""</f>
        <v/>
      </c>
      <c r="S175" t="str">
        <f>""</f>
        <v/>
      </c>
      <c r="T175" t="str">
        <f>""</f>
        <v/>
      </c>
      <c r="U175" t="str">
        <f>""</f>
        <v/>
      </c>
      <c r="V175" t="str">
        <f>""</f>
        <v/>
      </c>
      <c r="W175" t="str">
        <f>""</f>
        <v/>
      </c>
      <c r="X175" t="str">
        <f>""</f>
        <v/>
      </c>
      <c r="Y175" t="str">
        <f>""</f>
        <v/>
      </c>
    </row>
    <row r="176" spans="1:25" x14ac:dyDescent="0.25">
      <c r="A176" t="str">
        <f>""</f>
        <v/>
      </c>
      <c r="B176" t="str">
        <f>""</f>
        <v/>
      </c>
      <c r="C176" t="str">
        <f>""</f>
        <v/>
      </c>
      <c r="D176" t="str">
        <f>""</f>
        <v/>
      </c>
      <c r="E176" t="str">
        <f>""</f>
        <v/>
      </c>
      <c r="P176" t="str">
        <f>""</f>
        <v/>
      </c>
      <c r="Q176" t="str">
        <f>""</f>
        <v/>
      </c>
      <c r="R176" t="str">
        <f>""</f>
        <v/>
      </c>
      <c r="S176" t="str">
        <f>""</f>
        <v/>
      </c>
      <c r="T176" t="str">
        <f>""</f>
        <v/>
      </c>
      <c r="U176" t="str">
        <f>""</f>
        <v/>
      </c>
      <c r="V176" t="str">
        <f>""</f>
        <v/>
      </c>
      <c r="W176" t="str">
        <f>""</f>
        <v/>
      </c>
      <c r="X176" t="str">
        <f>""</f>
        <v/>
      </c>
      <c r="Y176" t="str">
        <f>""</f>
        <v/>
      </c>
    </row>
    <row r="177" spans="1:25" x14ac:dyDescent="0.25">
      <c r="A177" t="str">
        <f>""</f>
        <v/>
      </c>
      <c r="B177" t="str">
        <f>""</f>
        <v/>
      </c>
      <c r="C177" t="str">
        <f>""</f>
        <v/>
      </c>
      <c r="D177" t="str">
        <f>""</f>
        <v/>
      </c>
      <c r="E177" t="str">
        <f>""</f>
        <v/>
      </c>
      <c r="P177" t="str">
        <f>""</f>
        <v/>
      </c>
      <c r="Q177" t="str">
        <f>""</f>
        <v/>
      </c>
      <c r="R177" t="str">
        <f>""</f>
        <v/>
      </c>
      <c r="S177" t="str">
        <f>""</f>
        <v/>
      </c>
      <c r="T177" t="str">
        <f>""</f>
        <v/>
      </c>
      <c r="U177" t="str">
        <f>""</f>
        <v/>
      </c>
      <c r="V177" t="str">
        <f>""</f>
        <v/>
      </c>
      <c r="W177" t="str">
        <f>""</f>
        <v/>
      </c>
      <c r="X177" t="str">
        <f>""</f>
        <v/>
      </c>
      <c r="Y177" t="str">
        <f>""</f>
        <v/>
      </c>
    </row>
    <row r="178" spans="1:25" x14ac:dyDescent="0.25">
      <c r="A178" t="str">
        <f>""</f>
        <v/>
      </c>
      <c r="B178" t="str">
        <f>""</f>
        <v/>
      </c>
      <c r="C178" t="str">
        <f>""</f>
        <v/>
      </c>
      <c r="D178" t="str">
        <f>""</f>
        <v/>
      </c>
      <c r="E178" t="str">
        <f>""</f>
        <v/>
      </c>
      <c r="P178" t="str">
        <f>""</f>
        <v/>
      </c>
      <c r="Q178" t="str">
        <f>""</f>
        <v/>
      </c>
      <c r="R178" t="str">
        <f>""</f>
        <v/>
      </c>
      <c r="S178" t="str">
        <f>""</f>
        <v/>
      </c>
      <c r="T178" t="str">
        <f>""</f>
        <v/>
      </c>
      <c r="U178" t="str">
        <f>""</f>
        <v/>
      </c>
      <c r="V178" t="str">
        <f>""</f>
        <v/>
      </c>
      <c r="W178" t="str">
        <f>""</f>
        <v/>
      </c>
      <c r="X178" t="str">
        <f>""</f>
        <v/>
      </c>
      <c r="Y178" t="str">
        <f>""</f>
        <v/>
      </c>
    </row>
    <row r="179" spans="1:25" x14ac:dyDescent="0.25">
      <c r="A179" t="str">
        <f>""</f>
        <v/>
      </c>
      <c r="B179" t="str">
        <f>""</f>
        <v/>
      </c>
      <c r="C179" t="str">
        <f>""</f>
        <v/>
      </c>
      <c r="D179" t="str">
        <f>""</f>
        <v/>
      </c>
      <c r="E179" t="str">
        <f>""</f>
        <v/>
      </c>
      <c r="P179" t="str">
        <f>""</f>
        <v/>
      </c>
      <c r="Q179" t="str">
        <f>""</f>
        <v/>
      </c>
      <c r="R179" t="str">
        <f>""</f>
        <v/>
      </c>
      <c r="S179" t="str">
        <f>""</f>
        <v/>
      </c>
      <c r="T179" t="str">
        <f>""</f>
        <v/>
      </c>
      <c r="U179" t="str">
        <f>""</f>
        <v/>
      </c>
      <c r="V179" t="str">
        <f>""</f>
        <v/>
      </c>
      <c r="W179" t="str">
        <f>""</f>
        <v/>
      </c>
      <c r="X179" t="str">
        <f>""</f>
        <v/>
      </c>
      <c r="Y179" t="str">
        <f>""</f>
        <v/>
      </c>
    </row>
    <row r="180" spans="1:25" x14ac:dyDescent="0.25">
      <c r="A180" t="str">
        <f>""</f>
        <v/>
      </c>
      <c r="B180" t="str">
        <f>""</f>
        <v/>
      </c>
      <c r="C180" t="str">
        <f>""</f>
        <v/>
      </c>
      <c r="D180" t="str">
        <f>""</f>
        <v/>
      </c>
      <c r="E180" t="str">
        <f>""</f>
        <v/>
      </c>
      <c r="P180" t="str">
        <f>""</f>
        <v/>
      </c>
      <c r="Q180" t="str">
        <f>""</f>
        <v/>
      </c>
      <c r="R180" t="str">
        <f>""</f>
        <v/>
      </c>
      <c r="S180" t="str">
        <f>""</f>
        <v/>
      </c>
      <c r="T180" t="str">
        <f>""</f>
        <v/>
      </c>
      <c r="U180" t="str">
        <f>""</f>
        <v/>
      </c>
      <c r="V180" t="str">
        <f>""</f>
        <v/>
      </c>
      <c r="W180" t="str">
        <f>""</f>
        <v/>
      </c>
      <c r="X180" t="str">
        <f>""</f>
        <v/>
      </c>
      <c r="Y180" t="str">
        <f>""</f>
        <v/>
      </c>
    </row>
    <row r="181" spans="1:25" x14ac:dyDescent="0.25">
      <c r="A181" t="str">
        <f>"~~~~~~~~~~~~~~~~~~~~~"</f>
        <v>~~~~~~~~~~~~~~~~~~~~~</v>
      </c>
      <c r="B181" t="str">
        <f>"~~~~~~~~~~~~~~~~~~~~~"</f>
        <v>~~~~~~~~~~~~~~~~~~~~~</v>
      </c>
      <c r="C181" t="str">
        <f>"~~~~~~~~~~~~~~~~~~~~~"</f>
        <v>~~~~~~~~~~~~~~~~~~~~~</v>
      </c>
      <c r="D181" t="str">
        <f>"~~~~~~~~~~~~~~~~~~~~~"</f>
        <v>~~~~~~~~~~~~~~~~~~~~~</v>
      </c>
      <c r="E181" t="str">
        <f>"~~~~~~~~~~~~~~~~~~~~~"</f>
        <v>~~~~~~~~~~~~~~~~~~~~~</v>
      </c>
      <c r="P181" t="str">
        <f>""</f>
        <v/>
      </c>
      <c r="Q181" t="str">
        <f>""</f>
        <v/>
      </c>
      <c r="R181" t="str">
        <f>""</f>
        <v/>
      </c>
      <c r="S181" t="str">
        <f>""</f>
        <v/>
      </c>
      <c r="T181" t="str">
        <f>""</f>
        <v/>
      </c>
      <c r="U181" t="str">
        <f>""</f>
        <v/>
      </c>
      <c r="V181" t="str">
        <f>""</f>
        <v/>
      </c>
      <c r="W181" t="str">
        <f>""</f>
        <v/>
      </c>
      <c r="X181" t="str">
        <f>""</f>
        <v/>
      </c>
      <c r="Y181" t="str">
        <f>""</f>
        <v/>
      </c>
    </row>
    <row r="182" spans="1:25" x14ac:dyDescent="0.25">
      <c r="A182" t="str">
        <f>"Rows below for column date calculation"</f>
        <v>Rows below for column date calculation</v>
      </c>
      <c r="P182" t="str">
        <f>""</f>
        <v/>
      </c>
      <c r="Q182" t="str">
        <f>""</f>
        <v/>
      </c>
      <c r="R182" t="str">
        <f>""</f>
        <v/>
      </c>
      <c r="S182" t="str">
        <f>""</f>
        <v/>
      </c>
      <c r="T182" t="str">
        <f>""</f>
        <v/>
      </c>
      <c r="U182" t="str">
        <f>""</f>
        <v/>
      </c>
      <c r="V182" t="str">
        <f>""</f>
        <v/>
      </c>
      <c r="W182" t="str">
        <f>""</f>
        <v/>
      </c>
      <c r="X182" t="str">
        <f>""</f>
        <v/>
      </c>
      <c r="Y182" t="str">
        <f>""</f>
        <v/>
      </c>
    </row>
    <row r="183" spans="1:25" x14ac:dyDescent="0.25">
      <c r="A183" t="str">
        <f>"Downloaded at"</f>
        <v>Downloaded at</v>
      </c>
      <c r="B183">
        <f>DATE(2020, 6,16)</f>
        <v>43998</v>
      </c>
      <c r="C183" t="str">
        <f>""</f>
        <v/>
      </c>
      <c r="D183" t="str">
        <f>""</f>
        <v/>
      </c>
      <c r="E183" t="str">
        <f>""</f>
        <v/>
      </c>
      <c r="P183" t="str">
        <f>""</f>
        <v/>
      </c>
      <c r="Q183" t="str">
        <f>""</f>
        <v/>
      </c>
      <c r="R183" t="str">
        <f>""</f>
        <v/>
      </c>
      <c r="S183" t="str">
        <f>""</f>
        <v/>
      </c>
      <c r="T183" t="str">
        <f>""</f>
        <v/>
      </c>
      <c r="U183" t="str">
        <f>""</f>
        <v/>
      </c>
      <c r="V183" t="str">
        <f>""</f>
        <v/>
      </c>
      <c r="W183" t="str">
        <f>""</f>
        <v/>
      </c>
      <c r="X183" t="str">
        <f>""</f>
        <v/>
      </c>
      <c r="Y183" t="str">
        <f>""</f>
        <v/>
      </c>
    </row>
    <row r="184" spans="1:25" x14ac:dyDescent="0.25">
      <c r="A184" t="str">
        <f>"This is End Date"</f>
        <v>This is End Date</v>
      </c>
      <c r="B184">
        <f ca="1">$B$107</f>
        <v>44196</v>
      </c>
      <c r="C184" t="str">
        <f>""</f>
        <v/>
      </c>
      <c r="D184" t="str">
        <f>""</f>
        <v/>
      </c>
      <c r="E184" t="str">
        <f>""</f>
        <v/>
      </c>
      <c r="P184" t="str">
        <f>""</f>
        <v/>
      </c>
      <c r="Q184" t="str">
        <f>""</f>
        <v/>
      </c>
      <c r="R184" t="str">
        <f>""</f>
        <v/>
      </c>
      <c r="S184" t="str">
        <f>""</f>
        <v/>
      </c>
      <c r="T184" t="str">
        <f>""</f>
        <v/>
      </c>
      <c r="U184" t="str">
        <f>""</f>
        <v/>
      </c>
      <c r="V184" t="str">
        <f>""</f>
        <v/>
      </c>
      <c r="W184" t="str">
        <f>""</f>
        <v/>
      </c>
      <c r="X184" t="str">
        <f>""</f>
        <v/>
      </c>
      <c r="Y184" t="str">
        <f>""</f>
        <v/>
      </c>
    </row>
    <row r="185" spans="1:25" x14ac:dyDescent="0.25">
      <c r="A185" t="str">
        <f>"Description"</f>
        <v>Description</v>
      </c>
      <c r="B185" t="str">
        <f>"Ticker"</f>
        <v>Ticker</v>
      </c>
      <c r="C185" t="str">
        <f>"Field ID"</f>
        <v>Field ID</v>
      </c>
      <c r="D185" t="str">
        <f>"Field Mnemonic"</f>
        <v>Field Mnemonic</v>
      </c>
      <c r="E185" t="str">
        <f>"Data State"</f>
        <v>Data State</v>
      </c>
      <c r="P185" t="str">
        <f>""</f>
        <v/>
      </c>
      <c r="Q185" t="str">
        <f>""</f>
        <v/>
      </c>
      <c r="R185" t="str">
        <f>""</f>
        <v/>
      </c>
      <c r="S185" t="str">
        <f>""</f>
        <v/>
      </c>
      <c r="T185" t="str">
        <f>""</f>
        <v/>
      </c>
      <c r="U185" t="str">
        <f>""</f>
        <v/>
      </c>
      <c r="V185" t="str">
        <f>""</f>
        <v/>
      </c>
      <c r="W185" t="str">
        <f>""</f>
        <v/>
      </c>
      <c r="X185" t="str">
        <f>""</f>
        <v/>
      </c>
      <c r="Y185" t="str">
        <f>""</f>
        <v/>
      </c>
    </row>
    <row r="186" spans="1:25" x14ac:dyDescent="0.25">
      <c r="A186" t="str">
        <f>"Snapshot Date"</f>
        <v>Snapshot Date</v>
      </c>
      <c r="B186">
        <f>DATE(2020, 12,31)</f>
        <v>44196</v>
      </c>
      <c r="C186" t="str">
        <f>""</f>
        <v/>
      </c>
      <c r="D186" t="str">
        <f>""</f>
        <v/>
      </c>
      <c r="E186" t="str">
        <f>""</f>
        <v/>
      </c>
      <c r="P186" t="str">
        <f>""</f>
        <v/>
      </c>
      <c r="Q186" t="str">
        <f>""</f>
        <v/>
      </c>
      <c r="R186" t="str">
        <f>""</f>
        <v/>
      </c>
      <c r="S186" t="str">
        <f>""</f>
        <v/>
      </c>
      <c r="T186" t="str">
        <f>""</f>
        <v/>
      </c>
      <c r="U186" t="str">
        <f>""</f>
        <v/>
      </c>
      <c r="V186" t="str">
        <f>""</f>
        <v/>
      </c>
      <c r="W186" t="str">
        <f>""</f>
        <v/>
      </c>
      <c r="X186" t="str">
        <f>""</f>
        <v/>
      </c>
      <c r="Y186" t="str">
        <f>""</f>
        <v/>
      </c>
    </row>
    <row r="187" spans="1:25" x14ac:dyDescent="0.25">
      <c r="A187" t="str">
        <f>"Snapshot header"</f>
        <v>Snapshot header</v>
      </c>
      <c r="B187">
        <f>2</f>
        <v>2</v>
      </c>
      <c r="C187" t="str">
        <f>"2020"</f>
        <v>2020</v>
      </c>
      <c r="D187" t="str">
        <f>"2019"</f>
        <v>2019</v>
      </c>
      <c r="E187" t="str">
        <f>"2018"</f>
        <v>2018</v>
      </c>
      <c r="F187" t="str">
        <f>"2017"</f>
        <v>2017</v>
      </c>
      <c r="G187" t="str">
        <f>"2016"</f>
        <v>2016</v>
      </c>
      <c r="H187" t="str">
        <f>"2015"</f>
        <v>2015</v>
      </c>
      <c r="I187" t="str">
        <f>"2014"</f>
        <v>2014</v>
      </c>
      <c r="J187" t="str">
        <f>"2013"</f>
        <v>2013</v>
      </c>
      <c r="K187" t="str">
        <f>"2012"</f>
        <v>2012</v>
      </c>
      <c r="L187" t="str">
        <f>"2011"</f>
        <v>2011</v>
      </c>
      <c r="P187" t="str">
        <f>""</f>
        <v/>
      </c>
      <c r="Q187" t="str">
        <f>""</f>
        <v/>
      </c>
      <c r="R187" t="str">
        <f>""</f>
        <v/>
      </c>
      <c r="S187" t="str">
        <f>""</f>
        <v/>
      </c>
      <c r="T187" t="str">
        <f>""</f>
        <v/>
      </c>
      <c r="U187" t="str">
        <f>""</f>
        <v/>
      </c>
      <c r="V187" t="str">
        <f>""</f>
        <v/>
      </c>
      <c r="W187" t="str">
        <f>""</f>
        <v/>
      </c>
      <c r="X187" t="str">
        <f>""</f>
        <v/>
      </c>
      <c r="Y187" t="str">
        <f>""</f>
        <v/>
      </c>
    </row>
    <row r="188" spans="1:25" x14ac:dyDescent="0.25">
      <c r="A188" t="str">
        <f>"BDH snapshot header0"</f>
        <v>BDH snapshot header0</v>
      </c>
      <c r="B188">
        <f>IF(OR(ISERROR($C$188),ISBLANK($C$188),ISNUMBER(SEARCH("N/A",$C$188) ),ISERROR($C$189),ISBLANK($C$189)),0,1)</f>
        <v>0</v>
      </c>
      <c r="C188" t="str">
        <f>_xll.BDH($B$4,$C$4,$B$106,$B$186,"PER=CY","Dts=S","DtFmt=FI", "rows=2","Dir=H","Points=10","Sort=R","Days=A","Fill=B","FX=USD" )</f>
        <v>#N/A Requesting Data...</v>
      </c>
      <c r="P188" t="str">
        <f>""</f>
        <v/>
      </c>
      <c r="Q188" t="str">
        <f>""</f>
        <v/>
      </c>
      <c r="R188" t="str">
        <f>""</f>
        <v/>
      </c>
      <c r="S188" t="str">
        <f>""</f>
        <v/>
      </c>
      <c r="T188" t="str">
        <f>""</f>
        <v/>
      </c>
      <c r="U188" t="str">
        <f>""</f>
        <v/>
      </c>
      <c r="V188" t="str">
        <f>""</f>
        <v/>
      </c>
      <c r="W188" t="str">
        <f>""</f>
        <v/>
      </c>
      <c r="X188" t="str">
        <f>""</f>
        <v/>
      </c>
      <c r="Y188" t="str">
        <f>""</f>
        <v/>
      </c>
    </row>
    <row r="189" spans="1:25" x14ac:dyDescent="0.25">
      <c r="A189" t="str">
        <f>"BDH snapshot result0"</f>
        <v>BDH snapshot result0</v>
      </c>
      <c r="P189" t="str">
        <f>""</f>
        <v/>
      </c>
      <c r="Q189" t="str">
        <f>""</f>
        <v/>
      </c>
      <c r="R189" t="str">
        <f>""</f>
        <v/>
      </c>
      <c r="S189" t="str">
        <f>""</f>
        <v/>
      </c>
      <c r="T189" t="str">
        <f>""</f>
        <v/>
      </c>
      <c r="U189" t="str">
        <f>""</f>
        <v/>
      </c>
      <c r="V189" t="str">
        <f>""</f>
        <v/>
      </c>
      <c r="W189" t="str">
        <f>""</f>
        <v/>
      </c>
      <c r="X189" t="str">
        <f>""</f>
        <v/>
      </c>
      <c r="Y189" t="str">
        <f>""</f>
        <v/>
      </c>
    </row>
    <row r="190" spans="1:25" x14ac:dyDescent="0.25">
      <c r="A190" t="str">
        <f>"BDH snapshot header1"</f>
        <v>BDH snapshot header1</v>
      </c>
      <c r="B190">
        <f>IF(OR(ISERROR($C$190),ISBLANK($C$190),ISNUMBER(SEARCH("N/A",$C$190) ),ISERROR($C$191),ISBLANK($C$191)),0,1)</f>
        <v>0</v>
      </c>
      <c r="C190" t="str">
        <f>_xll.BDH($B$5,$C$5,$B$106,$B$186,"PER=CY","Dts=S","DtFmt=FI", "rows=2","Dir=H","Points=10","Sort=R","Days=A","Fill=B","FX=USD" )</f>
        <v>#N/A Requesting Data...</v>
      </c>
      <c r="P190" t="str">
        <f>""</f>
        <v/>
      </c>
      <c r="Q190" t="str">
        <f>""</f>
        <v/>
      </c>
      <c r="R190" t="str">
        <f>""</f>
        <v/>
      </c>
      <c r="S190" t="str">
        <f>""</f>
        <v/>
      </c>
      <c r="T190" t="str">
        <f>""</f>
        <v/>
      </c>
      <c r="U190" t="str">
        <f>""</f>
        <v/>
      </c>
      <c r="V190" t="str">
        <f>""</f>
        <v/>
      </c>
      <c r="W190" t="str">
        <f>""</f>
        <v/>
      </c>
      <c r="X190" t="str">
        <f>""</f>
        <v/>
      </c>
      <c r="Y190" t="str">
        <f>""</f>
        <v/>
      </c>
    </row>
    <row r="191" spans="1:25" x14ac:dyDescent="0.25">
      <c r="A191" t="str">
        <f>"BDH snapshot result1"</f>
        <v>BDH snapshot result1</v>
      </c>
      <c r="P191" t="str">
        <f>""</f>
        <v/>
      </c>
      <c r="Q191" t="str">
        <f>""</f>
        <v/>
      </c>
      <c r="R191" t="str">
        <f>""</f>
        <v/>
      </c>
      <c r="S191" t="str">
        <f>""</f>
        <v/>
      </c>
      <c r="T191" t="str">
        <f>""</f>
        <v/>
      </c>
      <c r="U191" t="str">
        <f>""</f>
        <v/>
      </c>
      <c r="V191" t="str">
        <f>""</f>
        <v/>
      </c>
      <c r="W191" t="str">
        <f>""</f>
        <v/>
      </c>
      <c r="X191" t="str">
        <f>""</f>
        <v/>
      </c>
      <c r="Y191" t="str">
        <f>""</f>
        <v/>
      </c>
    </row>
    <row r="192" spans="1:25" x14ac:dyDescent="0.25">
      <c r="A192" t="str">
        <f>"BDH snapshot header2"</f>
        <v>BDH snapshot header2</v>
      </c>
      <c r="B192">
        <f>IF(OR(ISERROR($C$192),ISBLANK($C$192),ISNUMBER(SEARCH("N/A",$C$192) ),ISERROR($C$193),ISBLANK($C$193)),0,1)</f>
        <v>0</v>
      </c>
      <c r="C192" t="str">
        <f>_xll.BDH($B$6,$C$6,$B$106,$B$186,"PER=CY","Dts=S","DtFmt=FI", "rows=2","Dir=H","Points=10","Sort=R","Days=A","Fill=B","FX=USD" )</f>
        <v>#N/A Requesting Data...</v>
      </c>
      <c r="P192" t="str">
        <f>""</f>
        <v/>
      </c>
      <c r="Q192" t="str">
        <f>""</f>
        <v/>
      </c>
      <c r="R192" t="str">
        <f>""</f>
        <v/>
      </c>
      <c r="S192" t="str">
        <f>""</f>
        <v/>
      </c>
      <c r="T192" t="str">
        <f>""</f>
        <v/>
      </c>
      <c r="U192" t="str">
        <f>""</f>
        <v/>
      </c>
      <c r="V192" t="str">
        <f>""</f>
        <v/>
      </c>
      <c r="W192" t="str">
        <f>""</f>
        <v/>
      </c>
      <c r="X192" t="str">
        <f>""</f>
        <v/>
      </c>
      <c r="Y192" t="str">
        <f>""</f>
        <v/>
      </c>
    </row>
    <row r="193" spans="1:25" x14ac:dyDescent="0.25">
      <c r="A193" t="str">
        <f>"BDH snapshot result2"</f>
        <v>BDH snapshot result2</v>
      </c>
      <c r="P193" t="str">
        <f>""</f>
        <v/>
      </c>
      <c r="Q193" t="str">
        <f>""</f>
        <v/>
      </c>
      <c r="R193" t="str">
        <f>""</f>
        <v/>
      </c>
      <c r="S193" t="str">
        <f>""</f>
        <v/>
      </c>
      <c r="T193" t="str">
        <f>""</f>
        <v/>
      </c>
      <c r="U193" t="str">
        <f>""</f>
        <v/>
      </c>
      <c r="V193" t="str">
        <f>""</f>
        <v/>
      </c>
      <c r="W193" t="str">
        <f>""</f>
        <v/>
      </c>
      <c r="X193" t="str">
        <f>""</f>
        <v/>
      </c>
      <c r="Y193" t="str">
        <f>""</f>
        <v/>
      </c>
    </row>
    <row r="194" spans="1:25" x14ac:dyDescent="0.25">
      <c r="A194" t="str">
        <f>"BDH snapshot"</f>
        <v>BDH snapshot</v>
      </c>
      <c r="B194">
        <f>IF($B$188&gt;=1,$B$188,IF($B$190&gt;=1,$B$190,IF($B$192&gt;=1,$B$192,$B$187)))</f>
        <v>2</v>
      </c>
      <c r="C194" t="str">
        <f>IF($B$188&gt;=1,$C$188,IF($B$190&gt;=1,$C$190,IF($B$192&gt;=1,$C$192,$C$187)))</f>
        <v>2020</v>
      </c>
      <c r="D194" t="str">
        <f>IF($B$188&gt;=1,$D$188,IF($B$190&gt;=1,$D$190,IF($B$192&gt;=1,$D$192,$D$187)))</f>
        <v>2019</v>
      </c>
      <c r="E194" t="str">
        <f>IF($B$188&gt;=1,$E$188,IF($B$190&gt;=1,$E$190,IF($B$192&gt;=1,$E$192,$E$187)))</f>
        <v>2018</v>
      </c>
      <c r="F194" t="str">
        <f>IF($B$188&gt;=1,$F$188,IF($B$190&gt;=1,$F$190,IF($B$192&gt;=1,$F$192,$F$187)))</f>
        <v>2017</v>
      </c>
      <c r="G194" t="str">
        <f>IF($B$188&gt;=1,$G$188,IF($B$190&gt;=1,$G$190,IF($B$192&gt;=1,$G$192,$G$187)))</f>
        <v>2016</v>
      </c>
      <c r="H194" t="str">
        <f>IF($B$188&gt;=1,$H$188,IF($B$190&gt;=1,$H$190,IF($B$192&gt;=1,$H$192,$H$187)))</f>
        <v>2015</v>
      </c>
      <c r="I194" t="str">
        <f>IF($B$188&gt;=1,$I$188,IF($B$190&gt;=1,$I$190,IF($B$192&gt;=1,$I$192,$I$187)))</f>
        <v>2014</v>
      </c>
      <c r="J194" t="str">
        <f>IF($B$188&gt;=1,$J$188,IF($B$190&gt;=1,$J$190,IF($B$192&gt;=1,$J$192,$J$187)))</f>
        <v>2013</v>
      </c>
      <c r="K194" t="str">
        <f>IF($B$188&gt;=1,$K$188,IF($B$190&gt;=1,$K$190,IF($B$192&gt;=1,$K$192,$K$187)))</f>
        <v>2012</v>
      </c>
      <c r="L194" t="str">
        <f>IF($B$188&gt;=1,$L$188,IF($B$190&gt;=1,$L$190,IF($B$192&gt;=1,$L$192,$L$187)))</f>
        <v>2011</v>
      </c>
      <c r="P194" t="str">
        <f>""</f>
        <v/>
      </c>
      <c r="Q194" t="str">
        <f>""</f>
        <v/>
      </c>
      <c r="R194" t="str">
        <f>""</f>
        <v/>
      </c>
      <c r="S194" t="str">
        <f>""</f>
        <v/>
      </c>
      <c r="T194" t="str">
        <f>""</f>
        <v/>
      </c>
      <c r="U194" t="str">
        <f>""</f>
        <v/>
      </c>
      <c r="V194" t="str">
        <f>""</f>
        <v/>
      </c>
      <c r="W194" t="str">
        <f>""</f>
        <v/>
      </c>
      <c r="X194" t="str">
        <f>""</f>
        <v/>
      </c>
      <c r="Y194" t="str">
        <f>""</f>
        <v/>
      </c>
    </row>
    <row r="195" spans="1:25" x14ac:dyDescent="0.25">
      <c r="A195" t="str">
        <f>"BDH snapshot title"</f>
        <v>BDH snapshot title</v>
      </c>
      <c r="B195">
        <f>$B$194</f>
        <v>2</v>
      </c>
      <c r="C195" t="str">
        <f>SUBSTITUTE(SUBSTITUTE($C$194,"CY1 ",""),"C","")</f>
        <v>2020</v>
      </c>
      <c r="D195" t="str">
        <f>SUBSTITUTE(SUBSTITUTE($D$194,"CY1 ",""),"C","")</f>
        <v>2019</v>
      </c>
      <c r="E195" t="str">
        <f>SUBSTITUTE(SUBSTITUTE($E$194,"CY1 ",""),"C","")</f>
        <v>2018</v>
      </c>
      <c r="F195" t="str">
        <f>SUBSTITUTE(SUBSTITUTE($F$194,"CY1 ",""),"C","")</f>
        <v>2017</v>
      </c>
      <c r="G195" t="str">
        <f>SUBSTITUTE(SUBSTITUTE($G$194,"CY1 ",""),"C","")</f>
        <v>2016</v>
      </c>
      <c r="H195" t="str">
        <f>SUBSTITUTE(SUBSTITUTE($H$194,"CY1 ",""),"C","")</f>
        <v>2015</v>
      </c>
      <c r="I195" t="str">
        <f>SUBSTITUTE(SUBSTITUTE($I$194,"CY1 ",""),"C","")</f>
        <v>2014</v>
      </c>
      <c r="J195" t="str">
        <f>SUBSTITUTE(SUBSTITUTE($J$194,"CY1 ",""),"C","")</f>
        <v>2013</v>
      </c>
      <c r="K195" t="str">
        <f>SUBSTITUTE(SUBSTITUTE($K$194,"CY1 ",""),"C","")</f>
        <v>2012</v>
      </c>
      <c r="L195" t="str">
        <f>SUBSTITUTE(SUBSTITUTE($L$194,"CY1 ",""),"C","")</f>
        <v>2011</v>
      </c>
      <c r="P195" t="str">
        <f>""</f>
        <v/>
      </c>
      <c r="Q195" t="str">
        <f>""</f>
        <v/>
      </c>
      <c r="R195" t="str">
        <f>""</f>
        <v/>
      </c>
      <c r="S195" t="str">
        <f>""</f>
        <v/>
      </c>
      <c r="T195" t="str">
        <f>""</f>
        <v/>
      </c>
      <c r="U195" t="str">
        <f>""</f>
        <v/>
      </c>
      <c r="V195" t="str">
        <f>""</f>
        <v/>
      </c>
      <c r="W195" t="str">
        <f>""</f>
        <v/>
      </c>
      <c r="X195" t="str">
        <f>""</f>
        <v/>
      </c>
      <c r="Y195" t="str">
        <f>""</f>
        <v/>
      </c>
    </row>
    <row r="196" spans="1:25" x14ac:dyDescent="0.25">
      <c r="A196" t="str">
        <f>"BDH dynamic header0"</f>
        <v>BDH dynamic header0</v>
      </c>
      <c r="B196">
        <f ca="1">IF(OR(ISERROR($C$196),ISBLANK($C$196),ISNUMBER(SEARCH("N/A",$C$196) ),ISERROR($C$197),ISBLANK($C$197)),0,1)</f>
        <v>0</v>
      </c>
      <c r="C196" t="str">
        <f ca="1">_xll.BDH($B$4,$C$4,$B$106,$B$107,"PER=CY","Dts=S","DtFmt=FI", "rows=2","Dir=H","Points=10","Sort=R","Days=A","Fill=B","FX=USD" )</f>
        <v>#N/A Invalid Parameter: Invalid override field id specified</v>
      </c>
      <c r="P196" t="str">
        <f>""</f>
        <v/>
      </c>
      <c r="Q196" t="str">
        <f>""</f>
        <v/>
      </c>
      <c r="R196" t="str">
        <f>""</f>
        <v/>
      </c>
      <c r="S196" t="str">
        <f>""</f>
        <v/>
      </c>
      <c r="T196" t="str">
        <f>""</f>
        <v/>
      </c>
      <c r="U196" t="str">
        <f>""</f>
        <v/>
      </c>
      <c r="V196" t="str">
        <f>""</f>
        <v/>
      </c>
      <c r="W196" t="str">
        <f>""</f>
        <v/>
      </c>
      <c r="X196" t="str">
        <f>""</f>
        <v/>
      </c>
      <c r="Y196" t="str">
        <f>""</f>
        <v/>
      </c>
    </row>
    <row r="197" spans="1:25" x14ac:dyDescent="0.25">
      <c r="A197" t="str">
        <f>"BDH dynamic result0"</f>
        <v>BDH dynamic result0</v>
      </c>
      <c r="P197" t="str">
        <f>""</f>
        <v/>
      </c>
      <c r="Q197" t="str">
        <f>""</f>
        <v/>
      </c>
      <c r="R197" t="str">
        <f>""</f>
        <v/>
      </c>
      <c r="S197" t="str">
        <f>""</f>
        <v/>
      </c>
      <c r="T197" t="str">
        <f>""</f>
        <v/>
      </c>
      <c r="U197" t="str">
        <f>""</f>
        <v/>
      </c>
      <c r="V197" t="str">
        <f>""</f>
        <v/>
      </c>
      <c r="W197" t="str">
        <f>""</f>
        <v/>
      </c>
      <c r="X197" t="str">
        <f>""</f>
        <v/>
      </c>
      <c r="Y197" t="str">
        <f>""</f>
        <v/>
      </c>
    </row>
    <row r="198" spans="1:25" x14ac:dyDescent="0.25">
      <c r="A198" t="str">
        <f>"BDH dynamic header1"</f>
        <v>BDH dynamic header1</v>
      </c>
      <c r="B198">
        <f ca="1">IF(OR(ISERROR($C$198),ISBLANK($C$198),ISNUMBER(SEARCH("N/A",$C$198) ),ISERROR($C$199),ISBLANK($C$199)),0,1)</f>
        <v>0</v>
      </c>
      <c r="C198" t="str">
        <f ca="1">_xll.BDH($B$5,$C$5,$B$106,$B$107,"PER=CY","Dts=S","DtFmt=FI", "rows=2","Dir=H","Points=10","Sort=R","Days=A","Fill=B","FX=USD" )</f>
        <v>#N/A Invalid Parameter: Invalid override field id specified</v>
      </c>
      <c r="P198" t="str">
        <f>""</f>
        <v/>
      </c>
      <c r="Q198" t="str">
        <f>""</f>
        <v/>
      </c>
      <c r="R198" t="str">
        <f>""</f>
        <v/>
      </c>
      <c r="S198" t="str">
        <f>""</f>
        <v/>
      </c>
      <c r="T198" t="str">
        <f>""</f>
        <v/>
      </c>
      <c r="U198" t="str">
        <f>""</f>
        <v/>
      </c>
      <c r="V198" t="str">
        <f>""</f>
        <v/>
      </c>
      <c r="W198" t="str">
        <f>""</f>
        <v/>
      </c>
      <c r="X198" t="str">
        <f>""</f>
        <v/>
      </c>
      <c r="Y198" t="str">
        <f>""</f>
        <v/>
      </c>
    </row>
    <row r="199" spans="1:25" x14ac:dyDescent="0.25">
      <c r="A199" t="str">
        <f>"BDH dynamic result1"</f>
        <v>BDH dynamic result1</v>
      </c>
      <c r="P199" t="str">
        <f>""</f>
        <v/>
      </c>
      <c r="Q199" t="str">
        <f>""</f>
        <v/>
      </c>
      <c r="R199" t="str">
        <f>""</f>
        <v/>
      </c>
      <c r="S199" t="str">
        <f>""</f>
        <v/>
      </c>
      <c r="T199" t="str">
        <f>""</f>
        <v/>
      </c>
      <c r="U199" t="str">
        <f>""</f>
        <v/>
      </c>
      <c r="V199" t="str">
        <f>""</f>
        <v/>
      </c>
      <c r="W199" t="str">
        <f>""</f>
        <v/>
      </c>
      <c r="X199" t="str">
        <f>""</f>
        <v/>
      </c>
      <c r="Y199" t="str">
        <f>""</f>
        <v/>
      </c>
    </row>
    <row r="200" spans="1:25" x14ac:dyDescent="0.25">
      <c r="A200" t="str">
        <f>"BDH dynamic header2"</f>
        <v>BDH dynamic header2</v>
      </c>
      <c r="B200">
        <f ca="1">IF(OR(ISERROR($C$200),ISBLANK($C$200),ISNUMBER(SEARCH("N/A",$C$200) ),ISERROR($C$201),ISBLANK($C$201)),0,1)</f>
        <v>0</v>
      </c>
      <c r="C200" t="str">
        <f ca="1">_xll.BDH($B$6,$C$6,$B$106,$B$107,"PER=CY","Dts=S","DtFmt=FI", "rows=2","Dir=H","Points=10","Sort=R","Days=A","Fill=B","FX=USD" )</f>
        <v>#N/A Invalid Parameter: Invalid override field id specified</v>
      </c>
      <c r="P200" t="str">
        <f>""</f>
        <v/>
      </c>
      <c r="Q200" t="str">
        <f>""</f>
        <v/>
      </c>
      <c r="R200" t="str">
        <f>""</f>
        <v/>
      </c>
      <c r="S200" t="str">
        <f>""</f>
        <v/>
      </c>
      <c r="T200" t="str">
        <f>""</f>
        <v/>
      </c>
      <c r="U200" t="str">
        <f>""</f>
        <v/>
      </c>
      <c r="V200" t="str">
        <f>""</f>
        <v/>
      </c>
      <c r="W200" t="str">
        <f>""</f>
        <v/>
      </c>
      <c r="X200" t="str">
        <f>""</f>
        <v/>
      </c>
      <c r="Y200" t="str">
        <f>""</f>
        <v/>
      </c>
    </row>
    <row r="201" spans="1:25" x14ac:dyDescent="0.25">
      <c r="A201" t="str">
        <f>"BDH dynamic result2"</f>
        <v>BDH dynamic result2</v>
      </c>
      <c r="P201" t="str">
        <f>""</f>
        <v/>
      </c>
      <c r="Q201" t="str">
        <f>""</f>
        <v/>
      </c>
      <c r="R201" t="str">
        <f>""</f>
        <v/>
      </c>
      <c r="S201" t="str">
        <f>""</f>
        <v/>
      </c>
      <c r="T201" t="str">
        <f>""</f>
        <v/>
      </c>
      <c r="U201" t="str">
        <f>""</f>
        <v/>
      </c>
      <c r="V201" t="str">
        <f>""</f>
        <v/>
      </c>
      <c r="W201" t="str">
        <f>""</f>
        <v/>
      </c>
      <c r="X201" t="str">
        <f>""</f>
        <v/>
      </c>
      <c r="Y201" t="str">
        <f>""</f>
        <v/>
      </c>
    </row>
    <row r="202" spans="1:25" x14ac:dyDescent="0.25">
      <c r="A202" t="str">
        <f>"BDH dynamic"</f>
        <v>BDH dynamic</v>
      </c>
      <c r="B202">
        <f ca="1">IF($B$196&gt;=1,$B$196,IF($B$198&gt;=1,$B$198,IF($B$200&gt;=1,$B$200,$B$187)))</f>
        <v>2</v>
      </c>
      <c r="C202" t="str">
        <f ca="1">IF($B$196&gt;=1,$C$196,IF($B$198&gt;=1,$C$198,IF($B$200&gt;=1,$C$200,$C$187)))</f>
        <v>2020</v>
      </c>
      <c r="D202" t="str">
        <f ca="1">IF($B$196&gt;=1,$D$196,IF($B$198&gt;=1,$D$198,IF($B$200&gt;=1,$D$200,$D$187)))</f>
        <v>2019</v>
      </c>
      <c r="E202" t="str">
        <f ca="1">IF($B$196&gt;=1,$E$196,IF($B$198&gt;=1,$E$198,IF($B$200&gt;=1,$E$200,$E$187)))</f>
        <v>2018</v>
      </c>
      <c r="F202" t="str">
        <f ca="1">IF($B$196&gt;=1,$F$196,IF($B$198&gt;=1,$F$198,IF($B$200&gt;=1,$F$200,$F$187)))</f>
        <v>2017</v>
      </c>
      <c r="G202" t="str">
        <f ca="1">IF($B$196&gt;=1,$G$196,IF($B$198&gt;=1,$G$198,IF($B$200&gt;=1,$G$200,$G$187)))</f>
        <v>2016</v>
      </c>
      <c r="H202" t="str">
        <f ca="1">IF($B$196&gt;=1,$H$196,IF($B$198&gt;=1,$H$198,IF($B$200&gt;=1,$H$200,$H$187)))</f>
        <v>2015</v>
      </c>
      <c r="I202" t="str">
        <f ca="1">IF($B$196&gt;=1,$I$196,IF($B$198&gt;=1,$I$198,IF($B$200&gt;=1,$I$200,$I$187)))</f>
        <v>2014</v>
      </c>
      <c r="J202" t="str">
        <f ca="1">IF($B$196&gt;=1,$J$196,IF($B$198&gt;=1,$J$198,IF($B$200&gt;=1,$J$200,$J$187)))</f>
        <v>2013</v>
      </c>
      <c r="K202" t="str">
        <f ca="1">IF($B$196&gt;=1,$K$196,IF($B$198&gt;=1,$K$198,IF($B$200&gt;=1,$K$200,$K$187)))</f>
        <v>2012</v>
      </c>
      <c r="L202" t="str">
        <f ca="1">IF($B$196&gt;=1,$L$196,IF($B$198&gt;=1,$L$198,IF($B$200&gt;=1,$L$200,$L$187)))</f>
        <v>2011</v>
      </c>
      <c r="P202" t="str">
        <f>""</f>
        <v/>
      </c>
      <c r="Q202" t="str">
        <f>""</f>
        <v/>
      </c>
      <c r="R202" t="str">
        <f>""</f>
        <v/>
      </c>
      <c r="S202" t="str">
        <f>""</f>
        <v/>
      </c>
      <c r="T202" t="str">
        <f>""</f>
        <v/>
      </c>
      <c r="U202" t="str">
        <f>""</f>
        <v/>
      </c>
      <c r="V202" t="str">
        <f>""</f>
        <v/>
      </c>
      <c r="W202" t="str">
        <f>""</f>
        <v/>
      </c>
      <c r="X202" t="str">
        <f>""</f>
        <v/>
      </c>
      <c r="Y202" t="str">
        <f>""</f>
        <v/>
      </c>
    </row>
    <row r="203" spans="1:25" x14ac:dyDescent="0.25">
      <c r="A203" t="str">
        <f>"BDH dynamic title"</f>
        <v>BDH dynamic title</v>
      </c>
      <c r="B203">
        <f ca="1">$B$202</f>
        <v>2</v>
      </c>
      <c r="C203" t="str">
        <f ca="1">SUBSTITUTE(SUBSTITUTE($C$202,"CY1 ",""),"C","")</f>
        <v>2020</v>
      </c>
      <c r="D203" t="str">
        <f ca="1">SUBSTITUTE(SUBSTITUTE($D$202,"CY1 ",""),"C","")</f>
        <v>2019</v>
      </c>
      <c r="E203" t="str">
        <f ca="1">SUBSTITUTE(SUBSTITUTE($E$202,"CY1 ",""),"C","")</f>
        <v>2018</v>
      </c>
      <c r="F203" t="str">
        <f ca="1">SUBSTITUTE(SUBSTITUTE($F$202,"CY1 ",""),"C","")</f>
        <v>2017</v>
      </c>
      <c r="G203" t="str">
        <f ca="1">SUBSTITUTE(SUBSTITUTE($G$202,"CY1 ",""),"C","")</f>
        <v>2016</v>
      </c>
      <c r="H203" t="str">
        <f ca="1">SUBSTITUTE(SUBSTITUTE($H$202,"CY1 ",""),"C","")</f>
        <v>2015</v>
      </c>
      <c r="I203" t="str">
        <f ca="1">SUBSTITUTE(SUBSTITUTE($I$202,"CY1 ",""),"C","")</f>
        <v>2014</v>
      </c>
      <c r="J203" t="str">
        <f ca="1">SUBSTITUTE(SUBSTITUTE($J$202,"CY1 ",""),"C","")</f>
        <v>2013</v>
      </c>
      <c r="K203" t="str">
        <f ca="1">SUBSTITUTE(SUBSTITUTE($K$202,"CY1 ",""),"C","")</f>
        <v>2012</v>
      </c>
      <c r="L203" t="str">
        <f ca="1">SUBSTITUTE(SUBSTITUTE($L$202,"CY1 ",""),"C","")</f>
        <v>2011</v>
      </c>
      <c r="P203" t="str">
        <f>""</f>
        <v/>
      </c>
      <c r="Q203" t="str">
        <f>""</f>
        <v/>
      </c>
      <c r="R203" t="str">
        <f>""</f>
        <v/>
      </c>
      <c r="S203" t="str">
        <f>""</f>
        <v/>
      </c>
      <c r="T203" t="str">
        <f>""</f>
        <v/>
      </c>
      <c r="U203" t="str">
        <f>""</f>
        <v/>
      </c>
      <c r="V203" t="str">
        <f>""</f>
        <v/>
      </c>
      <c r="W203" t="str">
        <f>""</f>
        <v/>
      </c>
      <c r="X203" t="str">
        <f>""</f>
        <v/>
      </c>
      <c r="Y203" t="str">
        <f>""</f>
        <v/>
      </c>
    </row>
    <row r="204" spans="1:25" x14ac:dyDescent="0.25">
      <c r="A204" t="str">
        <f>"No error found"</f>
        <v>No error found</v>
      </c>
      <c r="B204" t="str">
        <f>""</f>
        <v/>
      </c>
      <c r="C204" t="str">
        <f>""</f>
        <v/>
      </c>
      <c r="D204" t="str">
        <f>""</f>
        <v/>
      </c>
      <c r="E204" t="str">
        <f>""</f>
        <v/>
      </c>
      <c r="P204" t="str">
        <f>""</f>
        <v/>
      </c>
      <c r="Q204" t="str">
        <f>""</f>
        <v/>
      </c>
      <c r="R204" t="str">
        <f>""</f>
        <v/>
      </c>
      <c r="S204" t="str">
        <f>""</f>
        <v/>
      </c>
      <c r="T204" t="str">
        <f>""</f>
        <v/>
      </c>
      <c r="U204" t="str">
        <f>""</f>
        <v/>
      </c>
      <c r="V204" t="str">
        <f>""</f>
        <v/>
      </c>
      <c r="W204" t="str">
        <f>""</f>
        <v/>
      </c>
      <c r="X204" t="str">
        <f>""</f>
        <v/>
      </c>
      <c r="Y204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E647-7418-4F84-97B4-32E2A26E9DD0}">
  <dimension ref="A2:Y204"/>
  <sheetViews>
    <sheetView workbookViewId="0">
      <selection sqref="A1:XFD1048576"/>
    </sheetView>
  </sheetViews>
  <sheetFormatPr defaultRowHeight="15" x14ac:dyDescent="0.25"/>
  <sheetData>
    <row r="2" spans="1:25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  <c r="X2" t="s">
        <v>41</v>
      </c>
      <c r="Y2" t="s">
        <v>42</v>
      </c>
    </row>
    <row r="3" spans="1:25" x14ac:dyDescent="0.25">
      <c r="A3" t="s">
        <v>43</v>
      </c>
      <c r="B3" t="s">
        <v>44</v>
      </c>
      <c r="E3" t="s">
        <v>45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</row>
    <row r="4" spans="1:25" x14ac:dyDescent="0.25">
      <c r="A4" t="s">
        <v>46</v>
      </c>
      <c r="B4" t="s">
        <v>47</v>
      </c>
      <c r="C4" t="s">
        <v>48</v>
      </c>
      <c r="D4" t="s">
        <v>49</v>
      </c>
      <c r="E4" t="s">
        <v>50</v>
      </c>
      <c r="F4" t="s">
        <v>44</v>
      </c>
      <c r="G4">
        <v>2074.6390000000001</v>
      </c>
      <c r="H4">
        <v>2074.6320000000001</v>
      </c>
      <c r="I4">
        <v>2005.933</v>
      </c>
      <c r="J4">
        <v>2011.4680000000001</v>
      </c>
      <c r="K4">
        <v>2061.5140000000001</v>
      </c>
      <c r="L4">
        <v>2120.2150000000001</v>
      </c>
      <c r="M4">
        <v>2010.6949999999999</v>
      </c>
      <c r="N4">
        <v>1997.415</v>
      </c>
      <c r="O4">
        <v>1809.7739999999999</v>
      </c>
      <c r="P4" t="s">
        <v>44</v>
      </c>
      <c r="Q4">
        <v>2074.6390000000001</v>
      </c>
      <c r="R4">
        <v>2074.6320000000001</v>
      </c>
      <c r="S4">
        <v>2005.933</v>
      </c>
      <c r="T4">
        <v>2011.4680000000001</v>
      </c>
      <c r="U4">
        <v>2061.5140000000001</v>
      </c>
      <c r="V4">
        <v>2120.2150000000001</v>
      </c>
      <c r="W4">
        <v>2010.6949999999999</v>
      </c>
      <c r="X4">
        <v>1997.415</v>
      </c>
      <c r="Y4">
        <v>1809.7739999999999</v>
      </c>
    </row>
    <row r="5" spans="1:25" x14ac:dyDescent="0.25">
      <c r="A5" t="s">
        <v>51</v>
      </c>
      <c r="B5" t="s">
        <v>52</v>
      </c>
      <c r="C5" t="s">
        <v>48</v>
      </c>
      <c r="D5" t="s">
        <v>49</v>
      </c>
      <c r="E5" t="s">
        <v>50</v>
      </c>
      <c r="F5" t="s">
        <v>44</v>
      </c>
      <c r="G5">
        <v>515.58500000000004</v>
      </c>
      <c r="H5">
        <v>542.28300000000002</v>
      </c>
      <c r="I5">
        <v>446.89499999999998</v>
      </c>
      <c r="J5">
        <v>457.96600000000001</v>
      </c>
      <c r="K5">
        <v>500.03199999999998</v>
      </c>
      <c r="L5">
        <v>616.83299999999997</v>
      </c>
      <c r="M5">
        <v>638.92100000000005</v>
      </c>
      <c r="N5">
        <v>713.86500000000001</v>
      </c>
      <c r="O5">
        <v>749.59699999999998</v>
      </c>
      <c r="P5" t="s">
        <v>44</v>
      </c>
      <c r="Q5">
        <v>515.58500000000004</v>
      </c>
      <c r="R5">
        <v>542.28300000000002</v>
      </c>
      <c r="S5">
        <v>446.89499999999998</v>
      </c>
      <c r="T5">
        <v>457.96600000000001</v>
      </c>
      <c r="U5">
        <v>500.03199999999998</v>
      </c>
      <c r="V5">
        <v>616.83299999999997</v>
      </c>
      <c r="W5">
        <v>638.92100000000005</v>
      </c>
      <c r="X5">
        <v>713.86500000000001</v>
      </c>
      <c r="Y5">
        <v>749.59699999999998</v>
      </c>
    </row>
    <row r="6" spans="1:25" x14ac:dyDescent="0.25">
      <c r="A6" t="s">
        <v>53</v>
      </c>
      <c r="B6" t="s">
        <v>54</v>
      </c>
      <c r="C6" t="s">
        <v>55</v>
      </c>
      <c r="D6" t="s">
        <v>56</v>
      </c>
      <c r="E6" t="s">
        <v>50</v>
      </c>
      <c r="F6">
        <v>150.085318</v>
      </c>
      <c r="G6">
        <v>150.09414000000001</v>
      </c>
      <c r="H6">
        <v>150.84622400000001</v>
      </c>
      <c r="I6">
        <v>122.576813</v>
      </c>
      <c r="J6">
        <v>108.973753</v>
      </c>
      <c r="K6">
        <v>108.835115</v>
      </c>
      <c r="L6">
        <v>112.07915199999999</v>
      </c>
      <c r="M6">
        <v>106.19693100000001</v>
      </c>
      <c r="N6">
        <v>99.093410000000006</v>
      </c>
      <c r="O6">
        <v>93.652240000000006</v>
      </c>
      <c r="P6">
        <v>150.085318</v>
      </c>
      <c r="Q6">
        <v>150.09414000000001</v>
      </c>
      <c r="R6">
        <v>150.84622400000001</v>
      </c>
      <c r="S6">
        <v>122.576813</v>
      </c>
      <c r="T6">
        <v>108.973753</v>
      </c>
      <c r="U6">
        <v>108.835115</v>
      </c>
      <c r="V6">
        <v>112.07915199999999</v>
      </c>
      <c r="W6">
        <v>106.19693100000001</v>
      </c>
      <c r="X6">
        <v>99.093410000000006</v>
      </c>
      <c r="Y6">
        <v>93.652240000000006</v>
      </c>
    </row>
    <row r="7" spans="1:25" x14ac:dyDescent="0.25">
      <c r="A7" t="s">
        <v>44</v>
      </c>
      <c r="B7" t="s">
        <v>44</v>
      </c>
      <c r="E7" t="s">
        <v>57</v>
      </c>
      <c r="F7" t="s">
        <v>44</v>
      </c>
      <c r="G7" t="s">
        <v>44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44</v>
      </c>
      <c r="T7" t="s">
        <v>44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</row>
    <row r="8" spans="1:25" x14ac:dyDescent="0.25">
      <c r="A8" t="s">
        <v>58</v>
      </c>
      <c r="B8" t="s">
        <v>44</v>
      </c>
      <c r="E8" t="s">
        <v>45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</row>
    <row r="9" spans="1:25" x14ac:dyDescent="0.25">
      <c r="A9" t="s">
        <v>59</v>
      </c>
      <c r="B9" t="s">
        <v>60</v>
      </c>
      <c r="C9" t="s">
        <v>48</v>
      </c>
      <c r="D9" t="s">
        <v>49</v>
      </c>
      <c r="E9" t="s">
        <v>50</v>
      </c>
      <c r="F9">
        <v>6.5</v>
      </c>
      <c r="G9">
        <v>6.59</v>
      </c>
      <c r="H9">
        <v>6.44</v>
      </c>
      <c r="I9">
        <v>7.42</v>
      </c>
      <c r="J9">
        <v>6.93</v>
      </c>
      <c r="K9">
        <v>6.08</v>
      </c>
      <c r="L9">
        <v>6.47</v>
      </c>
      <c r="M9">
        <v>6.12</v>
      </c>
      <c r="N9">
        <v>5.09</v>
      </c>
      <c r="O9">
        <v>5.48</v>
      </c>
      <c r="P9">
        <v>6.5</v>
      </c>
      <c r="Q9">
        <v>6.59</v>
      </c>
      <c r="R9">
        <v>6.44</v>
      </c>
      <c r="S9">
        <v>7.42</v>
      </c>
      <c r="T9">
        <v>6.93</v>
      </c>
      <c r="U9">
        <v>6.08</v>
      </c>
      <c r="V9">
        <v>6.47</v>
      </c>
      <c r="W9">
        <v>6.12</v>
      </c>
      <c r="X9">
        <v>5.09</v>
      </c>
      <c r="Y9">
        <v>5.48</v>
      </c>
    </row>
    <row r="10" spans="1:25" x14ac:dyDescent="0.25">
      <c r="A10" t="s">
        <v>61</v>
      </c>
      <c r="B10" t="s">
        <v>62</v>
      </c>
      <c r="C10" t="s">
        <v>48</v>
      </c>
      <c r="D10" t="s">
        <v>49</v>
      </c>
      <c r="E10" t="s">
        <v>50</v>
      </c>
      <c r="F10">
        <v>67.5</v>
      </c>
      <c r="G10">
        <v>100.9</v>
      </c>
      <c r="H10">
        <v>107.6</v>
      </c>
      <c r="I10">
        <v>115</v>
      </c>
      <c r="J10">
        <v>106.9</v>
      </c>
      <c r="K10">
        <v>105.5</v>
      </c>
      <c r="L10">
        <v>99</v>
      </c>
      <c r="M10">
        <v>98.1</v>
      </c>
      <c r="N10">
        <v>85.6</v>
      </c>
      <c r="O10">
        <v>91.9</v>
      </c>
      <c r="P10">
        <v>67.5</v>
      </c>
      <c r="Q10">
        <v>100.9</v>
      </c>
      <c r="R10">
        <v>107.6</v>
      </c>
      <c r="S10">
        <v>115</v>
      </c>
      <c r="T10">
        <v>106.9</v>
      </c>
      <c r="U10">
        <v>105.5</v>
      </c>
      <c r="V10">
        <v>99</v>
      </c>
      <c r="W10">
        <v>98.1</v>
      </c>
      <c r="X10">
        <v>85.6</v>
      </c>
      <c r="Y10">
        <v>91.9</v>
      </c>
    </row>
    <row r="11" spans="1:25" x14ac:dyDescent="0.25">
      <c r="A11" t="s">
        <v>63</v>
      </c>
      <c r="B11" t="s">
        <v>64</v>
      </c>
      <c r="C11" t="s">
        <v>48</v>
      </c>
      <c r="D11" t="s">
        <v>49</v>
      </c>
      <c r="E11" t="s">
        <v>50</v>
      </c>
      <c r="F11">
        <v>67.599999999999994</v>
      </c>
      <c r="G11">
        <v>101.4</v>
      </c>
      <c r="H11">
        <v>99.9</v>
      </c>
      <c r="I11">
        <v>112.9</v>
      </c>
      <c r="J11">
        <v>103.3</v>
      </c>
      <c r="K11">
        <v>99.4</v>
      </c>
      <c r="L11">
        <v>91.9</v>
      </c>
      <c r="M11">
        <v>91.8</v>
      </c>
      <c r="N11">
        <v>84.9</v>
      </c>
      <c r="O11">
        <v>91.2</v>
      </c>
      <c r="P11">
        <v>67.599999999999994</v>
      </c>
      <c r="Q11">
        <v>101.4</v>
      </c>
      <c r="R11">
        <v>99.9</v>
      </c>
      <c r="S11">
        <v>112.9</v>
      </c>
      <c r="T11">
        <v>103.3</v>
      </c>
      <c r="U11">
        <v>99.4</v>
      </c>
      <c r="V11">
        <v>91.9</v>
      </c>
      <c r="W11">
        <v>91.8</v>
      </c>
      <c r="X11">
        <v>84.9</v>
      </c>
      <c r="Y11">
        <v>91.2</v>
      </c>
    </row>
    <row r="12" spans="1:25" x14ac:dyDescent="0.25">
      <c r="A12" t="s">
        <v>65</v>
      </c>
      <c r="B12" t="s">
        <v>66</v>
      </c>
      <c r="C12" t="s">
        <v>48</v>
      </c>
      <c r="D12" t="s">
        <v>49</v>
      </c>
      <c r="E12" t="s">
        <v>50</v>
      </c>
      <c r="F12">
        <v>75.3</v>
      </c>
      <c r="G12">
        <v>99.1</v>
      </c>
      <c r="H12">
        <v>108.8</v>
      </c>
      <c r="I12">
        <v>114.3</v>
      </c>
      <c r="J12">
        <v>108.5</v>
      </c>
      <c r="K12">
        <v>106</v>
      </c>
      <c r="L12">
        <v>102.8</v>
      </c>
      <c r="M12">
        <v>105.5</v>
      </c>
      <c r="N12">
        <v>96.4</v>
      </c>
      <c r="O12">
        <v>104.3</v>
      </c>
      <c r="P12">
        <v>75.3</v>
      </c>
      <c r="Q12">
        <v>99.1</v>
      </c>
      <c r="R12">
        <v>108.8</v>
      </c>
      <c r="S12">
        <v>114.3</v>
      </c>
      <c r="T12">
        <v>108.5</v>
      </c>
      <c r="U12">
        <v>106</v>
      </c>
      <c r="V12">
        <v>102.8</v>
      </c>
      <c r="W12">
        <v>105.5</v>
      </c>
      <c r="X12">
        <v>96.4</v>
      </c>
      <c r="Y12">
        <v>104.3</v>
      </c>
    </row>
    <row r="13" spans="1:25" x14ac:dyDescent="0.25">
      <c r="A13" t="s">
        <v>67</v>
      </c>
      <c r="B13" t="s">
        <v>68</v>
      </c>
      <c r="C13" t="s">
        <v>48</v>
      </c>
      <c r="D13" t="s">
        <v>49</v>
      </c>
      <c r="E13" t="s">
        <v>50</v>
      </c>
      <c r="F13">
        <v>88.5</v>
      </c>
      <c r="G13">
        <v>110.4</v>
      </c>
      <c r="H13">
        <v>102.7</v>
      </c>
      <c r="I13">
        <v>102.5</v>
      </c>
      <c r="J13">
        <v>97.3</v>
      </c>
      <c r="K13">
        <v>90.9</v>
      </c>
      <c r="L13">
        <v>102.3</v>
      </c>
      <c r="M13">
        <v>94.2</v>
      </c>
      <c r="N13">
        <v>89.7</v>
      </c>
      <c r="O13">
        <v>83.4</v>
      </c>
      <c r="P13">
        <v>88.5</v>
      </c>
      <c r="Q13">
        <v>110.4</v>
      </c>
      <c r="R13">
        <v>102.7</v>
      </c>
      <c r="S13">
        <v>102.5</v>
      </c>
      <c r="T13">
        <v>97.3</v>
      </c>
      <c r="U13">
        <v>90.9</v>
      </c>
      <c r="V13">
        <v>102.3</v>
      </c>
      <c r="W13">
        <v>94.2</v>
      </c>
      <c r="X13">
        <v>89.7</v>
      </c>
      <c r="Y13">
        <v>83.4</v>
      </c>
    </row>
    <row r="14" spans="1:25" x14ac:dyDescent="0.25">
      <c r="A14" t="s">
        <v>69</v>
      </c>
      <c r="B14" t="s">
        <v>70</v>
      </c>
      <c r="C14" t="s">
        <v>48</v>
      </c>
      <c r="D14" t="s">
        <v>49</v>
      </c>
      <c r="E14" t="s">
        <v>50</v>
      </c>
      <c r="F14">
        <v>63</v>
      </c>
      <c r="G14">
        <v>101.5</v>
      </c>
      <c r="H14">
        <v>104</v>
      </c>
      <c r="I14">
        <v>111.8</v>
      </c>
      <c r="J14">
        <v>102.2</v>
      </c>
      <c r="K14">
        <v>106.8</v>
      </c>
      <c r="L14">
        <v>93.6</v>
      </c>
      <c r="M14">
        <v>94.9</v>
      </c>
      <c r="N14">
        <v>80.3</v>
      </c>
      <c r="O14">
        <v>84.5</v>
      </c>
      <c r="P14">
        <v>63</v>
      </c>
      <c r="Q14">
        <v>101.5</v>
      </c>
      <c r="R14">
        <v>104</v>
      </c>
      <c r="S14">
        <v>111.8</v>
      </c>
      <c r="T14">
        <v>102.2</v>
      </c>
      <c r="U14">
        <v>106.8</v>
      </c>
      <c r="V14">
        <v>93.6</v>
      </c>
      <c r="W14">
        <v>94.9</v>
      </c>
      <c r="X14">
        <v>80.3</v>
      </c>
      <c r="Y14">
        <v>84.5</v>
      </c>
    </row>
    <row r="15" spans="1:25" x14ac:dyDescent="0.25">
      <c r="A15" t="s">
        <v>71</v>
      </c>
      <c r="B15" t="s">
        <v>72</v>
      </c>
      <c r="C15" t="s">
        <v>48</v>
      </c>
      <c r="D15" t="s">
        <v>49</v>
      </c>
      <c r="E15" t="s">
        <v>50</v>
      </c>
      <c r="F15">
        <v>74.900000000000006</v>
      </c>
      <c r="G15">
        <v>102.7</v>
      </c>
      <c r="H15">
        <v>103.4</v>
      </c>
      <c r="I15">
        <v>110.5</v>
      </c>
      <c r="J15">
        <v>105.3</v>
      </c>
      <c r="K15">
        <v>111.4</v>
      </c>
      <c r="L15">
        <v>103.8</v>
      </c>
      <c r="M15">
        <v>98.3</v>
      </c>
      <c r="N15">
        <v>85.1</v>
      </c>
      <c r="O15">
        <v>86.6</v>
      </c>
      <c r="P15">
        <v>74.900000000000006</v>
      </c>
      <c r="Q15">
        <v>102.7</v>
      </c>
      <c r="R15">
        <v>103.4</v>
      </c>
      <c r="S15">
        <v>110.5</v>
      </c>
      <c r="T15">
        <v>105.3</v>
      </c>
      <c r="U15">
        <v>111.4</v>
      </c>
      <c r="V15">
        <v>103.8</v>
      </c>
      <c r="W15">
        <v>98.3</v>
      </c>
      <c r="X15">
        <v>85.1</v>
      </c>
      <c r="Y15">
        <v>86.6</v>
      </c>
    </row>
    <row r="16" spans="1:25" x14ac:dyDescent="0.25">
      <c r="A16" t="s">
        <v>73</v>
      </c>
      <c r="B16" t="s">
        <v>74</v>
      </c>
      <c r="C16" t="s">
        <v>48</v>
      </c>
      <c r="D16" t="s">
        <v>49</v>
      </c>
      <c r="E16" t="s">
        <v>50</v>
      </c>
      <c r="F16">
        <v>61.7</v>
      </c>
      <c r="G16">
        <v>87.3</v>
      </c>
      <c r="H16">
        <v>104.7</v>
      </c>
      <c r="I16">
        <v>111</v>
      </c>
      <c r="J16">
        <v>107.7</v>
      </c>
      <c r="K16">
        <v>109.6</v>
      </c>
      <c r="L16">
        <v>110.7</v>
      </c>
      <c r="M16">
        <v>110.7</v>
      </c>
      <c r="N16">
        <v>91.9</v>
      </c>
      <c r="O16">
        <v>84.6</v>
      </c>
      <c r="P16">
        <v>61.7</v>
      </c>
      <c r="Q16">
        <v>87.3</v>
      </c>
      <c r="R16">
        <v>104.7</v>
      </c>
      <c r="S16">
        <v>111</v>
      </c>
      <c r="T16">
        <v>107.7</v>
      </c>
      <c r="U16">
        <v>109.6</v>
      </c>
      <c r="V16">
        <v>110.7</v>
      </c>
      <c r="W16">
        <v>110.7</v>
      </c>
      <c r="X16">
        <v>91.9</v>
      </c>
      <c r="Y16">
        <v>84.6</v>
      </c>
    </row>
    <row r="17" spans="1:25" x14ac:dyDescent="0.25">
      <c r="A17" t="s">
        <v>75</v>
      </c>
      <c r="B17" t="s">
        <v>76</v>
      </c>
      <c r="C17" t="s">
        <v>48</v>
      </c>
      <c r="D17" t="s">
        <v>49</v>
      </c>
      <c r="E17" t="s">
        <v>50</v>
      </c>
      <c r="F17" t="s">
        <v>44</v>
      </c>
      <c r="G17">
        <v>-18.8</v>
      </c>
      <c r="H17">
        <v>-2.2000000000000002</v>
      </c>
      <c r="I17">
        <v>17.100000000000001</v>
      </c>
      <c r="J17">
        <v>-0.7</v>
      </c>
      <c r="K17">
        <v>-5.0999999999999996</v>
      </c>
      <c r="L17">
        <v>4.7</v>
      </c>
      <c r="M17">
        <v>4.8</v>
      </c>
      <c r="N17">
        <v>-9.1999999999999993</v>
      </c>
      <c r="O17">
        <v>-14.7</v>
      </c>
      <c r="P17" t="s">
        <v>44</v>
      </c>
      <c r="Q17">
        <v>-18.8</v>
      </c>
      <c r="R17">
        <v>-2.2000000000000002</v>
      </c>
      <c r="S17">
        <v>17.100000000000001</v>
      </c>
      <c r="T17">
        <v>-0.7</v>
      </c>
      <c r="U17">
        <v>-5.0999999999999996</v>
      </c>
      <c r="V17">
        <v>4.7</v>
      </c>
      <c r="W17">
        <v>4.8</v>
      </c>
      <c r="X17">
        <v>-9.1999999999999993</v>
      </c>
      <c r="Y17">
        <v>-14.7</v>
      </c>
    </row>
    <row r="18" spans="1:25" x14ac:dyDescent="0.25">
      <c r="A18" t="s">
        <v>44</v>
      </c>
      <c r="B18" t="s">
        <v>44</v>
      </c>
      <c r="E18" t="s">
        <v>57</v>
      </c>
      <c r="F18" t="s">
        <v>44</v>
      </c>
      <c r="G18" t="s">
        <v>44</v>
      </c>
      <c r="H18" t="s">
        <v>44</v>
      </c>
      <c r="I18" t="s">
        <v>44</v>
      </c>
      <c r="J18" t="s">
        <v>44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44</v>
      </c>
      <c r="T18" t="s">
        <v>44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</row>
    <row r="19" spans="1:25" x14ac:dyDescent="0.25">
      <c r="A19" t="s">
        <v>77</v>
      </c>
      <c r="B19" t="s">
        <v>44</v>
      </c>
      <c r="E19" t="s">
        <v>45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44</v>
      </c>
      <c r="Y19" t="s">
        <v>44</v>
      </c>
    </row>
    <row r="20" spans="1:25" x14ac:dyDescent="0.25">
      <c r="A20" t="s">
        <v>78</v>
      </c>
      <c r="B20" t="s">
        <v>79</v>
      </c>
      <c r="C20" t="s">
        <v>48</v>
      </c>
      <c r="D20" t="s">
        <v>49</v>
      </c>
      <c r="E20" t="s">
        <v>50</v>
      </c>
      <c r="F20">
        <v>45.4</v>
      </c>
      <c r="G20">
        <v>54.9</v>
      </c>
      <c r="H20">
        <v>58</v>
      </c>
      <c r="I20">
        <v>55.9</v>
      </c>
      <c r="J20">
        <v>56.3</v>
      </c>
      <c r="K20">
        <v>55</v>
      </c>
      <c r="L20">
        <v>56.8</v>
      </c>
      <c r="M20">
        <v>53.2</v>
      </c>
      <c r="N20">
        <v>56.1</v>
      </c>
      <c r="O20">
        <v>52.6</v>
      </c>
      <c r="P20">
        <v>45.4</v>
      </c>
      <c r="Q20">
        <v>54.9</v>
      </c>
      <c r="R20">
        <v>58</v>
      </c>
      <c r="S20">
        <v>55.9</v>
      </c>
      <c r="T20">
        <v>56.3</v>
      </c>
      <c r="U20">
        <v>55</v>
      </c>
      <c r="V20">
        <v>56.8</v>
      </c>
      <c r="W20">
        <v>53.2</v>
      </c>
      <c r="X20">
        <v>56.1</v>
      </c>
      <c r="Y20">
        <v>52.6</v>
      </c>
    </row>
    <row r="21" spans="1:25" x14ac:dyDescent="0.25">
      <c r="A21" t="s">
        <v>80</v>
      </c>
      <c r="B21" t="s">
        <v>81</v>
      </c>
      <c r="C21" t="s">
        <v>48</v>
      </c>
      <c r="D21" t="s">
        <v>49</v>
      </c>
      <c r="E21" t="s">
        <v>50</v>
      </c>
      <c r="F21">
        <v>-29.902529999999999</v>
      </c>
      <c r="G21">
        <v>-2.9366099999999999</v>
      </c>
      <c r="H21">
        <v>3.6734800000000001</v>
      </c>
      <c r="I21">
        <v>7.0038</v>
      </c>
      <c r="J21">
        <v>-1.80993</v>
      </c>
      <c r="K21">
        <v>-2.7246999999999999</v>
      </c>
      <c r="L21">
        <v>-1.7984</v>
      </c>
      <c r="M21">
        <v>1.10476</v>
      </c>
      <c r="N21">
        <v>0.71948999999999996</v>
      </c>
      <c r="O21">
        <v>13.644259999999999</v>
      </c>
      <c r="P21">
        <v>-29.902529999999999</v>
      </c>
      <c r="Q21">
        <v>-2.9366099999999999</v>
      </c>
      <c r="R21">
        <v>3.6734800000000001</v>
      </c>
      <c r="S21">
        <v>7.0038</v>
      </c>
      <c r="T21">
        <v>-1.80993</v>
      </c>
      <c r="U21">
        <v>-2.7246999999999999</v>
      </c>
      <c r="V21">
        <v>-1.7984</v>
      </c>
      <c r="W21">
        <v>1.10476</v>
      </c>
      <c r="X21">
        <v>0.71948999999999996</v>
      </c>
      <c r="Y21">
        <v>13.644259999999999</v>
      </c>
    </row>
    <row r="22" spans="1:25" x14ac:dyDescent="0.25">
      <c r="A22" t="s">
        <v>82</v>
      </c>
      <c r="B22" t="s">
        <v>83</v>
      </c>
      <c r="C22" t="s">
        <v>48</v>
      </c>
      <c r="D22" t="s">
        <v>49</v>
      </c>
      <c r="E22" t="s">
        <v>50</v>
      </c>
      <c r="F22">
        <v>2.5687000000000002</v>
      </c>
      <c r="G22">
        <v>7.0354799999999997</v>
      </c>
      <c r="H22">
        <v>2.2126600000000001</v>
      </c>
      <c r="I22">
        <v>-20.32321</v>
      </c>
      <c r="J22">
        <v>-3.1309300000000002</v>
      </c>
      <c r="K22">
        <v>1.88497</v>
      </c>
      <c r="L22">
        <v>-19.650490000000001</v>
      </c>
      <c r="M22">
        <v>5.4463600000000003</v>
      </c>
      <c r="N22">
        <v>-3.5925799999999999</v>
      </c>
      <c r="O22">
        <v>-10.08165</v>
      </c>
      <c r="P22">
        <v>2.5687000000000002</v>
      </c>
      <c r="Q22">
        <v>7.0354799999999997</v>
      </c>
      <c r="R22">
        <v>2.2126600000000001</v>
      </c>
      <c r="S22">
        <v>-20.32321</v>
      </c>
      <c r="T22">
        <v>-3.1309300000000002</v>
      </c>
      <c r="U22">
        <v>1.88497</v>
      </c>
      <c r="V22">
        <v>-19.650490000000001</v>
      </c>
      <c r="W22">
        <v>5.4463600000000003</v>
      </c>
      <c r="X22">
        <v>-3.5925799999999999</v>
      </c>
      <c r="Y22">
        <v>-10.08165</v>
      </c>
    </row>
    <row r="23" spans="1:25" x14ac:dyDescent="0.25">
      <c r="A23" t="s">
        <v>84</v>
      </c>
      <c r="B23" t="s">
        <v>85</v>
      </c>
      <c r="C23" t="s">
        <v>48</v>
      </c>
      <c r="D23" t="s">
        <v>49</v>
      </c>
      <c r="E23" t="s">
        <v>50</v>
      </c>
      <c r="F23">
        <v>1717</v>
      </c>
      <c r="G23">
        <v>1780</v>
      </c>
      <c r="H23">
        <v>1663</v>
      </c>
      <c r="I23">
        <v>1627</v>
      </c>
      <c r="J23">
        <v>2042</v>
      </c>
      <c r="K23">
        <v>2108</v>
      </c>
      <c r="L23">
        <v>2069</v>
      </c>
      <c r="M23">
        <v>2575</v>
      </c>
      <c r="N23">
        <v>2442</v>
      </c>
      <c r="O23">
        <v>2533</v>
      </c>
      <c r="P23">
        <v>1717</v>
      </c>
      <c r="Q23">
        <v>1780</v>
      </c>
      <c r="R23">
        <v>1663</v>
      </c>
      <c r="S23">
        <v>1627</v>
      </c>
      <c r="T23">
        <v>2042</v>
      </c>
      <c r="U23">
        <v>2108</v>
      </c>
      <c r="V23">
        <v>2069</v>
      </c>
      <c r="W23">
        <v>2575</v>
      </c>
      <c r="X23">
        <v>2442</v>
      </c>
      <c r="Y23">
        <v>2533</v>
      </c>
    </row>
    <row r="24" spans="1:25" x14ac:dyDescent="0.25">
      <c r="A24" t="s">
        <v>86</v>
      </c>
      <c r="B24" t="s">
        <v>44</v>
      </c>
      <c r="E24" t="s">
        <v>57</v>
      </c>
      <c r="F24" t="s">
        <v>44</v>
      </c>
      <c r="G24" t="s">
        <v>44</v>
      </c>
      <c r="H24" t="s">
        <v>44</v>
      </c>
      <c r="I24" t="s">
        <v>44</v>
      </c>
      <c r="J24" t="s">
        <v>44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</row>
    <row r="25" spans="1:25" x14ac:dyDescent="0.25">
      <c r="A25" t="s">
        <v>87</v>
      </c>
      <c r="B25" t="s">
        <v>44</v>
      </c>
      <c r="E25" t="s">
        <v>57</v>
      </c>
      <c r="F25" t="s">
        <v>44</v>
      </c>
      <c r="G25" t="s">
        <v>44</v>
      </c>
      <c r="H25" t="s">
        <v>44</v>
      </c>
      <c r="I25" t="s">
        <v>44</v>
      </c>
      <c r="J25" t="s">
        <v>44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</row>
    <row r="26" spans="1:25" x14ac:dyDescent="0.25">
      <c r="A26" t="s">
        <v>88</v>
      </c>
      <c r="B26" t="s">
        <v>89</v>
      </c>
      <c r="C26" t="s">
        <v>48</v>
      </c>
      <c r="D26" t="s">
        <v>49</v>
      </c>
      <c r="E26" t="s">
        <v>50</v>
      </c>
      <c r="F26" t="s">
        <v>44</v>
      </c>
      <c r="G26">
        <v>0.87917999999999996</v>
      </c>
      <c r="H26">
        <v>3.9451299999999998</v>
      </c>
      <c r="I26">
        <v>2.3227600000000002</v>
      </c>
      <c r="J26">
        <v>-1.9484699999999999</v>
      </c>
      <c r="K26">
        <v>-0.97477000000000003</v>
      </c>
      <c r="L26">
        <v>3.0670700000000002</v>
      </c>
      <c r="M26">
        <v>2.0271499999999998</v>
      </c>
      <c r="N26">
        <v>3.03017</v>
      </c>
      <c r="O26">
        <v>3.12304</v>
      </c>
      <c r="P26" t="s">
        <v>44</v>
      </c>
      <c r="Q26">
        <v>0.87917999999999996</v>
      </c>
      <c r="R26">
        <v>3.9451299999999998</v>
      </c>
      <c r="S26">
        <v>2.3227600000000002</v>
      </c>
      <c r="T26">
        <v>-1.9484699999999999</v>
      </c>
      <c r="U26">
        <v>-0.97477000000000003</v>
      </c>
      <c r="V26">
        <v>3.0670700000000002</v>
      </c>
      <c r="W26">
        <v>2.0271499999999998</v>
      </c>
      <c r="X26">
        <v>3.03017</v>
      </c>
      <c r="Y26">
        <v>3.12304</v>
      </c>
    </row>
    <row r="27" spans="1:25" x14ac:dyDescent="0.25">
      <c r="A27" t="s">
        <v>90</v>
      </c>
      <c r="B27" t="s">
        <v>91</v>
      </c>
      <c r="C27" t="s">
        <v>48</v>
      </c>
      <c r="D27" t="s">
        <v>49</v>
      </c>
      <c r="E27" t="s">
        <v>50</v>
      </c>
      <c r="F27">
        <v>4.20756</v>
      </c>
      <c r="G27">
        <v>8.6831600000000009</v>
      </c>
      <c r="H27">
        <v>3.6968200000000002</v>
      </c>
      <c r="I27">
        <v>3.0767600000000002</v>
      </c>
      <c r="J27">
        <v>7.3028399999999998</v>
      </c>
      <c r="K27">
        <v>2.66709</v>
      </c>
      <c r="L27">
        <v>8.1562199999999994</v>
      </c>
      <c r="M27">
        <v>10.85046</v>
      </c>
      <c r="N27">
        <v>11.50366</v>
      </c>
      <c r="O27">
        <v>6.3126199999999999</v>
      </c>
      <c r="P27">
        <v>4.20756</v>
      </c>
      <c r="Q27">
        <v>8.6831600000000009</v>
      </c>
      <c r="R27">
        <v>3.6968200000000002</v>
      </c>
      <c r="S27">
        <v>3.0767600000000002</v>
      </c>
      <c r="T27">
        <v>7.3028399999999998</v>
      </c>
      <c r="U27">
        <v>2.66709</v>
      </c>
      <c r="V27">
        <v>8.1562199999999994</v>
      </c>
      <c r="W27">
        <v>10.85046</v>
      </c>
      <c r="X27">
        <v>11.50366</v>
      </c>
      <c r="Y27">
        <v>6.3126199999999999</v>
      </c>
    </row>
    <row r="28" spans="1:25" x14ac:dyDescent="0.25">
      <c r="A28" t="s">
        <v>92</v>
      </c>
      <c r="B28" t="s">
        <v>93</v>
      </c>
      <c r="C28" t="s">
        <v>48</v>
      </c>
      <c r="D28" t="s">
        <v>49</v>
      </c>
      <c r="E28" t="s">
        <v>50</v>
      </c>
      <c r="F28" t="s">
        <v>44</v>
      </c>
      <c r="G28">
        <v>153.63570000000001</v>
      </c>
      <c r="H28">
        <v>146.1464</v>
      </c>
      <c r="I28">
        <v>137.37970000000001</v>
      </c>
      <c r="J28">
        <v>133.85210000000001</v>
      </c>
      <c r="K28">
        <v>126.6673</v>
      </c>
      <c r="L28">
        <v>122.6818</v>
      </c>
      <c r="M28">
        <v>110.6554</v>
      </c>
      <c r="N28">
        <v>100</v>
      </c>
      <c r="O28">
        <v>91.050899999999999</v>
      </c>
      <c r="P28" t="s">
        <v>44</v>
      </c>
      <c r="Q28">
        <v>153.63570000000001</v>
      </c>
      <c r="R28">
        <v>146.1464</v>
      </c>
      <c r="S28">
        <v>137.37970000000001</v>
      </c>
      <c r="T28">
        <v>133.85210000000001</v>
      </c>
      <c r="U28">
        <v>126.6673</v>
      </c>
      <c r="V28">
        <v>122.6818</v>
      </c>
      <c r="W28">
        <v>110.6554</v>
      </c>
      <c r="X28">
        <v>100</v>
      </c>
      <c r="Y28">
        <v>91.050899999999999</v>
      </c>
    </row>
    <row r="29" spans="1:25" x14ac:dyDescent="0.25">
      <c r="A29" t="s">
        <v>94</v>
      </c>
      <c r="B29" t="s">
        <v>95</v>
      </c>
      <c r="C29" t="s">
        <v>48</v>
      </c>
      <c r="D29" t="s">
        <v>49</v>
      </c>
      <c r="E29" t="s">
        <v>50</v>
      </c>
      <c r="F29">
        <v>1.2421800000000001</v>
      </c>
      <c r="G29">
        <v>1.19072</v>
      </c>
      <c r="H29">
        <v>-8.4879999999999997E-2</v>
      </c>
      <c r="I29">
        <v>12.04555</v>
      </c>
      <c r="J29">
        <v>18.46734</v>
      </c>
      <c r="K29">
        <v>-7.9922000000000004</v>
      </c>
      <c r="L29">
        <v>9.8512900000000005</v>
      </c>
      <c r="M29">
        <v>-2.4443800000000002</v>
      </c>
      <c r="N29">
        <v>16.902290000000001</v>
      </c>
      <c r="O29">
        <v>7.4441300000000004</v>
      </c>
      <c r="P29">
        <v>1.2421800000000001</v>
      </c>
      <c r="Q29">
        <v>1.19072</v>
      </c>
      <c r="R29">
        <v>-8.4879999999999997E-2</v>
      </c>
      <c r="S29">
        <v>12.04555</v>
      </c>
      <c r="T29">
        <v>18.46734</v>
      </c>
      <c r="U29">
        <v>-7.9922000000000004</v>
      </c>
      <c r="V29">
        <v>9.8512900000000005</v>
      </c>
      <c r="W29">
        <v>-2.4443800000000002</v>
      </c>
      <c r="X29">
        <v>16.902290000000001</v>
      </c>
      <c r="Y29">
        <v>7.4441300000000004</v>
      </c>
    </row>
    <row r="30" spans="1:25" x14ac:dyDescent="0.25">
      <c r="A30" t="s">
        <v>96</v>
      </c>
      <c r="B30" t="s">
        <v>97</v>
      </c>
      <c r="C30" t="s">
        <v>48</v>
      </c>
      <c r="D30" t="s">
        <v>49</v>
      </c>
      <c r="E30" t="s">
        <v>50</v>
      </c>
      <c r="F30" t="s">
        <v>44</v>
      </c>
      <c r="G30" t="s">
        <v>44</v>
      </c>
      <c r="H30" t="s">
        <v>44</v>
      </c>
      <c r="I30" t="s">
        <v>44</v>
      </c>
      <c r="J30" t="s">
        <v>44</v>
      </c>
      <c r="K30">
        <v>-66.045590000000004</v>
      </c>
      <c r="L30">
        <v>8.9984300000000008</v>
      </c>
      <c r="M30">
        <v>4.2637499999999999</v>
      </c>
      <c r="N30">
        <v>21.788484570000001</v>
      </c>
      <c r="O30">
        <v>10.87557983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>
        <v>-66.045590000000004</v>
      </c>
      <c r="V30">
        <v>8.9984300000000008</v>
      </c>
      <c r="W30">
        <v>4.2637499999999999</v>
      </c>
      <c r="X30">
        <v>21.788484570000001</v>
      </c>
      <c r="Y30">
        <v>10.87557983</v>
      </c>
    </row>
    <row r="31" spans="1:25" x14ac:dyDescent="0.25">
      <c r="A31" t="s">
        <v>98</v>
      </c>
      <c r="B31" t="s">
        <v>99</v>
      </c>
      <c r="C31" t="s">
        <v>48</v>
      </c>
      <c r="D31" t="s">
        <v>49</v>
      </c>
      <c r="E31" t="s">
        <v>50</v>
      </c>
      <c r="F31">
        <v>5.8548999999999998</v>
      </c>
      <c r="G31">
        <v>8.3589400000000005</v>
      </c>
      <c r="H31">
        <v>8.3749099999999999</v>
      </c>
      <c r="I31">
        <v>-5.1296200000000001</v>
      </c>
      <c r="J31">
        <v>3.5997499999999998</v>
      </c>
      <c r="K31">
        <v>7.6373600000000001</v>
      </c>
      <c r="L31">
        <v>-3.0571600000000001</v>
      </c>
      <c r="M31">
        <v>7.5431600000000003</v>
      </c>
      <c r="N31">
        <v>7.7591400000000004</v>
      </c>
      <c r="O31">
        <v>2.3612299999999999</v>
      </c>
      <c r="P31">
        <v>5.8548999999999998</v>
      </c>
      <c r="Q31">
        <v>8.3589400000000005</v>
      </c>
      <c r="R31">
        <v>8.3749099999999999</v>
      </c>
      <c r="S31">
        <v>-5.1296200000000001</v>
      </c>
      <c r="T31">
        <v>3.5997499999999998</v>
      </c>
      <c r="U31">
        <v>7.6373600000000001</v>
      </c>
      <c r="V31">
        <v>-3.0571600000000001</v>
      </c>
      <c r="W31">
        <v>7.5431600000000003</v>
      </c>
      <c r="X31">
        <v>7.7591400000000004</v>
      </c>
      <c r="Y31">
        <v>2.3612299999999999</v>
      </c>
    </row>
    <row r="32" spans="1:25" x14ac:dyDescent="0.25">
      <c r="A32" t="s">
        <v>100</v>
      </c>
      <c r="B32" t="s">
        <v>101</v>
      </c>
      <c r="C32" t="s">
        <v>48</v>
      </c>
      <c r="D32" t="s">
        <v>49</v>
      </c>
      <c r="E32" t="s">
        <v>50</v>
      </c>
      <c r="F32">
        <v>0.69884000000000002</v>
      </c>
      <c r="G32">
        <v>-0.94625999999999999</v>
      </c>
      <c r="H32">
        <v>1.2482500000000001</v>
      </c>
      <c r="I32">
        <v>4.1747199999999998</v>
      </c>
      <c r="J32">
        <v>3.44618</v>
      </c>
      <c r="K32">
        <v>-1.9387799999999999</v>
      </c>
      <c r="L32">
        <v>5.5551700000000004</v>
      </c>
      <c r="M32">
        <v>3.56115</v>
      </c>
      <c r="N32">
        <v>-2.8771</v>
      </c>
      <c r="O32">
        <v>3.3012199999999998</v>
      </c>
      <c r="P32">
        <v>0.69884000000000002</v>
      </c>
      <c r="Q32">
        <v>-0.94625999999999999</v>
      </c>
      <c r="R32">
        <v>1.2482500000000001</v>
      </c>
      <c r="S32">
        <v>4.1747199999999998</v>
      </c>
      <c r="T32">
        <v>3.44618</v>
      </c>
      <c r="U32">
        <v>-1.9387799999999999</v>
      </c>
      <c r="V32">
        <v>5.5551700000000004</v>
      </c>
      <c r="W32">
        <v>3.56115</v>
      </c>
      <c r="X32">
        <v>-2.8771</v>
      </c>
      <c r="Y32">
        <v>3.3012199999999998</v>
      </c>
    </row>
    <row r="33" spans="1:25" x14ac:dyDescent="0.25">
      <c r="A33" t="s">
        <v>102</v>
      </c>
      <c r="B33" t="s">
        <v>44</v>
      </c>
      <c r="E33" t="s">
        <v>57</v>
      </c>
      <c r="F33" t="s">
        <v>44</v>
      </c>
      <c r="G33" t="s">
        <v>44</v>
      </c>
      <c r="H33" t="s">
        <v>44</v>
      </c>
      <c r="I33" t="s">
        <v>44</v>
      </c>
      <c r="J33" t="s">
        <v>44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44</v>
      </c>
      <c r="T33" t="s">
        <v>44</v>
      </c>
      <c r="U33" t="s">
        <v>44</v>
      </c>
      <c r="V33" t="s">
        <v>44</v>
      </c>
      <c r="W33" t="s">
        <v>44</v>
      </c>
      <c r="X33" t="s">
        <v>44</v>
      </c>
      <c r="Y33" t="s">
        <v>44</v>
      </c>
    </row>
    <row r="34" spans="1:25" x14ac:dyDescent="0.25">
      <c r="A34" t="s">
        <v>103</v>
      </c>
      <c r="B34" t="s">
        <v>44</v>
      </c>
      <c r="E34" t="s">
        <v>57</v>
      </c>
      <c r="F34" t="s">
        <v>44</v>
      </c>
      <c r="G34" t="s">
        <v>44</v>
      </c>
      <c r="H34" t="s">
        <v>44</v>
      </c>
      <c r="I34" t="s">
        <v>44</v>
      </c>
      <c r="J34" t="s">
        <v>44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</row>
    <row r="35" spans="1:25" x14ac:dyDescent="0.25">
      <c r="A35" t="s">
        <v>44</v>
      </c>
      <c r="B35" t="s">
        <v>44</v>
      </c>
      <c r="E35" t="s">
        <v>57</v>
      </c>
      <c r="F35" t="s">
        <v>44</v>
      </c>
      <c r="G35" t="s">
        <v>44</v>
      </c>
      <c r="H35" t="s">
        <v>44</v>
      </c>
      <c r="I35" t="s">
        <v>44</v>
      </c>
      <c r="J35" t="s">
        <v>44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44</v>
      </c>
      <c r="V35" t="s">
        <v>44</v>
      </c>
      <c r="W35" t="s">
        <v>44</v>
      </c>
      <c r="X35" t="s">
        <v>44</v>
      </c>
      <c r="Y35" t="s">
        <v>44</v>
      </c>
    </row>
    <row r="36" spans="1:25" x14ac:dyDescent="0.25">
      <c r="A36" t="s">
        <v>104</v>
      </c>
      <c r="B36" t="s">
        <v>44</v>
      </c>
      <c r="E36" t="s">
        <v>45</v>
      </c>
      <c r="P36" t="s">
        <v>44</v>
      </c>
      <c r="Q36" t="s">
        <v>44</v>
      </c>
      <c r="R36" t="s">
        <v>44</v>
      </c>
      <c r="S36" t="s">
        <v>44</v>
      </c>
      <c r="T36" t="s">
        <v>44</v>
      </c>
      <c r="U36" t="s">
        <v>44</v>
      </c>
      <c r="V36" t="s">
        <v>44</v>
      </c>
      <c r="W36" t="s">
        <v>44</v>
      </c>
      <c r="X36" t="s">
        <v>44</v>
      </c>
      <c r="Y36" t="s">
        <v>44</v>
      </c>
    </row>
    <row r="37" spans="1:25" x14ac:dyDescent="0.25">
      <c r="A37" t="s">
        <v>105</v>
      </c>
      <c r="B37" t="s">
        <v>106</v>
      </c>
      <c r="C37" t="s">
        <v>48</v>
      </c>
      <c r="D37" t="s">
        <v>49</v>
      </c>
      <c r="E37" t="s">
        <v>50</v>
      </c>
      <c r="F37">
        <v>13.3</v>
      </c>
      <c r="G37">
        <v>3.6666669999999999</v>
      </c>
      <c r="H37">
        <v>3.891667</v>
      </c>
      <c r="I37">
        <v>4.3416670000000002</v>
      </c>
      <c r="J37">
        <v>4.875</v>
      </c>
      <c r="K37">
        <v>5.2750000000000004</v>
      </c>
      <c r="L37">
        <v>6.1583329999999998</v>
      </c>
      <c r="M37">
        <v>7.358333</v>
      </c>
      <c r="N37">
        <v>8.0750010000000003</v>
      </c>
      <c r="O37">
        <v>8.9333329999999993</v>
      </c>
      <c r="P37">
        <v>13.3</v>
      </c>
      <c r="Q37">
        <v>3.6666669999999999</v>
      </c>
      <c r="R37">
        <v>3.891667</v>
      </c>
      <c r="S37">
        <v>4.3416670000000002</v>
      </c>
      <c r="T37">
        <v>4.875</v>
      </c>
      <c r="U37">
        <v>5.2750000000000004</v>
      </c>
      <c r="V37">
        <v>6.1583329999999998</v>
      </c>
      <c r="W37">
        <v>7.358333</v>
      </c>
      <c r="X37">
        <v>8.0750010000000003</v>
      </c>
      <c r="Y37">
        <v>8.9333329999999993</v>
      </c>
    </row>
    <row r="38" spans="1:25" x14ac:dyDescent="0.25">
      <c r="A38" t="s">
        <v>107</v>
      </c>
      <c r="B38" t="s">
        <v>44</v>
      </c>
      <c r="E38" t="s">
        <v>108</v>
      </c>
      <c r="F38">
        <v>2.4250000000000003</v>
      </c>
      <c r="G38">
        <v>3.2749999999999999</v>
      </c>
      <c r="H38">
        <v>1.7999999999999998</v>
      </c>
      <c r="I38">
        <v>2.4249999999999998</v>
      </c>
      <c r="J38">
        <v>2.9750000000000001</v>
      </c>
      <c r="K38">
        <v>3.25</v>
      </c>
      <c r="L38">
        <v>1.625</v>
      </c>
      <c r="M38">
        <v>3.9249999999999998</v>
      </c>
      <c r="N38">
        <v>4.125</v>
      </c>
      <c r="O38">
        <v>3.95</v>
      </c>
      <c r="P38">
        <v>2.4249999999999998</v>
      </c>
      <c r="Q38">
        <v>3.2749999999999999</v>
      </c>
      <c r="R38">
        <v>1.8</v>
      </c>
      <c r="S38">
        <v>2.4249999999999998</v>
      </c>
      <c r="T38">
        <v>2.9750000000000001</v>
      </c>
      <c r="U38">
        <v>3.25</v>
      </c>
      <c r="V38">
        <v>1.625</v>
      </c>
      <c r="W38">
        <v>3.9249999999999998</v>
      </c>
      <c r="X38">
        <v>4.125</v>
      </c>
      <c r="Y38">
        <v>3.95</v>
      </c>
    </row>
    <row r="39" spans="1:25" x14ac:dyDescent="0.25">
      <c r="A39" t="s">
        <v>109</v>
      </c>
      <c r="B39" t="s">
        <v>110</v>
      </c>
      <c r="C39" t="s">
        <v>48</v>
      </c>
      <c r="D39" t="s">
        <v>49</v>
      </c>
      <c r="E39" t="s">
        <v>50</v>
      </c>
      <c r="F39">
        <v>1.6</v>
      </c>
      <c r="G39">
        <v>0.8</v>
      </c>
      <c r="H39">
        <v>2.4</v>
      </c>
      <c r="I39">
        <v>1.8</v>
      </c>
      <c r="J39">
        <v>3.1</v>
      </c>
      <c r="K39">
        <v>2.4</v>
      </c>
      <c r="L39">
        <v>0.9</v>
      </c>
      <c r="M39">
        <v>3</v>
      </c>
      <c r="N39">
        <v>4.3</v>
      </c>
      <c r="O39">
        <v>2.4</v>
      </c>
      <c r="P39">
        <v>1.6</v>
      </c>
      <c r="Q39">
        <v>0.8</v>
      </c>
      <c r="R39">
        <v>2.4</v>
      </c>
      <c r="S39">
        <v>1.8</v>
      </c>
      <c r="T39">
        <v>3.1</v>
      </c>
      <c r="U39">
        <v>2.4</v>
      </c>
      <c r="V39">
        <v>0.9</v>
      </c>
      <c r="W39">
        <v>3</v>
      </c>
      <c r="X39">
        <v>4.3</v>
      </c>
      <c r="Y39">
        <v>2.4</v>
      </c>
    </row>
    <row r="40" spans="1:25" x14ac:dyDescent="0.25">
      <c r="A40" t="s">
        <v>111</v>
      </c>
      <c r="B40" t="s">
        <v>112</v>
      </c>
      <c r="C40" t="s">
        <v>48</v>
      </c>
      <c r="D40" t="s">
        <v>49</v>
      </c>
      <c r="E40" t="s">
        <v>50</v>
      </c>
      <c r="F40">
        <v>2.6</v>
      </c>
      <c r="G40">
        <v>2.2999999999999998</v>
      </c>
      <c r="H40">
        <v>2.2000000000000002</v>
      </c>
      <c r="I40">
        <v>2.5</v>
      </c>
      <c r="J40">
        <v>2.9</v>
      </c>
      <c r="K40">
        <v>2.9</v>
      </c>
      <c r="L40">
        <v>2.5</v>
      </c>
      <c r="M40">
        <v>3.5</v>
      </c>
      <c r="N40">
        <v>3.3</v>
      </c>
      <c r="O40">
        <v>4.0999999999999996</v>
      </c>
      <c r="P40">
        <v>2.6</v>
      </c>
      <c r="Q40">
        <v>2.2999999999999998</v>
      </c>
      <c r="R40">
        <v>2.2000000000000002</v>
      </c>
      <c r="S40">
        <v>2.5</v>
      </c>
      <c r="T40">
        <v>2.9</v>
      </c>
      <c r="U40">
        <v>2.9</v>
      </c>
      <c r="V40">
        <v>2.5</v>
      </c>
      <c r="W40">
        <v>3.5</v>
      </c>
      <c r="X40">
        <v>3.3</v>
      </c>
      <c r="Y40">
        <v>4.0999999999999996</v>
      </c>
    </row>
    <row r="41" spans="1:25" x14ac:dyDescent="0.25">
      <c r="A41" t="s">
        <v>113</v>
      </c>
      <c r="B41" t="s">
        <v>114</v>
      </c>
      <c r="C41" t="s">
        <v>48</v>
      </c>
      <c r="D41" t="s">
        <v>49</v>
      </c>
      <c r="E41" t="s">
        <v>50</v>
      </c>
      <c r="F41">
        <v>4.9000000000000004</v>
      </c>
      <c r="G41">
        <v>3.9</v>
      </c>
      <c r="H41">
        <v>1.6</v>
      </c>
      <c r="I41">
        <v>3.9</v>
      </c>
      <c r="J41">
        <v>4</v>
      </c>
      <c r="K41">
        <v>3.2</v>
      </c>
      <c r="L41">
        <v>2.5</v>
      </c>
      <c r="M41">
        <v>3.4</v>
      </c>
      <c r="N41">
        <v>4.5999999999999996</v>
      </c>
      <c r="O41">
        <v>3.6</v>
      </c>
      <c r="P41">
        <v>4.9000000000000004</v>
      </c>
      <c r="Q41">
        <v>3.9</v>
      </c>
      <c r="R41">
        <v>1.6</v>
      </c>
      <c r="S41">
        <v>3.9</v>
      </c>
      <c r="T41">
        <v>4</v>
      </c>
      <c r="U41">
        <v>3.2</v>
      </c>
      <c r="V41">
        <v>2.5</v>
      </c>
      <c r="W41">
        <v>3.4</v>
      </c>
      <c r="X41">
        <v>4.5999999999999996</v>
      </c>
      <c r="Y41">
        <v>3.6</v>
      </c>
    </row>
    <row r="42" spans="1:25" x14ac:dyDescent="0.25">
      <c r="A42" t="s">
        <v>115</v>
      </c>
      <c r="B42" t="s">
        <v>116</v>
      </c>
      <c r="C42" t="s">
        <v>48</v>
      </c>
      <c r="D42" t="s">
        <v>49</v>
      </c>
      <c r="E42" t="s">
        <v>50</v>
      </c>
      <c r="F42">
        <v>0.6</v>
      </c>
      <c r="G42">
        <v>6.1</v>
      </c>
      <c r="H42">
        <v>1</v>
      </c>
      <c r="I42">
        <v>1.5</v>
      </c>
      <c r="J42">
        <v>1.9</v>
      </c>
      <c r="K42">
        <v>4.5</v>
      </c>
      <c r="L42">
        <v>0.6</v>
      </c>
      <c r="M42">
        <v>5.8</v>
      </c>
      <c r="N42">
        <v>4.3</v>
      </c>
      <c r="O42">
        <v>5.7</v>
      </c>
      <c r="P42">
        <v>0.6</v>
      </c>
      <c r="Q42">
        <v>6.1</v>
      </c>
      <c r="R42">
        <v>1</v>
      </c>
      <c r="S42">
        <v>1.5</v>
      </c>
      <c r="T42">
        <v>1.9</v>
      </c>
      <c r="U42">
        <v>4.5</v>
      </c>
      <c r="V42">
        <v>0.6</v>
      </c>
      <c r="W42">
        <v>5.8</v>
      </c>
      <c r="X42">
        <v>4.3</v>
      </c>
      <c r="Y42">
        <v>5.7</v>
      </c>
    </row>
    <row r="43" spans="1:25" x14ac:dyDescent="0.25">
      <c r="A43" t="s">
        <v>117</v>
      </c>
      <c r="B43" t="s">
        <v>118</v>
      </c>
      <c r="C43" t="s">
        <v>48</v>
      </c>
      <c r="D43" t="s">
        <v>49</v>
      </c>
      <c r="E43" t="s">
        <v>50</v>
      </c>
      <c r="F43">
        <v>600.90912000000003</v>
      </c>
      <c r="G43">
        <v>-3.5087700000000002</v>
      </c>
      <c r="H43">
        <v>-6.1728399999999999</v>
      </c>
      <c r="I43">
        <v>2.9661</v>
      </c>
      <c r="J43">
        <v>-13.55311</v>
      </c>
      <c r="K43">
        <v>-3.1578900000000001</v>
      </c>
      <c r="L43">
        <v>-14.15663</v>
      </c>
      <c r="M43">
        <v>-8.2872900000000005</v>
      </c>
      <c r="N43">
        <v>-3.7233999999999998</v>
      </c>
      <c r="O43">
        <v>-8.9588400000000004</v>
      </c>
      <c r="P43">
        <v>600.90912000000003</v>
      </c>
      <c r="Q43">
        <v>-3.5087700000000002</v>
      </c>
      <c r="R43">
        <v>-6.1728399999999999</v>
      </c>
      <c r="S43">
        <v>2.9661</v>
      </c>
      <c r="T43">
        <v>-13.55311</v>
      </c>
      <c r="U43">
        <v>-3.1578900000000001</v>
      </c>
      <c r="V43">
        <v>-14.15663</v>
      </c>
      <c r="W43">
        <v>-8.2872900000000005</v>
      </c>
      <c r="X43">
        <v>-3.7233999999999998</v>
      </c>
      <c r="Y43">
        <v>-8.9588400000000004</v>
      </c>
    </row>
    <row r="44" spans="1:25" x14ac:dyDescent="0.25">
      <c r="A44" t="s">
        <v>119</v>
      </c>
      <c r="B44" t="s">
        <v>120</v>
      </c>
      <c r="C44" t="s">
        <v>48</v>
      </c>
      <c r="D44" t="s">
        <v>49</v>
      </c>
      <c r="E44" t="s">
        <v>50</v>
      </c>
      <c r="F44">
        <v>1542</v>
      </c>
      <c r="G44">
        <v>220</v>
      </c>
      <c r="H44">
        <v>228</v>
      </c>
      <c r="I44">
        <v>243</v>
      </c>
      <c r="J44">
        <v>236</v>
      </c>
      <c r="K44">
        <v>276</v>
      </c>
      <c r="L44">
        <v>285</v>
      </c>
      <c r="M44">
        <v>332</v>
      </c>
      <c r="N44">
        <v>362</v>
      </c>
      <c r="O44">
        <v>376</v>
      </c>
      <c r="P44">
        <v>1542</v>
      </c>
      <c r="Q44">
        <v>220</v>
      </c>
      <c r="R44">
        <v>228</v>
      </c>
      <c r="S44">
        <v>243</v>
      </c>
      <c r="T44">
        <v>236</v>
      </c>
      <c r="U44">
        <v>276</v>
      </c>
      <c r="V44">
        <v>285</v>
      </c>
      <c r="W44">
        <v>332</v>
      </c>
      <c r="X44">
        <v>362</v>
      </c>
      <c r="Y44">
        <v>376</v>
      </c>
    </row>
    <row r="45" spans="1:25" x14ac:dyDescent="0.25">
      <c r="A45" t="s">
        <v>121</v>
      </c>
      <c r="B45" t="s">
        <v>122</v>
      </c>
      <c r="C45" t="s">
        <v>48</v>
      </c>
      <c r="D45" t="s">
        <v>49</v>
      </c>
      <c r="E45" t="s">
        <v>50</v>
      </c>
      <c r="F45">
        <v>-16.57368</v>
      </c>
      <c r="G45">
        <v>1.4088799999999999</v>
      </c>
      <c r="H45">
        <v>1.6837299999999999</v>
      </c>
      <c r="I45">
        <v>1.72559</v>
      </c>
      <c r="J45">
        <v>1.92723</v>
      </c>
      <c r="K45">
        <v>2.17361</v>
      </c>
      <c r="L45">
        <v>2.29297</v>
      </c>
      <c r="M45">
        <v>1.9905600000000001</v>
      </c>
      <c r="N45">
        <v>2.08704</v>
      </c>
      <c r="O45">
        <v>2.17693</v>
      </c>
      <c r="P45">
        <v>-16.57368</v>
      </c>
      <c r="Q45">
        <v>1.4088799999999999</v>
      </c>
      <c r="R45">
        <v>1.6837299999999999</v>
      </c>
      <c r="S45">
        <v>1.72559</v>
      </c>
      <c r="T45">
        <v>1.92723</v>
      </c>
      <c r="U45">
        <v>2.17361</v>
      </c>
      <c r="V45">
        <v>2.29297</v>
      </c>
      <c r="W45">
        <v>1.9905600000000001</v>
      </c>
      <c r="X45">
        <v>2.08704</v>
      </c>
      <c r="Y45">
        <v>2.17693</v>
      </c>
    </row>
    <row r="46" spans="1:25" x14ac:dyDescent="0.25">
      <c r="A46" t="s">
        <v>123</v>
      </c>
      <c r="B46" t="s">
        <v>124</v>
      </c>
      <c r="C46" t="s">
        <v>48</v>
      </c>
      <c r="D46" t="s">
        <v>49</v>
      </c>
      <c r="E46" t="s">
        <v>50</v>
      </c>
      <c r="F46">
        <v>106818.4225</v>
      </c>
      <c r="G46">
        <v>129084.7597</v>
      </c>
      <c r="H46">
        <v>127291.3725</v>
      </c>
      <c r="I46">
        <v>125183.62820000001</v>
      </c>
      <c r="J46">
        <v>123060.11599999999</v>
      </c>
      <c r="K46">
        <v>120733.3125</v>
      </c>
      <c r="L46">
        <v>118164.86629999999</v>
      </c>
      <c r="M46">
        <v>115516.1191</v>
      </c>
      <c r="N46">
        <v>113261.58010000001</v>
      </c>
      <c r="O46">
        <v>110946.0843</v>
      </c>
      <c r="P46">
        <v>106818.4225</v>
      </c>
      <c r="Q46">
        <v>129084.7597</v>
      </c>
      <c r="R46">
        <v>127291.3725</v>
      </c>
      <c r="S46">
        <v>125183.62820000001</v>
      </c>
      <c r="T46">
        <v>123060.11599999999</v>
      </c>
      <c r="U46">
        <v>120733.3125</v>
      </c>
      <c r="V46">
        <v>118164.86629999999</v>
      </c>
      <c r="W46">
        <v>115516.1191</v>
      </c>
      <c r="X46">
        <v>113261.58010000001</v>
      </c>
      <c r="Y46">
        <v>110946.0843</v>
      </c>
    </row>
    <row r="47" spans="1:25" x14ac:dyDescent="0.25">
      <c r="A47" t="s">
        <v>125</v>
      </c>
      <c r="B47" t="s">
        <v>126</v>
      </c>
      <c r="C47" t="s">
        <v>48</v>
      </c>
      <c r="D47" t="s">
        <v>49</v>
      </c>
      <c r="E47" t="s">
        <v>50</v>
      </c>
      <c r="F47">
        <v>88941.619380000004</v>
      </c>
      <c r="G47">
        <v>108054.99430000001</v>
      </c>
      <c r="H47">
        <v>106418.67909999999</v>
      </c>
      <c r="I47">
        <v>104843.27899999999</v>
      </c>
      <c r="J47">
        <v>103215.2963</v>
      </c>
      <c r="K47">
        <v>101102.9145</v>
      </c>
      <c r="L47">
        <v>98773.271099999998</v>
      </c>
      <c r="M47">
        <v>96598.009090000007</v>
      </c>
      <c r="N47">
        <v>94686.382660000003</v>
      </c>
      <c r="O47">
        <v>92776.910759999999</v>
      </c>
      <c r="P47">
        <v>88941.619380000004</v>
      </c>
      <c r="Q47">
        <v>108054.99430000001</v>
      </c>
      <c r="R47">
        <v>106418.67909999999</v>
      </c>
      <c r="S47">
        <v>104843.27899999999</v>
      </c>
      <c r="T47">
        <v>103215.2963</v>
      </c>
      <c r="U47">
        <v>101102.9145</v>
      </c>
      <c r="V47">
        <v>98773.271099999998</v>
      </c>
      <c r="W47">
        <v>96598.009090000007</v>
      </c>
      <c r="X47">
        <v>94686.382660000003</v>
      </c>
      <c r="Y47">
        <v>92776.910759999999</v>
      </c>
    </row>
    <row r="48" spans="1:25" x14ac:dyDescent="0.25">
      <c r="A48" t="s">
        <v>44</v>
      </c>
      <c r="B48" t="s">
        <v>44</v>
      </c>
      <c r="E48" t="s">
        <v>57</v>
      </c>
      <c r="F48" t="s">
        <v>44</v>
      </c>
      <c r="G48" t="s">
        <v>44</v>
      </c>
      <c r="H48" t="s">
        <v>44</v>
      </c>
      <c r="I48" t="s">
        <v>44</v>
      </c>
      <c r="J48" t="s">
        <v>44</v>
      </c>
      <c r="K48" t="s">
        <v>44</v>
      </c>
      <c r="L48" t="s">
        <v>44</v>
      </c>
      <c r="M48" t="s">
        <v>44</v>
      </c>
      <c r="N48" t="s">
        <v>44</v>
      </c>
      <c r="O48" t="s">
        <v>44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</row>
    <row r="49" spans="1:25" x14ac:dyDescent="0.25">
      <c r="A49" t="s">
        <v>127</v>
      </c>
      <c r="B49" t="s">
        <v>44</v>
      </c>
      <c r="E49" t="s">
        <v>45</v>
      </c>
      <c r="P49" t="s">
        <v>44</v>
      </c>
      <c r="Q49" t="s">
        <v>44</v>
      </c>
      <c r="R49" t="s">
        <v>44</v>
      </c>
      <c r="S49" t="s">
        <v>44</v>
      </c>
      <c r="T49" t="s">
        <v>44</v>
      </c>
      <c r="U49" t="s">
        <v>44</v>
      </c>
      <c r="V49" t="s">
        <v>44</v>
      </c>
      <c r="W49" t="s">
        <v>44</v>
      </c>
      <c r="X49" t="s">
        <v>44</v>
      </c>
      <c r="Y49" t="s">
        <v>44</v>
      </c>
    </row>
    <row r="50" spans="1:25" x14ac:dyDescent="0.25">
      <c r="A50" t="s">
        <v>128</v>
      </c>
      <c r="B50" t="s">
        <v>44</v>
      </c>
      <c r="E50" t="s">
        <v>57</v>
      </c>
      <c r="F50" t="s">
        <v>44</v>
      </c>
      <c r="G50" t="s">
        <v>44</v>
      </c>
      <c r="H50" t="s">
        <v>44</v>
      </c>
      <c r="I50" t="s">
        <v>44</v>
      </c>
      <c r="J50" t="s">
        <v>44</v>
      </c>
      <c r="K50" t="s">
        <v>44</v>
      </c>
      <c r="L50" t="s">
        <v>44</v>
      </c>
      <c r="M50" t="s">
        <v>44</v>
      </c>
      <c r="N50" t="s">
        <v>44</v>
      </c>
      <c r="O50" t="s">
        <v>44</v>
      </c>
      <c r="P50" t="s">
        <v>44</v>
      </c>
      <c r="Q50" t="s">
        <v>44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</row>
    <row r="51" spans="1:25" x14ac:dyDescent="0.25">
      <c r="A51" t="s">
        <v>129</v>
      </c>
      <c r="B51" t="s">
        <v>44</v>
      </c>
      <c r="E51" t="s">
        <v>57</v>
      </c>
      <c r="F51" t="s">
        <v>44</v>
      </c>
      <c r="G51" t="s">
        <v>44</v>
      </c>
      <c r="H51" t="s">
        <v>44</v>
      </c>
      <c r="I51" t="s">
        <v>44</v>
      </c>
      <c r="J51" t="s">
        <v>44</v>
      </c>
      <c r="K51" t="s">
        <v>44</v>
      </c>
      <c r="L51" t="s">
        <v>44</v>
      </c>
      <c r="M51" t="s">
        <v>44</v>
      </c>
      <c r="N51" t="s">
        <v>44</v>
      </c>
      <c r="O51" t="s">
        <v>44</v>
      </c>
      <c r="P51" t="s">
        <v>44</v>
      </c>
      <c r="Q51" t="s">
        <v>44</v>
      </c>
      <c r="R51" t="s">
        <v>44</v>
      </c>
      <c r="S51" t="s">
        <v>44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</row>
    <row r="52" spans="1:25" x14ac:dyDescent="0.25">
      <c r="A52" t="s">
        <v>130</v>
      </c>
      <c r="B52" t="s">
        <v>131</v>
      </c>
      <c r="C52" t="s">
        <v>48</v>
      </c>
      <c r="D52" t="s">
        <v>49</v>
      </c>
      <c r="E52" t="s">
        <v>50</v>
      </c>
      <c r="F52">
        <v>0.88500000000000001</v>
      </c>
      <c r="G52">
        <v>0.89190000000000003</v>
      </c>
      <c r="H52">
        <v>0.87219999999999998</v>
      </c>
      <c r="I52">
        <v>0.83299999999999996</v>
      </c>
      <c r="J52">
        <v>0.9506</v>
      </c>
      <c r="K52">
        <v>0.92100000000000004</v>
      </c>
      <c r="L52">
        <v>0.8266</v>
      </c>
      <c r="M52">
        <v>0.72770000000000001</v>
      </c>
      <c r="N52">
        <v>0.75800000000000001</v>
      </c>
      <c r="O52">
        <v>0.77139999999999997</v>
      </c>
      <c r="P52">
        <v>0.88500000000000001</v>
      </c>
      <c r="Q52">
        <v>0.89190000000000003</v>
      </c>
      <c r="R52">
        <v>0.87219999999999998</v>
      </c>
      <c r="S52">
        <v>0.83299999999999996</v>
      </c>
      <c r="T52">
        <v>0.9506</v>
      </c>
      <c r="U52">
        <v>0.92100000000000004</v>
      </c>
      <c r="V52">
        <v>0.8266</v>
      </c>
      <c r="W52">
        <v>0.72770000000000001</v>
      </c>
      <c r="X52">
        <v>0.75800000000000001</v>
      </c>
      <c r="Y52">
        <v>0.77139999999999997</v>
      </c>
    </row>
    <row r="53" spans="1:25" x14ac:dyDescent="0.25">
      <c r="A53" t="s">
        <v>132</v>
      </c>
      <c r="B53" t="s">
        <v>133</v>
      </c>
      <c r="C53" t="s">
        <v>48</v>
      </c>
      <c r="D53" t="s">
        <v>49</v>
      </c>
      <c r="E53" t="s">
        <v>50</v>
      </c>
      <c r="F53">
        <v>76.03</v>
      </c>
      <c r="G53">
        <v>71.38</v>
      </c>
      <c r="H53">
        <v>69.767499999999998</v>
      </c>
      <c r="I53">
        <v>63.872500000000002</v>
      </c>
      <c r="J53">
        <v>67.9238</v>
      </c>
      <c r="K53">
        <v>66.153700000000001</v>
      </c>
      <c r="L53">
        <v>63.043700000000001</v>
      </c>
      <c r="M53">
        <v>61.8</v>
      </c>
      <c r="N53">
        <v>54.994999999999997</v>
      </c>
      <c r="O53">
        <v>53.064999999999998</v>
      </c>
      <c r="P53">
        <v>76.03</v>
      </c>
      <c r="Q53">
        <v>71.38</v>
      </c>
      <c r="R53">
        <v>69.767499999999998</v>
      </c>
      <c r="S53">
        <v>63.872500000000002</v>
      </c>
      <c r="T53">
        <v>67.9238</v>
      </c>
      <c r="U53">
        <v>66.153700000000001</v>
      </c>
      <c r="V53">
        <v>63.043700000000001</v>
      </c>
      <c r="W53">
        <v>61.8</v>
      </c>
      <c r="X53">
        <v>54.994999999999997</v>
      </c>
      <c r="Y53">
        <v>53.064999999999998</v>
      </c>
    </row>
    <row r="54" spans="1:25" x14ac:dyDescent="0.25">
      <c r="A54" t="s">
        <v>134</v>
      </c>
      <c r="B54" t="s">
        <v>135</v>
      </c>
      <c r="C54" t="s">
        <v>48</v>
      </c>
      <c r="D54" t="s">
        <v>49</v>
      </c>
      <c r="E54" t="s">
        <v>50</v>
      </c>
      <c r="F54">
        <v>0.79590000000000005</v>
      </c>
      <c r="G54">
        <v>0.75429999999999997</v>
      </c>
      <c r="H54">
        <v>0.78390000000000004</v>
      </c>
      <c r="I54">
        <v>0.74019999999999997</v>
      </c>
      <c r="J54">
        <v>0.81010000000000004</v>
      </c>
      <c r="K54">
        <v>0.67859999999999998</v>
      </c>
      <c r="L54">
        <v>0.64190000000000003</v>
      </c>
      <c r="M54">
        <v>0.60399999999999998</v>
      </c>
      <c r="N54">
        <v>0.61539999999999995</v>
      </c>
      <c r="O54">
        <v>0.64349999999999996</v>
      </c>
      <c r="P54">
        <v>0.79590000000000005</v>
      </c>
      <c r="Q54">
        <v>0.75429999999999997</v>
      </c>
      <c r="R54">
        <v>0.78390000000000004</v>
      </c>
      <c r="S54">
        <v>0.74019999999999997</v>
      </c>
      <c r="T54">
        <v>0.81010000000000004</v>
      </c>
      <c r="U54">
        <v>0.67859999999999998</v>
      </c>
      <c r="V54">
        <v>0.64190000000000003</v>
      </c>
      <c r="W54">
        <v>0.60399999999999998</v>
      </c>
      <c r="X54">
        <v>0.61539999999999995</v>
      </c>
      <c r="Y54">
        <v>0.64349999999999996</v>
      </c>
    </row>
    <row r="55" spans="1:25" x14ac:dyDescent="0.25">
      <c r="A55" t="s">
        <v>136</v>
      </c>
      <c r="B55" t="s">
        <v>137</v>
      </c>
      <c r="C55" t="s">
        <v>48</v>
      </c>
      <c r="D55" t="s">
        <v>49</v>
      </c>
      <c r="E55" t="s">
        <v>50</v>
      </c>
      <c r="F55">
        <v>5.1444999999999999</v>
      </c>
      <c r="G55">
        <v>4.0248999999999997</v>
      </c>
      <c r="H55">
        <v>3.8812000000000002</v>
      </c>
      <c r="I55">
        <v>3.3125</v>
      </c>
      <c r="J55">
        <v>3.2551999999999999</v>
      </c>
      <c r="K55">
        <v>3.9607999999999999</v>
      </c>
      <c r="L55">
        <v>2.6576</v>
      </c>
      <c r="M55">
        <v>2.3620999999999999</v>
      </c>
      <c r="N55">
        <v>2.0516000000000001</v>
      </c>
      <c r="O55">
        <v>1.8668</v>
      </c>
      <c r="P55">
        <v>5.1444999999999999</v>
      </c>
      <c r="Q55">
        <v>4.0248999999999997</v>
      </c>
      <c r="R55">
        <v>3.8812000000000002</v>
      </c>
      <c r="S55">
        <v>3.3125</v>
      </c>
      <c r="T55">
        <v>3.2551999999999999</v>
      </c>
      <c r="U55">
        <v>3.9607999999999999</v>
      </c>
      <c r="V55">
        <v>2.6576</v>
      </c>
      <c r="W55">
        <v>2.3620999999999999</v>
      </c>
      <c r="X55">
        <v>2.0516000000000001</v>
      </c>
      <c r="Y55">
        <v>1.8668</v>
      </c>
    </row>
    <row r="56" spans="1:25" x14ac:dyDescent="0.25">
      <c r="A56" t="s">
        <v>138</v>
      </c>
      <c r="B56" t="s">
        <v>139</v>
      </c>
      <c r="C56" t="s">
        <v>48</v>
      </c>
      <c r="D56" t="s">
        <v>49</v>
      </c>
      <c r="E56" t="s">
        <v>50</v>
      </c>
      <c r="F56">
        <v>7.0902000000000003</v>
      </c>
      <c r="G56">
        <v>6.9631999999999996</v>
      </c>
      <c r="H56">
        <v>6.8784999999999998</v>
      </c>
      <c r="I56">
        <v>6.5068000000000001</v>
      </c>
      <c r="J56">
        <v>6.9450000000000003</v>
      </c>
      <c r="K56">
        <v>6.4936999999999996</v>
      </c>
      <c r="L56">
        <v>6.2054999999999998</v>
      </c>
      <c r="M56">
        <v>6.0542999999999996</v>
      </c>
      <c r="N56">
        <v>6.2305999999999999</v>
      </c>
      <c r="O56">
        <v>6.2949999999999999</v>
      </c>
      <c r="P56">
        <v>7.0902000000000003</v>
      </c>
      <c r="Q56">
        <v>6.9631999999999996</v>
      </c>
      <c r="R56">
        <v>6.8784999999999998</v>
      </c>
      <c r="S56">
        <v>6.5068000000000001</v>
      </c>
      <c r="T56">
        <v>6.9450000000000003</v>
      </c>
      <c r="U56">
        <v>6.4936999999999996</v>
      </c>
      <c r="V56">
        <v>6.2054999999999998</v>
      </c>
      <c r="W56">
        <v>6.0542999999999996</v>
      </c>
      <c r="X56">
        <v>6.2305999999999999</v>
      </c>
      <c r="Y56">
        <v>6.2949999999999999</v>
      </c>
    </row>
    <row r="57" spans="1:25" x14ac:dyDescent="0.25">
      <c r="A57" t="s">
        <v>140</v>
      </c>
      <c r="B57" t="s">
        <v>141</v>
      </c>
      <c r="C57" t="s">
        <v>48</v>
      </c>
      <c r="D57" t="s">
        <v>49</v>
      </c>
      <c r="E57" t="s">
        <v>50</v>
      </c>
      <c r="F57">
        <v>107.32</v>
      </c>
      <c r="G57">
        <v>108.61</v>
      </c>
      <c r="H57">
        <v>109.69</v>
      </c>
      <c r="I57">
        <v>112.69</v>
      </c>
      <c r="J57">
        <v>116.96</v>
      </c>
      <c r="K57">
        <v>120.22</v>
      </c>
      <c r="L57">
        <v>119.78</v>
      </c>
      <c r="M57">
        <v>105.31</v>
      </c>
      <c r="N57">
        <v>86.75</v>
      </c>
      <c r="O57">
        <v>76.91</v>
      </c>
      <c r="P57">
        <v>107.32</v>
      </c>
      <c r="Q57">
        <v>108.61</v>
      </c>
      <c r="R57">
        <v>109.69</v>
      </c>
      <c r="S57">
        <v>112.69</v>
      </c>
      <c r="T57">
        <v>116.96</v>
      </c>
      <c r="U57">
        <v>120.22</v>
      </c>
      <c r="V57">
        <v>119.78</v>
      </c>
      <c r="W57">
        <v>105.31</v>
      </c>
      <c r="X57">
        <v>86.75</v>
      </c>
      <c r="Y57">
        <v>76.91</v>
      </c>
    </row>
    <row r="58" spans="1:25" x14ac:dyDescent="0.25">
      <c r="A58" t="s">
        <v>142</v>
      </c>
      <c r="B58" t="s">
        <v>143</v>
      </c>
      <c r="C58" t="s">
        <v>48</v>
      </c>
      <c r="D58" t="s">
        <v>49</v>
      </c>
      <c r="E58" t="s">
        <v>50</v>
      </c>
      <c r="F58">
        <v>1.3574999999999999</v>
      </c>
      <c r="G58">
        <v>1.2989999999999999</v>
      </c>
      <c r="H58">
        <v>1.3636999999999999</v>
      </c>
      <c r="I58">
        <v>1.2571000000000001</v>
      </c>
      <c r="J58">
        <v>1.3441000000000001</v>
      </c>
      <c r="K58">
        <v>1.3838999999999999</v>
      </c>
      <c r="L58">
        <v>1.1620999999999999</v>
      </c>
      <c r="M58">
        <v>1.0623</v>
      </c>
      <c r="N58">
        <v>0.99209999999999998</v>
      </c>
      <c r="O58">
        <v>1.0213000000000001</v>
      </c>
      <c r="P58">
        <v>1.3574999999999999</v>
      </c>
      <c r="Q58">
        <v>1.2989999999999999</v>
      </c>
      <c r="R58">
        <v>1.3636999999999999</v>
      </c>
      <c r="S58">
        <v>1.2571000000000001</v>
      </c>
      <c r="T58">
        <v>1.3441000000000001</v>
      </c>
      <c r="U58">
        <v>1.3838999999999999</v>
      </c>
      <c r="V58">
        <v>1.1620999999999999</v>
      </c>
      <c r="W58">
        <v>1.0623</v>
      </c>
      <c r="X58">
        <v>0.99209999999999998</v>
      </c>
      <c r="Y58">
        <v>1.0213000000000001</v>
      </c>
    </row>
    <row r="59" spans="1:25" x14ac:dyDescent="0.25">
      <c r="A59" t="s">
        <v>144</v>
      </c>
      <c r="B59" t="s">
        <v>145</v>
      </c>
      <c r="C59" t="s">
        <v>48</v>
      </c>
      <c r="D59" t="s">
        <v>49</v>
      </c>
      <c r="E59" t="s">
        <v>50</v>
      </c>
      <c r="F59">
        <v>1.4521999999999999</v>
      </c>
      <c r="G59">
        <v>1.4252</v>
      </c>
      <c r="H59">
        <v>1.4188000000000001</v>
      </c>
      <c r="I59">
        <v>1.2809999999999999</v>
      </c>
      <c r="J59">
        <v>1.3887</v>
      </c>
      <c r="K59">
        <v>1.3723000000000001</v>
      </c>
      <c r="L59">
        <v>1.2239</v>
      </c>
      <c r="M59">
        <v>1.1216999999999999</v>
      </c>
      <c r="N59">
        <v>0.96199999999999997</v>
      </c>
      <c r="O59">
        <v>0.97960000000000003</v>
      </c>
      <c r="P59">
        <v>1.4521999999999999</v>
      </c>
      <c r="Q59">
        <v>1.4252</v>
      </c>
      <c r="R59">
        <v>1.4188000000000001</v>
      </c>
      <c r="S59">
        <v>1.2809999999999999</v>
      </c>
      <c r="T59">
        <v>1.3887</v>
      </c>
      <c r="U59">
        <v>1.3723000000000001</v>
      </c>
      <c r="V59">
        <v>1.2239</v>
      </c>
      <c r="W59">
        <v>1.1216999999999999</v>
      </c>
      <c r="X59">
        <v>0.96199999999999997</v>
      </c>
      <c r="Y59">
        <v>0.97960000000000003</v>
      </c>
    </row>
    <row r="60" spans="1:25" x14ac:dyDescent="0.25">
      <c r="A60" t="s">
        <v>146</v>
      </c>
      <c r="B60" t="s">
        <v>44</v>
      </c>
      <c r="E60" t="s">
        <v>57</v>
      </c>
      <c r="F60" t="s">
        <v>44</v>
      </c>
      <c r="G60" t="s">
        <v>44</v>
      </c>
      <c r="H60" t="s">
        <v>44</v>
      </c>
      <c r="I60" t="s">
        <v>44</v>
      </c>
      <c r="J60" t="s">
        <v>44</v>
      </c>
      <c r="K60" t="s">
        <v>44</v>
      </c>
      <c r="L60" t="s">
        <v>44</v>
      </c>
      <c r="M60" t="s">
        <v>44</v>
      </c>
      <c r="N60" t="s">
        <v>44</v>
      </c>
      <c r="O60" t="s">
        <v>44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</row>
    <row r="61" spans="1:25" x14ac:dyDescent="0.25">
      <c r="A61" t="s">
        <v>147</v>
      </c>
      <c r="B61" t="s">
        <v>148</v>
      </c>
      <c r="C61" t="s">
        <v>48</v>
      </c>
      <c r="D61" t="s">
        <v>49</v>
      </c>
      <c r="E61" t="s">
        <v>50</v>
      </c>
      <c r="F61">
        <v>1.1284000000000001</v>
      </c>
      <c r="G61">
        <v>1.1213</v>
      </c>
      <c r="H61">
        <v>1.1467000000000001</v>
      </c>
      <c r="I61">
        <v>1.2004999999999999</v>
      </c>
      <c r="J61">
        <v>1.0517000000000001</v>
      </c>
      <c r="K61">
        <v>1.0862000000000001</v>
      </c>
      <c r="L61">
        <v>1.2098</v>
      </c>
      <c r="M61">
        <v>1.3743000000000001</v>
      </c>
      <c r="N61">
        <v>1.3192999999999999</v>
      </c>
      <c r="O61">
        <v>1.2961</v>
      </c>
      <c r="P61">
        <v>1.1284000000000001</v>
      </c>
      <c r="Q61">
        <v>1.1213</v>
      </c>
      <c r="R61">
        <v>1.1467000000000001</v>
      </c>
      <c r="S61">
        <v>1.2004999999999999</v>
      </c>
      <c r="T61">
        <v>1.0517000000000001</v>
      </c>
      <c r="U61">
        <v>1.0862000000000001</v>
      </c>
      <c r="V61">
        <v>1.2098</v>
      </c>
      <c r="W61">
        <v>1.3743000000000001</v>
      </c>
      <c r="X61">
        <v>1.3192999999999999</v>
      </c>
      <c r="Y61">
        <v>1.2961</v>
      </c>
    </row>
    <row r="62" spans="1:25" x14ac:dyDescent="0.25">
      <c r="A62" t="s">
        <v>149</v>
      </c>
      <c r="B62" t="s">
        <v>150</v>
      </c>
      <c r="C62" t="s">
        <v>48</v>
      </c>
      <c r="D62" t="s">
        <v>49</v>
      </c>
      <c r="E62" t="s">
        <v>50</v>
      </c>
      <c r="F62">
        <v>85.566999999999993</v>
      </c>
      <c r="G62">
        <v>80.085800000000006</v>
      </c>
      <c r="H62">
        <v>79.997</v>
      </c>
      <c r="I62">
        <v>76.532700000000006</v>
      </c>
      <c r="J62">
        <v>71.677000000000007</v>
      </c>
      <c r="K62">
        <v>72.123000000000005</v>
      </c>
      <c r="L62">
        <v>76.627099999999999</v>
      </c>
      <c r="M62">
        <v>85.061300000000003</v>
      </c>
      <c r="N62">
        <v>72.545599999999993</v>
      </c>
      <c r="O62">
        <v>68.742000000000004</v>
      </c>
      <c r="P62">
        <v>85.566999999999993</v>
      </c>
      <c r="Q62">
        <v>80.085800000000006</v>
      </c>
      <c r="R62">
        <v>79.997</v>
      </c>
      <c r="S62">
        <v>76.532700000000006</v>
      </c>
      <c r="T62">
        <v>71.677000000000007</v>
      </c>
      <c r="U62">
        <v>72.123000000000005</v>
      </c>
      <c r="V62">
        <v>76.627099999999999</v>
      </c>
      <c r="W62">
        <v>85.061300000000003</v>
      </c>
      <c r="X62">
        <v>72.545599999999993</v>
      </c>
      <c r="Y62">
        <v>68.742000000000004</v>
      </c>
    </row>
    <row r="63" spans="1:25" x14ac:dyDescent="0.25">
      <c r="A63" t="s">
        <v>151</v>
      </c>
      <c r="B63" t="s">
        <v>152</v>
      </c>
      <c r="C63" t="s">
        <v>48</v>
      </c>
      <c r="D63" t="s">
        <v>49</v>
      </c>
      <c r="E63" t="s">
        <v>50</v>
      </c>
      <c r="F63">
        <v>0.89842999999999995</v>
      </c>
      <c r="G63">
        <v>0.84592999999999996</v>
      </c>
      <c r="H63">
        <v>0.89895000000000003</v>
      </c>
      <c r="I63">
        <v>0.88809000000000005</v>
      </c>
      <c r="J63">
        <v>0.85351999999999995</v>
      </c>
      <c r="K63">
        <v>0.73701000000000005</v>
      </c>
      <c r="L63">
        <v>0.77651999999999999</v>
      </c>
      <c r="M63">
        <v>0.83020000000000005</v>
      </c>
      <c r="N63">
        <v>0.81189</v>
      </c>
      <c r="O63">
        <v>0.83338999999999996</v>
      </c>
      <c r="P63">
        <v>0.89842999999999995</v>
      </c>
      <c r="Q63">
        <v>0.84592999999999996</v>
      </c>
      <c r="R63">
        <v>0.89895000000000003</v>
      </c>
      <c r="S63">
        <v>0.88809000000000005</v>
      </c>
      <c r="T63">
        <v>0.85351999999999995</v>
      </c>
      <c r="U63">
        <v>0.73701000000000005</v>
      </c>
      <c r="V63">
        <v>0.77651999999999999</v>
      </c>
      <c r="W63">
        <v>0.83020000000000005</v>
      </c>
      <c r="X63">
        <v>0.81189</v>
      </c>
      <c r="Y63">
        <v>0.83338999999999996</v>
      </c>
    </row>
    <row r="64" spans="1:25" x14ac:dyDescent="0.25">
      <c r="A64" t="s">
        <v>153</v>
      </c>
      <c r="B64" t="s">
        <v>154</v>
      </c>
      <c r="C64" t="s">
        <v>48</v>
      </c>
      <c r="D64" t="s">
        <v>49</v>
      </c>
      <c r="E64" t="s">
        <v>50</v>
      </c>
      <c r="F64">
        <v>5.8532999999999999</v>
      </c>
      <c r="G64">
        <v>4.5122999999999998</v>
      </c>
      <c r="H64">
        <v>4.4465000000000003</v>
      </c>
      <c r="I64">
        <v>3.9784999999999999</v>
      </c>
      <c r="J64">
        <v>3.4287999999999998</v>
      </c>
      <c r="K64">
        <v>4.3006000000000002</v>
      </c>
      <c r="L64">
        <v>3.2164000000000001</v>
      </c>
      <c r="M64">
        <v>3.2452999999999999</v>
      </c>
      <c r="N64">
        <v>2.7073999999999998</v>
      </c>
      <c r="O64">
        <v>2.4159999999999999</v>
      </c>
      <c r="P64">
        <v>5.8532999999999999</v>
      </c>
      <c r="Q64">
        <v>4.5122999999999998</v>
      </c>
      <c r="R64">
        <v>4.4465000000000003</v>
      </c>
      <c r="S64">
        <v>3.9784999999999999</v>
      </c>
      <c r="T64">
        <v>3.4287999999999998</v>
      </c>
      <c r="U64">
        <v>4.3006000000000002</v>
      </c>
      <c r="V64">
        <v>3.2164000000000001</v>
      </c>
      <c r="W64">
        <v>3.2452999999999999</v>
      </c>
      <c r="X64">
        <v>2.7073999999999998</v>
      </c>
      <c r="Y64">
        <v>2.4159999999999999</v>
      </c>
    </row>
    <row r="65" spans="1:25" x14ac:dyDescent="0.25">
      <c r="A65" t="s">
        <v>155</v>
      </c>
      <c r="B65" t="s">
        <v>156</v>
      </c>
      <c r="C65" t="s">
        <v>48</v>
      </c>
      <c r="D65" t="s">
        <v>49</v>
      </c>
      <c r="E65" t="s">
        <v>50</v>
      </c>
      <c r="F65">
        <v>7.9870000000000001</v>
      </c>
      <c r="G65">
        <v>7.8148999999999997</v>
      </c>
      <c r="H65">
        <v>7.8669000000000002</v>
      </c>
      <c r="I65">
        <v>7.8023999999999996</v>
      </c>
      <c r="J65">
        <v>7.3380999999999998</v>
      </c>
      <c r="K65">
        <v>7.0914000000000001</v>
      </c>
      <c r="L65">
        <v>7.5442999999999998</v>
      </c>
      <c r="M65">
        <v>8.3409999999999993</v>
      </c>
      <c r="N65">
        <v>8.2174999999999994</v>
      </c>
      <c r="O65">
        <v>8.1341999999999999</v>
      </c>
      <c r="P65">
        <v>7.9870000000000001</v>
      </c>
      <c r="Q65">
        <v>7.8148999999999997</v>
      </c>
      <c r="R65">
        <v>7.8669000000000002</v>
      </c>
      <c r="S65">
        <v>7.8023999999999996</v>
      </c>
      <c r="T65">
        <v>7.3380999999999998</v>
      </c>
      <c r="U65">
        <v>7.0914000000000001</v>
      </c>
      <c r="V65">
        <v>7.5442999999999998</v>
      </c>
      <c r="W65">
        <v>8.3409999999999993</v>
      </c>
      <c r="X65">
        <v>8.2174999999999994</v>
      </c>
      <c r="Y65">
        <v>8.1341999999999999</v>
      </c>
    </row>
    <row r="66" spans="1:25" x14ac:dyDescent="0.25">
      <c r="A66" t="s">
        <v>157</v>
      </c>
      <c r="B66" t="s">
        <v>158</v>
      </c>
      <c r="C66" t="s">
        <v>48</v>
      </c>
      <c r="D66" t="s">
        <v>49</v>
      </c>
      <c r="E66" t="s">
        <v>50</v>
      </c>
      <c r="F66">
        <v>121.07</v>
      </c>
      <c r="G66">
        <v>121.77</v>
      </c>
      <c r="H66">
        <v>125.83</v>
      </c>
      <c r="I66">
        <v>135.28</v>
      </c>
      <c r="J66">
        <v>122.97</v>
      </c>
      <c r="K66">
        <v>130.63999999999999</v>
      </c>
      <c r="L66">
        <v>144.85</v>
      </c>
      <c r="M66">
        <v>144.72999999999999</v>
      </c>
      <c r="N66">
        <v>114.46</v>
      </c>
      <c r="O66">
        <v>99.66</v>
      </c>
      <c r="P66">
        <v>121.07</v>
      </c>
      <c r="Q66">
        <v>121.77</v>
      </c>
      <c r="R66">
        <v>125.83</v>
      </c>
      <c r="S66">
        <v>135.28</v>
      </c>
      <c r="T66">
        <v>122.97</v>
      </c>
      <c r="U66">
        <v>130.63999999999999</v>
      </c>
      <c r="V66">
        <v>144.85</v>
      </c>
      <c r="W66">
        <v>144.72999999999999</v>
      </c>
      <c r="X66">
        <v>114.46</v>
      </c>
      <c r="Y66">
        <v>99.66</v>
      </c>
    </row>
    <row r="67" spans="1:25" x14ac:dyDescent="0.25">
      <c r="A67" t="s">
        <v>159</v>
      </c>
      <c r="B67" t="s">
        <v>160</v>
      </c>
      <c r="C67" t="s">
        <v>48</v>
      </c>
      <c r="D67" t="s">
        <v>49</v>
      </c>
      <c r="E67" t="s">
        <v>50</v>
      </c>
      <c r="F67">
        <v>1.5344599999999999</v>
      </c>
      <c r="G67">
        <v>1.45668</v>
      </c>
      <c r="H67">
        <v>1.5636000000000001</v>
      </c>
      <c r="I67">
        <v>1.5088600000000001</v>
      </c>
      <c r="J67">
        <v>1.4133800000000001</v>
      </c>
      <c r="K67">
        <v>1.5033799999999999</v>
      </c>
      <c r="L67">
        <v>1.40605</v>
      </c>
      <c r="M67">
        <v>1.46008</v>
      </c>
      <c r="N67">
        <v>1.30948</v>
      </c>
      <c r="O67">
        <v>1.32368</v>
      </c>
      <c r="P67">
        <v>1.5344599999999999</v>
      </c>
      <c r="Q67">
        <v>1.45668</v>
      </c>
      <c r="R67">
        <v>1.5636000000000001</v>
      </c>
      <c r="S67">
        <v>1.5088600000000001</v>
      </c>
      <c r="T67">
        <v>1.4133800000000001</v>
      </c>
      <c r="U67">
        <v>1.5033799999999999</v>
      </c>
      <c r="V67">
        <v>1.40605</v>
      </c>
      <c r="W67">
        <v>1.46008</v>
      </c>
      <c r="X67">
        <v>1.30948</v>
      </c>
      <c r="Y67">
        <v>1.32368</v>
      </c>
    </row>
    <row r="68" spans="1:25" x14ac:dyDescent="0.25">
      <c r="A68" t="s">
        <v>161</v>
      </c>
      <c r="B68" t="s">
        <v>162</v>
      </c>
      <c r="C68" t="s">
        <v>48</v>
      </c>
      <c r="D68" t="s">
        <v>49</v>
      </c>
      <c r="E68" t="s">
        <v>50</v>
      </c>
      <c r="F68">
        <v>1.64324</v>
      </c>
      <c r="G68">
        <v>1.5971299999999999</v>
      </c>
      <c r="H68">
        <v>1.6268100000000001</v>
      </c>
      <c r="I68">
        <v>1.53722</v>
      </c>
      <c r="J68">
        <v>1.4596899999999999</v>
      </c>
      <c r="K68">
        <v>1.4915099999999999</v>
      </c>
      <c r="L68">
        <v>1.4799500000000001</v>
      </c>
      <c r="M68">
        <v>1.5411600000000001</v>
      </c>
      <c r="N68">
        <v>1.26922</v>
      </c>
      <c r="O68">
        <v>1.26938</v>
      </c>
      <c r="P68">
        <v>1.64324</v>
      </c>
      <c r="Q68">
        <v>1.5971299999999999</v>
      </c>
      <c r="R68">
        <v>1.6268100000000001</v>
      </c>
      <c r="S68">
        <v>1.53722</v>
      </c>
      <c r="T68">
        <v>1.4596899999999999</v>
      </c>
      <c r="U68">
        <v>1.4915099999999999</v>
      </c>
      <c r="V68">
        <v>1.4799500000000001</v>
      </c>
      <c r="W68">
        <v>1.5411600000000001</v>
      </c>
      <c r="X68">
        <v>1.26922</v>
      </c>
      <c r="Y68">
        <v>1.26938</v>
      </c>
    </row>
    <row r="69" spans="1:25" x14ac:dyDescent="0.25">
      <c r="A69" t="s">
        <v>44</v>
      </c>
      <c r="B69" t="s">
        <v>44</v>
      </c>
      <c r="E69" t="s">
        <v>57</v>
      </c>
      <c r="F69" t="s">
        <v>44</v>
      </c>
      <c r="G69" t="s">
        <v>44</v>
      </c>
      <c r="H69" t="s">
        <v>44</v>
      </c>
      <c r="I69" t="s">
        <v>44</v>
      </c>
      <c r="J69" t="s">
        <v>44</v>
      </c>
      <c r="K69" t="s">
        <v>44</v>
      </c>
      <c r="L69" t="s">
        <v>44</v>
      </c>
      <c r="M69" t="s">
        <v>44</v>
      </c>
      <c r="N69" t="s">
        <v>44</v>
      </c>
      <c r="O69" t="s">
        <v>44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</row>
    <row r="70" spans="1:25" x14ac:dyDescent="0.25">
      <c r="A70" t="s">
        <v>163</v>
      </c>
      <c r="B70" t="s">
        <v>44</v>
      </c>
      <c r="E70" t="s">
        <v>57</v>
      </c>
      <c r="F70" t="s">
        <v>44</v>
      </c>
      <c r="G70" t="s">
        <v>44</v>
      </c>
      <c r="H70" t="s">
        <v>44</v>
      </c>
      <c r="I70" t="s">
        <v>44</v>
      </c>
      <c r="J70" t="s">
        <v>44</v>
      </c>
      <c r="K70" t="s">
        <v>44</v>
      </c>
      <c r="L70" t="s">
        <v>44</v>
      </c>
      <c r="M70" t="s">
        <v>44</v>
      </c>
      <c r="N70" t="s">
        <v>44</v>
      </c>
      <c r="O70" t="s">
        <v>44</v>
      </c>
      <c r="P70" t="s">
        <v>44</v>
      </c>
      <c r="Q70" t="s">
        <v>44</v>
      </c>
      <c r="R70" t="s">
        <v>44</v>
      </c>
      <c r="S70" t="s">
        <v>44</v>
      </c>
      <c r="T70" t="s">
        <v>44</v>
      </c>
      <c r="U70" t="s">
        <v>44</v>
      </c>
      <c r="V70" t="s">
        <v>44</v>
      </c>
      <c r="W70" t="s">
        <v>44</v>
      </c>
      <c r="X70" t="s">
        <v>44</v>
      </c>
      <c r="Y70" t="s">
        <v>44</v>
      </c>
    </row>
    <row r="71" spans="1:25" x14ac:dyDescent="0.25">
      <c r="A71" t="s">
        <v>87</v>
      </c>
      <c r="B71" t="s">
        <v>44</v>
      </c>
      <c r="E71" t="s">
        <v>57</v>
      </c>
      <c r="F71" t="s">
        <v>44</v>
      </c>
      <c r="G71" t="s">
        <v>44</v>
      </c>
      <c r="H71" t="s">
        <v>44</v>
      </c>
      <c r="I71" t="s">
        <v>44</v>
      </c>
      <c r="J71" t="s">
        <v>44</v>
      </c>
      <c r="K71" t="s">
        <v>44</v>
      </c>
      <c r="L71" t="s">
        <v>44</v>
      </c>
      <c r="M71" t="s">
        <v>44</v>
      </c>
      <c r="N71" t="s">
        <v>44</v>
      </c>
      <c r="O71" t="s">
        <v>44</v>
      </c>
      <c r="P71" t="s">
        <v>44</v>
      </c>
      <c r="Q71" t="s">
        <v>44</v>
      </c>
      <c r="R71" t="s">
        <v>44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</row>
    <row r="72" spans="1:25" x14ac:dyDescent="0.25">
      <c r="A72" t="s">
        <v>164</v>
      </c>
      <c r="B72" t="s">
        <v>165</v>
      </c>
      <c r="C72" t="s">
        <v>48</v>
      </c>
      <c r="D72" t="s">
        <v>49</v>
      </c>
      <c r="E72" t="s">
        <v>50</v>
      </c>
      <c r="F72">
        <v>-5</v>
      </c>
      <c r="G72">
        <v>2.2999999999999998</v>
      </c>
      <c r="H72">
        <v>2.9</v>
      </c>
      <c r="I72">
        <v>2.4</v>
      </c>
      <c r="J72">
        <v>1.6</v>
      </c>
      <c r="K72">
        <v>2.9</v>
      </c>
      <c r="L72">
        <v>2.5</v>
      </c>
      <c r="M72">
        <v>1.8</v>
      </c>
      <c r="N72">
        <v>2.2000000000000002</v>
      </c>
      <c r="O72">
        <v>1.6</v>
      </c>
      <c r="P72">
        <v>-5</v>
      </c>
      <c r="Q72">
        <v>2.2999999999999998</v>
      </c>
      <c r="R72">
        <v>2.9</v>
      </c>
      <c r="S72">
        <v>2.4</v>
      </c>
      <c r="T72">
        <v>1.6</v>
      </c>
      <c r="U72">
        <v>2.9</v>
      </c>
      <c r="V72">
        <v>2.5</v>
      </c>
      <c r="W72">
        <v>1.8</v>
      </c>
      <c r="X72">
        <v>2.2000000000000002</v>
      </c>
      <c r="Y72">
        <v>1.6</v>
      </c>
    </row>
    <row r="73" spans="1:25" x14ac:dyDescent="0.25">
      <c r="A73" t="s">
        <v>166</v>
      </c>
      <c r="B73" t="s">
        <v>167</v>
      </c>
      <c r="C73" t="s">
        <v>48</v>
      </c>
      <c r="D73" t="s">
        <v>49</v>
      </c>
      <c r="E73" t="s">
        <v>50</v>
      </c>
      <c r="F73" t="s">
        <v>44</v>
      </c>
      <c r="G73">
        <v>19073.056</v>
      </c>
      <c r="H73">
        <v>18638.164000000001</v>
      </c>
      <c r="I73">
        <v>18108.081999999999</v>
      </c>
      <c r="J73">
        <v>17688.89</v>
      </c>
      <c r="K73">
        <v>17403.843000000001</v>
      </c>
      <c r="L73">
        <v>16912.038</v>
      </c>
      <c r="M73">
        <v>16495.368999999999</v>
      </c>
      <c r="N73">
        <v>16197.007</v>
      </c>
      <c r="O73">
        <v>15840.664000000001</v>
      </c>
      <c r="P73" t="s">
        <v>44</v>
      </c>
      <c r="Q73">
        <v>19073.056</v>
      </c>
      <c r="R73">
        <v>18638.164000000001</v>
      </c>
      <c r="S73">
        <v>18108.081999999999</v>
      </c>
      <c r="T73">
        <v>17688.89</v>
      </c>
      <c r="U73">
        <v>17403.843000000001</v>
      </c>
      <c r="V73">
        <v>16912.038</v>
      </c>
      <c r="W73">
        <v>16495.368999999999</v>
      </c>
      <c r="X73">
        <v>16197.007</v>
      </c>
      <c r="Y73">
        <v>15840.664000000001</v>
      </c>
    </row>
    <row r="74" spans="1:25" x14ac:dyDescent="0.25">
      <c r="A74" t="s">
        <v>168</v>
      </c>
      <c r="B74" t="s">
        <v>169</v>
      </c>
      <c r="C74" t="s">
        <v>48</v>
      </c>
      <c r="D74" t="s">
        <v>49</v>
      </c>
      <c r="E74" t="s">
        <v>50</v>
      </c>
      <c r="F74" t="s">
        <v>44</v>
      </c>
      <c r="G74">
        <v>9.3344400000000007</v>
      </c>
      <c r="H74">
        <v>9.2233199999999993</v>
      </c>
      <c r="I74">
        <v>6.1989400000000003</v>
      </c>
      <c r="J74">
        <v>6.6631099999999996</v>
      </c>
      <c r="K74">
        <v>3.2257799999999999</v>
      </c>
      <c r="L74">
        <v>4.8913200000000003</v>
      </c>
      <c r="M74">
        <v>4.2655799999999999</v>
      </c>
      <c r="N74">
        <v>8.9307200000000009</v>
      </c>
      <c r="O74">
        <v>10.32405</v>
      </c>
      <c r="P74" t="s">
        <v>44</v>
      </c>
      <c r="Q74">
        <v>9.3344400000000007</v>
      </c>
      <c r="R74">
        <v>9.2233199999999993</v>
      </c>
      <c r="S74">
        <v>6.1989400000000003</v>
      </c>
      <c r="T74">
        <v>6.6631099999999996</v>
      </c>
      <c r="U74">
        <v>3.2257799999999999</v>
      </c>
      <c r="V74">
        <v>4.8913200000000003</v>
      </c>
      <c r="W74">
        <v>4.2655799999999999</v>
      </c>
      <c r="X74">
        <v>8.9307200000000009</v>
      </c>
      <c r="Y74">
        <v>10.32405</v>
      </c>
    </row>
    <row r="75" spans="1:25" x14ac:dyDescent="0.25">
      <c r="A75" t="s">
        <v>170</v>
      </c>
      <c r="B75" t="s">
        <v>171</v>
      </c>
      <c r="C75" t="s">
        <v>48</v>
      </c>
      <c r="D75" t="s">
        <v>49</v>
      </c>
      <c r="E75" t="s">
        <v>50</v>
      </c>
      <c r="F75" t="s">
        <v>44</v>
      </c>
      <c r="G75">
        <v>415.47199999999998</v>
      </c>
      <c r="H75">
        <v>380.00099999999998</v>
      </c>
      <c r="I75">
        <v>347.91199999999998</v>
      </c>
      <c r="J75">
        <v>327.60399999999998</v>
      </c>
      <c r="K75">
        <v>307.13900000000001</v>
      </c>
      <c r="L75">
        <v>297.541</v>
      </c>
      <c r="M75">
        <v>283.666</v>
      </c>
      <c r="N75">
        <v>272.06099999999998</v>
      </c>
      <c r="O75">
        <v>249.756</v>
      </c>
      <c r="P75" t="s">
        <v>44</v>
      </c>
      <c r="Q75">
        <v>415.47199999999998</v>
      </c>
      <c r="R75">
        <v>380.00099999999998</v>
      </c>
      <c r="S75">
        <v>347.91199999999998</v>
      </c>
      <c r="T75">
        <v>327.60399999999998</v>
      </c>
      <c r="U75">
        <v>307.13900000000001</v>
      </c>
      <c r="V75">
        <v>297.541</v>
      </c>
      <c r="W75">
        <v>283.666</v>
      </c>
      <c r="X75">
        <v>272.06099999999998</v>
      </c>
      <c r="Y75">
        <v>249.756</v>
      </c>
    </row>
    <row r="76" spans="1:25" x14ac:dyDescent="0.25">
      <c r="A76" t="s">
        <v>172</v>
      </c>
      <c r="B76" t="s">
        <v>173</v>
      </c>
      <c r="C76" t="s">
        <v>48</v>
      </c>
      <c r="D76" t="s">
        <v>49</v>
      </c>
      <c r="E76" t="s">
        <v>50</v>
      </c>
      <c r="F76" t="s">
        <v>44</v>
      </c>
      <c r="G76">
        <v>0.98836999999999997</v>
      </c>
      <c r="H76">
        <v>10.141400000000001</v>
      </c>
      <c r="I76">
        <v>8.3499199999999991</v>
      </c>
      <c r="J76">
        <v>-2.0498500000000002</v>
      </c>
      <c r="K76">
        <v>-0.27772999999999998</v>
      </c>
      <c r="L76">
        <v>-0.20957000000000001</v>
      </c>
      <c r="M76">
        <v>-1.36772</v>
      </c>
      <c r="N76">
        <v>8.3097100000000008</v>
      </c>
      <c r="O76">
        <v>-4.0098500000000001</v>
      </c>
      <c r="P76" t="s">
        <v>44</v>
      </c>
      <c r="Q76">
        <v>0.98836999999999997</v>
      </c>
      <c r="R76">
        <v>10.141400000000001</v>
      </c>
      <c r="S76">
        <v>8.3499199999999991</v>
      </c>
      <c r="T76">
        <v>-2.0498500000000002</v>
      </c>
      <c r="U76">
        <v>-0.27772999999999998</v>
      </c>
      <c r="V76">
        <v>-0.20957000000000001</v>
      </c>
      <c r="W76">
        <v>-1.36772</v>
      </c>
      <c r="X76">
        <v>8.3097100000000008</v>
      </c>
      <c r="Y76">
        <v>-4.0098500000000001</v>
      </c>
    </row>
    <row r="77" spans="1:25" x14ac:dyDescent="0.25">
      <c r="A77" t="s">
        <v>174</v>
      </c>
      <c r="B77" t="s">
        <v>175</v>
      </c>
      <c r="C77" t="s">
        <v>48</v>
      </c>
      <c r="D77" t="s">
        <v>49</v>
      </c>
      <c r="E77" t="s">
        <v>50</v>
      </c>
      <c r="F77" t="s">
        <v>44</v>
      </c>
      <c r="G77">
        <v>119.956</v>
      </c>
      <c r="H77">
        <v>118.782</v>
      </c>
      <c r="I77">
        <v>107.845</v>
      </c>
      <c r="J77">
        <v>99.534000000000006</v>
      </c>
      <c r="K77">
        <v>101.617</v>
      </c>
      <c r="L77">
        <v>101.9</v>
      </c>
      <c r="M77">
        <v>102.114</v>
      </c>
      <c r="N77">
        <v>103.53</v>
      </c>
      <c r="O77">
        <v>95.587000000000003</v>
      </c>
      <c r="P77" t="s">
        <v>44</v>
      </c>
      <c r="Q77">
        <v>119.956</v>
      </c>
      <c r="R77">
        <v>118.782</v>
      </c>
      <c r="S77">
        <v>107.845</v>
      </c>
      <c r="T77">
        <v>99.534000000000006</v>
      </c>
      <c r="U77">
        <v>101.617</v>
      </c>
      <c r="V77">
        <v>101.9</v>
      </c>
      <c r="W77">
        <v>102.114</v>
      </c>
      <c r="X77">
        <v>103.53</v>
      </c>
      <c r="Y77">
        <v>95.587000000000003</v>
      </c>
    </row>
    <row r="78" spans="1:25" x14ac:dyDescent="0.25">
      <c r="A78" t="s">
        <v>100</v>
      </c>
      <c r="B78" t="s">
        <v>176</v>
      </c>
      <c r="C78" t="s">
        <v>48</v>
      </c>
      <c r="D78" t="s">
        <v>49</v>
      </c>
      <c r="E78" t="s">
        <v>50</v>
      </c>
      <c r="F78">
        <v>-5.8343499999999997</v>
      </c>
      <c r="G78">
        <v>2.0614499999999998</v>
      </c>
      <c r="H78">
        <v>1.3010299999999999</v>
      </c>
      <c r="I78">
        <v>3.33107</v>
      </c>
      <c r="J78">
        <v>1.84724</v>
      </c>
      <c r="K78">
        <v>6.8199999999999997E-2</v>
      </c>
      <c r="L78">
        <v>2.99248</v>
      </c>
      <c r="M78">
        <v>3.0689099999999998</v>
      </c>
      <c r="N78">
        <v>0.93537000000000003</v>
      </c>
      <c r="O78">
        <v>2.8025600000000002</v>
      </c>
      <c r="P78">
        <v>-5.8343499999999997</v>
      </c>
      <c r="Q78">
        <v>2.0614499999999998</v>
      </c>
      <c r="R78">
        <v>1.3010299999999999</v>
      </c>
      <c r="S78">
        <v>3.33107</v>
      </c>
      <c r="T78">
        <v>1.84724</v>
      </c>
      <c r="U78">
        <v>6.8199999999999997E-2</v>
      </c>
      <c r="V78">
        <v>2.99248</v>
      </c>
      <c r="W78">
        <v>3.0689099999999998</v>
      </c>
      <c r="X78">
        <v>0.93537000000000003</v>
      </c>
      <c r="Y78">
        <v>2.8025600000000002</v>
      </c>
    </row>
    <row r="79" spans="1:25" x14ac:dyDescent="0.25">
      <c r="A79" t="s">
        <v>103</v>
      </c>
      <c r="B79" t="s">
        <v>44</v>
      </c>
      <c r="E79" t="s">
        <v>57</v>
      </c>
      <c r="F79" t="s">
        <v>44</v>
      </c>
      <c r="G79" t="s">
        <v>44</v>
      </c>
      <c r="H79" t="s">
        <v>44</v>
      </c>
      <c r="I79" t="s">
        <v>44</v>
      </c>
      <c r="J79" t="s">
        <v>44</v>
      </c>
      <c r="K79" t="s">
        <v>44</v>
      </c>
      <c r="L79" t="s">
        <v>44</v>
      </c>
      <c r="M79" t="s">
        <v>44</v>
      </c>
      <c r="N79" t="s">
        <v>44</v>
      </c>
      <c r="O79" t="s">
        <v>44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</row>
    <row r="80" spans="1:25" x14ac:dyDescent="0.25">
      <c r="A80" t="s">
        <v>177</v>
      </c>
      <c r="B80" t="s">
        <v>178</v>
      </c>
      <c r="C80" t="s">
        <v>48</v>
      </c>
      <c r="D80" t="s">
        <v>49</v>
      </c>
      <c r="E80" t="s">
        <v>50</v>
      </c>
      <c r="F80">
        <v>-0.25330000000000003</v>
      </c>
      <c r="G80">
        <v>1.6690400000000001</v>
      </c>
      <c r="H80">
        <v>1.2204600000000001</v>
      </c>
      <c r="I80">
        <v>2.38212</v>
      </c>
      <c r="J80">
        <v>-2.2149899999999998</v>
      </c>
      <c r="K80">
        <v>-5.52712</v>
      </c>
      <c r="L80">
        <v>-0.22692999999999999</v>
      </c>
      <c r="M80">
        <v>2.5303900000000001</v>
      </c>
      <c r="N80">
        <v>2.4798800000000001</v>
      </c>
      <c r="O80">
        <v>2.5680200000000002</v>
      </c>
      <c r="P80">
        <v>-0.25330000000000003</v>
      </c>
      <c r="Q80">
        <v>1.6690400000000001</v>
      </c>
      <c r="R80">
        <v>1.2204600000000001</v>
      </c>
      <c r="S80">
        <v>2.38212</v>
      </c>
      <c r="T80">
        <v>-2.2149899999999998</v>
      </c>
      <c r="U80">
        <v>-5.52712</v>
      </c>
      <c r="V80">
        <v>-0.22692999999999999</v>
      </c>
      <c r="W80">
        <v>2.5303900000000001</v>
      </c>
      <c r="X80">
        <v>2.4798800000000001</v>
      </c>
      <c r="Y80">
        <v>2.5680200000000002</v>
      </c>
    </row>
    <row r="81" spans="1:25" x14ac:dyDescent="0.25">
      <c r="A81" t="s">
        <v>102</v>
      </c>
      <c r="B81" t="s">
        <v>44</v>
      </c>
      <c r="E81" t="s">
        <v>57</v>
      </c>
      <c r="F81" t="s">
        <v>44</v>
      </c>
      <c r="G81" t="s">
        <v>44</v>
      </c>
      <c r="H81" t="s">
        <v>44</v>
      </c>
      <c r="I81" t="s">
        <v>44</v>
      </c>
      <c r="J81" t="s">
        <v>44</v>
      </c>
      <c r="K81" t="s">
        <v>44</v>
      </c>
      <c r="L81" t="s">
        <v>44</v>
      </c>
      <c r="M81" t="s">
        <v>44</v>
      </c>
      <c r="N81" t="s">
        <v>44</v>
      </c>
      <c r="O81" t="s">
        <v>44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</row>
    <row r="82" spans="1:25" x14ac:dyDescent="0.25">
      <c r="A82" t="s">
        <v>179</v>
      </c>
      <c r="B82" t="s">
        <v>180</v>
      </c>
      <c r="C82" t="s">
        <v>48</v>
      </c>
      <c r="D82" t="s">
        <v>49</v>
      </c>
      <c r="E82" t="s">
        <v>50</v>
      </c>
      <c r="F82">
        <v>-3.1</v>
      </c>
      <c r="G82">
        <v>1</v>
      </c>
      <c r="H82">
        <v>1.2</v>
      </c>
      <c r="I82">
        <v>3</v>
      </c>
      <c r="J82">
        <v>2.1</v>
      </c>
      <c r="K82">
        <v>2</v>
      </c>
      <c r="L82">
        <v>1.6</v>
      </c>
      <c r="M82">
        <v>0.7</v>
      </c>
      <c r="N82">
        <v>-1.1000000000000001</v>
      </c>
      <c r="O82">
        <v>0.6</v>
      </c>
      <c r="P82">
        <v>-3.1</v>
      </c>
      <c r="Q82">
        <v>1</v>
      </c>
      <c r="R82">
        <v>1.2</v>
      </c>
      <c r="S82">
        <v>3</v>
      </c>
      <c r="T82">
        <v>2.1</v>
      </c>
      <c r="U82">
        <v>2</v>
      </c>
      <c r="V82">
        <v>1.6</v>
      </c>
      <c r="W82">
        <v>0.7</v>
      </c>
      <c r="X82">
        <v>-1.1000000000000001</v>
      </c>
      <c r="Y82">
        <v>0.6</v>
      </c>
    </row>
    <row r="83" spans="1:25" x14ac:dyDescent="0.25">
      <c r="A83" t="s">
        <v>181</v>
      </c>
      <c r="B83" t="s">
        <v>182</v>
      </c>
      <c r="C83" t="s">
        <v>48</v>
      </c>
      <c r="D83" t="s">
        <v>49</v>
      </c>
      <c r="E83" t="s">
        <v>50</v>
      </c>
      <c r="F83">
        <v>-1.6</v>
      </c>
      <c r="G83">
        <v>1.4</v>
      </c>
      <c r="H83">
        <v>1.3</v>
      </c>
      <c r="I83">
        <v>1.9</v>
      </c>
      <c r="J83">
        <v>1.9</v>
      </c>
      <c r="K83">
        <v>2.4</v>
      </c>
      <c r="L83">
        <v>2.6</v>
      </c>
      <c r="M83">
        <v>2.1</v>
      </c>
      <c r="N83">
        <v>1.5</v>
      </c>
      <c r="O83">
        <v>1.5</v>
      </c>
      <c r="P83">
        <v>-1.6</v>
      </c>
      <c r="Q83">
        <v>1.4</v>
      </c>
      <c r="R83">
        <v>1.3</v>
      </c>
      <c r="S83">
        <v>1.9</v>
      </c>
      <c r="T83">
        <v>1.9</v>
      </c>
      <c r="U83">
        <v>2.4</v>
      </c>
      <c r="V83">
        <v>2.6</v>
      </c>
      <c r="W83">
        <v>2.1</v>
      </c>
      <c r="X83">
        <v>1.5</v>
      </c>
      <c r="Y83">
        <v>1.5</v>
      </c>
    </row>
    <row r="84" spans="1:25" x14ac:dyDescent="0.25">
      <c r="A84" t="s">
        <v>183</v>
      </c>
      <c r="B84" t="s">
        <v>184</v>
      </c>
      <c r="C84" t="s">
        <v>48</v>
      </c>
      <c r="D84" t="s">
        <v>49</v>
      </c>
      <c r="E84" t="s">
        <v>50</v>
      </c>
      <c r="F84">
        <v>-4.9863799999999996</v>
      </c>
      <c r="G84">
        <v>0.88417999999999997</v>
      </c>
      <c r="H84">
        <v>1.3488199999999999</v>
      </c>
      <c r="I84">
        <v>3.1128200000000001</v>
      </c>
      <c r="J84">
        <v>1.27711</v>
      </c>
      <c r="K84">
        <v>0.90125999999999995</v>
      </c>
      <c r="L84">
        <v>0.79452</v>
      </c>
      <c r="M84">
        <v>1.17527</v>
      </c>
      <c r="N84">
        <v>3.0800000000000001E-2</v>
      </c>
      <c r="O84">
        <v>1.61009</v>
      </c>
      <c r="P84">
        <v>-4.9863799999999996</v>
      </c>
      <c r="Q84">
        <v>0.88417999999999997</v>
      </c>
      <c r="R84">
        <v>1.3488199999999999</v>
      </c>
      <c r="S84">
        <v>3.1128200000000001</v>
      </c>
      <c r="T84">
        <v>1.27711</v>
      </c>
      <c r="U84">
        <v>0.90125999999999995</v>
      </c>
      <c r="V84">
        <v>0.79452</v>
      </c>
      <c r="W84">
        <v>1.17527</v>
      </c>
      <c r="X84">
        <v>3.0800000000000001E-2</v>
      </c>
      <c r="Y84">
        <v>1.61009</v>
      </c>
    </row>
    <row r="85" spans="1:25" x14ac:dyDescent="0.25">
      <c r="A85" t="s">
        <v>185</v>
      </c>
      <c r="B85" t="s">
        <v>186</v>
      </c>
      <c r="C85" t="s">
        <v>48</v>
      </c>
      <c r="D85" t="s">
        <v>49</v>
      </c>
      <c r="E85" t="s">
        <v>50</v>
      </c>
      <c r="F85">
        <v>-2.2999999999999998</v>
      </c>
      <c r="G85">
        <v>0.4</v>
      </c>
      <c r="H85">
        <v>0.6</v>
      </c>
      <c r="I85">
        <v>3.4</v>
      </c>
      <c r="J85">
        <v>1.8</v>
      </c>
      <c r="K85">
        <v>1.3</v>
      </c>
      <c r="L85">
        <v>1.6</v>
      </c>
      <c r="M85">
        <v>1.3</v>
      </c>
      <c r="N85">
        <v>0.115685</v>
      </c>
      <c r="O85">
        <v>2.4202309999999998</v>
      </c>
      <c r="P85">
        <v>-2.2999999999999998</v>
      </c>
      <c r="Q85">
        <v>0.4</v>
      </c>
      <c r="R85">
        <v>0.6</v>
      </c>
      <c r="S85">
        <v>3.4</v>
      </c>
      <c r="T85">
        <v>1.8</v>
      </c>
      <c r="U85">
        <v>1.3</v>
      </c>
      <c r="V85">
        <v>1.6</v>
      </c>
      <c r="W85">
        <v>1.3</v>
      </c>
      <c r="X85">
        <v>0.115685</v>
      </c>
      <c r="Y85">
        <v>2.4202309999999998</v>
      </c>
    </row>
    <row r="86" spans="1:25" x14ac:dyDescent="0.25">
      <c r="A86" t="s">
        <v>187</v>
      </c>
      <c r="B86" t="s">
        <v>188</v>
      </c>
      <c r="C86" t="s">
        <v>48</v>
      </c>
      <c r="D86" t="s">
        <v>49</v>
      </c>
      <c r="E86" t="s">
        <v>50</v>
      </c>
      <c r="F86">
        <v>1.6</v>
      </c>
      <c r="G86">
        <v>2.1126299999999998</v>
      </c>
      <c r="H86">
        <v>2.7984499999999999</v>
      </c>
      <c r="I86">
        <v>1.04182</v>
      </c>
      <c r="J86">
        <v>0.30035000000000001</v>
      </c>
      <c r="K86">
        <v>-3.2328700000000001</v>
      </c>
      <c r="L86">
        <v>0.32795999999999997</v>
      </c>
      <c r="M86">
        <v>2.4701</v>
      </c>
      <c r="N86">
        <v>1.9055200000000001</v>
      </c>
      <c r="O86">
        <v>5.1737799999999998</v>
      </c>
      <c r="P86">
        <v>1.6</v>
      </c>
      <c r="Q86">
        <v>2.1126299999999998</v>
      </c>
      <c r="R86">
        <v>2.7984499999999999</v>
      </c>
      <c r="S86">
        <v>1.04182</v>
      </c>
      <c r="T86">
        <v>0.30035000000000001</v>
      </c>
      <c r="U86">
        <v>-3.2328700000000001</v>
      </c>
      <c r="V86">
        <v>0.32795999999999997</v>
      </c>
      <c r="W86">
        <v>2.4701</v>
      </c>
      <c r="X86">
        <v>1.9055200000000001</v>
      </c>
      <c r="Y86">
        <v>5.1737799999999998</v>
      </c>
    </row>
    <row r="87" spans="1:25" x14ac:dyDescent="0.25">
      <c r="A87" t="s">
        <v>189</v>
      </c>
      <c r="B87" t="s">
        <v>44</v>
      </c>
      <c r="E87" t="s">
        <v>57</v>
      </c>
      <c r="F87" t="s">
        <v>44</v>
      </c>
      <c r="G87" t="s">
        <v>44</v>
      </c>
      <c r="H87" t="s">
        <v>44</v>
      </c>
      <c r="I87" t="s">
        <v>44</v>
      </c>
      <c r="J87" t="s">
        <v>44</v>
      </c>
      <c r="K87" t="s">
        <v>44</v>
      </c>
      <c r="L87" t="s">
        <v>44</v>
      </c>
      <c r="M87" t="s">
        <v>44</v>
      </c>
      <c r="N87" t="s">
        <v>44</v>
      </c>
      <c r="O87" t="s">
        <v>44</v>
      </c>
      <c r="P87" t="s">
        <v>44</v>
      </c>
      <c r="Q87" t="s">
        <v>44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</row>
    <row r="88" spans="1:25" x14ac:dyDescent="0.25">
      <c r="A88" t="s">
        <v>190</v>
      </c>
      <c r="B88" t="s">
        <v>191</v>
      </c>
      <c r="C88" t="s">
        <v>48</v>
      </c>
      <c r="D88" t="s">
        <v>49</v>
      </c>
      <c r="E88" t="s">
        <v>50</v>
      </c>
      <c r="F88">
        <v>-1.7</v>
      </c>
      <c r="G88">
        <v>-0.7</v>
      </c>
      <c r="H88">
        <v>-0.4</v>
      </c>
      <c r="I88">
        <v>2.5</v>
      </c>
      <c r="J88">
        <v>1.2</v>
      </c>
      <c r="K88">
        <v>0.9</v>
      </c>
      <c r="L88">
        <v>-0.5</v>
      </c>
      <c r="M88">
        <v>2.7</v>
      </c>
      <c r="N88">
        <v>0.3</v>
      </c>
      <c r="O88">
        <v>0.1</v>
      </c>
      <c r="P88">
        <v>-1.7</v>
      </c>
      <c r="Q88">
        <v>-0.7</v>
      </c>
      <c r="R88">
        <v>-0.4</v>
      </c>
      <c r="S88">
        <v>2.5</v>
      </c>
      <c r="T88">
        <v>1.2</v>
      </c>
      <c r="U88">
        <v>0.9</v>
      </c>
      <c r="V88">
        <v>-0.5</v>
      </c>
      <c r="W88">
        <v>2.7</v>
      </c>
      <c r="X88">
        <v>0.3</v>
      </c>
      <c r="Y88">
        <v>0.1</v>
      </c>
    </row>
    <row r="89" spans="1:25" x14ac:dyDescent="0.25">
      <c r="A89" t="s">
        <v>192</v>
      </c>
      <c r="B89" t="s">
        <v>193</v>
      </c>
      <c r="C89" t="s">
        <v>48</v>
      </c>
      <c r="D89" t="s">
        <v>49</v>
      </c>
      <c r="E89" t="s">
        <v>50</v>
      </c>
      <c r="F89">
        <v>-6.8</v>
      </c>
      <c r="G89">
        <v>6</v>
      </c>
      <c r="H89">
        <v>6.5</v>
      </c>
      <c r="I89">
        <v>6.8</v>
      </c>
      <c r="J89">
        <v>6.8</v>
      </c>
      <c r="K89">
        <v>6.8</v>
      </c>
      <c r="L89">
        <v>7.2</v>
      </c>
      <c r="M89">
        <v>7.7</v>
      </c>
      <c r="N89">
        <v>8.1</v>
      </c>
      <c r="O89">
        <v>8.8000000000000007</v>
      </c>
      <c r="P89">
        <v>-6.8</v>
      </c>
      <c r="Q89">
        <v>6</v>
      </c>
      <c r="R89">
        <v>6.5</v>
      </c>
      <c r="S89">
        <v>6.8</v>
      </c>
      <c r="T89">
        <v>6.8</v>
      </c>
      <c r="U89">
        <v>6.8</v>
      </c>
      <c r="V89">
        <v>7.2</v>
      </c>
      <c r="W89">
        <v>7.7</v>
      </c>
      <c r="X89">
        <v>8.1</v>
      </c>
      <c r="Y89">
        <v>8.8000000000000007</v>
      </c>
    </row>
    <row r="90" spans="1:25" x14ac:dyDescent="0.25">
      <c r="A90" t="s">
        <v>194</v>
      </c>
      <c r="B90" t="s">
        <v>195</v>
      </c>
      <c r="C90" t="s">
        <v>48</v>
      </c>
      <c r="D90" t="s">
        <v>49</v>
      </c>
      <c r="E90" t="s">
        <v>50</v>
      </c>
      <c r="F90" t="s">
        <v>44</v>
      </c>
      <c r="G90" t="s">
        <v>44</v>
      </c>
      <c r="H90" t="s">
        <v>44</v>
      </c>
      <c r="I90" t="s">
        <v>44</v>
      </c>
      <c r="J90" t="s">
        <v>44</v>
      </c>
      <c r="K90" t="s">
        <v>44</v>
      </c>
      <c r="L90">
        <v>5.3</v>
      </c>
      <c r="M90">
        <v>4.5999999999999996</v>
      </c>
      <c r="N90">
        <v>4.4000000000000004</v>
      </c>
      <c r="O90">
        <v>6.5</v>
      </c>
      <c r="P90" t="s">
        <v>44</v>
      </c>
      <c r="Q90" t="s">
        <v>44</v>
      </c>
      <c r="R90" t="s">
        <v>44</v>
      </c>
      <c r="S90" t="s">
        <v>44</v>
      </c>
      <c r="T90" t="s">
        <v>44</v>
      </c>
      <c r="U90" t="s">
        <v>44</v>
      </c>
      <c r="V90">
        <v>5.3</v>
      </c>
      <c r="W90">
        <v>4.5999999999999996</v>
      </c>
      <c r="X90">
        <v>4.4000000000000004</v>
      </c>
      <c r="Y90">
        <v>6.5</v>
      </c>
    </row>
    <row r="91" spans="1:25" x14ac:dyDescent="0.25">
      <c r="A91" t="s">
        <v>196</v>
      </c>
      <c r="B91" t="s">
        <v>197</v>
      </c>
      <c r="C91" t="s">
        <v>48</v>
      </c>
      <c r="D91" t="s">
        <v>49</v>
      </c>
      <c r="E91" t="s">
        <v>50</v>
      </c>
      <c r="F91">
        <v>1.3856599999999999</v>
      </c>
      <c r="G91">
        <v>2.1568000000000001</v>
      </c>
      <c r="H91">
        <v>2.1827999999999999</v>
      </c>
      <c r="I91">
        <v>2.4698899999999999</v>
      </c>
      <c r="J91">
        <v>2.79535</v>
      </c>
      <c r="K91">
        <v>2.65741</v>
      </c>
      <c r="L91">
        <v>2.1082100000000001</v>
      </c>
      <c r="M91">
        <v>2.3608799999999999</v>
      </c>
      <c r="N91">
        <v>2.8547600000000002</v>
      </c>
      <c r="O91">
        <v>3.43228</v>
      </c>
      <c r="P91">
        <v>1.3856599999999999</v>
      </c>
      <c r="Q91">
        <v>2.1568000000000001</v>
      </c>
      <c r="R91">
        <v>2.1827999999999999</v>
      </c>
      <c r="S91">
        <v>2.4698899999999999</v>
      </c>
      <c r="T91">
        <v>2.79535</v>
      </c>
      <c r="U91">
        <v>2.65741</v>
      </c>
      <c r="V91">
        <v>2.1082100000000001</v>
      </c>
      <c r="W91">
        <v>2.3608799999999999</v>
      </c>
      <c r="X91">
        <v>2.8547600000000002</v>
      </c>
      <c r="Y91">
        <v>3.43228</v>
      </c>
    </row>
    <row r="92" spans="1:25" x14ac:dyDescent="0.25">
      <c r="A92" t="s">
        <v>44</v>
      </c>
      <c r="B92" t="s">
        <v>44</v>
      </c>
      <c r="E92" t="s">
        <v>57</v>
      </c>
      <c r="F92" t="s">
        <v>44</v>
      </c>
      <c r="G92" t="s">
        <v>44</v>
      </c>
      <c r="H92" t="s">
        <v>44</v>
      </c>
      <c r="I92" t="s">
        <v>44</v>
      </c>
      <c r="J92" t="s">
        <v>44</v>
      </c>
      <c r="K92" t="s">
        <v>44</v>
      </c>
      <c r="L92" t="s">
        <v>44</v>
      </c>
      <c r="M92" t="s">
        <v>44</v>
      </c>
      <c r="N92" t="s">
        <v>44</v>
      </c>
      <c r="O92" t="s">
        <v>44</v>
      </c>
      <c r="P92" t="s">
        <v>44</v>
      </c>
      <c r="Q92" t="s">
        <v>44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</row>
    <row r="93" spans="1:25" x14ac:dyDescent="0.25">
      <c r="P93" t="s">
        <v>44</v>
      </c>
      <c r="Q93" t="s">
        <v>44</v>
      </c>
      <c r="R93" t="s">
        <v>44</v>
      </c>
      <c r="S93" t="s">
        <v>44</v>
      </c>
      <c r="T93" t="s">
        <v>44</v>
      </c>
      <c r="U93" t="s">
        <v>44</v>
      </c>
      <c r="V93" t="s">
        <v>44</v>
      </c>
      <c r="W93" t="s">
        <v>44</v>
      </c>
      <c r="X93" t="s">
        <v>44</v>
      </c>
      <c r="Y93" t="s">
        <v>44</v>
      </c>
    </row>
    <row r="94" spans="1:25" x14ac:dyDescent="0.25">
      <c r="P94" t="s">
        <v>44</v>
      </c>
      <c r="Q94" t="s">
        <v>44</v>
      </c>
      <c r="R94" t="s">
        <v>44</v>
      </c>
      <c r="S94" t="s">
        <v>44</v>
      </c>
      <c r="T94" t="s">
        <v>44</v>
      </c>
      <c r="U94" t="s">
        <v>44</v>
      </c>
      <c r="V94" t="s">
        <v>44</v>
      </c>
      <c r="W94" t="s">
        <v>44</v>
      </c>
      <c r="X94" t="s">
        <v>44</v>
      </c>
      <c r="Y94" t="s">
        <v>44</v>
      </c>
    </row>
    <row r="95" spans="1:25" x14ac:dyDescent="0.25">
      <c r="P95" t="s">
        <v>44</v>
      </c>
      <c r="Q95" t="s">
        <v>44</v>
      </c>
      <c r="R95" t="s">
        <v>44</v>
      </c>
      <c r="S95" t="s">
        <v>44</v>
      </c>
      <c r="T95" t="s">
        <v>44</v>
      </c>
      <c r="U95" t="s">
        <v>44</v>
      </c>
      <c r="V95" t="s">
        <v>44</v>
      </c>
      <c r="W95" t="s">
        <v>44</v>
      </c>
      <c r="X95" t="s">
        <v>44</v>
      </c>
      <c r="Y95" t="s">
        <v>44</v>
      </c>
    </row>
    <row r="96" spans="1:25" x14ac:dyDescent="0.25">
      <c r="P96" t="s">
        <v>44</v>
      </c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44</v>
      </c>
      <c r="W96" t="s">
        <v>44</v>
      </c>
      <c r="X96" t="s">
        <v>44</v>
      </c>
      <c r="Y96" t="s">
        <v>44</v>
      </c>
    </row>
    <row r="97" spans="1:25" x14ac:dyDescent="0.25"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 t="s">
        <v>44</v>
      </c>
      <c r="X97" t="s">
        <v>44</v>
      </c>
      <c r="Y97" t="s">
        <v>44</v>
      </c>
    </row>
    <row r="98" spans="1:25" x14ac:dyDescent="0.25">
      <c r="P98" t="s">
        <v>44</v>
      </c>
      <c r="Q98" t="s">
        <v>44</v>
      </c>
      <c r="R98" t="s">
        <v>44</v>
      </c>
      <c r="S98" t="s">
        <v>44</v>
      </c>
      <c r="T98" t="s">
        <v>44</v>
      </c>
      <c r="U98" t="s">
        <v>44</v>
      </c>
      <c r="V98" t="s">
        <v>44</v>
      </c>
      <c r="W98" t="s">
        <v>44</v>
      </c>
      <c r="X98" t="s">
        <v>44</v>
      </c>
      <c r="Y98" t="s">
        <v>44</v>
      </c>
    </row>
    <row r="99" spans="1:25" x14ac:dyDescent="0.25">
      <c r="P99" t="s">
        <v>44</v>
      </c>
      <c r="Q99" t="s">
        <v>44</v>
      </c>
      <c r="R99" t="s">
        <v>44</v>
      </c>
      <c r="S99" t="s">
        <v>44</v>
      </c>
      <c r="T99" t="s">
        <v>44</v>
      </c>
      <c r="U99" t="s">
        <v>44</v>
      </c>
      <c r="V99" t="s">
        <v>44</v>
      </c>
      <c r="W99" t="s">
        <v>44</v>
      </c>
      <c r="X99" t="s">
        <v>44</v>
      </c>
      <c r="Y99" t="s">
        <v>44</v>
      </c>
    </row>
    <row r="100" spans="1:25" x14ac:dyDescent="0.25">
      <c r="A100" t="s">
        <v>198</v>
      </c>
      <c r="B100" t="s">
        <v>198</v>
      </c>
      <c r="C100" t="s">
        <v>198</v>
      </c>
      <c r="D100" t="s">
        <v>198</v>
      </c>
      <c r="E100" t="s">
        <v>198</v>
      </c>
      <c r="F100" t="s">
        <v>198</v>
      </c>
      <c r="G100" t="s">
        <v>198</v>
      </c>
      <c r="H100" t="s">
        <v>198</v>
      </c>
      <c r="I100" t="s">
        <v>198</v>
      </c>
      <c r="J100" t="s">
        <v>198</v>
      </c>
      <c r="K100" t="s">
        <v>198</v>
      </c>
      <c r="L100" t="s">
        <v>198</v>
      </c>
      <c r="M100" t="s">
        <v>198</v>
      </c>
      <c r="N100" t="s">
        <v>198</v>
      </c>
      <c r="O100" t="s">
        <v>198</v>
      </c>
      <c r="P100" t="s">
        <v>44</v>
      </c>
      <c r="Q100" t="s">
        <v>44</v>
      </c>
      <c r="R100" t="s">
        <v>44</v>
      </c>
      <c r="S100" t="s">
        <v>44</v>
      </c>
      <c r="T100" t="s">
        <v>44</v>
      </c>
      <c r="U100" t="s">
        <v>44</v>
      </c>
      <c r="V100" t="s">
        <v>44</v>
      </c>
      <c r="W100" t="s">
        <v>44</v>
      </c>
      <c r="X100" t="s">
        <v>44</v>
      </c>
      <c r="Y100" t="s">
        <v>44</v>
      </c>
    </row>
    <row r="101" spans="1:25" x14ac:dyDescent="0.25">
      <c r="A101" t="s">
        <v>199</v>
      </c>
      <c r="P101" t="s">
        <v>44</v>
      </c>
      <c r="Q101" t="s">
        <v>44</v>
      </c>
      <c r="R101" t="s">
        <v>44</v>
      </c>
      <c r="S101" t="s">
        <v>44</v>
      </c>
      <c r="T101" t="s">
        <v>44</v>
      </c>
      <c r="U101" t="s">
        <v>44</v>
      </c>
      <c r="V101" t="s">
        <v>44</v>
      </c>
      <c r="W101" t="s">
        <v>44</v>
      </c>
      <c r="X101" t="s">
        <v>44</v>
      </c>
      <c r="Y101" t="s">
        <v>44</v>
      </c>
    </row>
    <row r="102" spans="1:25" x14ac:dyDescent="0.25">
      <c r="A102">
        <v>0</v>
      </c>
      <c r="P102" t="s">
        <v>44</v>
      </c>
      <c r="Q102" t="s">
        <v>44</v>
      </c>
      <c r="R102" t="s">
        <v>44</v>
      </c>
      <c r="S102" t="s">
        <v>44</v>
      </c>
      <c r="T102" t="s">
        <v>44</v>
      </c>
      <c r="U102" t="s">
        <v>44</v>
      </c>
      <c r="V102" t="s">
        <v>44</v>
      </c>
      <c r="W102" t="s">
        <v>44</v>
      </c>
      <c r="X102" t="s">
        <v>44</v>
      </c>
      <c r="Y102" t="s">
        <v>44</v>
      </c>
    </row>
    <row r="103" spans="1:25" x14ac:dyDescent="0.25">
      <c r="A103" t="s">
        <v>200</v>
      </c>
      <c r="B103" t="s">
        <v>201</v>
      </c>
      <c r="P103" t="s">
        <v>44</v>
      </c>
      <c r="Q103" t="s">
        <v>44</v>
      </c>
      <c r="R103" t="s">
        <v>44</v>
      </c>
      <c r="S103" t="s">
        <v>44</v>
      </c>
      <c r="T103" t="s">
        <v>44</v>
      </c>
      <c r="U103" t="s">
        <v>44</v>
      </c>
      <c r="V103" t="s">
        <v>44</v>
      </c>
      <c r="W103" t="s">
        <v>44</v>
      </c>
      <c r="X103" t="s">
        <v>44</v>
      </c>
      <c r="Y103" t="s">
        <v>44</v>
      </c>
    </row>
    <row r="104" spans="1:25" x14ac:dyDescent="0.25">
      <c r="A104" t="s">
        <v>202</v>
      </c>
      <c r="B104" t="s">
        <v>203</v>
      </c>
      <c r="C104" t="s">
        <v>204</v>
      </c>
      <c r="P104" t="s">
        <v>44</v>
      </c>
      <c r="Q104" t="s">
        <v>44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 t="s">
        <v>44</v>
      </c>
      <c r="X104" t="s">
        <v>44</v>
      </c>
      <c r="Y104" t="s">
        <v>44</v>
      </c>
    </row>
    <row r="105" spans="1:25" x14ac:dyDescent="0.25">
      <c r="A105" t="s">
        <v>205</v>
      </c>
      <c r="B105">
        <v>10</v>
      </c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 t="s">
        <v>44</v>
      </c>
      <c r="X105" t="s">
        <v>44</v>
      </c>
      <c r="Y105" t="s">
        <v>44</v>
      </c>
    </row>
    <row r="106" spans="1:25" x14ac:dyDescent="0.25">
      <c r="A106" t="s">
        <v>206</v>
      </c>
      <c r="B106" t="s">
        <v>207</v>
      </c>
      <c r="C106" t="s">
        <v>208</v>
      </c>
      <c r="P106" t="s">
        <v>44</v>
      </c>
      <c r="Q106" t="s">
        <v>44</v>
      </c>
      <c r="R106" t="s">
        <v>44</v>
      </c>
      <c r="S106" t="s">
        <v>44</v>
      </c>
      <c r="T106" t="s">
        <v>44</v>
      </c>
      <c r="U106" t="s">
        <v>44</v>
      </c>
      <c r="V106" t="s">
        <v>44</v>
      </c>
      <c r="W106" t="s">
        <v>44</v>
      </c>
      <c r="X106" t="s">
        <v>44</v>
      </c>
      <c r="Y106" t="s">
        <v>44</v>
      </c>
    </row>
    <row r="107" spans="1:25" x14ac:dyDescent="0.25">
      <c r="A107" t="s">
        <v>209</v>
      </c>
      <c r="B107">
        <v>44196</v>
      </c>
      <c r="P107" t="s">
        <v>44</v>
      </c>
      <c r="Q107" t="s">
        <v>44</v>
      </c>
      <c r="R107" t="s">
        <v>44</v>
      </c>
      <c r="S107" t="s">
        <v>44</v>
      </c>
      <c r="T107" t="s">
        <v>44</v>
      </c>
      <c r="U107" t="s">
        <v>44</v>
      </c>
      <c r="V107" t="s">
        <v>44</v>
      </c>
      <c r="W107" t="s">
        <v>44</v>
      </c>
      <c r="X107" t="s">
        <v>44</v>
      </c>
      <c r="Y107" t="s">
        <v>44</v>
      </c>
    </row>
    <row r="108" spans="1:25" x14ac:dyDescent="0.25">
      <c r="A108" t="s">
        <v>210</v>
      </c>
      <c r="P108" t="s">
        <v>44</v>
      </c>
      <c r="Q108" t="s">
        <v>44</v>
      </c>
      <c r="R108" t="s">
        <v>44</v>
      </c>
      <c r="S108" t="s">
        <v>44</v>
      </c>
      <c r="T108" t="s">
        <v>44</v>
      </c>
      <c r="U108" t="s">
        <v>44</v>
      </c>
      <c r="V108" t="s">
        <v>44</v>
      </c>
      <c r="W108" t="s">
        <v>44</v>
      </c>
      <c r="X108" t="s">
        <v>44</v>
      </c>
      <c r="Y108" t="s">
        <v>44</v>
      </c>
    </row>
    <row r="109" spans="1:25" x14ac:dyDescent="0.25">
      <c r="P109" t="s">
        <v>44</v>
      </c>
      <c r="Q109" t="s">
        <v>44</v>
      </c>
      <c r="R109" t="s">
        <v>44</v>
      </c>
      <c r="S109" t="s">
        <v>44</v>
      </c>
      <c r="T109" t="s">
        <v>44</v>
      </c>
      <c r="U109" t="s">
        <v>44</v>
      </c>
      <c r="V109" t="s">
        <v>44</v>
      </c>
      <c r="W109" t="s">
        <v>44</v>
      </c>
      <c r="X109" t="s">
        <v>44</v>
      </c>
      <c r="Y109" t="s">
        <v>44</v>
      </c>
    </row>
    <row r="110" spans="1:25" x14ac:dyDescent="0.25">
      <c r="A110" t="s">
        <v>46</v>
      </c>
      <c r="B110" t="s">
        <v>47</v>
      </c>
      <c r="C110" t="s">
        <v>48</v>
      </c>
      <c r="D110" t="s">
        <v>49</v>
      </c>
      <c r="E110" t="s">
        <v>50</v>
      </c>
      <c r="F110" t="s">
        <v>211</v>
      </c>
      <c r="P110" t="s">
        <v>44</v>
      </c>
      <c r="Q110" t="s">
        <v>44</v>
      </c>
      <c r="R110" t="s">
        <v>44</v>
      </c>
      <c r="S110" t="s">
        <v>44</v>
      </c>
      <c r="T110" t="s">
        <v>44</v>
      </c>
      <c r="U110" t="s">
        <v>44</v>
      </c>
      <c r="V110" t="s">
        <v>44</v>
      </c>
      <c r="W110" t="s">
        <v>44</v>
      </c>
      <c r="X110" t="s">
        <v>44</v>
      </c>
      <c r="Y110" t="s">
        <v>44</v>
      </c>
    </row>
    <row r="111" spans="1:25" x14ac:dyDescent="0.25">
      <c r="A111" t="s">
        <v>51</v>
      </c>
      <c r="B111" t="s">
        <v>52</v>
      </c>
      <c r="C111" t="s">
        <v>48</v>
      </c>
      <c r="D111" t="s">
        <v>49</v>
      </c>
      <c r="E111" t="s">
        <v>50</v>
      </c>
      <c r="F111" t="s">
        <v>211</v>
      </c>
      <c r="P111" t="s">
        <v>44</v>
      </c>
      <c r="Q111" t="s">
        <v>44</v>
      </c>
      <c r="R111" t="s">
        <v>44</v>
      </c>
      <c r="S111" t="s">
        <v>44</v>
      </c>
      <c r="T111" t="s">
        <v>44</v>
      </c>
      <c r="U111" t="s">
        <v>44</v>
      </c>
      <c r="V111" t="s">
        <v>44</v>
      </c>
      <c r="W111" t="s">
        <v>44</v>
      </c>
      <c r="X111" t="s">
        <v>44</v>
      </c>
      <c r="Y111" t="s">
        <v>44</v>
      </c>
    </row>
    <row r="112" spans="1:25" x14ac:dyDescent="0.25">
      <c r="A112" t="s">
        <v>53</v>
      </c>
      <c r="B112" t="s">
        <v>54</v>
      </c>
      <c r="C112" t="s">
        <v>55</v>
      </c>
      <c r="D112" t="s">
        <v>56</v>
      </c>
      <c r="E112" t="s">
        <v>50</v>
      </c>
      <c r="F112" t="s">
        <v>211</v>
      </c>
      <c r="P112" t="s">
        <v>44</v>
      </c>
      <c r="Q112" t="s">
        <v>44</v>
      </c>
      <c r="R112" t="s">
        <v>44</v>
      </c>
      <c r="S112" t="s">
        <v>44</v>
      </c>
      <c r="T112" t="s">
        <v>44</v>
      </c>
      <c r="U112" t="s">
        <v>44</v>
      </c>
      <c r="V112" t="s">
        <v>44</v>
      </c>
      <c r="W112" t="s">
        <v>44</v>
      </c>
      <c r="X112" t="s">
        <v>44</v>
      </c>
      <c r="Y112" t="s">
        <v>44</v>
      </c>
    </row>
    <row r="113" spans="1:25" x14ac:dyDescent="0.25">
      <c r="A113" t="s">
        <v>59</v>
      </c>
      <c r="B113" t="s">
        <v>60</v>
      </c>
      <c r="C113" t="s">
        <v>48</v>
      </c>
      <c r="D113" t="s">
        <v>49</v>
      </c>
      <c r="E113" t="s">
        <v>50</v>
      </c>
      <c r="F113" t="s">
        <v>211</v>
      </c>
      <c r="P113" t="s">
        <v>44</v>
      </c>
      <c r="Q113" t="s">
        <v>44</v>
      </c>
      <c r="R113" t="s">
        <v>44</v>
      </c>
      <c r="S113" t="s">
        <v>44</v>
      </c>
      <c r="T113" t="s">
        <v>44</v>
      </c>
      <c r="U113" t="s">
        <v>44</v>
      </c>
      <c r="V113" t="s">
        <v>44</v>
      </c>
      <c r="W113" t="s">
        <v>44</v>
      </c>
      <c r="X113" t="s">
        <v>44</v>
      </c>
      <c r="Y113" t="s">
        <v>44</v>
      </c>
    </row>
    <row r="114" spans="1:25" x14ac:dyDescent="0.25">
      <c r="A114" t="s">
        <v>61</v>
      </c>
      <c r="B114" t="s">
        <v>62</v>
      </c>
      <c r="C114" t="s">
        <v>48</v>
      </c>
      <c r="D114" t="s">
        <v>49</v>
      </c>
      <c r="E114" t="s">
        <v>50</v>
      </c>
      <c r="F114" t="s">
        <v>211</v>
      </c>
      <c r="P114" t="s">
        <v>44</v>
      </c>
      <c r="Q114" t="s">
        <v>44</v>
      </c>
      <c r="R114" t="s">
        <v>44</v>
      </c>
      <c r="S114" t="s">
        <v>44</v>
      </c>
      <c r="T114" t="s">
        <v>44</v>
      </c>
      <c r="U114" t="s">
        <v>44</v>
      </c>
      <c r="V114" t="s">
        <v>44</v>
      </c>
      <c r="W114" t="s">
        <v>44</v>
      </c>
      <c r="X114" t="s">
        <v>44</v>
      </c>
      <c r="Y114" t="s">
        <v>44</v>
      </c>
    </row>
    <row r="115" spans="1:25" x14ac:dyDescent="0.25">
      <c r="A115" t="s">
        <v>63</v>
      </c>
      <c r="B115" t="s">
        <v>64</v>
      </c>
      <c r="C115" t="s">
        <v>48</v>
      </c>
      <c r="D115" t="s">
        <v>49</v>
      </c>
      <c r="E115" t="s">
        <v>50</v>
      </c>
      <c r="F115" t="s">
        <v>211</v>
      </c>
      <c r="P115" t="s">
        <v>44</v>
      </c>
      <c r="Q115" t="s">
        <v>44</v>
      </c>
      <c r="R115" t="s">
        <v>44</v>
      </c>
      <c r="S115" t="s">
        <v>44</v>
      </c>
      <c r="T115" t="s">
        <v>44</v>
      </c>
      <c r="U115" t="s">
        <v>44</v>
      </c>
      <c r="V115" t="s">
        <v>44</v>
      </c>
      <c r="W115" t="s">
        <v>44</v>
      </c>
      <c r="X115" t="s">
        <v>44</v>
      </c>
      <c r="Y115" t="s">
        <v>44</v>
      </c>
    </row>
    <row r="116" spans="1:25" x14ac:dyDescent="0.25">
      <c r="A116" t="s">
        <v>65</v>
      </c>
      <c r="B116" t="s">
        <v>66</v>
      </c>
      <c r="C116" t="s">
        <v>48</v>
      </c>
      <c r="D116" t="s">
        <v>49</v>
      </c>
      <c r="E116" t="s">
        <v>50</v>
      </c>
      <c r="F116" t="s">
        <v>211</v>
      </c>
      <c r="P116" t="s">
        <v>44</v>
      </c>
      <c r="Q116" t="s">
        <v>44</v>
      </c>
      <c r="R116" t="s">
        <v>44</v>
      </c>
      <c r="S116" t="s">
        <v>44</v>
      </c>
      <c r="T116" t="s">
        <v>44</v>
      </c>
      <c r="U116" t="s">
        <v>44</v>
      </c>
      <c r="V116" t="s">
        <v>44</v>
      </c>
      <c r="W116" t="s">
        <v>44</v>
      </c>
      <c r="X116" t="s">
        <v>44</v>
      </c>
      <c r="Y116" t="s">
        <v>44</v>
      </c>
    </row>
    <row r="117" spans="1:25" x14ac:dyDescent="0.25">
      <c r="A117" t="s">
        <v>67</v>
      </c>
      <c r="B117" t="s">
        <v>68</v>
      </c>
      <c r="C117" t="s">
        <v>48</v>
      </c>
      <c r="D117" t="s">
        <v>49</v>
      </c>
      <c r="E117" t="s">
        <v>50</v>
      </c>
      <c r="F117" t="s">
        <v>211</v>
      </c>
      <c r="P117" t="s">
        <v>44</v>
      </c>
      <c r="Q117" t="s">
        <v>44</v>
      </c>
      <c r="R117" t="s">
        <v>44</v>
      </c>
      <c r="S117" t="s">
        <v>44</v>
      </c>
      <c r="T117" t="s">
        <v>44</v>
      </c>
      <c r="U117" t="s">
        <v>44</v>
      </c>
      <c r="V117" t="s">
        <v>44</v>
      </c>
      <c r="W117" t="s">
        <v>44</v>
      </c>
      <c r="X117" t="s">
        <v>44</v>
      </c>
      <c r="Y117" t="s">
        <v>44</v>
      </c>
    </row>
    <row r="118" spans="1:25" x14ac:dyDescent="0.25">
      <c r="A118" t="s">
        <v>69</v>
      </c>
      <c r="B118" t="s">
        <v>70</v>
      </c>
      <c r="C118" t="s">
        <v>48</v>
      </c>
      <c r="D118" t="s">
        <v>49</v>
      </c>
      <c r="E118" t="s">
        <v>50</v>
      </c>
      <c r="F118" t="s">
        <v>211</v>
      </c>
      <c r="P118" t="s">
        <v>44</v>
      </c>
      <c r="Q118" t="s">
        <v>44</v>
      </c>
      <c r="R118" t="s">
        <v>44</v>
      </c>
      <c r="S118" t="s">
        <v>44</v>
      </c>
      <c r="T118" t="s">
        <v>44</v>
      </c>
      <c r="U118" t="s">
        <v>44</v>
      </c>
      <c r="V118" t="s">
        <v>44</v>
      </c>
      <c r="W118" t="s">
        <v>44</v>
      </c>
      <c r="X118" t="s">
        <v>44</v>
      </c>
      <c r="Y118" t="s">
        <v>44</v>
      </c>
    </row>
    <row r="119" spans="1:25" x14ac:dyDescent="0.25">
      <c r="A119" t="s">
        <v>71</v>
      </c>
      <c r="B119" t="s">
        <v>72</v>
      </c>
      <c r="C119" t="s">
        <v>48</v>
      </c>
      <c r="D119" t="s">
        <v>49</v>
      </c>
      <c r="E119" t="s">
        <v>50</v>
      </c>
      <c r="F119" t="s">
        <v>211</v>
      </c>
      <c r="P119" t="s">
        <v>44</v>
      </c>
      <c r="Q119" t="s">
        <v>44</v>
      </c>
      <c r="R119" t="s">
        <v>44</v>
      </c>
      <c r="S119" t="s">
        <v>44</v>
      </c>
      <c r="T119" t="s">
        <v>44</v>
      </c>
      <c r="U119" t="s">
        <v>44</v>
      </c>
      <c r="V119" t="s">
        <v>44</v>
      </c>
      <c r="W119" t="s">
        <v>44</v>
      </c>
      <c r="X119" t="s">
        <v>44</v>
      </c>
      <c r="Y119" t="s">
        <v>44</v>
      </c>
    </row>
    <row r="120" spans="1:25" x14ac:dyDescent="0.25">
      <c r="A120" t="s">
        <v>73</v>
      </c>
      <c r="B120" t="s">
        <v>74</v>
      </c>
      <c r="C120" t="s">
        <v>48</v>
      </c>
      <c r="D120" t="s">
        <v>49</v>
      </c>
      <c r="E120" t="s">
        <v>50</v>
      </c>
      <c r="F120" t="s">
        <v>211</v>
      </c>
      <c r="P120" t="s">
        <v>44</v>
      </c>
      <c r="Q120" t="s">
        <v>44</v>
      </c>
      <c r="R120" t="s">
        <v>44</v>
      </c>
      <c r="S120" t="s">
        <v>44</v>
      </c>
      <c r="T120" t="s">
        <v>44</v>
      </c>
      <c r="U120" t="s">
        <v>44</v>
      </c>
      <c r="V120" t="s">
        <v>44</v>
      </c>
      <c r="W120" t="s">
        <v>44</v>
      </c>
      <c r="X120" t="s">
        <v>44</v>
      </c>
      <c r="Y120" t="s">
        <v>44</v>
      </c>
    </row>
    <row r="121" spans="1:25" x14ac:dyDescent="0.25">
      <c r="A121" t="s">
        <v>75</v>
      </c>
      <c r="B121" t="s">
        <v>76</v>
      </c>
      <c r="C121" t="s">
        <v>48</v>
      </c>
      <c r="D121" t="s">
        <v>49</v>
      </c>
      <c r="E121" t="s">
        <v>50</v>
      </c>
      <c r="F121" t="s">
        <v>211</v>
      </c>
      <c r="P121" t="s">
        <v>44</v>
      </c>
      <c r="Q121" t="s">
        <v>44</v>
      </c>
      <c r="R121" t="s">
        <v>44</v>
      </c>
      <c r="S121" t="s">
        <v>44</v>
      </c>
      <c r="T121" t="s">
        <v>44</v>
      </c>
      <c r="U121" t="s">
        <v>44</v>
      </c>
      <c r="V121" t="s">
        <v>44</v>
      </c>
      <c r="W121" t="s">
        <v>44</v>
      </c>
      <c r="X121" t="s">
        <v>44</v>
      </c>
      <c r="Y121" t="s">
        <v>44</v>
      </c>
    </row>
    <row r="122" spans="1:25" x14ac:dyDescent="0.25">
      <c r="A122" t="s">
        <v>78</v>
      </c>
      <c r="B122" t="s">
        <v>79</v>
      </c>
      <c r="C122" t="s">
        <v>48</v>
      </c>
      <c r="D122" t="s">
        <v>49</v>
      </c>
      <c r="E122" t="s">
        <v>50</v>
      </c>
      <c r="F122" t="s">
        <v>211</v>
      </c>
      <c r="P122" t="s">
        <v>44</v>
      </c>
      <c r="Q122" t="s">
        <v>44</v>
      </c>
      <c r="R122" t="s">
        <v>44</v>
      </c>
      <c r="S122" t="s">
        <v>44</v>
      </c>
      <c r="T122" t="s">
        <v>44</v>
      </c>
      <c r="U122" t="s">
        <v>44</v>
      </c>
      <c r="V122" t="s">
        <v>44</v>
      </c>
      <c r="W122" t="s">
        <v>44</v>
      </c>
      <c r="X122" t="s">
        <v>44</v>
      </c>
      <c r="Y122" t="s">
        <v>44</v>
      </c>
    </row>
    <row r="123" spans="1:25" x14ac:dyDescent="0.25">
      <c r="A123" t="s">
        <v>80</v>
      </c>
      <c r="B123" t="s">
        <v>81</v>
      </c>
      <c r="C123" t="s">
        <v>48</v>
      </c>
      <c r="D123" t="s">
        <v>49</v>
      </c>
      <c r="E123" t="s">
        <v>50</v>
      </c>
      <c r="F123" t="s">
        <v>211</v>
      </c>
      <c r="P123" t="s">
        <v>44</v>
      </c>
      <c r="Q123" t="s">
        <v>44</v>
      </c>
      <c r="R123" t="s">
        <v>44</v>
      </c>
      <c r="S123" t="s">
        <v>44</v>
      </c>
      <c r="T123" t="s">
        <v>44</v>
      </c>
      <c r="U123" t="s">
        <v>44</v>
      </c>
      <c r="V123" t="s">
        <v>44</v>
      </c>
      <c r="W123" t="s">
        <v>44</v>
      </c>
      <c r="X123" t="s">
        <v>44</v>
      </c>
      <c r="Y123" t="s">
        <v>44</v>
      </c>
    </row>
    <row r="124" spans="1:25" x14ac:dyDescent="0.25">
      <c r="A124" t="s">
        <v>82</v>
      </c>
      <c r="B124" t="s">
        <v>83</v>
      </c>
      <c r="C124" t="s">
        <v>48</v>
      </c>
      <c r="D124" t="s">
        <v>49</v>
      </c>
      <c r="E124" t="s">
        <v>50</v>
      </c>
      <c r="F124" t="s">
        <v>211</v>
      </c>
      <c r="P124" t="s">
        <v>44</v>
      </c>
      <c r="Q124" t="s">
        <v>44</v>
      </c>
      <c r="R124" t="s">
        <v>44</v>
      </c>
      <c r="S124" t="s">
        <v>44</v>
      </c>
      <c r="T124" t="s">
        <v>44</v>
      </c>
      <c r="U124" t="s">
        <v>44</v>
      </c>
      <c r="V124" t="s">
        <v>44</v>
      </c>
      <c r="W124" t="s">
        <v>44</v>
      </c>
      <c r="X124" t="s">
        <v>44</v>
      </c>
      <c r="Y124" t="s">
        <v>44</v>
      </c>
    </row>
    <row r="125" spans="1:25" x14ac:dyDescent="0.25">
      <c r="A125" t="s">
        <v>84</v>
      </c>
      <c r="B125" t="s">
        <v>85</v>
      </c>
      <c r="C125" t="s">
        <v>48</v>
      </c>
      <c r="D125" t="s">
        <v>49</v>
      </c>
      <c r="E125" t="s">
        <v>50</v>
      </c>
      <c r="F125" t="s">
        <v>211</v>
      </c>
      <c r="P125" t="s">
        <v>44</v>
      </c>
      <c r="Q125" t="s">
        <v>44</v>
      </c>
      <c r="R125" t="s">
        <v>44</v>
      </c>
      <c r="S125" t="s">
        <v>44</v>
      </c>
      <c r="T125" t="s">
        <v>44</v>
      </c>
      <c r="U125" t="s">
        <v>44</v>
      </c>
      <c r="V125" t="s">
        <v>44</v>
      </c>
      <c r="W125" t="s">
        <v>44</v>
      </c>
      <c r="X125" t="s">
        <v>44</v>
      </c>
      <c r="Y125" t="s">
        <v>44</v>
      </c>
    </row>
    <row r="126" spans="1:25" x14ac:dyDescent="0.25">
      <c r="A126" t="s">
        <v>88</v>
      </c>
      <c r="B126" t="s">
        <v>89</v>
      </c>
      <c r="C126" t="s">
        <v>48</v>
      </c>
      <c r="D126" t="s">
        <v>49</v>
      </c>
      <c r="E126" t="s">
        <v>50</v>
      </c>
      <c r="F126" t="s">
        <v>211</v>
      </c>
      <c r="P126" t="s">
        <v>44</v>
      </c>
      <c r="Q126" t="s">
        <v>44</v>
      </c>
      <c r="R126" t="s">
        <v>44</v>
      </c>
      <c r="S126" t="s">
        <v>44</v>
      </c>
      <c r="T126" t="s">
        <v>44</v>
      </c>
      <c r="U126" t="s">
        <v>44</v>
      </c>
      <c r="V126" t="s">
        <v>44</v>
      </c>
      <c r="W126" t="s">
        <v>44</v>
      </c>
      <c r="X126" t="s">
        <v>44</v>
      </c>
      <c r="Y126" t="s">
        <v>44</v>
      </c>
    </row>
    <row r="127" spans="1:25" x14ac:dyDescent="0.25">
      <c r="A127" t="s">
        <v>90</v>
      </c>
      <c r="B127" t="s">
        <v>91</v>
      </c>
      <c r="C127" t="s">
        <v>48</v>
      </c>
      <c r="D127" t="s">
        <v>49</v>
      </c>
      <c r="E127" t="s">
        <v>50</v>
      </c>
      <c r="F127" t="s">
        <v>211</v>
      </c>
      <c r="P127" t="s">
        <v>44</v>
      </c>
      <c r="Q127" t="s">
        <v>44</v>
      </c>
      <c r="R127" t="s">
        <v>44</v>
      </c>
      <c r="S127" t="s">
        <v>44</v>
      </c>
      <c r="T127" t="s">
        <v>44</v>
      </c>
      <c r="U127" t="s">
        <v>44</v>
      </c>
      <c r="V127" t="s">
        <v>44</v>
      </c>
      <c r="W127" t="s">
        <v>44</v>
      </c>
      <c r="X127" t="s">
        <v>44</v>
      </c>
      <c r="Y127" t="s">
        <v>44</v>
      </c>
    </row>
    <row r="128" spans="1:25" x14ac:dyDescent="0.25">
      <c r="A128" t="s">
        <v>92</v>
      </c>
      <c r="B128" t="s">
        <v>93</v>
      </c>
      <c r="C128" t="s">
        <v>48</v>
      </c>
      <c r="D128" t="s">
        <v>49</v>
      </c>
      <c r="E128" t="s">
        <v>50</v>
      </c>
      <c r="F128" t="s">
        <v>211</v>
      </c>
      <c r="P128" t="s">
        <v>44</v>
      </c>
      <c r="Q128" t="s">
        <v>44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 t="s">
        <v>44</v>
      </c>
      <c r="X128" t="s">
        <v>44</v>
      </c>
      <c r="Y128" t="s">
        <v>44</v>
      </c>
    </row>
    <row r="129" spans="1:25" x14ac:dyDescent="0.25">
      <c r="A129" t="s">
        <v>94</v>
      </c>
      <c r="B129" t="s">
        <v>95</v>
      </c>
      <c r="C129" t="s">
        <v>48</v>
      </c>
      <c r="D129" t="s">
        <v>49</v>
      </c>
      <c r="E129" t="s">
        <v>50</v>
      </c>
      <c r="F129" t="s">
        <v>211</v>
      </c>
      <c r="P129" t="s">
        <v>44</v>
      </c>
      <c r="Q129" t="s">
        <v>44</v>
      </c>
      <c r="R129" t="s">
        <v>44</v>
      </c>
      <c r="S129" t="s">
        <v>44</v>
      </c>
      <c r="T129" t="s">
        <v>44</v>
      </c>
      <c r="U129" t="s">
        <v>44</v>
      </c>
      <c r="V129" t="s">
        <v>44</v>
      </c>
      <c r="W129" t="s">
        <v>44</v>
      </c>
      <c r="X129" t="s">
        <v>44</v>
      </c>
      <c r="Y129" t="s">
        <v>44</v>
      </c>
    </row>
    <row r="130" spans="1:25" x14ac:dyDescent="0.25">
      <c r="A130" t="s">
        <v>96</v>
      </c>
      <c r="B130" t="s">
        <v>97</v>
      </c>
      <c r="C130" t="s">
        <v>48</v>
      </c>
      <c r="D130" t="s">
        <v>49</v>
      </c>
      <c r="E130" t="s">
        <v>50</v>
      </c>
      <c r="F130" t="s">
        <v>211</v>
      </c>
      <c r="P130" t="s">
        <v>44</v>
      </c>
      <c r="Q130" t="s">
        <v>44</v>
      </c>
      <c r="R130" t="s">
        <v>44</v>
      </c>
      <c r="S130" t="s">
        <v>44</v>
      </c>
      <c r="T130" t="s">
        <v>44</v>
      </c>
      <c r="U130" t="s">
        <v>44</v>
      </c>
      <c r="V130" t="s">
        <v>44</v>
      </c>
      <c r="W130" t="s">
        <v>44</v>
      </c>
      <c r="X130" t="s">
        <v>44</v>
      </c>
      <c r="Y130" t="s">
        <v>44</v>
      </c>
    </row>
    <row r="131" spans="1:25" x14ac:dyDescent="0.25">
      <c r="A131" t="s">
        <v>98</v>
      </c>
      <c r="B131" t="s">
        <v>99</v>
      </c>
      <c r="C131" t="s">
        <v>48</v>
      </c>
      <c r="D131" t="s">
        <v>49</v>
      </c>
      <c r="E131" t="s">
        <v>50</v>
      </c>
      <c r="F131" t="s">
        <v>211</v>
      </c>
      <c r="P131" t="s">
        <v>44</v>
      </c>
      <c r="Q131" t="s">
        <v>44</v>
      </c>
      <c r="R131" t="s">
        <v>44</v>
      </c>
      <c r="S131" t="s">
        <v>44</v>
      </c>
      <c r="T131" t="s">
        <v>44</v>
      </c>
      <c r="U131" t="s">
        <v>44</v>
      </c>
      <c r="V131" t="s">
        <v>44</v>
      </c>
      <c r="W131" t="s">
        <v>44</v>
      </c>
      <c r="X131" t="s">
        <v>44</v>
      </c>
      <c r="Y131" t="s">
        <v>44</v>
      </c>
    </row>
    <row r="132" spans="1:25" x14ac:dyDescent="0.25">
      <c r="A132" t="s">
        <v>100</v>
      </c>
      <c r="B132" t="s">
        <v>101</v>
      </c>
      <c r="C132" t="s">
        <v>48</v>
      </c>
      <c r="D132" t="s">
        <v>49</v>
      </c>
      <c r="E132" t="s">
        <v>50</v>
      </c>
      <c r="F132" t="s">
        <v>211</v>
      </c>
      <c r="P132" t="s">
        <v>44</v>
      </c>
      <c r="Q132" t="s">
        <v>44</v>
      </c>
      <c r="R132" t="s">
        <v>44</v>
      </c>
      <c r="S132" t="s">
        <v>44</v>
      </c>
      <c r="T132" t="s">
        <v>44</v>
      </c>
      <c r="U132" t="s">
        <v>44</v>
      </c>
      <c r="V132" t="s">
        <v>44</v>
      </c>
      <c r="W132" t="s">
        <v>44</v>
      </c>
      <c r="X132" t="s">
        <v>44</v>
      </c>
      <c r="Y132" t="s">
        <v>44</v>
      </c>
    </row>
    <row r="133" spans="1:25" x14ac:dyDescent="0.25">
      <c r="A133" t="s">
        <v>105</v>
      </c>
      <c r="B133" t="s">
        <v>106</v>
      </c>
      <c r="C133" t="s">
        <v>48</v>
      </c>
      <c r="D133" t="s">
        <v>49</v>
      </c>
      <c r="E133" t="s">
        <v>50</v>
      </c>
      <c r="F133" t="s">
        <v>211</v>
      </c>
      <c r="P133" t="s">
        <v>44</v>
      </c>
      <c r="Q133" t="s">
        <v>44</v>
      </c>
      <c r="R133" t="s">
        <v>44</v>
      </c>
      <c r="S133" t="s">
        <v>44</v>
      </c>
      <c r="T133" t="s">
        <v>44</v>
      </c>
      <c r="U133" t="s">
        <v>44</v>
      </c>
      <c r="V133" t="s">
        <v>44</v>
      </c>
      <c r="W133" t="s">
        <v>44</v>
      </c>
      <c r="X133" t="s">
        <v>44</v>
      </c>
      <c r="Y133" t="s">
        <v>44</v>
      </c>
    </row>
    <row r="134" spans="1:25" x14ac:dyDescent="0.25">
      <c r="A134" t="s">
        <v>109</v>
      </c>
      <c r="B134" t="s">
        <v>110</v>
      </c>
      <c r="C134" t="s">
        <v>48</v>
      </c>
      <c r="D134" t="s">
        <v>49</v>
      </c>
      <c r="E134" t="s">
        <v>50</v>
      </c>
      <c r="F134" t="s">
        <v>211</v>
      </c>
      <c r="P134" t="s">
        <v>44</v>
      </c>
      <c r="Q134" t="s">
        <v>44</v>
      </c>
      <c r="R134" t="s">
        <v>44</v>
      </c>
      <c r="S134" t="s">
        <v>44</v>
      </c>
      <c r="T134" t="s">
        <v>44</v>
      </c>
      <c r="U134" t="s">
        <v>44</v>
      </c>
      <c r="V134" t="s">
        <v>44</v>
      </c>
      <c r="W134" t="s">
        <v>44</v>
      </c>
      <c r="X134" t="s">
        <v>44</v>
      </c>
      <c r="Y134" t="s">
        <v>44</v>
      </c>
    </row>
    <row r="135" spans="1:25" x14ac:dyDescent="0.25">
      <c r="A135" t="s">
        <v>111</v>
      </c>
      <c r="B135" t="s">
        <v>112</v>
      </c>
      <c r="C135" t="s">
        <v>48</v>
      </c>
      <c r="D135" t="s">
        <v>49</v>
      </c>
      <c r="E135" t="s">
        <v>50</v>
      </c>
      <c r="F135" t="s">
        <v>211</v>
      </c>
      <c r="P135" t="s">
        <v>44</v>
      </c>
      <c r="Q135" t="s">
        <v>44</v>
      </c>
      <c r="R135" t="s">
        <v>44</v>
      </c>
      <c r="S135" t="s">
        <v>44</v>
      </c>
      <c r="T135" t="s">
        <v>44</v>
      </c>
      <c r="U135" t="s">
        <v>44</v>
      </c>
      <c r="V135" t="s">
        <v>44</v>
      </c>
      <c r="W135" t="s">
        <v>44</v>
      </c>
      <c r="X135" t="s">
        <v>44</v>
      </c>
      <c r="Y135" t="s">
        <v>44</v>
      </c>
    </row>
    <row r="136" spans="1:25" x14ac:dyDescent="0.25">
      <c r="A136" t="s">
        <v>113</v>
      </c>
      <c r="B136" t="s">
        <v>114</v>
      </c>
      <c r="C136" t="s">
        <v>48</v>
      </c>
      <c r="D136" t="s">
        <v>49</v>
      </c>
      <c r="E136" t="s">
        <v>50</v>
      </c>
      <c r="F136" t="s">
        <v>211</v>
      </c>
      <c r="P136" t="s">
        <v>44</v>
      </c>
      <c r="Q136" t="s">
        <v>44</v>
      </c>
      <c r="R136" t="s">
        <v>44</v>
      </c>
      <c r="S136" t="s">
        <v>44</v>
      </c>
      <c r="T136" t="s">
        <v>44</v>
      </c>
      <c r="U136" t="s">
        <v>44</v>
      </c>
      <c r="V136" t="s">
        <v>44</v>
      </c>
      <c r="W136" t="s">
        <v>44</v>
      </c>
      <c r="X136" t="s">
        <v>44</v>
      </c>
      <c r="Y136" t="s">
        <v>44</v>
      </c>
    </row>
    <row r="137" spans="1:25" x14ac:dyDescent="0.25">
      <c r="A137" t="s">
        <v>115</v>
      </c>
      <c r="B137" t="s">
        <v>116</v>
      </c>
      <c r="C137" t="s">
        <v>48</v>
      </c>
      <c r="D137" t="s">
        <v>49</v>
      </c>
      <c r="E137" t="s">
        <v>50</v>
      </c>
      <c r="F137" t="s">
        <v>211</v>
      </c>
      <c r="P137" t="s">
        <v>44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 t="s">
        <v>44</v>
      </c>
      <c r="X137" t="s">
        <v>44</v>
      </c>
      <c r="Y137" t="s">
        <v>44</v>
      </c>
    </row>
    <row r="138" spans="1:25" x14ac:dyDescent="0.25">
      <c r="A138" t="s">
        <v>117</v>
      </c>
      <c r="B138" t="s">
        <v>118</v>
      </c>
      <c r="C138" t="s">
        <v>48</v>
      </c>
      <c r="D138" t="s">
        <v>49</v>
      </c>
      <c r="E138" t="s">
        <v>50</v>
      </c>
      <c r="F138" t="s">
        <v>211</v>
      </c>
      <c r="P138" t="s">
        <v>44</v>
      </c>
      <c r="Q138" t="s">
        <v>44</v>
      </c>
      <c r="R138" t="s">
        <v>44</v>
      </c>
      <c r="S138" t="s">
        <v>44</v>
      </c>
      <c r="T138" t="s">
        <v>44</v>
      </c>
      <c r="U138" t="s">
        <v>44</v>
      </c>
      <c r="V138" t="s">
        <v>44</v>
      </c>
      <c r="W138" t="s">
        <v>44</v>
      </c>
      <c r="X138" t="s">
        <v>44</v>
      </c>
      <c r="Y138" t="s">
        <v>44</v>
      </c>
    </row>
    <row r="139" spans="1:25" x14ac:dyDescent="0.25">
      <c r="A139" t="s">
        <v>119</v>
      </c>
      <c r="B139" t="s">
        <v>120</v>
      </c>
      <c r="C139" t="s">
        <v>48</v>
      </c>
      <c r="D139" t="s">
        <v>49</v>
      </c>
      <c r="E139" t="s">
        <v>50</v>
      </c>
      <c r="F139" t="s">
        <v>211</v>
      </c>
      <c r="P139" t="s">
        <v>44</v>
      </c>
      <c r="Q139" t="s">
        <v>44</v>
      </c>
      <c r="R139" t="s">
        <v>44</v>
      </c>
      <c r="S139" t="s">
        <v>44</v>
      </c>
      <c r="T139" t="s">
        <v>44</v>
      </c>
      <c r="U139" t="s">
        <v>44</v>
      </c>
      <c r="V139" t="s">
        <v>44</v>
      </c>
      <c r="W139" t="s">
        <v>44</v>
      </c>
      <c r="X139" t="s">
        <v>44</v>
      </c>
      <c r="Y139" t="s">
        <v>44</v>
      </c>
    </row>
    <row r="140" spans="1:25" x14ac:dyDescent="0.25">
      <c r="A140" t="s">
        <v>121</v>
      </c>
      <c r="B140" t="s">
        <v>122</v>
      </c>
      <c r="C140" t="s">
        <v>48</v>
      </c>
      <c r="D140" t="s">
        <v>49</v>
      </c>
      <c r="E140" t="s">
        <v>50</v>
      </c>
      <c r="F140" t="s">
        <v>211</v>
      </c>
      <c r="P140" t="s">
        <v>44</v>
      </c>
      <c r="Q140" t="s">
        <v>44</v>
      </c>
      <c r="R140" t="s">
        <v>44</v>
      </c>
      <c r="S140" t="s">
        <v>44</v>
      </c>
      <c r="T140" t="s">
        <v>44</v>
      </c>
      <c r="U140" t="s">
        <v>44</v>
      </c>
      <c r="V140" t="s">
        <v>44</v>
      </c>
      <c r="W140" t="s">
        <v>44</v>
      </c>
      <c r="X140" t="s">
        <v>44</v>
      </c>
      <c r="Y140" t="s">
        <v>44</v>
      </c>
    </row>
    <row r="141" spans="1:25" x14ac:dyDescent="0.25">
      <c r="A141" t="s">
        <v>123</v>
      </c>
      <c r="B141" t="s">
        <v>124</v>
      </c>
      <c r="C141" t="s">
        <v>48</v>
      </c>
      <c r="D141" t="s">
        <v>49</v>
      </c>
      <c r="E141" t="s">
        <v>50</v>
      </c>
      <c r="F141" t="s">
        <v>211</v>
      </c>
      <c r="P141" t="s">
        <v>44</v>
      </c>
      <c r="Q141" t="s">
        <v>44</v>
      </c>
      <c r="R141" t="s">
        <v>44</v>
      </c>
      <c r="S141" t="s">
        <v>44</v>
      </c>
      <c r="T141" t="s">
        <v>44</v>
      </c>
      <c r="U141" t="s">
        <v>44</v>
      </c>
      <c r="V141" t="s">
        <v>44</v>
      </c>
      <c r="W141" t="s">
        <v>44</v>
      </c>
      <c r="X141" t="s">
        <v>44</v>
      </c>
      <c r="Y141" t="s">
        <v>44</v>
      </c>
    </row>
    <row r="142" spans="1:25" x14ac:dyDescent="0.25">
      <c r="A142" t="s">
        <v>125</v>
      </c>
      <c r="B142" t="s">
        <v>126</v>
      </c>
      <c r="C142" t="s">
        <v>48</v>
      </c>
      <c r="D142" t="s">
        <v>49</v>
      </c>
      <c r="E142" t="s">
        <v>50</v>
      </c>
      <c r="F142" t="s">
        <v>211</v>
      </c>
      <c r="P142" t="s">
        <v>44</v>
      </c>
      <c r="Q142" t="s">
        <v>44</v>
      </c>
      <c r="R142" t="s">
        <v>44</v>
      </c>
      <c r="S142" t="s">
        <v>44</v>
      </c>
      <c r="T142" t="s">
        <v>44</v>
      </c>
      <c r="U142" t="s">
        <v>44</v>
      </c>
      <c r="V142" t="s">
        <v>44</v>
      </c>
      <c r="W142" t="s">
        <v>44</v>
      </c>
      <c r="X142" t="s">
        <v>44</v>
      </c>
      <c r="Y142" t="s">
        <v>44</v>
      </c>
    </row>
    <row r="143" spans="1:25" x14ac:dyDescent="0.25">
      <c r="A143" t="s">
        <v>130</v>
      </c>
      <c r="B143" t="s">
        <v>131</v>
      </c>
      <c r="C143" t="s">
        <v>48</v>
      </c>
      <c r="D143" t="s">
        <v>49</v>
      </c>
      <c r="E143" t="s">
        <v>50</v>
      </c>
      <c r="F143" t="s">
        <v>211</v>
      </c>
      <c r="P143" t="s">
        <v>44</v>
      </c>
      <c r="Q143" t="s">
        <v>44</v>
      </c>
      <c r="R143" t="s">
        <v>44</v>
      </c>
      <c r="S143" t="s">
        <v>44</v>
      </c>
      <c r="T143" t="s">
        <v>44</v>
      </c>
      <c r="U143" t="s">
        <v>44</v>
      </c>
      <c r="V143" t="s">
        <v>44</v>
      </c>
      <c r="W143" t="s">
        <v>44</v>
      </c>
      <c r="X143" t="s">
        <v>44</v>
      </c>
      <c r="Y143" t="s">
        <v>44</v>
      </c>
    </row>
    <row r="144" spans="1:25" x14ac:dyDescent="0.25">
      <c r="A144" t="s">
        <v>132</v>
      </c>
      <c r="B144" t="s">
        <v>133</v>
      </c>
      <c r="C144" t="s">
        <v>48</v>
      </c>
      <c r="D144" t="s">
        <v>49</v>
      </c>
      <c r="E144" t="s">
        <v>50</v>
      </c>
      <c r="F144" t="s">
        <v>211</v>
      </c>
      <c r="P144" t="s">
        <v>44</v>
      </c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 t="s">
        <v>44</v>
      </c>
      <c r="X144" t="s">
        <v>44</v>
      </c>
      <c r="Y144" t="s">
        <v>44</v>
      </c>
    </row>
    <row r="145" spans="1:25" x14ac:dyDescent="0.25">
      <c r="A145" t="s">
        <v>134</v>
      </c>
      <c r="B145" t="s">
        <v>135</v>
      </c>
      <c r="C145" t="s">
        <v>48</v>
      </c>
      <c r="D145" t="s">
        <v>49</v>
      </c>
      <c r="E145" t="s">
        <v>50</v>
      </c>
      <c r="F145" t="s">
        <v>211</v>
      </c>
      <c r="P145" t="s">
        <v>44</v>
      </c>
      <c r="Q145" t="s">
        <v>44</v>
      </c>
      <c r="R145" t="s">
        <v>44</v>
      </c>
      <c r="S145" t="s">
        <v>44</v>
      </c>
      <c r="T145" t="s">
        <v>44</v>
      </c>
      <c r="U145" t="s">
        <v>44</v>
      </c>
      <c r="V145" t="s">
        <v>44</v>
      </c>
      <c r="W145" t="s">
        <v>44</v>
      </c>
      <c r="X145" t="s">
        <v>44</v>
      </c>
      <c r="Y145" t="s">
        <v>44</v>
      </c>
    </row>
    <row r="146" spans="1:25" x14ac:dyDescent="0.25">
      <c r="A146" t="s">
        <v>136</v>
      </c>
      <c r="B146" t="s">
        <v>137</v>
      </c>
      <c r="C146" t="s">
        <v>48</v>
      </c>
      <c r="D146" t="s">
        <v>49</v>
      </c>
      <c r="E146" t="s">
        <v>50</v>
      </c>
      <c r="F146" t="s">
        <v>211</v>
      </c>
      <c r="P146" t="s">
        <v>44</v>
      </c>
      <c r="Q146" t="s">
        <v>44</v>
      </c>
      <c r="R146" t="s">
        <v>44</v>
      </c>
      <c r="S146" t="s">
        <v>44</v>
      </c>
      <c r="T146" t="s">
        <v>44</v>
      </c>
      <c r="U146" t="s">
        <v>44</v>
      </c>
      <c r="V146" t="s">
        <v>44</v>
      </c>
      <c r="W146" t="s">
        <v>44</v>
      </c>
      <c r="X146" t="s">
        <v>44</v>
      </c>
      <c r="Y146" t="s">
        <v>44</v>
      </c>
    </row>
    <row r="147" spans="1:25" x14ac:dyDescent="0.25">
      <c r="A147" t="s">
        <v>138</v>
      </c>
      <c r="B147" t="s">
        <v>139</v>
      </c>
      <c r="C147" t="s">
        <v>48</v>
      </c>
      <c r="D147" t="s">
        <v>49</v>
      </c>
      <c r="E147" t="s">
        <v>50</v>
      </c>
      <c r="F147" t="s">
        <v>211</v>
      </c>
      <c r="P147" t="s">
        <v>44</v>
      </c>
      <c r="Q147" t="s">
        <v>44</v>
      </c>
      <c r="R147" t="s">
        <v>44</v>
      </c>
      <c r="S147" t="s">
        <v>44</v>
      </c>
      <c r="T147" t="s">
        <v>44</v>
      </c>
      <c r="U147" t="s">
        <v>44</v>
      </c>
      <c r="V147" t="s">
        <v>44</v>
      </c>
      <c r="W147" t="s">
        <v>44</v>
      </c>
      <c r="X147" t="s">
        <v>44</v>
      </c>
      <c r="Y147" t="s">
        <v>44</v>
      </c>
    </row>
    <row r="148" spans="1:25" x14ac:dyDescent="0.25">
      <c r="A148" t="s">
        <v>140</v>
      </c>
      <c r="B148" t="s">
        <v>141</v>
      </c>
      <c r="C148" t="s">
        <v>48</v>
      </c>
      <c r="D148" t="s">
        <v>49</v>
      </c>
      <c r="E148" t="s">
        <v>50</v>
      </c>
      <c r="F148" t="s">
        <v>211</v>
      </c>
      <c r="P148" t="s">
        <v>44</v>
      </c>
      <c r="Q148" t="s">
        <v>44</v>
      </c>
      <c r="R148" t="s">
        <v>44</v>
      </c>
      <c r="S148" t="s">
        <v>44</v>
      </c>
      <c r="T148" t="s">
        <v>44</v>
      </c>
      <c r="U148" t="s">
        <v>44</v>
      </c>
      <c r="V148" t="s">
        <v>44</v>
      </c>
      <c r="W148" t="s">
        <v>44</v>
      </c>
      <c r="X148" t="s">
        <v>44</v>
      </c>
      <c r="Y148" t="s">
        <v>44</v>
      </c>
    </row>
    <row r="149" spans="1:25" x14ac:dyDescent="0.25">
      <c r="A149" t="s">
        <v>142</v>
      </c>
      <c r="B149" t="s">
        <v>143</v>
      </c>
      <c r="C149" t="s">
        <v>48</v>
      </c>
      <c r="D149" t="s">
        <v>49</v>
      </c>
      <c r="E149" t="s">
        <v>50</v>
      </c>
      <c r="F149" t="s">
        <v>211</v>
      </c>
      <c r="P149" t="s">
        <v>44</v>
      </c>
      <c r="Q149" t="s">
        <v>44</v>
      </c>
      <c r="R149" t="s">
        <v>44</v>
      </c>
      <c r="S149" t="s">
        <v>44</v>
      </c>
      <c r="T149" t="s">
        <v>44</v>
      </c>
      <c r="U149" t="s">
        <v>44</v>
      </c>
      <c r="V149" t="s">
        <v>44</v>
      </c>
      <c r="W149" t="s">
        <v>44</v>
      </c>
      <c r="X149" t="s">
        <v>44</v>
      </c>
      <c r="Y149" t="s">
        <v>44</v>
      </c>
    </row>
    <row r="150" spans="1:25" x14ac:dyDescent="0.25">
      <c r="A150" t="s">
        <v>144</v>
      </c>
      <c r="B150" t="s">
        <v>145</v>
      </c>
      <c r="C150" t="s">
        <v>48</v>
      </c>
      <c r="D150" t="s">
        <v>49</v>
      </c>
      <c r="E150" t="s">
        <v>50</v>
      </c>
      <c r="F150" t="s">
        <v>211</v>
      </c>
      <c r="P150" t="s">
        <v>44</v>
      </c>
      <c r="Q150" t="s">
        <v>44</v>
      </c>
      <c r="R150" t="s">
        <v>44</v>
      </c>
      <c r="S150" t="s">
        <v>44</v>
      </c>
      <c r="T150" t="s">
        <v>44</v>
      </c>
      <c r="U150" t="s">
        <v>44</v>
      </c>
      <c r="V150" t="s">
        <v>44</v>
      </c>
      <c r="W150" t="s">
        <v>44</v>
      </c>
      <c r="X150" t="s">
        <v>44</v>
      </c>
      <c r="Y150" t="s">
        <v>44</v>
      </c>
    </row>
    <row r="151" spans="1:25" x14ac:dyDescent="0.25">
      <c r="A151" t="s">
        <v>147</v>
      </c>
      <c r="B151" t="s">
        <v>148</v>
      </c>
      <c r="C151" t="s">
        <v>48</v>
      </c>
      <c r="D151" t="s">
        <v>49</v>
      </c>
      <c r="E151" t="s">
        <v>50</v>
      </c>
      <c r="F151" t="s">
        <v>211</v>
      </c>
      <c r="P151" t="s">
        <v>44</v>
      </c>
      <c r="Q151" t="s">
        <v>44</v>
      </c>
      <c r="R151" t="s">
        <v>44</v>
      </c>
      <c r="S151" t="s">
        <v>44</v>
      </c>
      <c r="T151" t="s">
        <v>44</v>
      </c>
      <c r="U151" t="s">
        <v>44</v>
      </c>
      <c r="V151" t="s">
        <v>44</v>
      </c>
      <c r="W151" t="s">
        <v>44</v>
      </c>
      <c r="X151" t="s">
        <v>44</v>
      </c>
      <c r="Y151" t="s">
        <v>44</v>
      </c>
    </row>
    <row r="152" spans="1:25" x14ac:dyDescent="0.25">
      <c r="A152" t="s">
        <v>149</v>
      </c>
      <c r="B152" t="s">
        <v>150</v>
      </c>
      <c r="C152" t="s">
        <v>48</v>
      </c>
      <c r="D152" t="s">
        <v>49</v>
      </c>
      <c r="E152" t="s">
        <v>50</v>
      </c>
      <c r="F152" t="s">
        <v>211</v>
      </c>
      <c r="P152" t="s">
        <v>44</v>
      </c>
      <c r="Q152" t="s">
        <v>44</v>
      </c>
      <c r="R152" t="s">
        <v>44</v>
      </c>
      <c r="S152" t="s">
        <v>44</v>
      </c>
      <c r="T152" t="s">
        <v>44</v>
      </c>
      <c r="U152" t="s">
        <v>44</v>
      </c>
      <c r="V152" t="s">
        <v>44</v>
      </c>
      <c r="W152" t="s">
        <v>44</v>
      </c>
      <c r="X152" t="s">
        <v>44</v>
      </c>
      <c r="Y152" t="s">
        <v>44</v>
      </c>
    </row>
    <row r="153" spans="1:25" x14ac:dyDescent="0.25">
      <c r="A153" t="s">
        <v>151</v>
      </c>
      <c r="B153" t="s">
        <v>152</v>
      </c>
      <c r="C153" t="s">
        <v>48</v>
      </c>
      <c r="D153" t="s">
        <v>49</v>
      </c>
      <c r="E153" t="s">
        <v>50</v>
      </c>
      <c r="F153" t="s">
        <v>211</v>
      </c>
      <c r="P153" t="s">
        <v>44</v>
      </c>
      <c r="Q153" t="s">
        <v>44</v>
      </c>
      <c r="R153" t="s">
        <v>44</v>
      </c>
      <c r="S153" t="s">
        <v>44</v>
      </c>
      <c r="T153" t="s">
        <v>44</v>
      </c>
      <c r="U153" t="s">
        <v>44</v>
      </c>
      <c r="V153" t="s">
        <v>44</v>
      </c>
      <c r="W153" t="s">
        <v>44</v>
      </c>
      <c r="X153" t="s">
        <v>44</v>
      </c>
      <c r="Y153" t="s">
        <v>44</v>
      </c>
    </row>
    <row r="154" spans="1:25" x14ac:dyDescent="0.25">
      <c r="A154" t="s">
        <v>153</v>
      </c>
      <c r="B154" t="s">
        <v>154</v>
      </c>
      <c r="C154" t="s">
        <v>48</v>
      </c>
      <c r="D154" t="s">
        <v>49</v>
      </c>
      <c r="E154" t="s">
        <v>50</v>
      </c>
      <c r="F154" t="s">
        <v>211</v>
      </c>
      <c r="P154" t="s">
        <v>44</v>
      </c>
      <c r="Q154" t="s">
        <v>44</v>
      </c>
      <c r="R154" t="s">
        <v>44</v>
      </c>
      <c r="S154" t="s">
        <v>44</v>
      </c>
      <c r="T154" t="s">
        <v>44</v>
      </c>
      <c r="U154" t="s">
        <v>44</v>
      </c>
      <c r="V154" t="s">
        <v>44</v>
      </c>
      <c r="W154" t="s">
        <v>44</v>
      </c>
      <c r="X154" t="s">
        <v>44</v>
      </c>
      <c r="Y154" t="s">
        <v>44</v>
      </c>
    </row>
    <row r="155" spans="1:25" x14ac:dyDescent="0.25">
      <c r="A155" t="s">
        <v>155</v>
      </c>
      <c r="B155" t="s">
        <v>156</v>
      </c>
      <c r="C155" t="s">
        <v>48</v>
      </c>
      <c r="D155" t="s">
        <v>49</v>
      </c>
      <c r="E155" t="s">
        <v>50</v>
      </c>
      <c r="F155" t="s">
        <v>211</v>
      </c>
      <c r="P155" t="s">
        <v>44</v>
      </c>
      <c r="Q155" t="s">
        <v>44</v>
      </c>
      <c r="R155" t="s">
        <v>44</v>
      </c>
      <c r="S155" t="s">
        <v>44</v>
      </c>
      <c r="T155" t="s">
        <v>44</v>
      </c>
      <c r="U155" t="s">
        <v>44</v>
      </c>
      <c r="V155" t="s">
        <v>44</v>
      </c>
      <c r="W155" t="s">
        <v>44</v>
      </c>
      <c r="X155" t="s">
        <v>44</v>
      </c>
      <c r="Y155" t="s">
        <v>44</v>
      </c>
    </row>
    <row r="156" spans="1:25" x14ac:dyDescent="0.25">
      <c r="A156" t="s">
        <v>157</v>
      </c>
      <c r="B156" t="s">
        <v>158</v>
      </c>
      <c r="C156" t="s">
        <v>48</v>
      </c>
      <c r="D156" t="s">
        <v>49</v>
      </c>
      <c r="E156" t="s">
        <v>50</v>
      </c>
      <c r="F156" t="s">
        <v>211</v>
      </c>
      <c r="P156" t="s">
        <v>44</v>
      </c>
      <c r="Q156" t="s">
        <v>44</v>
      </c>
      <c r="R156" t="s">
        <v>44</v>
      </c>
      <c r="S156" t="s">
        <v>44</v>
      </c>
      <c r="T156" t="s">
        <v>44</v>
      </c>
      <c r="U156" t="s">
        <v>44</v>
      </c>
      <c r="V156" t="s">
        <v>44</v>
      </c>
      <c r="W156" t="s">
        <v>44</v>
      </c>
      <c r="X156" t="s">
        <v>44</v>
      </c>
      <c r="Y156" t="s">
        <v>44</v>
      </c>
    </row>
    <row r="157" spans="1:25" x14ac:dyDescent="0.25">
      <c r="A157" t="s">
        <v>159</v>
      </c>
      <c r="B157" t="s">
        <v>160</v>
      </c>
      <c r="C157" t="s">
        <v>48</v>
      </c>
      <c r="D157" t="s">
        <v>49</v>
      </c>
      <c r="E157" t="s">
        <v>50</v>
      </c>
      <c r="F157" t="s">
        <v>211</v>
      </c>
      <c r="P157" t="s">
        <v>44</v>
      </c>
      <c r="Q157" t="s">
        <v>44</v>
      </c>
      <c r="R157" t="s">
        <v>44</v>
      </c>
      <c r="S157" t="s">
        <v>44</v>
      </c>
      <c r="T157" t="s">
        <v>44</v>
      </c>
      <c r="U157" t="s">
        <v>44</v>
      </c>
      <c r="V157" t="s">
        <v>44</v>
      </c>
      <c r="W157" t="s">
        <v>44</v>
      </c>
      <c r="X157" t="s">
        <v>44</v>
      </c>
      <c r="Y157" t="s">
        <v>44</v>
      </c>
    </row>
    <row r="158" spans="1:25" x14ac:dyDescent="0.25">
      <c r="A158" t="s">
        <v>161</v>
      </c>
      <c r="B158" t="s">
        <v>162</v>
      </c>
      <c r="C158" t="s">
        <v>48</v>
      </c>
      <c r="D158" t="s">
        <v>49</v>
      </c>
      <c r="E158" t="s">
        <v>50</v>
      </c>
      <c r="F158" t="s">
        <v>211</v>
      </c>
      <c r="P158" t="s">
        <v>44</v>
      </c>
      <c r="Q158" t="s">
        <v>44</v>
      </c>
      <c r="R158" t="s">
        <v>44</v>
      </c>
      <c r="S158" t="s">
        <v>44</v>
      </c>
      <c r="T158" t="s">
        <v>44</v>
      </c>
      <c r="U158" t="s">
        <v>44</v>
      </c>
      <c r="V158" t="s">
        <v>44</v>
      </c>
      <c r="W158" t="s">
        <v>44</v>
      </c>
      <c r="X158" t="s">
        <v>44</v>
      </c>
      <c r="Y158" t="s">
        <v>44</v>
      </c>
    </row>
    <row r="159" spans="1:25" x14ac:dyDescent="0.25">
      <c r="A159" t="s">
        <v>164</v>
      </c>
      <c r="B159" t="s">
        <v>165</v>
      </c>
      <c r="C159" t="s">
        <v>48</v>
      </c>
      <c r="D159" t="s">
        <v>49</v>
      </c>
      <c r="E159" t="s">
        <v>50</v>
      </c>
      <c r="F159" t="s">
        <v>211</v>
      </c>
      <c r="P159" t="s">
        <v>44</v>
      </c>
      <c r="Q159" t="s">
        <v>44</v>
      </c>
      <c r="R159" t="s">
        <v>44</v>
      </c>
      <c r="S159" t="s">
        <v>44</v>
      </c>
      <c r="T159" t="s">
        <v>44</v>
      </c>
      <c r="U159" t="s">
        <v>44</v>
      </c>
      <c r="V159" t="s">
        <v>44</v>
      </c>
      <c r="W159" t="s">
        <v>44</v>
      </c>
      <c r="X159" t="s">
        <v>44</v>
      </c>
      <c r="Y159" t="s">
        <v>44</v>
      </c>
    </row>
    <row r="160" spans="1:25" x14ac:dyDescent="0.25">
      <c r="A160" t="s">
        <v>166</v>
      </c>
      <c r="B160" t="s">
        <v>167</v>
      </c>
      <c r="C160" t="s">
        <v>48</v>
      </c>
      <c r="D160" t="s">
        <v>49</v>
      </c>
      <c r="E160" t="s">
        <v>50</v>
      </c>
      <c r="F160" t="s">
        <v>211</v>
      </c>
      <c r="P160" t="s">
        <v>44</v>
      </c>
      <c r="Q160" t="s">
        <v>44</v>
      </c>
      <c r="R160" t="s">
        <v>44</v>
      </c>
      <c r="S160" t="s">
        <v>44</v>
      </c>
      <c r="T160" t="s">
        <v>44</v>
      </c>
      <c r="U160" t="s">
        <v>44</v>
      </c>
      <c r="V160" t="s">
        <v>44</v>
      </c>
      <c r="W160" t="s">
        <v>44</v>
      </c>
      <c r="X160" t="s">
        <v>44</v>
      </c>
      <c r="Y160" t="s">
        <v>44</v>
      </c>
    </row>
    <row r="161" spans="1:25" x14ac:dyDescent="0.25">
      <c r="A161" t="s">
        <v>168</v>
      </c>
      <c r="B161" t="s">
        <v>169</v>
      </c>
      <c r="C161" t="s">
        <v>48</v>
      </c>
      <c r="D161" t="s">
        <v>49</v>
      </c>
      <c r="E161" t="s">
        <v>50</v>
      </c>
      <c r="F161" t="s">
        <v>211</v>
      </c>
      <c r="P161" t="s">
        <v>44</v>
      </c>
      <c r="Q161" t="s">
        <v>44</v>
      </c>
      <c r="R161" t="s">
        <v>44</v>
      </c>
      <c r="S161" t="s">
        <v>44</v>
      </c>
      <c r="T161" t="s">
        <v>44</v>
      </c>
      <c r="U161" t="s">
        <v>44</v>
      </c>
      <c r="V161" t="s">
        <v>44</v>
      </c>
      <c r="W161" t="s">
        <v>44</v>
      </c>
      <c r="X161" t="s">
        <v>44</v>
      </c>
      <c r="Y161" t="s">
        <v>44</v>
      </c>
    </row>
    <row r="162" spans="1:25" x14ac:dyDescent="0.25">
      <c r="A162" t="s">
        <v>170</v>
      </c>
      <c r="B162" t="s">
        <v>171</v>
      </c>
      <c r="C162" t="s">
        <v>48</v>
      </c>
      <c r="D162" t="s">
        <v>49</v>
      </c>
      <c r="E162" t="s">
        <v>50</v>
      </c>
      <c r="F162" t="s">
        <v>211</v>
      </c>
      <c r="P162" t="s">
        <v>44</v>
      </c>
      <c r="Q162" t="s">
        <v>44</v>
      </c>
      <c r="R162" t="s">
        <v>44</v>
      </c>
      <c r="S162" t="s">
        <v>44</v>
      </c>
      <c r="T162" t="s">
        <v>44</v>
      </c>
      <c r="U162" t="s">
        <v>44</v>
      </c>
      <c r="V162" t="s">
        <v>44</v>
      </c>
      <c r="W162" t="s">
        <v>44</v>
      </c>
      <c r="X162" t="s">
        <v>44</v>
      </c>
      <c r="Y162" t="s">
        <v>44</v>
      </c>
    </row>
    <row r="163" spans="1:25" x14ac:dyDescent="0.25">
      <c r="A163" t="s">
        <v>172</v>
      </c>
      <c r="B163" t="s">
        <v>173</v>
      </c>
      <c r="C163" t="s">
        <v>48</v>
      </c>
      <c r="D163" t="s">
        <v>49</v>
      </c>
      <c r="E163" t="s">
        <v>50</v>
      </c>
      <c r="F163" t="s">
        <v>211</v>
      </c>
      <c r="P163" t="s">
        <v>44</v>
      </c>
      <c r="Q163" t="s">
        <v>44</v>
      </c>
      <c r="R163" t="s">
        <v>44</v>
      </c>
      <c r="S163" t="s">
        <v>44</v>
      </c>
      <c r="T163" t="s">
        <v>44</v>
      </c>
      <c r="U163" t="s">
        <v>44</v>
      </c>
      <c r="V163" t="s">
        <v>44</v>
      </c>
      <c r="W163" t="s">
        <v>44</v>
      </c>
      <c r="X163" t="s">
        <v>44</v>
      </c>
      <c r="Y163" t="s">
        <v>44</v>
      </c>
    </row>
    <row r="164" spans="1:25" x14ac:dyDescent="0.25">
      <c r="A164" t="s">
        <v>174</v>
      </c>
      <c r="B164" t="s">
        <v>175</v>
      </c>
      <c r="C164" t="s">
        <v>48</v>
      </c>
      <c r="D164" t="s">
        <v>49</v>
      </c>
      <c r="E164" t="s">
        <v>50</v>
      </c>
      <c r="F164" t="s">
        <v>211</v>
      </c>
      <c r="P164" t="s">
        <v>44</v>
      </c>
      <c r="Q164" t="s">
        <v>44</v>
      </c>
      <c r="R164" t="s">
        <v>44</v>
      </c>
      <c r="S164" t="s">
        <v>44</v>
      </c>
      <c r="T164" t="s">
        <v>44</v>
      </c>
      <c r="U164" t="s">
        <v>44</v>
      </c>
      <c r="V164" t="s">
        <v>44</v>
      </c>
      <c r="W164" t="s">
        <v>44</v>
      </c>
      <c r="X164" t="s">
        <v>44</v>
      </c>
      <c r="Y164" t="s">
        <v>44</v>
      </c>
    </row>
    <row r="165" spans="1:25" x14ac:dyDescent="0.25">
      <c r="A165" t="s">
        <v>100</v>
      </c>
      <c r="B165" t="s">
        <v>176</v>
      </c>
      <c r="C165" t="s">
        <v>48</v>
      </c>
      <c r="D165" t="s">
        <v>49</v>
      </c>
      <c r="E165" t="s">
        <v>50</v>
      </c>
      <c r="F165" t="s">
        <v>211</v>
      </c>
      <c r="P165" t="s">
        <v>44</v>
      </c>
      <c r="Q165" t="s">
        <v>44</v>
      </c>
      <c r="R165" t="s">
        <v>44</v>
      </c>
      <c r="S165" t="s">
        <v>44</v>
      </c>
      <c r="T165" t="s">
        <v>44</v>
      </c>
      <c r="U165" t="s">
        <v>44</v>
      </c>
      <c r="V165" t="s">
        <v>44</v>
      </c>
      <c r="W165" t="s">
        <v>44</v>
      </c>
      <c r="X165" t="s">
        <v>44</v>
      </c>
      <c r="Y165" t="s">
        <v>44</v>
      </c>
    </row>
    <row r="166" spans="1:25" x14ac:dyDescent="0.25">
      <c r="A166" t="s">
        <v>177</v>
      </c>
      <c r="B166" t="s">
        <v>178</v>
      </c>
      <c r="C166" t="s">
        <v>48</v>
      </c>
      <c r="D166" t="s">
        <v>49</v>
      </c>
      <c r="E166" t="s">
        <v>50</v>
      </c>
      <c r="F166" t="s">
        <v>211</v>
      </c>
      <c r="P166" t="s">
        <v>44</v>
      </c>
      <c r="Q166" t="s">
        <v>44</v>
      </c>
      <c r="R166" t="s">
        <v>44</v>
      </c>
      <c r="S166" t="s">
        <v>44</v>
      </c>
      <c r="T166" t="s">
        <v>44</v>
      </c>
      <c r="U166" t="s">
        <v>44</v>
      </c>
      <c r="V166" t="s">
        <v>44</v>
      </c>
      <c r="W166" t="s">
        <v>44</v>
      </c>
      <c r="X166" t="s">
        <v>44</v>
      </c>
      <c r="Y166" t="s">
        <v>44</v>
      </c>
    </row>
    <row r="167" spans="1:25" x14ac:dyDescent="0.25">
      <c r="A167" t="s">
        <v>179</v>
      </c>
      <c r="B167" t="s">
        <v>180</v>
      </c>
      <c r="C167" t="s">
        <v>48</v>
      </c>
      <c r="D167" t="s">
        <v>49</v>
      </c>
      <c r="E167" t="s">
        <v>50</v>
      </c>
      <c r="F167" t="s">
        <v>211</v>
      </c>
      <c r="P167" t="s">
        <v>44</v>
      </c>
      <c r="Q167" t="s">
        <v>44</v>
      </c>
      <c r="R167" t="s">
        <v>44</v>
      </c>
      <c r="S167" t="s">
        <v>44</v>
      </c>
      <c r="T167" t="s">
        <v>44</v>
      </c>
      <c r="U167" t="s">
        <v>44</v>
      </c>
      <c r="V167" t="s">
        <v>44</v>
      </c>
      <c r="W167" t="s">
        <v>44</v>
      </c>
      <c r="X167" t="s">
        <v>44</v>
      </c>
      <c r="Y167" t="s">
        <v>44</v>
      </c>
    </row>
    <row r="168" spans="1:25" x14ac:dyDescent="0.25">
      <c r="A168" t="s">
        <v>181</v>
      </c>
      <c r="B168" t="s">
        <v>182</v>
      </c>
      <c r="C168" t="s">
        <v>48</v>
      </c>
      <c r="D168" t="s">
        <v>49</v>
      </c>
      <c r="E168" t="s">
        <v>50</v>
      </c>
      <c r="F168" t="s">
        <v>211</v>
      </c>
      <c r="P168" t="s">
        <v>44</v>
      </c>
      <c r="Q168" t="s">
        <v>44</v>
      </c>
      <c r="R168" t="s">
        <v>44</v>
      </c>
      <c r="S168" t="s">
        <v>44</v>
      </c>
      <c r="T168" t="s">
        <v>44</v>
      </c>
      <c r="U168" t="s">
        <v>44</v>
      </c>
      <c r="V168" t="s">
        <v>44</v>
      </c>
      <c r="W168" t="s">
        <v>44</v>
      </c>
      <c r="X168" t="s">
        <v>44</v>
      </c>
      <c r="Y168" t="s">
        <v>44</v>
      </c>
    </row>
    <row r="169" spans="1:25" x14ac:dyDescent="0.25">
      <c r="A169" t="s">
        <v>183</v>
      </c>
      <c r="B169" t="s">
        <v>184</v>
      </c>
      <c r="C169" t="s">
        <v>48</v>
      </c>
      <c r="D169" t="s">
        <v>49</v>
      </c>
      <c r="E169" t="s">
        <v>50</v>
      </c>
      <c r="F169" t="s">
        <v>211</v>
      </c>
      <c r="P169" t="s">
        <v>44</v>
      </c>
      <c r="Q169" t="s">
        <v>44</v>
      </c>
      <c r="R169" t="s">
        <v>44</v>
      </c>
      <c r="S169" t="s">
        <v>44</v>
      </c>
      <c r="T169" t="s">
        <v>44</v>
      </c>
      <c r="U169" t="s">
        <v>44</v>
      </c>
      <c r="V169" t="s">
        <v>44</v>
      </c>
      <c r="W169" t="s">
        <v>44</v>
      </c>
      <c r="X169" t="s">
        <v>44</v>
      </c>
      <c r="Y169" t="s">
        <v>44</v>
      </c>
    </row>
    <row r="170" spans="1:25" x14ac:dyDescent="0.25">
      <c r="A170" t="s">
        <v>185</v>
      </c>
      <c r="B170" t="s">
        <v>186</v>
      </c>
      <c r="C170" t="s">
        <v>48</v>
      </c>
      <c r="D170" t="s">
        <v>49</v>
      </c>
      <c r="E170" t="s">
        <v>50</v>
      </c>
      <c r="F170" t="s">
        <v>211</v>
      </c>
      <c r="P170" t="s">
        <v>44</v>
      </c>
      <c r="Q170" t="s">
        <v>44</v>
      </c>
      <c r="R170" t="s">
        <v>44</v>
      </c>
      <c r="S170" t="s">
        <v>44</v>
      </c>
      <c r="T170" t="s">
        <v>44</v>
      </c>
      <c r="U170" t="s">
        <v>44</v>
      </c>
      <c r="V170" t="s">
        <v>44</v>
      </c>
      <c r="W170" t="s">
        <v>44</v>
      </c>
      <c r="X170" t="s">
        <v>44</v>
      </c>
      <c r="Y170" t="s">
        <v>44</v>
      </c>
    </row>
    <row r="171" spans="1:25" x14ac:dyDescent="0.25">
      <c r="A171" t="s">
        <v>187</v>
      </c>
      <c r="B171" t="s">
        <v>188</v>
      </c>
      <c r="C171" t="s">
        <v>48</v>
      </c>
      <c r="D171" t="s">
        <v>49</v>
      </c>
      <c r="E171" t="s">
        <v>50</v>
      </c>
      <c r="F171" t="s">
        <v>211</v>
      </c>
      <c r="P171" t="s">
        <v>44</v>
      </c>
      <c r="Q171" t="s">
        <v>44</v>
      </c>
      <c r="R171" t="s">
        <v>44</v>
      </c>
      <c r="S171" t="s">
        <v>44</v>
      </c>
      <c r="T171" t="s">
        <v>44</v>
      </c>
      <c r="U171" t="s">
        <v>44</v>
      </c>
      <c r="V171" t="s">
        <v>44</v>
      </c>
      <c r="W171" t="s">
        <v>44</v>
      </c>
      <c r="X171" t="s">
        <v>44</v>
      </c>
      <c r="Y171" t="s">
        <v>44</v>
      </c>
    </row>
    <row r="172" spans="1:25" x14ac:dyDescent="0.25">
      <c r="A172" t="s">
        <v>190</v>
      </c>
      <c r="B172" t="s">
        <v>191</v>
      </c>
      <c r="C172" t="s">
        <v>48</v>
      </c>
      <c r="D172" t="s">
        <v>49</v>
      </c>
      <c r="E172" t="s">
        <v>50</v>
      </c>
      <c r="F172" t="s">
        <v>211</v>
      </c>
      <c r="P172" t="s">
        <v>44</v>
      </c>
      <c r="Q172" t="s">
        <v>44</v>
      </c>
      <c r="R172" t="s">
        <v>44</v>
      </c>
      <c r="S172" t="s">
        <v>44</v>
      </c>
      <c r="T172" t="s">
        <v>44</v>
      </c>
      <c r="U172" t="s">
        <v>44</v>
      </c>
      <c r="V172" t="s">
        <v>44</v>
      </c>
      <c r="W172" t="s">
        <v>44</v>
      </c>
      <c r="X172" t="s">
        <v>44</v>
      </c>
      <c r="Y172" t="s">
        <v>44</v>
      </c>
    </row>
    <row r="173" spans="1:25" x14ac:dyDescent="0.25">
      <c r="A173" t="s">
        <v>192</v>
      </c>
      <c r="B173" t="s">
        <v>193</v>
      </c>
      <c r="C173" t="s">
        <v>48</v>
      </c>
      <c r="D173" t="s">
        <v>49</v>
      </c>
      <c r="E173" t="s">
        <v>50</v>
      </c>
      <c r="F173" t="s">
        <v>211</v>
      </c>
      <c r="P173" t="s">
        <v>44</v>
      </c>
      <c r="Q173" t="s">
        <v>44</v>
      </c>
      <c r="R173" t="s">
        <v>44</v>
      </c>
      <c r="S173" t="s">
        <v>44</v>
      </c>
      <c r="T173" t="s">
        <v>44</v>
      </c>
      <c r="U173" t="s">
        <v>44</v>
      </c>
      <c r="V173" t="s">
        <v>44</v>
      </c>
      <c r="W173" t="s">
        <v>44</v>
      </c>
      <c r="X173" t="s">
        <v>44</v>
      </c>
      <c r="Y173" t="s">
        <v>44</v>
      </c>
    </row>
    <row r="174" spans="1:25" x14ac:dyDescent="0.25">
      <c r="A174" t="s">
        <v>194</v>
      </c>
      <c r="B174" t="s">
        <v>195</v>
      </c>
      <c r="C174" t="s">
        <v>48</v>
      </c>
      <c r="D174" t="s">
        <v>49</v>
      </c>
      <c r="E174" t="s">
        <v>50</v>
      </c>
      <c r="F174" t="s">
        <v>211</v>
      </c>
      <c r="P174" t="s">
        <v>44</v>
      </c>
      <c r="Q174" t="s">
        <v>44</v>
      </c>
      <c r="R174" t="s">
        <v>44</v>
      </c>
      <c r="S174" t="s">
        <v>44</v>
      </c>
      <c r="T174" t="s">
        <v>44</v>
      </c>
      <c r="U174" t="s">
        <v>44</v>
      </c>
      <c r="V174" t="s">
        <v>44</v>
      </c>
      <c r="W174" t="s">
        <v>44</v>
      </c>
      <c r="X174" t="s">
        <v>44</v>
      </c>
      <c r="Y174" t="s">
        <v>44</v>
      </c>
    </row>
    <row r="175" spans="1:25" x14ac:dyDescent="0.25">
      <c r="A175" t="s">
        <v>196</v>
      </c>
      <c r="B175" t="s">
        <v>197</v>
      </c>
      <c r="C175" t="s">
        <v>48</v>
      </c>
      <c r="D175" t="s">
        <v>49</v>
      </c>
      <c r="E175" t="s">
        <v>50</v>
      </c>
      <c r="F175" t="s">
        <v>211</v>
      </c>
      <c r="P175" t="s">
        <v>44</v>
      </c>
      <c r="Q175" t="s">
        <v>44</v>
      </c>
      <c r="R175" t="s">
        <v>44</v>
      </c>
      <c r="S175" t="s">
        <v>44</v>
      </c>
      <c r="T175" t="s">
        <v>44</v>
      </c>
      <c r="U175" t="s">
        <v>44</v>
      </c>
      <c r="V175" t="s">
        <v>44</v>
      </c>
      <c r="W175" t="s">
        <v>44</v>
      </c>
      <c r="X175" t="s">
        <v>44</v>
      </c>
      <c r="Y175" t="s">
        <v>44</v>
      </c>
    </row>
    <row r="176" spans="1:25" x14ac:dyDescent="0.25">
      <c r="A176" t="s">
        <v>44</v>
      </c>
      <c r="B176" t="s">
        <v>44</v>
      </c>
      <c r="C176" t="s">
        <v>44</v>
      </c>
      <c r="D176" t="s">
        <v>44</v>
      </c>
      <c r="E176" t="s">
        <v>44</v>
      </c>
      <c r="P176" t="s">
        <v>44</v>
      </c>
      <c r="Q176" t="s">
        <v>44</v>
      </c>
      <c r="R176" t="s">
        <v>44</v>
      </c>
      <c r="S176" t="s">
        <v>44</v>
      </c>
      <c r="T176" t="s">
        <v>44</v>
      </c>
      <c r="U176" t="s">
        <v>44</v>
      </c>
      <c r="V176" t="s">
        <v>44</v>
      </c>
      <c r="W176" t="s">
        <v>44</v>
      </c>
      <c r="X176" t="s">
        <v>44</v>
      </c>
      <c r="Y176" t="s">
        <v>44</v>
      </c>
    </row>
    <row r="177" spans="1:25" x14ac:dyDescent="0.25">
      <c r="A177" t="s">
        <v>44</v>
      </c>
      <c r="B177" t="s">
        <v>44</v>
      </c>
      <c r="C177" t="s">
        <v>44</v>
      </c>
      <c r="D177" t="s">
        <v>44</v>
      </c>
      <c r="E177" t="s">
        <v>44</v>
      </c>
      <c r="P177" t="s">
        <v>44</v>
      </c>
      <c r="Q177" t="s">
        <v>44</v>
      </c>
      <c r="R177" t="s">
        <v>44</v>
      </c>
      <c r="S177" t="s">
        <v>44</v>
      </c>
      <c r="T177" t="s">
        <v>44</v>
      </c>
      <c r="U177" t="s">
        <v>44</v>
      </c>
      <c r="V177" t="s">
        <v>44</v>
      </c>
      <c r="W177" t="s">
        <v>44</v>
      </c>
      <c r="X177" t="s">
        <v>44</v>
      </c>
      <c r="Y177" t="s">
        <v>44</v>
      </c>
    </row>
    <row r="178" spans="1:25" x14ac:dyDescent="0.25">
      <c r="A178" t="s">
        <v>44</v>
      </c>
      <c r="B178" t="s">
        <v>44</v>
      </c>
      <c r="C178" t="s">
        <v>44</v>
      </c>
      <c r="D178" t="s">
        <v>44</v>
      </c>
      <c r="E178" t="s">
        <v>44</v>
      </c>
      <c r="P178" t="s">
        <v>44</v>
      </c>
      <c r="Q178" t="s">
        <v>44</v>
      </c>
      <c r="R178" t="s">
        <v>44</v>
      </c>
      <c r="S178" t="s">
        <v>44</v>
      </c>
      <c r="T178" t="s">
        <v>44</v>
      </c>
      <c r="U178" t="s">
        <v>44</v>
      </c>
      <c r="V178" t="s">
        <v>44</v>
      </c>
      <c r="W178" t="s">
        <v>44</v>
      </c>
      <c r="X178" t="s">
        <v>44</v>
      </c>
      <c r="Y178" t="s">
        <v>44</v>
      </c>
    </row>
    <row r="179" spans="1:25" x14ac:dyDescent="0.25">
      <c r="A179" t="s">
        <v>44</v>
      </c>
      <c r="B179" t="s">
        <v>44</v>
      </c>
      <c r="C179" t="s">
        <v>44</v>
      </c>
      <c r="D179" t="s">
        <v>44</v>
      </c>
      <c r="E179" t="s">
        <v>44</v>
      </c>
      <c r="P179" t="s">
        <v>44</v>
      </c>
      <c r="Q179" t="s">
        <v>44</v>
      </c>
      <c r="R179" t="s">
        <v>44</v>
      </c>
      <c r="S179" t="s">
        <v>44</v>
      </c>
      <c r="T179" t="s">
        <v>44</v>
      </c>
      <c r="U179" t="s">
        <v>44</v>
      </c>
      <c r="V179" t="s">
        <v>44</v>
      </c>
      <c r="W179" t="s">
        <v>44</v>
      </c>
      <c r="X179" t="s">
        <v>44</v>
      </c>
      <c r="Y179" t="s">
        <v>44</v>
      </c>
    </row>
    <row r="180" spans="1:25" x14ac:dyDescent="0.25">
      <c r="A180" t="s">
        <v>44</v>
      </c>
      <c r="B180" t="s">
        <v>44</v>
      </c>
      <c r="C180" t="s">
        <v>44</v>
      </c>
      <c r="D180" t="s">
        <v>44</v>
      </c>
      <c r="E180" t="s">
        <v>44</v>
      </c>
      <c r="P180" t="s">
        <v>44</v>
      </c>
      <c r="Q180" t="s">
        <v>44</v>
      </c>
      <c r="R180" t="s">
        <v>44</v>
      </c>
      <c r="S180" t="s">
        <v>44</v>
      </c>
      <c r="T180" t="s">
        <v>44</v>
      </c>
      <c r="U180" t="s">
        <v>44</v>
      </c>
      <c r="V180" t="s">
        <v>44</v>
      </c>
      <c r="W180" t="s">
        <v>44</v>
      </c>
      <c r="X180" t="s">
        <v>44</v>
      </c>
      <c r="Y180" t="s">
        <v>44</v>
      </c>
    </row>
    <row r="181" spans="1:25" x14ac:dyDescent="0.25">
      <c r="A181" t="s">
        <v>212</v>
      </c>
      <c r="B181" t="s">
        <v>212</v>
      </c>
      <c r="C181" t="s">
        <v>212</v>
      </c>
      <c r="D181" t="s">
        <v>212</v>
      </c>
      <c r="E181" t="s">
        <v>212</v>
      </c>
      <c r="P181" t="s">
        <v>44</v>
      </c>
      <c r="Q181" t="s">
        <v>44</v>
      </c>
      <c r="R181" t="s">
        <v>44</v>
      </c>
      <c r="S181" t="s">
        <v>44</v>
      </c>
      <c r="T181" t="s">
        <v>44</v>
      </c>
      <c r="U181" t="s">
        <v>44</v>
      </c>
      <c r="V181" t="s">
        <v>44</v>
      </c>
      <c r="W181" t="s">
        <v>44</v>
      </c>
      <c r="X181" t="s">
        <v>44</v>
      </c>
      <c r="Y181" t="s">
        <v>44</v>
      </c>
    </row>
    <row r="182" spans="1:25" x14ac:dyDescent="0.25">
      <c r="A182" t="s">
        <v>213</v>
      </c>
      <c r="P182" t="s">
        <v>44</v>
      </c>
      <c r="Q182" t="s">
        <v>44</v>
      </c>
      <c r="R182" t="s">
        <v>44</v>
      </c>
      <c r="S182" t="s">
        <v>44</v>
      </c>
      <c r="T182" t="s">
        <v>44</v>
      </c>
      <c r="U182" t="s">
        <v>44</v>
      </c>
      <c r="V182" t="s">
        <v>44</v>
      </c>
      <c r="W182" t="s">
        <v>44</v>
      </c>
      <c r="X182" t="s">
        <v>44</v>
      </c>
      <c r="Y182" t="s">
        <v>44</v>
      </c>
    </row>
    <row r="183" spans="1:25" x14ac:dyDescent="0.25">
      <c r="A183" t="s">
        <v>214</v>
      </c>
      <c r="B183">
        <v>43998</v>
      </c>
      <c r="C183" t="s">
        <v>44</v>
      </c>
      <c r="D183" t="s">
        <v>44</v>
      </c>
      <c r="E183" t="s">
        <v>44</v>
      </c>
      <c r="P183" t="s">
        <v>44</v>
      </c>
      <c r="Q183" t="s">
        <v>44</v>
      </c>
      <c r="R183" t="s">
        <v>44</v>
      </c>
      <c r="S183" t="s">
        <v>44</v>
      </c>
      <c r="T183" t="s">
        <v>44</v>
      </c>
      <c r="U183" t="s">
        <v>44</v>
      </c>
      <c r="V183" t="s">
        <v>44</v>
      </c>
      <c r="W183" t="s">
        <v>44</v>
      </c>
      <c r="X183" t="s">
        <v>44</v>
      </c>
      <c r="Y183" t="s">
        <v>44</v>
      </c>
    </row>
    <row r="184" spans="1:25" x14ac:dyDescent="0.25">
      <c r="A184" t="s">
        <v>215</v>
      </c>
      <c r="B184">
        <v>44196</v>
      </c>
      <c r="C184" t="s">
        <v>44</v>
      </c>
      <c r="D184" t="s">
        <v>44</v>
      </c>
      <c r="E184" t="s">
        <v>44</v>
      </c>
      <c r="P184" t="s">
        <v>44</v>
      </c>
      <c r="Q184" t="s">
        <v>44</v>
      </c>
      <c r="R184" t="s">
        <v>44</v>
      </c>
      <c r="S184" t="s">
        <v>44</v>
      </c>
      <c r="T184" t="s">
        <v>44</v>
      </c>
      <c r="U184" t="s">
        <v>44</v>
      </c>
      <c r="V184" t="s">
        <v>44</v>
      </c>
      <c r="W184" t="s">
        <v>44</v>
      </c>
      <c r="X184" t="s">
        <v>44</v>
      </c>
      <c r="Y184" t="s">
        <v>44</v>
      </c>
    </row>
    <row r="185" spans="1:25" x14ac:dyDescent="0.25">
      <c r="A185" t="s">
        <v>28</v>
      </c>
      <c r="B185" t="s">
        <v>29</v>
      </c>
      <c r="C185" t="s">
        <v>30</v>
      </c>
      <c r="D185" t="s">
        <v>31</v>
      </c>
      <c r="E185" t="s">
        <v>32</v>
      </c>
      <c r="P185" t="s">
        <v>44</v>
      </c>
      <c r="Q185" t="s">
        <v>44</v>
      </c>
      <c r="R185" t="s">
        <v>44</v>
      </c>
      <c r="S185" t="s">
        <v>44</v>
      </c>
      <c r="T185" t="s">
        <v>44</v>
      </c>
      <c r="U185" t="s">
        <v>44</v>
      </c>
      <c r="V185" t="s">
        <v>44</v>
      </c>
      <c r="W185" t="s">
        <v>44</v>
      </c>
      <c r="X185" t="s">
        <v>44</v>
      </c>
      <c r="Y185" t="s">
        <v>44</v>
      </c>
    </row>
    <row r="186" spans="1:25" x14ac:dyDescent="0.25">
      <c r="A186" t="s">
        <v>216</v>
      </c>
      <c r="B186">
        <v>44196</v>
      </c>
      <c r="C186" t="s">
        <v>44</v>
      </c>
      <c r="D186" t="s">
        <v>44</v>
      </c>
      <c r="E186" t="s">
        <v>44</v>
      </c>
      <c r="P186" t="s">
        <v>44</v>
      </c>
      <c r="Q186" t="s">
        <v>44</v>
      </c>
      <c r="R186" t="s">
        <v>44</v>
      </c>
      <c r="S186" t="s">
        <v>44</v>
      </c>
      <c r="T186" t="s">
        <v>44</v>
      </c>
      <c r="U186" t="s">
        <v>44</v>
      </c>
      <c r="V186" t="s">
        <v>44</v>
      </c>
      <c r="W186" t="s">
        <v>44</v>
      </c>
      <c r="X186" t="s">
        <v>44</v>
      </c>
      <c r="Y186" t="s">
        <v>44</v>
      </c>
    </row>
    <row r="187" spans="1:25" x14ac:dyDescent="0.25">
      <c r="A187" t="s">
        <v>217</v>
      </c>
      <c r="B187">
        <v>2</v>
      </c>
      <c r="C187" t="s">
        <v>33</v>
      </c>
      <c r="D187" t="s">
        <v>34</v>
      </c>
      <c r="E187" t="s">
        <v>35</v>
      </c>
      <c r="F187" t="s">
        <v>36</v>
      </c>
      <c r="G187" t="s">
        <v>37</v>
      </c>
      <c r="H187" t="s">
        <v>38</v>
      </c>
      <c r="I187" t="s">
        <v>39</v>
      </c>
      <c r="J187" t="s">
        <v>40</v>
      </c>
      <c r="K187" t="s">
        <v>41</v>
      </c>
      <c r="L187" t="s">
        <v>42</v>
      </c>
      <c r="P187" t="s">
        <v>44</v>
      </c>
      <c r="Q187" t="s">
        <v>44</v>
      </c>
      <c r="R187" t="s">
        <v>44</v>
      </c>
      <c r="S187" t="s">
        <v>44</v>
      </c>
      <c r="T187" t="s">
        <v>44</v>
      </c>
      <c r="U187" t="s">
        <v>44</v>
      </c>
      <c r="V187" t="s">
        <v>44</v>
      </c>
      <c r="W187" t="s">
        <v>44</v>
      </c>
      <c r="X187" t="s">
        <v>44</v>
      </c>
      <c r="Y187" t="s">
        <v>44</v>
      </c>
    </row>
    <row r="188" spans="1:25" x14ac:dyDescent="0.25">
      <c r="A188" t="s">
        <v>218</v>
      </c>
      <c r="B188">
        <v>0</v>
      </c>
      <c r="C188" t="s">
        <v>211</v>
      </c>
      <c r="P188" t="s">
        <v>44</v>
      </c>
      <c r="Q188" t="s">
        <v>44</v>
      </c>
      <c r="R188" t="s">
        <v>44</v>
      </c>
      <c r="S188" t="s">
        <v>44</v>
      </c>
      <c r="T188" t="s">
        <v>44</v>
      </c>
      <c r="U188" t="s">
        <v>44</v>
      </c>
      <c r="V188" t="s">
        <v>44</v>
      </c>
      <c r="W188" t="s">
        <v>44</v>
      </c>
      <c r="X188" t="s">
        <v>44</v>
      </c>
      <c r="Y188" t="s">
        <v>44</v>
      </c>
    </row>
    <row r="189" spans="1:25" x14ac:dyDescent="0.25">
      <c r="A189" t="s">
        <v>219</v>
      </c>
      <c r="P189" t="s">
        <v>44</v>
      </c>
      <c r="Q189" t="s">
        <v>44</v>
      </c>
      <c r="R189" t="s">
        <v>44</v>
      </c>
      <c r="S189" t="s">
        <v>44</v>
      </c>
      <c r="T189" t="s">
        <v>44</v>
      </c>
      <c r="U189" t="s">
        <v>44</v>
      </c>
      <c r="V189" t="s">
        <v>44</v>
      </c>
      <c r="W189" t="s">
        <v>44</v>
      </c>
      <c r="X189" t="s">
        <v>44</v>
      </c>
      <c r="Y189" t="s">
        <v>44</v>
      </c>
    </row>
    <row r="190" spans="1:25" x14ac:dyDescent="0.25">
      <c r="A190" t="s">
        <v>220</v>
      </c>
      <c r="B190">
        <v>0</v>
      </c>
      <c r="C190" t="s">
        <v>211</v>
      </c>
      <c r="P190" t="s">
        <v>44</v>
      </c>
      <c r="Q190" t="s">
        <v>44</v>
      </c>
      <c r="R190" t="s">
        <v>44</v>
      </c>
      <c r="S190" t="s">
        <v>44</v>
      </c>
      <c r="T190" t="s">
        <v>44</v>
      </c>
      <c r="U190" t="s">
        <v>44</v>
      </c>
      <c r="V190" t="s">
        <v>44</v>
      </c>
      <c r="W190" t="s">
        <v>44</v>
      </c>
      <c r="X190" t="s">
        <v>44</v>
      </c>
      <c r="Y190" t="s">
        <v>44</v>
      </c>
    </row>
    <row r="191" spans="1:25" x14ac:dyDescent="0.25">
      <c r="A191" t="s">
        <v>221</v>
      </c>
      <c r="P191" t="s">
        <v>44</v>
      </c>
      <c r="Q191" t="s">
        <v>44</v>
      </c>
      <c r="R191" t="s">
        <v>44</v>
      </c>
      <c r="S191" t="s">
        <v>44</v>
      </c>
      <c r="T191" t="s">
        <v>44</v>
      </c>
      <c r="U191" t="s">
        <v>44</v>
      </c>
      <c r="V191" t="s">
        <v>44</v>
      </c>
      <c r="W191" t="s">
        <v>44</v>
      </c>
      <c r="X191" t="s">
        <v>44</v>
      </c>
      <c r="Y191" t="s">
        <v>44</v>
      </c>
    </row>
    <row r="192" spans="1:25" x14ac:dyDescent="0.25">
      <c r="A192" t="s">
        <v>222</v>
      </c>
      <c r="B192">
        <v>0</v>
      </c>
      <c r="C192" t="s">
        <v>211</v>
      </c>
      <c r="P192" t="s">
        <v>44</v>
      </c>
      <c r="Q192" t="s">
        <v>44</v>
      </c>
      <c r="R192" t="s">
        <v>44</v>
      </c>
      <c r="S192" t="s">
        <v>44</v>
      </c>
      <c r="T192" t="s">
        <v>44</v>
      </c>
      <c r="U192" t="s">
        <v>44</v>
      </c>
      <c r="V192" t="s">
        <v>44</v>
      </c>
      <c r="W192" t="s">
        <v>44</v>
      </c>
      <c r="X192" t="s">
        <v>44</v>
      </c>
      <c r="Y192" t="s">
        <v>44</v>
      </c>
    </row>
    <row r="193" spans="1:25" x14ac:dyDescent="0.25">
      <c r="A193" t="s">
        <v>223</v>
      </c>
      <c r="P193" t="s">
        <v>44</v>
      </c>
      <c r="Q193" t="s">
        <v>44</v>
      </c>
      <c r="R193" t="s">
        <v>44</v>
      </c>
      <c r="S193" t="s">
        <v>44</v>
      </c>
      <c r="T193" t="s">
        <v>44</v>
      </c>
      <c r="U193" t="s">
        <v>44</v>
      </c>
      <c r="V193" t="s">
        <v>44</v>
      </c>
      <c r="W193" t="s">
        <v>44</v>
      </c>
      <c r="X193" t="s">
        <v>44</v>
      </c>
      <c r="Y193" t="s">
        <v>44</v>
      </c>
    </row>
    <row r="194" spans="1:25" x14ac:dyDescent="0.25">
      <c r="A194" t="s">
        <v>224</v>
      </c>
      <c r="B194">
        <v>2</v>
      </c>
      <c r="C194" t="s">
        <v>33</v>
      </c>
      <c r="D194" t="s">
        <v>34</v>
      </c>
      <c r="E194" t="s">
        <v>35</v>
      </c>
      <c r="F194" t="s">
        <v>36</v>
      </c>
      <c r="G194" t="s">
        <v>37</v>
      </c>
      <c r="H194" t="s">
        <v>38</v>
      </c>
      <c r="I194" t="s">
        <v>39</v>
      </c>
      <c r="J194" t="s">
        <v>40</v>
      </c>
      <c r="K194" t="s">
        <v>41</v>
      </c>
      <c r="L194" t="s">
        <v>42</v>
      </c>
      <c r="P194" t="s">
        <v>44</v>
      </c>
      <c r="Q194" t="s">
        <v>44</v>
      </c>
      <c r="R194" t="s">
        <v>44</v>
      </c>
      <c r="S194" t="s">
        <v>44</v>
      </c>
      <c r="T194" t="s">
        <v>44</v>
      </c>
      <c r="U194" t="s">
        <v>44</v>
      </c>
      <c r="V194" t="s">
        <v>44</v>
      </c>
      <c r="W194" t="s">
        <v>44</v>
      </c>
      <c r="X194" t="s">
        <v>44</v>
      </c>
      <c r="Y194" t="s">
        <v>44</v>
      </c>
    </row>
    <row r="195" spans="1:25" x14ac:dyDescent="0.25">
      <c r="A195" t="s">
        <v>225</v>
      </c>
      <c r="B195">
        <v>2</v>
      </c>
      <c r="C195" t="s">
        <v>33</v>
      </c>
      <c r="D195" t="s">
        <v>34</v>
      </c>
      <c r="E195" t="s">
        <v>35</v>
      </c>
      <c r="F195" t="s">
        <v>36</v>
      </c>
      <c r="G195" t="s">
        <v>37</v>
      </c>
      <c r="H195" t="s">
        <v>38</v>
      </c>
      <c r="I195" t="s">
        <v>39</v>
      </c>
      <c r="J195" t="s">
        <v>40</v>
      </c>
      <c r="K195" t="s">
        <v>41</v>
      </c>
      <c r="L195" t="s">
        <v>42</v>
      </c>
      <c r="P195" t="s">
        <v>44</v>
      </c>
      <c r="Q195" t="s">
        <v>44</v>
      </c>
      <c r="R195" t="s">
        <v>44</v>
      </c>
      <c r="S195" t="s">
        <v>44</v>
      </c>
      <c r="T195" t="s">
        <v>44</v>
      </c>
      <c r="U195" t="s">
        <v>44</v>
      </c>
      <c r="V195" t="s">
        <v>44</v>
      </c>
      <c r="W195" t="s">
        <v>44</v>
      </c>
      <c r="X195" t="s">
        <v>44</v>
      </c>
      <c r="Y195" t="s">
        <v>44</v>
      </c>
    </row>
    <row r="196" spans="1:25" x14ac:dyDescent="0.25">
      <c r="A196" t="s">
        <v>226</v>
      </c>
      <c r="B196">
        <v>0</v>
      </c>
      <c r="C196" t="s">
        <v>211</v>
      </c>
      <c r="P196" t="s">
        <v>44</v>
      </c>
      <c r="Q196" t="s">
        <v>44</v>
      </c>
      <c r="R196" t="s">
        <v>44</v>
      </c>
      <c r="S196" t="s">
        <v>44</v>
      </c>
      <c r="T196" t="s">
        <v>44</v>
      </c>
      <c r="U196" t="s">
        <v>44</v>
      </c>
      <c r="V196" t="s">
        <v>44</v>
      </c>
      <c r="W196" t="s">
        <v>44</v>
      </c>
      <c r="X196" t="s">
        <v>44</v>
      </c>
      <c r="Y196" t="s">
        <v>44</v>
      </c>
    </row>
    <row r="197" spans="1:25" x14ac:dyDescent="0.25">
      <c r="A197" t="s">
        <v>227</v>
      </c>
      <c r="P197" t="s">
        <v>44</v>
      </c>
      <c r="Q197" t="s">
        <v>44</v>
      </c>
      <c r="R197" t="s">
        <v>44</v>
      </c>
      <c r="S197" t="s">
        <v>44</v>
      </c>
      <c r="T197" t="s">
        <v>44</v>
      </c>
      <c r="U197" t="s">
        <v>44</v>
      </c>
      <c r="V197" t="s">
        <v>44</v>
      </c>
      <c r="W197" t="s">
        <v>44</v>
      </c>
      <c r="X197" t="s">
        <v>44</v>
      </c>
      <c r="Y197" t="s">
        <v>44</v>
      </c>
    </row>
    <row r="198" spans="1:25" x14ac:dyDescent="0.25">
      <c r="A198" t="s">
        <v>228</v>
      </c>
      <c r="B198">
        <v>0</v>
      </c>
      <c r="C198" t="s">
        <v>211</v>
      </c>
      <c r="P198" t="s">
        <v>44</v>
      </c>
      <c r="Q198" t="s">
        <v>44</v>
      </c>
      <c r="R198" t="s">
        <v>44</v>
      </c>
      <c r="S198" t="s">
        <v>44</v>
      </c>
      <c r="T198" t="s">
        <v>44</v>
      </c>
      <c r="U198" t="s">
        <v>44</v>
      </c>
      <c r="V198" t="s">
        <v>44</v>
      </c>
      <c r="W198" t="s">
        <v>44</v>
      </c>
      <c r="X198" t="s">
        <v>44</v>
      </c>
      <c r="Y198" t="s">
        <v>44</v>
      </c>
    </row>
    <row r="199" spans="1:25" x14ac:dyDescent="0.25">
      <c r="A199" t="s">
        <v>229</v>
      </c>
      <c r="P199" t="s">
        <v>44</v>
      </c>
      <c r="Q199" t="s">
        <v>44</v>
      </c>
      <c r="R199" t="s">
        <v>44</v>
      </c>
      <c r="S199" t="s">
        <v>44</v>
      </c>
      <c r="T199" t="s">
        <v>44</v>
      </c>
      <c r="U199" t="s">
        <v>44</v>
      </c>
      <c r="V199" t="s">
        <v>44</v>
      </c>
      <c r="W199" t="s">
        <v>44</v>
      </c>
      <c r="X199" t="s">
        <v>44</v>
      </c>
      <c r="Y199" t="s">
        <v>44</v>
      </c>
    </row>
    <row r="200" spans="1:25" x14ac:dyDescent="0.25">
      <c r="A200" t="s">
        <v>230</v>
      </c>
      <c r="B200">
        <v>0</v>
      </c>
      <c r="C200" t="s">
        <v>211</v>
      </c>
      <c r="P200" t="s">
        <v>44</v>
      </c>
      <c r="Q200" t="s">
        <v>44</v>
      </c>
      <c r="R200" t="s">
        <v>44</v>
      </c>
      <c r="S200" t="s">
        <v>44</v>
      </c>
      <c r="T200" t="s">
        <v>44</v>
      </c>
      <c r="U200" t="s">
        <v>44</v>
      </c>
      <c r="V200" t="s">
        <v>44</v>
      </c>
      <c r="W200" t="s">
        <v>44</v>
      </c>
      <c r="X200" t="s">
        <v>44</v>
      </c>
      <c r="Y200" t="s">
        <v>44</v>
      </c>
    </row>
    <row r="201" spans="1:25" x14ac:dyDescent="0.25">
      <c r="A201" t="s">
        <v>231</v>
      </c>
      <c r="P201" t="s">
        <v>44</v>
      </c>
      <c r="Q201" t="s">
        <v>44</v>
      </c>
      <c r="R201" t="s">
        <v>44</v>
      </c>
      <c r="S201" t="s">
        <v>44</v>
      </c>
      <c r="T201" t="s">
        <v>44</v>
      </c>
      <c r="U201" t="s">
        <v>44</v>
      </c>
      <c r="V201" t="s">
        <v>44</v>
      </c>
      <c r="W201" t="s">
        <v>44</v>
      </c>
      <c r="X201" t="s">
        <v>44</v>
      </c>
      <c r="Y201" t="s">
        <v>44</v>
      </c>
    </row>
    <row r="202" spans="1:25" x14ac:dyDescent="0.25">
      <c r="A202" t="s">
        <v>232</v>
      </c>
      <c r="B202">
        <v>2</v>
      </c>
      <c r="C202" t="s">
        <v>33</v>
      </c>
      <c r="D202" t="s">
        <v>34</v>
      </c>
      <c r="E202" t="s">
        <v>35</v>
      </c>
      <c r="F202" t="s">
        <v>36</v>
      </c>
      <c r="G202" t="s">
        <v>37</v>
      </c>
      <c r="H202" t="s">
        <v>38</v>
      </c>
      <c r="I202" t="s">
        <v>39</v>
      </c>
      <c r="J202" t="s">
        <v>40</v>
      </c>
      <c r="K202" t="s">
        <v>41</v>
      </c>
      <c r="L202" t="s">
        <v>42</v>
      </c>
      <c r="P202" t="s">
        <v>44</v>
      </c>
      <c r="Q202" t="s">
        <v>44</v>
      </c>
      <c r="R202" t="s">
        <v>44</v>
      </c>
      <c r="S202" t="s">
        <v>44</v>
      </c>
      <c r="T202" t="s">
        <v>44</v>
      </c>
      <c r="U202" t="s">
        <v>44</v>
      </c>
      <c r="V202" t="s">
        <v>44</v>
      </c>
      <c r="W202" t="s">
        <v>44</v>
      </c>
      <c r="X202" t="s">
        <v>44</v>
      </c>
      <c r="Y202" t="s">
        <v>44</v>
      </c>
    </row>
    <row r="203" spans="1:25" x14ac:dyDescent="0.25">
      <c r="A203" t="s">
        <v>233</v>
      </c>
      <c r="B203">
        <v>2</v>
      </c>
      <c r="C203" t="s">
        <v>33</v>
      </c>
      <c r="D203" t="s">
        <v>34</v>
      </c>
      <c r="E203" t="s">
        <v>35</v>
      </c>
      <c r="F203" t="s">
        <v>36</v>
      </c>
      <c r="G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P203" t="s">
        <v>44</v>
      </c>
      <c r="Q203" t="s">
        <v>44</v>
      </c>
      <c r="R203" t="s">
        <v>44</v>
      </c>
      <c r="S203" t="s">
        <v>44</v>
      </c>
      <c r="T203" t="s">
        <v>44</v>
      </c>
      <c r="U203" t="s">
        <v>44</v>
      </c>
      <c r="V203" t="s">
        <v>44</v>
      </c>
      <c r="W203" t="s">
        <v>44</v>
      </c>
      <c r="X203" t="s">
        <v>44</v>
      </c>
      <c r="Y203" t="s">
        <v>44</v>
      </c>
    </row>
    <row r="204" spans="1:25" x14ac:dyDescent="0.25">
      <c r="A204" t="s">
        <v>234</v>
      </c>
      <c r="B204" t="s">
        <v>44</v>
      </c>
      <c r="C204" t="s">
        <v>44</v>
      </c>
      <c r="D204" t="s">
        <v>44</v>
      </c>
      <c r="E204" t="s">
        <v>44</v>
      </c>
      <c r="P204" t="s">
        <v>44</v>
      </c>
      <c r="Q204" t="s">
        <v>44</v>
      </c>
      <c r="R204" t="s">
        <v>44</v>
      </c>
      <c r="S204" t="s">
        <v>44</v>
      </c>
      <c r="T204" t="s">
        <v>44</v>
      </c>
      <c r="U204" t="s">
        <v>44</v>
      </c>
      <c r="V204" t="s">
        <v>44</v>
      </c>
      <c r="W204" t="s">
        <v>44</v>
      </c>
      <c r="X204" t="s">
        <v>44</v>
      </c>
      <c r="Y204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BIData</vt:lpstr>
      <vt:lpstr>Sheet1</vt:lpstr>
      <vt:lpstr>ReferenceData</vt:lpstr>
      <vt:lpstr>Sheet2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F20180290</cp:lastModifiedBy>
  <dcterms:created xsi:type="dcterms:W3CDTF">2013-04-03T15:49:21Z</dcterms:created>
  <dcterms:modified xsi:type="dcterms:W3CDTF">2020-06-16T01:36:18Z</dcterms:modified>
</cp:coreProperties>
</file>